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Z:\Housing Development Share\Projects\02PotentialProjects\Beaumont\Allegheny\Finance\CDLAC\Final\"/>
    </mc:Choice>
  </mc:AlternateContent>
  <xr:revisionPtr revIDLastSave="0" documentId="13_ncr:1_{E0D6FA82-9B4F-450B-B812-72BEBDA445E6}" xr6:coauthVersionLast="46" xr6:coauthVersionMax="46" xr10:uidLastSave="{00000000-0000-0000-0000-000000000000}"/>
  <bookViews>
    <workbookView xWindow="1665" yWindow="-120" windowWidth="27255" windowHeight="16440" tabRatio="905" firstSheet="7"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3" i="7" l="1"/>
  <c r="AG53" i="7" s="1"/>
  <c r="AE52" i="7"/>
  <c r="AG52" i="7" s="1"/>
  <c r="W53" i="7"/>
  <c r="Y53" i="7" s="1"/>
  <c r="AA53" i="7" s="1"/>
  <c r="AC53" i="7" s="1"/>
  <c r="W52" i="7"/>
  <c r="Y52" i="7" s="1"/>
  <c r="AA52" i="7" s="1"/>
  <c r="AC52" i="7" s="1"/>
  <c r="Q53" i="7"/>
  <c r="S53" i="7" s="1"/>
  <c r="U53" i="7" s="1"/>
  <c r="O53" i="7"/>
  <c r="O52" i="7"/>
  <c r="Q52" i="7" s="1"/>
  <c r="S52" i="7" s="1"/>
  <c r="U52" i="7" s="1"/>
  <c r="M53" i="7"/>
  <c r="K53" i="7"/>
  <c r="K52" i="7"/>
  <c r="M52" i="7" s="1"/>
  <c r="I53" i="7"/>
  <c r="I52" i="7"/>
  <c r="G53" i="7"/>
  <c r="G52" i="7"/>
  <c r="AI66" i="7"/>
  <c r="AI65" i="7"/>
  <c r="E66" i="7"/>
  <c r="E65" i="7"/>
  <c r="C61" i="7"/>
  <c r="E61" i="7"/>
  <c r="C30" i="8"/>
  <c r="O637" i="3"/>
  <c r="T208" i="20"/>
  <c r="T207" i="20"/>
  <c r="AM568" i="3" l="1"/>
  <c r="M944" i="3"/>
  <c r="R637" i="3"/>
  <c r="N208" i="20" l="1"/>
  <c r="N207" i="20"/>
  <c r="M945" i="3" l="1"/>
  <c r="W857" i="3"/>
  <c r="W855" i="3"/>
  <c r="E5" i="8" l="1"/>
  <c r="E4" i="8"/>
  <c r="AC384" i="3"/>
  <c r="O729" i="3" l="1"/>
  <c r="O728" i="3"/>
  <c r="E40" i="7"/>
  <c r="A40" i="7"/>
  <c r="C45" i="4"/>
  <c r="E45" i="4" s="1"/>
  <c r="C49" i="4"/>
  <c r="E49" i="4" s="1"/>
  <c r="G84" i="4"/>
  <c r="E84" i="4" s="1"/>
  <c r="C65" i="4"/>
  <c r="E65" i="4" s="1"/>
  <c r="C46" i="4"/>
  <c r="E46" i="4" s="1"/>
  <c r="AO650" i="3"/>
  <c r="S48" i="4"/>
  <c r="S92" i="4"/>
  <c r="S94" i="4"/>
  <c r="S93" i="4"/>
  <c r="S89" i="4"/>
  <c r="S85" i="4"/>
  <c r="S86" i="4"/>
  <c r="S80" i="4"/>
  <c r="S79" i="4"/>
  <c r="S51" i="4"/>
  <c r="S52" i="4"/>
  <c r="S53" i="4"/>
  <c r="S50" i="4"/>
  <c r="S41" i="4"/>
  <c r="S40" i="4"/>
  <c r="S35" i="4"/>
  <c r="S29" i="4"/>
  <c r="G31" i="4"/>
  <c r="G32" i="4"/>
  <c r="G34" i="4"/>
  <c r="G35" i="4"/>
  <c r="G29" i="4"/>
  <c r="G33" i="4"/>
  <c r="G21" i="4"/>
  <c r="E21" i="4" s="1"/>
  <c r="E18" i="4"/>
  <c r="S10" i="4"/>
  <c r="E57" i="4"/>
  <c r="E58" i="4"/>
  <c r="E59" i="4"/>
  <c r="E60" i="4"/>
  <c r="E61" i="4"/>
  <c r="E56" i="4"/>
  <c r="E13" i="4"/>
  <c r="E5" i="4"/>
  <c r="E6" i="4"/>
  <c r="E7" i="4"/>
  <c r="E4" i="4"/>
  <c r="E22" i="4"/>
  <c r="E23" i="4"/>
  <c r="E24" i="4"/>
  <c r="E25" i="4"/>
  <c r="E47" i="4"/>
  <c r="E50" i="4"/>
  <c r="E51" i="4"/>
  <c r="E52" i="4"/>
  <c r="E53" i="4"/>
  <c r="E85" i="4"/>
  <c r="E86" i="4"/>
  <c r="E87" i="4"/>
  <c r="E88" i="4"/>
  <c r="E89" i="4"/>
  <c r="E90" i="4"/>
  <c r="E91" i="4"/>
  <c r="E92" i="4"/>
  <c r="E93" i="4"/>
  <c r="E94" i="4"/>
  <c r="E95" i="4"/>
  <c r="E83" i="4"/>
  <c r="E80" i="4"/>
  <c r="E79" i="4"/>
  <c r="E74" i="4"/>
  <c r="E73" i="4"/>
  <c r="G51" i="4"/>
  <c r="G52" i="4"/>
  <c r="G86" i="4"/>
  <c r="G94" i="4"/>
  <c r="G93" i="4"/>
  <c r="G41" i="4"/>
  <c r="G40" i="4"/>
  <c r="G79" i="4"/>
  <c r="G48" i="4"/>
  <c r="E48" i="4" s="1"/>
  <c r="G10" i="4"/>
  <c r="G23" i="4"/>
  <c r="G22" i="4"/>
  <c r="G20" i="4"/>
  <c r="E20" i="4" s="1"/>
  <c r="G19" i="4"/>
  <c r="E19" i="4" s="1"/>
  <c r="G17" i="4"/>
  <c r="E17" i="4" s="1"/>
  <c r="R638" i="3"/>
  <c r="C93" i="4" l="1"/>
  <c r="C94" i="4"/>
  <c r="C40" i="4"/>
  <c r="C88" i="4"/>
  <c r="G665" i="3" l="1"/>
  <c r="G663" i="3"/>
  <c r="G664" i="3"/>
  <c r="G662" i="3"/>
  <c r="G657" i="3"/>
  <c r="G655" i="3"/>
  <c r="G656" i="3"/>
  <c r="G654" i="3"/>
  <c r="O638" i="3"/>
  <c r="Z591" i="3"/>
  <c r="Z589" i="3"/>
  <c r="Z590" i="3"/>
  <c r="Z588" i="3"/>
  <c r="Z582" i="3"/>
  <c r="Z580" i="3"/>
  <c r="Z581" i="3"/>
  <c r="Z579"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S84" i="4" s="1"/>
  <c r="E84" i="13" s="1"/>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79" i="13"/>
  <c r="E65" i="13"/>
  <c r="E53" i="13"/>
  <c r="E52" i="13"/>
  <c r="E51" i="13"/>
  <c r="E50" i="13"/>
  <c r="E49" i="13"/>
  <c r="E48" i="13"/>
  <c r="E47" i="13"/>
  <c r="E46" i="13"/>
  <c r="E45" i="13"/>
  <c r="E43" i="13"/>
  <c r="E41" i="13"/>
  <c r="E40" i="13"/>
  <c r="E37" i="13"/>
  <c r="E35"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S34" i="4" s="1"/>
  <c r="E34" i="13" s="1"/>
  <c r="R33" i="4"/>
  <c r="S33" i="4" s="1"/>
  <c r="E33" i="13" s="1"/>
  <c r="R32" i="4"/>
  <c r="S32" i="4" s="1"/>
  <c r="E32" i="13" s="1"/>
  <c r="R31" i="4"/>
  <c r="S31" i="4" s="1"/>
  <c r="E31"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G30" i="4" s="1"/>
  <c r="G38" i="4" s="1"/>
  <c r="G108" i="4"/>
  <c r="H108" i="4"/>
  <c r="H99" i="4" s="1"/>
  <c r="E99" i="4" s="1"/>
  <c r="E104"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C639" i="3" s="1"/>
  <c r="H2" i="4" s="1"/>
  <c r="Z587" i="3"/>
  <c r="AA592" i="3" s="1"/>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H666" i="3" s="1"/>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R30" i="4" l="1"/>
  <c r="S30" i="4" s="1"/>
  <c r="S38" i="4" s="1"/>
  <c r="E38" i="13" s="1"/>
  <c r="H104" i="4"/>
  <c r="R99" i="4"/>
  <c r="S99" i="4" s="1"/>
  <c r="D30" i="11"/>
  <c r="B77" i="4"/>
  <c r="B54" i="4"/>
  <c r="N153" i="23"/>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E30" i="13"/>
  <c r="R38" i="4"/>
  <c r="E99" i="13"/>
  <c r="S104" i="4"/>
  <c r="E104" i="13" s="1"/>
  <c r="N160" i="2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AB249" i="20" s="1"/>
  <c r="S105" i="4" l="1"/>
  <c r="S107" i="4" s="1"/>
  <c r="E107" i="13" s="1"/>
  <c r="T11" i="15" s="1"/>
  <c r="T23" i="15" s="1"/>
  <c r="Y64" i="15" s="1"/>
  <c r="C98" i="11"/>
  <c r="D98" i="11" s="1"/>
  <c r="E126" i="20"/>
  <c r="E127" i="20" s="1"/>
  <c r="H107" i="13"/>
  <c r="AD11" i="15" s="1"/>
  <c r="AD23" i="15" s="1"/>
  <c r="AD26" i="15" s="1"/>
  <c r="AD28" i="15" s="1"/>
  <c r="E91" i="20"/>
  <c r="E81" i="20"/>
  <c r="E82" i="20" s="1"/>
  <c r="E83" i="20" s="1"/>
  <c r="AP83" i="20" s="1"/>
  <c r="I11" i="21"/>
  <c r="AJ973" i="3"/>
  <c r="AJ975" i="3" s="1"/>
  <c r="AJ1028" i="3" s="1"/>
  <c r="E16" i="21"/>
  <c r="AG251" i="20"/>
  <c r="AB974" i="3"/>
  <c r="G10" i="7"/>
  <c r="G36" i="7" s="1"/>
  <c r="G48" i="7" s="1"/>
  <c r="E48" i="7"/>
  <c r="I4" i="7"/>
  <c r="I5" i="7" s="1"/>
  <c r="I7" i="7"/>
  <c r="K6" i="7"/>
  <c r="M9" i="7"/>
  <c r="O8" i="7"/>
  <c r="O21" i="7"/>
  <c r="O34" i="7" s="1"/>
  <c r="Q14" i="7"/>
  <c r="E59" i="7"/>
  <c r="E47" i="7"/>
  <c r="E46" i="7"/>
  <c r="AC455" i="3"/>
  <c r="AC453" i="3"/>
  <c r="AB47" i="15"/>
  <c r="AB49" i="15" s="1"/>
  <c r="AF766" i="20" l="1"/>
  <c r="E105" i="13"/>
  <c r="C106" i="11"/>
  <c r="D106" i="11"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G61" i="7"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5" i="7" l="1"/>
  <c r="G66" i="7"/>
  <c r="AZ854" i="3"/>
  <c r="AP772" i="20"/>
  <c r="AP771" i="20" s="1"/>
  <c r="AP774" i="20" s="1"/>
  <c r="AF767" i="20" s="1"/>
  <c r="AF768" i="20" s="1"/>
  <c r="AK774" i="20" s="1"/>
  <c r="T799" i="20" s="1"/>
  <c r="AF799" i="20" s="1"/>
  <c r="Y38" i="15"/>
  <c r="Y40" i="15" s="1"/>
  <c r="Y41" i="15" s="1"/>
  <c r="I59" i="7"/>
  <c r="I61" i="7" s="1"/>
  <c r="I47" i="7"/>
  <c r="Q4" i="7"/>
  <c r="S4" i="7" s="1"/>
  <c r="K48" i="7"/>
  <c r="M44" i="7"/>
  <c r="M48" i="7"/>
  <c r="S9" i="7"/>
  <c r="U8" i="7"/>
  <c r="U21" i="7"/>
  <c r="U34" i="7" s="1"/>
  <c r="W14" i="7"/>
  <c r="K47" i="7"/>
  <c r="K46" i="7"/>
  <c r="K59" i="7"/>
  <c r="O7" i="7"/>
  <c r="O10" i="7" s="1"/>
  <c r="O36" i="7" s="1"/>
  <c r="Q6" i="7"/>
  <c r="G69" i="7" l="1"/>
  <c r="G71" i="7" s="1"/>
  <c r="I66" i="7"/>
  <c r="I65" i="7"/>
  <c r="K61" i="7"/>
  <c r="AB50" i="15"/>
  <c r="AB54" i="15" s="1"/>
  <c r="AB55" i="15" s="1"/>
  <c r="AB56" i="15" s="1"/>
  <c r="Q5" i="7"/>
  <c r="O44" i="7"/>
  <c r="O48" i="7"/>
  <c r="W21" i="7"/>
  <c r="W34" i="7" s="1"/>
  <c r="Y14" i="7"/>
  <c r="W8" i="7"/>
  <c r="U9" i="7"/>
  <c r="M47" i="7"/>
  <c r="M46" i="7"/>
  <c r="M59" i="7"/>
  <c r="U4" i="7"/>
  <c r="S5" i="7"/>
  <c r="Q7" i="7"/>
  <c r="S6" i="7"/>
  <c r="K65" i="7" l="1"/>
  <c r="M61" i="7"/>
  <c r="M66" i="7" s="1"/>
  <c r="K66" i="7"/>
  <c r="M26" i="3"/>
  <c r="AB57" i="15"/>
  <c r="AB59" i="15" s="1"/>
  <c r="AB76" i="15" s="1"/>
  <c r="AB77" i="15" s="1"/>
  <c r="E3" i="21" s="1"/>
  <c r="E7" i="21" s="1"/>
  <c r="E18" i="21" s="1"/>
  <c r="I69" i="7"/>
  <c r="I71" i="7" s="1"/>
  <c r="K69" i="7"/>
  <c r="K71" i="7" s="1"/>
  <c r="Q10" i="7"/>
  <c r="Q36" i="7" s="1"/>
  <c r="Q48" i="7" s="1"/>
  <c r="W4" i="7"/>
  <c r="U5" i="7"/>
  <c r="Y8" i="7"/>
  <c r="W9" i="7"/>
  <c r="Y21" i="7"/>
  <c r="Y34" i="7" s="1"/>
  <c r="AA14" i="7"/>
  <c r="S7" i="7"/>
  <c r="S10" i="7" s="1"/>
  <c r="S36" i="7" s="1"/>
  <c r="U6" i="7"/>
  <c r="O59" i="7"/>
  <c r="O46" i="7"/>
  <c r="O47" i="7"/>
  <c r="M65" i="7" l="1"/>
  <c r="O61" i="7"/>
  <c r="M27" i="3"/>
  <c r="P204" i="3" s="1"/>
  <c r="P203" i="3" s="1"/>
  <c r="AB78" i="15"/>
  <c r="AB80" i="15" s="1"/>
  <c r="J81" i="15" s="1"/>
  <c r="M69" i="7"/>
  <c r="M71" i="7" s="1"/>
  <c r="Q44" i="7"/>
  <c r="Q46" i="7" s="1"/>
  <c r="S44" i="7"/>
  <c r="S48" i="7"/>
  <c r="W6" i="7"/>
  <c r="U7" i="7"/>
  <c r="U10" i="7" s="1"/>
  <c r="U36" i="7" s="1"/>
  <c r="Y4" i="7"/>
  <c r="W5" i="7"/>
  <c r="AA21" i="7"/>
  <c r="AA34" i="7" s="1"/>
  <c r="AC14" i="7"/>
  <c r="Y9" i="7"/>
  <c r="AA8" i="7"/>
  <c r="Q61" i="7" l="1"/>
  <c r="S61" i="7" s="1"/>
  <c r="O66" i="7"/>
  <c r="O65" i="7"/>
  <c r="O69" i="7" s="1"/>
  <c r="O71" i="7" s="1"/>
  <c r="Q59" i="7"/>
  <c r="Q47" i="7"/>
  <c r="U44" i="7"/>
  <c r="U48" i="7"/>
  <c r="AE14" i="7"/>
  <c r="AC21" i="7"/>
  <c r="AC34" i="7" s="1"/>
  <c r="W7" i="7"/>
  <c r="W10" i="7" s="1"/>
  <c r="W36" i="7" s="1"/>
  <c r="Y6" i="7"/>
  <c r="AA4" i="7"/>
  <c r="Y5" i="7"/>
  <c r="AA9" i="7"/>
  <c r="AC8" i="7"/>
  <c r="S59" i="7"/>
  <c r="S47" i="7"/>
  <c r="S46" i="7"/>
  <c r="U61" i="7" l="1"/>
  <c r="W61" i="7" s="1"/>
  <c r="Y61" i="7" s="1"/>
  <c r="AA61" i="7" s="1"/>
  <c r="AC61" i="7" s="1"/>
  <c r="AE61" i="7" s="1"/>
  <c r="AG61" i="7" s="1"/>
  <c r="Q66" i="7"/>
  <c r="Q65" i="7"/>
  <c r="S66" i="7"/>
  <c r="S65" i="7"/>
  <c r="AA6" i="7"/>
  <c r="Y7" i="7"/>
  <c r="Y10" i="7" s="1"/>
  <c r="Y36" i="7" s="1"/>
  <c r="AE8" i="7"/>
  <c r="AC9" i="7"/>
  <c r="AC4" i="7"/>
  <c r="AA5" i="7"/>
  <c r="W48" i="7"/>
  <c r="W44" i="7"/>
  <c r="AG14" i="7"/>
  <c r="AG21" i="7" s="1"/>
  <c r="AG34" i="7" s="1"/>
  <c r="AE21" i="7"/>
  <c r="AE34" i="7" s="1"/>
  <c r="U47" i="7"/>
  <c r="U46" i="7"/>
  <c r="U59" i="7"/>
  <c r="U66" i="7" l="1"/>
  <c r="U65" i="7"/>
  <c r="S69" i="7"/>
  <c r="S71" i="7" s="1"/>
  <c r="Q69" i="7"/>
  <c r="Q71" i="7" s="1"/>
  <c r="W46" i="7"/>
  <c r="W59" i="7"/>
  <c r="W47" i="7"/>
  <c r="Y44" i="7"/>
  <c r="Y48" i="7"/>
  <c r="AE4" i="7"/>
  <c r="AC5" i="7"/>
  <c r="AE9" i="7"/>
  <c r="AG8" i="7"/>
  <c r="AG9" i="7" s="1"/>
  <c r="AA7" i="7"/>
  <c r="AA10" i="7" s="1"/>
  <c r="AA36" i="7" s="1"/>
  <c r="AC6" i="7"/>
  <c r="W66" i="7" l="1"/>
  <c r="W65" i="7"/>
  <c r="U69" i="7"/>
  <c r="U71" i="7" s="1"/>
  <c r="AA48" i="7"/>
  <c r="AA44" i="7"/>
  <c r="AE5" i="7"/>
  <c r="AG4" i="7"/>
  <c r="Y47" i="7"/>
  <c r="Y46" i="7"/>
  <c r="Y59" i="7"/>
  <c r="AC7" i="7"/>
  <c r="AC10" i="7" s="1"/>
  <c r="AC36" i="7" s="1"/>
  <c r="AE6" i="7"/>
  <c r="Y65" i="7" l="1"/>
  <c r="Y66" i="7"/>
  <c r="W69" i="7"/>
  <c r="W71" i="7" s="1"/>
  <c r="AE7" i="7"/>
  <c r="AE10" i="7" s="1"/>
  <c r="AE36" i="7" s="1"/>
  <c r="AG6" i="7"/>
  <c r="AG7" i="7" s="1"/>
  <c r="AC44" i="7"/>
  <c r="AC48" i="7"/>
  <c r="AG5" i="7"/>
  <c r="AA46" i="7"/>
  <c r="AA47" i="7"/>
  <c r="AA59" i="7"/>
  <c r="AA65" i="7" l="1"/>
  <c r="AA66" i="7"/>
  <c r="Y69" i="7"/>
  <c r="Y71" i="7" s="1"/>
  <c r="AG10" i="7"/>
  <c r="AG36" i="7" s="1"/>
  <c r="AG48" i="7" s="1"/>
  <c r="AE48" i="7"/>
  <c r="AE44" i="7"/>
  <c r="AC46" i="7"/>
  <c r="AC59" i="7"/>
  <c r="AC47" i="7"/>
  <c r="AC65" i="7" l="1"/>
  <c r="AC66" i="7"/>
  <c r="AA69" i="7"/>
  <c r="AA71" i="7" s="1"/>
  <c r="AG44" i="7"/>
  <c r="AG46" i="7" s="1"/>
  <c r="AE59" i="7"/>
  <c r="AE46" i="7"/>
  <c r="AE47" i="7"/>
  <c r="AE65" i="7" l="1"/>
  <c r="AE66" i="7"/>
  <c r="AC69" i="7"/>
  <c r="AC71" i="7" s="1"/>
  <c r="AG59" i="7"/>
  <c r="AG47" i="7"/>
  <c r="AG65" i="7" l="1"/>
  <c r="AG66"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<sst xmlns="http://schemas.openxmlformats.org/spreadsheetml/2006/main" count="4982" uniqueCount="2628">
  <si>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</si>
  <si>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</si>
  <si>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</si>
  <si>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</si>
  <si>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</si>
  <si>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</si>
  <si>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</si>
  <si>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</si>
  <si>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</si>
  <si>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</si>
  <si>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</si>
  <si>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</si>
  <si>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</si>
  <si>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</si>
  <si>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</si>
  <si>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</si>
  <si>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</si>
  <si>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</si>
  <si>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</si>
  <si>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</si>
  <si>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</si>
  <si>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</si>
  <si>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</si>
  <si>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</si>
  <si>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</si>
  <si>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</si>
  <si>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</si>
  <si>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</si>
  <si>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</si>
  <si>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</si>
  <si>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</si>
  <si>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</si>
  <si>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</si>
  <si>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</si>
  <si>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</si>
  <si>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</si>
  <si>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</si>
  <si>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</si>
  <si>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</si>
  <si>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</si>
  <si>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</si>
  <si>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</si>
  <si>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</si>
  <si>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</si>
  <si>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</si>
  <si>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</si>
  <si>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</si>
  <si>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</si>
  <si>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</si>
  <si>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</si>
  <si>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</si>
  <si>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</si>
  <si>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</si>
  <si>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</si>
  <si>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</si>
  <si>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</si>
  <si>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</si>
  <si>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</si>
  <si>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</si>
  <si>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</si>
  <si>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</si>
  <si>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</si>
  <si>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</si>
  <si>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</si>
  <si>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</si>
  <si>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</si>
  <si>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</si>
  <si>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</si>
  <si>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</si>
  <si>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</si>
  <si>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</si>
  <si>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</si>
  <si>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</si>
  <si>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</si>
  <si>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</si>
  <si>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</si>
  <si>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</si>
  <si>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</si>
  <si>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</si>
  <si>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</si>
  <si>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</si>
  <si>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</si>
  <si>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</si>
  <si>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</si>
  <si>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</si>
  <si>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</si>
  <si>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</si>
  <si>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</si>
  <si>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</si>
  <si>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</si>
  <si>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</si>
  <si>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</si>
  <si>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</si>
  <si>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</si>
  <si>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</si>
  <si>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</si>
  <si>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</si>
  <si>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</si>
  <si>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</si>
  <si>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</si>
  <si>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</si>
  <si>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</si>
  <si>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</si>
  <si>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</si>
  <si>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</si>
  <si>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</si>
  <si>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</si>
  <si>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</si>
  <si>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</si>
  <si>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</si>
  <si>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</si>
  <si>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</si>
  <si>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</si>
  <si>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</si>
  <si>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</si>
  <si>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</si>
  <si>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</si>
  <si>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</si>
  <si>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</si>
  <si>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</si>
  <si>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</si>
  <si>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</si>
  <si>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</si>
  <si>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</si>
  <si>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</si>
  <si>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</si>
  <si>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</si>
  <si>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</si>
  <si>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</si>
  <si>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</si>
  <si>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</si>
  <si>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</si>
  <si>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</si>
  <si>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</si>
  <si>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</si>
  <si>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</si>
  <si>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</si>
  <si>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</si>
  <si>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</si>
  <si>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</si>
  <si>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</si>
  <si>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</si>
  <si>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</si>
  <si>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</si>
  <si>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</si>
  <si>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</si>
  <si>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</si>
  <si>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</si>
  <si>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</si>
  <si>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</si>
  <si>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</si>
  <si>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</si>
  <si>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</si>
  <si>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</si>
  <si>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</si>
  <si>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</si>
  <si>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</si>
  <si>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</si>
  <si>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</si>
  <si>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</si>
  <si>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</si>
  <si>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</si>
  <si>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</si>
  <si>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</si>
  <si>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</si>
  <si>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</si>
  <si>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</si>
  <si>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</si>
  <si>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</si>
  <si>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</si>
  <si>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</si>
  <si>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</si>
  <si>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</si>
  <si>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</si>
  <si>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</si>
  <si>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</si>
  <si>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</si>
  <si>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</si>
  <si>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</si>
  <si>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</si>
  <si>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</si>
  <si>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</si>
  <si>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</si>
  <si>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</si>
  <si>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</si>
  <si>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</si>
  <si>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</si>
  <si>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</si>
  <si>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</si>
  <si>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</si>
  <si>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</si>
  <si>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</si>
  <si>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</si>
  <si>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</si>
  <si>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</si>
  <si>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</si>
  <si>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</si>
  <si>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</si>
  <si>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</si>
  <si>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</si>
  <si>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</si>
  <si>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</si>
  <si>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</si>
  <si>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</si>
  <si>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</si>
  <si>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</si>
  <si>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</si>
  <si>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</si>
  <si>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</si>
  <si>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</si>
  <si>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</si>
  <si>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</si>
  <si>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</si>
  <si>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</si>
  <si>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</si>
  <si>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</si>
  <si>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</si>
  <si>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</si>
  <si>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</si>
  <si>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</si>
  <si>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</si>
  <si>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</si>
  <si>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</si>
  <si>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</si>
  <si>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</si>
  <si>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</si>
  <si>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</si>
  <si>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</si>
  <si>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</si>
  <si>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</si>
  <si>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</si>
  <si>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</si>
  <si>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</si>
  <si>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</si>
  <si>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</si>
  <si>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</si>
  <si>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</si>
  <si>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</si>
  <si>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</si>
  <si>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</si>
  <si>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</si>
  <si>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</si>
  <si>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</si>
  <si>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</si>
  <si>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</si>
  <si>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</si>
  <si>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</si>
  <si>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</si>
  <si>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</si>
  <si>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</si>
  <si>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</si>
  <si>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</si>
  <si>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</si>
  <si>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</si>
  <si>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</si>
  <si>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</si>
  <si>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</si>
  <si>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</si>
  <si>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</si>
  <si>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</si>
  <si>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</si>
  <si>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</si>
  <si>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</si>
  <si>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</si>
  <si>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</si>
  <si>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</si>
  <si>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</si>
  <si>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</si>
  <si>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</si>
  <si>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</si>
  <si>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</si>
  <si>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</si>
  <si>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</si>
  <si>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</si>
  <si>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</si>
  <si>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</si>
  <si>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</si>
  <si>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</si>
  <si>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</si>
  <si>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</si>
  <si>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</si>
  <si>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</si>
  <si>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</si>
  <si>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</si>
  <si>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</si>
  <si>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</si>
  <si>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</si>
  <si>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</si>
  <si>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</si>
  <si>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</si>
  <si>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</si>
  <si>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</si>
  <si>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</si>
  <si>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</si>
  <si>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</si>
  <si>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</si>
  <si>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</si>
  <si>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</si>
  <si>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</si>
  <si>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</si>
  <si>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</si>
  <si>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</si>
  <si>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</si>
  <si>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</si>
  <si>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</si>
  <si>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</si>
  <si>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</si>
  <si>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</si>
  <si>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</si>
  <si>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</si>
  <si>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</si>
  <si>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</si>
  <si>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</si>
  <si>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</si>
  <si>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</si>
  <si>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</si>
  <si>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</si>
  <si>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</si>
  <si>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</si>
  <si>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</si>
  <si>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</si>
  <si>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</si>
  <si>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</si>
  <si>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</si>
  <si>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</si>
  <si>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</si>
  <si>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</si>
  <si>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</si>
  <si>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</si>
  <si>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</si>
  <si>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</si>
  <si>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</si>
  <si>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</si>
  <si>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</si>
  <si>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</si>
  <si>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</si>
  <si>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</si>
  <si>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</si>
  <si>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</si>
  <si>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</si>
  <si>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</si>
  <si>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</si>
  <si>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</si>
  <si>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</si>
  <si>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</si>
  <si>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</si>
  <si>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</si>
  <si>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</si>
  <si>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</si>
  <si>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</si>
  <si>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</si>
  <si>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</si>
  <si>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</si>
  <si>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</si>
  <si>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</si>
  <si>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</si>
  <si>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</si>
  <si>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</si>
  <si>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</si>
  <si>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</si>
  <si>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</si>
  <si>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</si>
  <si>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</si>
  <si>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</si>
  <si>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</si>
  <si>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</si>
  <si>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</si>
  <si>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</si>
  <si>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</si>
  <si>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</si>
  <si>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</si>
  <si>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</si>
  <si>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</si>
  <si>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</si>
  <si>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</si>
  <si>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</si>
  <si>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</si>
  <si>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</si>
  <si>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</si>
  <si>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</si>
  <si>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</si>
  <si>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</si>
  <si>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</si>
  <si>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</si>
  <si>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</si>
  <si>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</si>
  <si>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</si>
  <si>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</si>
  <si>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</si>
  <si>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</si>
  <si>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</si>
  <si>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</si>
  <si>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</si>
  <si>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</si>
  <si>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</si>
  <si>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</si>
  <si>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</si>
  <si>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</si>
  <si>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</si>
  <si>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</si>
  <si>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</si>
  <si>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</si>
  <si>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</si>
  <si>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</si>
  <si>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</si>
  <si>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</si>
  <si>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</si>
  <si>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</si>
  <si>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</si>
  <si>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</si>
  <si>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</si>
  <si>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</si>
  <si>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</si>
  <si>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</si>
  <si>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</si>
  <si>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</si>
  <si>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</si>
  <si>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</si>
  <si>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</si>
  <si>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</si>
  <si>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</si>
  <si>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</si>
  <si>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</si>
  <si>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</si>
  <si>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</si>
  <si>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</si>
  <si>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</si>
  <si>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</si>
  <si>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</si>
  <si>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</si>
  <si>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</si>
  <si>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</si>
  <si>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</si>
  <si>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</si>
  <si>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</si>
  <si>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</si>
  <si>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</si>
  <si>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</si>
  <si>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</si>
  <si>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</si>
  <si>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</si>
  <si>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</si>
  <si>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</si>
  <si>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</si>
  <si>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</si>
  <si>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</si>
  <si>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</si>
  <si>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</si>
  <si>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</si>
  <si>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</si>
  <si>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</si>
  <si>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</si>
  <si>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</si>
  <si>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</si>
  <si>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</si>
  <si>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</si>
  <si>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</si>
  <si>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</si>
  <si>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</si>
  <si>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</si>
  <si>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</si>
  <si>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</si>
  <si>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</si>
  <si>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</si>
  <si>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</si>
  <si>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</si>
  <si>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</si>
  <si>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</si>
  <si>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</si>
  <si>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</si>
  <si>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</si>
  <si>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</si>
  <si>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</si>
  <si>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</si>
  <si>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</si>
  <si>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</si>
  <si>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</si>
  <si>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</si>
  <si>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</si>
  <si>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</si>
  <si>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</si>
  <si>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</si>
  <si>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</si>
  <si>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</si>
  <si>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</si>
  <si>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</si>
  <si>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</si>
  <si>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</si>
  <si>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</si>
  <si>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</si>
  <si>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</si>
  <si>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</si>
  <si>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</si>
  <si>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</si>
  <si>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</si>
  <si>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</si>
  <si>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</si>
  <si>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</si>
  <si>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</si>
  <si>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</si>
  <si>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</si>
  <si>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</si>
  <si>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</si>
  <si>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</si>
  <si>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</si>
  <si>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</si>
  <si>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</si>
  <si>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</si>
  <si>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</si>
  <si>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</si>
  <si>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</si>
  <si>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</si>
  <si>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</si>
  <si>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</si>
  <si>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</si>
  <si>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</si>
  <si>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</si>
  <si>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</si>
  <si>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</si>
  <si>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</si>
  <si>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</si>
  <si>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</si>
  <si>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</si>
  <si>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</si>
  <si>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</si>
  <si>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</si>
  <si>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</si>
  <si>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</si>
  <si>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</si>
  <si>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</si>
  <si>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</si>
  <si>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</si>
  <si>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</si>
  <si>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</si>
  <si>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</si>
  <si>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</si>
  <si>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</si>
  <si>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</si>
  <si>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</si>
  <si>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</si>
  <si>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</si>
  <si>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</si>
  <si>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</si>
  <si>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</si>
  <si>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</si>
  <si>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</si>
  <si>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</si>
  <si>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</si>
  <si>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</si>
  <si>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</si>
  <si>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</si>
  <si>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</si>
  <si>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</si>
  <si>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</si>
  <si>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</si>
  <si>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</si>
  <si>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</si>
  <si>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</si>
  <si>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</si>
  <si>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</si>
  <si>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</si>
  <si>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</si>
  <si>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</si>
  <si>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</si>
  <si>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</si>
  <si>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</si>
  <si>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</si>
  <si>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</si>
  <si>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</si>
  <si>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</si>
  <si>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</si>
  <si>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</si>
  <si>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</si>
  <si>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</si>
  <si>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</si>
  <si>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</si>
  <si>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</si>
  <si>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</si>
  <si>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</si>
  <si>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</si>
  <si>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</si>
  <si>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</si>
  <si>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</si>
  <si>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</si>
  <si>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</si>
  <si>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</si>
  <si>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</si>
  <si>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</si>
  <si>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</si>
  <si>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</si>
  <si>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</si>
  <si>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</si>
  <si>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</si>
  <si>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</si>
  <si>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</si>
  <si>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</si>
  <si>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</si>
  <si>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</si>
  <si>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</si>
  <si>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</si>
  <si>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</si>
  <si>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</si>
  <si>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</si>
  <si>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</si>
  <si>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</si>
  <si>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</si>
  <si>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</si>
  <si>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</si>
  <si>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</si>
  <si>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</si>
  <si>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</si>
  <si>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</si>
  <si>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</si>
  <si>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</si>
  <si>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</si>
  <si>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</si>
  <si>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</si>
  <si>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</si>
  <si>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</si>
  <si>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</si>
  <si>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</si>
  <si>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</si>
  <si>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</si>
  <si>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</si>
  <si>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</si>
  <si>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</si>
  <si>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</si>
  <si>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</si>
  <si>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</si>
  <si>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</si>
  <si>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</si>
  <si>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</si>
  <si>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</si>
  <si>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</si>
  <si>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</si>
  <si>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</si>
  <si>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</si>
  <si>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</si>
  <si>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</si>
  <si>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</si>
  <si>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</si>
  <si>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</si>
  <si>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</si>
  <si>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</si>
  <si>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</si>
  <si>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</si>
  <si>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</si>
  <si>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</si>
  <si>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</si>
  <si>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</si>
  <si>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</si>
  <si>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</si>
  <si>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</si>
  <si>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</si>
  <si>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</si>
  <si>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</si>
  <si>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</si>
  <si>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</si>
  <si>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</si>
  <si>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</si>
  <si>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</si>
  <si>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</si>
  <si>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</si>
  <si>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</si>
  <si>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</si>
  <si>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</si>
  <si>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</si>
  <si>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</si>
  <si>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</si>
  <si>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</si>
  <si>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</si>
  <si>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</si>
  <si>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</si>
  <si>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</si>
  <si>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</si>
  <si>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</si>
  <si>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</si>
  <si>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</si>
  <si>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</si>
  <si>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</si>
  <si>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</si>
  <si>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</si>
  <si>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</si>
  <si>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</si>
  <si>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</si>
  <si>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</si>
  <si>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</si>
  <si>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</si>
  <si>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</si>
  <si>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</si>
  <si>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</si>
  <si>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</si>
  <si>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</si>
  <si>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</si>
  <si>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</si>
  <si>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</si>
  <si>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</si>
  <si>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</si>
  <si>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</si>
  <si>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</si>
  <si>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</si>
  <si>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</si>
  <si>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</si>
  <si>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</si>
  <si>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</si>
  <si>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</si>
  <si>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</si>
  <si>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</si>
  <si>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</si>
  <si>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</si>
  <si>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</si>
  <si>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</si>
  <si>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</si>
  <si>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</si>
  <si>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</si>
  <si>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</si>
  <si>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</si>
  <si>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</si>
  <si>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</si>
  <si>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</si>
  <si>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</si>
  <si>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</si>
  <si>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</si>
  <si>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</si>
  <si>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</si>
  <si>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</si>
  <si>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</si>
  <si>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</si>
  <si>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</si>
  <si>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</si>
  <si>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</si>
  <si>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</si>
  <si>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</si>
  <si>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</si>
  <si>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</si>
  <si>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</si>
  <si>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</si>
  <si>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</si>
  <si>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</si>
  <si>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</si>
  <si>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</si>
  <si>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</si>
  <si>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</si>
  <si>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</si>
  <si>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</si>
  <si>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</si>
  <si>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</si>
  <si>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</si>
  <si>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</si>
  <si>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</si>
  <si>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</si>
  <si>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</si>
  <si>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</si>
  <si>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</si>
  <si>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</si>
  <si>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</si>
  <si>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</si>
  <si>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</si>
  <si>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</si>
  <si>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</si>
  <si>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</si>
  <si>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</si>
  <si>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</si>
  <si>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</si>
  <si>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</si>
  <si>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</si>
  <si>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</si>
  <si>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</si>
  <si>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</si>
  <si>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</si>
  <si>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</si>
  <si>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</si>
  <si>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</si>
  <si>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</si>
  <si>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</si>
  <si>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</si>
  <si>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</si>
  <si>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</si>
  <si>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</si>
  <si>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</si>
  <si>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</si>
  <si>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</si>
  <si>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</si>
  <si>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</si>
  <si>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</si>
  <si>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</si>
  <si>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</si>
  <si>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</si>
  <si>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</si>
  <si>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</si>
  <si>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</si>
  <si>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</si>
  <si>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</si>
  <si>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</si>
  <si>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</si>
  <si>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</si>
  <si>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</si>
  <si>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</si>
  <si>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</si>
  <si>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</si>
  <si>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</si>
  <si>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</si>
  <si>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</si>
  <si>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</si>
  <si>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</si>
  <si>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</si>
  <si>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</si>
  <si>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</si>
  <si>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</si>
  <si>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</si>
  <si>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</si>
  <si>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</si>
  <si>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</si>
  <si>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</si>
  <si>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</si>
  <si>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</si>
  <si>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</si>
  <si>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</si>
  <si>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</si>
  <si>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</si>
  <si>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</si>
  <si>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</si>
  <si>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</si>
  <si>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</si>
  <si>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</si>
  <si>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</si>
  <si>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</si>
  <si>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</si>
  <si>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</si>
  <si>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</si>
  <si>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</si>
  <si>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</si>
  <si>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</si>
  <si>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</si>
  <si>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</si>
  <si>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</si>
  <si>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</si>
  <si>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</si>
  <si>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</si>
  <si>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</si>
  <si>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</si>
  <si>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</si>
  <si>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</si>
  <si>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</si>
  <si>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</si>
  <si>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</si>
  <si>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</si>
  <si>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</si>
  <si>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</si>
  <si>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</si>
  <si>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</si>
  <si>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</si>
  <si>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</si>
  <si>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</si>
  <si>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</si>
  <si>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</si>
  <si>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</si>
  <si>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</si>
  <si>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</si>
  <si>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</si>
  <si>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</si>
  <si>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</si>
  <si>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</si>
  <si>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</si>
  <si>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</si>
  <si>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</si>
  <si>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</si>
  <si>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</si>
  <si>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</si>
  <si>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</si>
  <si>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</si>
  <si>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</si>
  <si>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</si>
  <si>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</si>
  <si>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</si>
  <si>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</si>
  <si>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</si>
  <si>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</si>
  <si>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</si>
  <si>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</si>
  <si>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</si>
  <si>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</si>
  <si>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</si>
  <si>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</si>
  <si>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</si>
  <si>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</si>
  <si>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</si>
  <si>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</si>
  <si>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</si>
  <si>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</si>
  <si>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</si>
  <si>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</si>
  <si>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</si>
  <si>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</si>
  <si>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</si>
  <si>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</si>
  <si>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</si>
  <si>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</si>
  <si>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</si>
  <si>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</si>
  <si>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</si>
  <si>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</si>
  <si>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</si>
  <si>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</si>
  <si>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</si>
  <si>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</si>
  <si>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</si>
  <si>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</si>
  <si>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</si>
  <si>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</si>
  <si>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</si>
  <si>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</si>
  <si>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</si>
  <si>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</si>
  <si>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</si>
  <si>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</si>
  <si>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</si>
  <si>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</si>
  <si>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</si>
  <si>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</si>
  <si>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</si>
  <si>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</si>
  <si>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</si>
  <si>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</si>
  <si>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</si>
  <si>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</si>
  <si>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</si>
  <si>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</si>
  <si>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</si>
  <si>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</si>
  <si>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</si>
  <si>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</si>
  <si>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</si>
  <si>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</si>
  <si>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</si>
  <si>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</si>
  <si>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</si>
  <si>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</si>
  <si>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</si>
  <si>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</si>
  <si>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</si>
  <si>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</si>
  <si>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</si>
  <si>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</si>
  <si>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</si>
  <si>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</si>
  <si>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</si>
  <si>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</si>
  <si>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</si>
  <si>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</si>
  <si>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</si>
  <si>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</si>
  <si>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</si>
  <si>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</si>
  <si>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</si>
  <si>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</si>
  <si>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</si>
  <si>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</si>
  <si>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</si>
  <si>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</si>
  <si>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</si>
  <si>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</si>
  <si>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</si>
  <si>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</si>
  <si>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</si>
  <si>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</si>
  <si>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</si>
  <si>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</si>
  <si>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</si>
  <si>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</si>
  <si>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</si>
  <si>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</si>
  <si>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</si>
  <si>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</si>
  <si>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</si>
  <si>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</si>
  <si>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</si>
  <si>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</si>
  <si>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</si>
  <si>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</si>
  <si>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</si>
  <si>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</si>
  <si>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</si>
  <si>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</si>
  <si>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</si>
  <si>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</si>
  <si>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</si>
  <si>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</si>
  <si>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</si>
  <si>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</si>
  <si>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</si>
  <si>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</si>
  <si>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</si>
  <si>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</si>
  <si>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</si>
  <si>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</si>
  <si>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</si>
  <si>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</si>
  <si>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</si>
  <si>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</si>
  <si>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</si>
  <si>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</si>
  <si>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</si>
  <si>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</si>
  <si>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</si>
  <si>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</si>
  <si>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</si>
  <si>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</si>
  <si>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</si>
  <si>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</si>
  <si>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</si>
  <si>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</si>
  <si>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</si>
  <si>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</si>
  <si>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</si>
  <si>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</si>
  <si>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</si>
  <si>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</si>
  <si>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</si>
  <si>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</si>
  <si>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</si>
  <si>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</si>
  <si>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</si>
  <si>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</si>
  <si>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</si>
  <si>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</si>
  <si>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</si>
  <si>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</si>
  <si>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</si>
  <si>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</si>
  <si>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</si>
  <si>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</si>
  <si>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</si>
  <si>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</si>
  <si>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</si>
  <si>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</si>
  <si>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</si>
  <si>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</si>
  <si>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</si>
  <si>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</si>
  <si>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</si>
  <si>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</si>
  <si>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</si>
  <si>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</si>
  <si>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</si>
  <si>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</si>
  <si>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</si>
  <si>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</si>
  <si>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</si>
  <si>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</si>
  <si>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</si>
  <si>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</si>
  <si>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</si>
  <si>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</si>
  <si>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</si>
  <si>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</si>
  <si>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</si>
  <si>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</si>
  <si>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</si>
  <si>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</si>
  <si>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</si>
  <si>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</si>
  <si>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</si>
  <si>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</si>
  <si>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</si>
  <si>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</si>
  <si>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</si>
  <si>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</si>
  <si>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</si>
  <si>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</si>
  <si>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</si>
  <si>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</si>
  <si>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</si>
  <si>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</si>
  <si>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</si>
  <si>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</si>
  <si>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</si>
  <si>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</si>
  <si>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</si>
  <si>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</si>
  <si>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</si>
  <si>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</si>
  <si>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</si>
  <si>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</si>
  <si>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</si>
  <si>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</si>
  <si>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</si>
  <si>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</si>
  <si>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</si>
  <si>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</si>
  <si>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</si>
  <si>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</si>
  <si>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</si>
  <si>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</si>
  <si>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</si>
  <si>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</si>
  <si>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</si>
  <si>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</si>
  <si>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</si>
  <si>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</si>
  <si>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</si>
  <si>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</si>
  <si>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</si>
  <si>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</si>
  <si>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</si>
  <si>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</si>
  <si>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</si>
  <si>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</si>
  <si>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</si>
  <si>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</si>
  <si>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</si>
  <si>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</si>
  <si>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</si>
  <si>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</si>
  <si>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</si>
  <si>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</si>
  <si>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</si>
  <si>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</si>
  <si>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</si>
  <si>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</si>
  <si>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</si>
  <si>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</si>
  <si>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</si>
  <si>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</si>
  <si>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</si>
  <si>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</si>
  <si>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</si>
  <si>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</si>
  <si>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</si>
  <si>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</si>
  <si>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</si>
  <si>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</si>
  <si>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</si>
  <si>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</si>
  <si>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</si>
  <si>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</si>
  <si>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</si>
  <si>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</si>
  <si>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</si>
  <si>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</si>
  <si>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</si>
  <si>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</si>
  <si>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</si>
  <si>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</si>
  <si>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</si>
  <si>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</si>
  <si>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</si>
  <si>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</si>
  <si>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</si>
  <si>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</si>
  <si>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</si>
  <si>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</si>
  <si>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</si>
  <si>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</si>
  <si>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</si>
  <si>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</si>
  <si>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</si>
  <si>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</si>
  <si>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</si>
  <si>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</si>
  <si>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</si>
  <si>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</si>
  <si>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</si>
  <si>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</si>
  <si>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</si>
  <si>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</si>
  <si>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</si>
  <si>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</si>
  <si>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</si>
  <si>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</si>
  <si>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</si>
  <si>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</si>
  <si>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</si>
  <si>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</si>
  <si>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</si>
  <si>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</si>
  <si>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</si>
  <si>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</si>
  <si>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</si>
  <si>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</si>
  <si>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</si>
  <si>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</si>
  <si>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</si>
  <si>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</si>
  <si>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</si>
  <si>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</si>
  <si>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</si>
  <si>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</si>
  <si>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</si>
  <si>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</si>
  <si>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</si>
  <si>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</si>
  <si>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</si>
  <si>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</si>
  <si>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</si>
  <si>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</si>
  <si>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</si>
  <si>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</si>
  <si>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</si>
  <si>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</si>
  <si>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</si>
  <si>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</si>
  <si>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</si>
  <si>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</si>
  <si>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</si>
  <si>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</si>
  <si>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</si>
  <si>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</si>
  <si>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</si>
  <si>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</si>
  <si>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</si>
  <si>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</si>
  <si>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</si>
  <si>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</si>
  <si>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</si>
  <si>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</si>
  <si>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</si>
  <si>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</si>
  <si>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</si>
  <si>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</si>
  <si>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</si>
  <si>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</si>
  <si>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</si>
  <si>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</si>
  <si>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</si>
  <si>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</si>
  <si>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</si>
  <si>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</si>
  <si>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</si>
  <si>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</si>
  <si>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</si>
  <si>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</si>
  <si>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</si>
  <si>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</si>
  <si>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</si>
  <si>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</si>
  <si>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</si>
  <si>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</si>
  <si>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</si>
  <si>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</si>
  <si>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</si>
  <si>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</si>
  <si>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</si>
  <si>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</si>
  <si>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</si>
  <si>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</si>
  <si>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</si>
  <si>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</si>
  <si>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</si>
  <si>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</si>
  <si>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</si>
  <si>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</si>
  <si>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</si>
  <si>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</si>
  <si>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</si>
  <si>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</si>
  <si>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</si>
  <si>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</si>
  <si>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</si>
  <si>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</si>
  <si>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</si>
  <si>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</si>
  <si>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</si>
  <si>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</si>
  <si>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</si>
  <si>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</si>
  <si>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</si>
  <si>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</si>
  <si>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</si>
  <si>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</si>
  <si>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</si>
  <si>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</si>
  <si>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</si>
  <si>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</si>
  <si>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</si>
  <si>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</si>
  <si>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</si>
  <si>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</si>
  <si>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</si>
  <si>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</si>
  <si>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</si>
  <si>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</si>
  <si>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</si>
  <si>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</si>
  <si>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</si>
  <si>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</si>
  <si>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</si>
  <si>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</si>
  <si>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</si>
  <si>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</si>
  <si>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</si>
  <si>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</si>
  <si>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</si>
  <si>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</si>
  <si>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</si>
  <si>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</si>
  <si>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</si>
  <si>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</si>
  <si>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</si>
  <si>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</si>
  <si>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</si>
  <si>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</si>
  <si>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</si>
  <si>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</si>
  <si>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</si>
  <si>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</si>
  <si>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</si>
  <si>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</si>
  <si>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</si>
  <si>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</si>
  <si>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</si>
  <si>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</si>
  <si>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</si>
  <si>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</si>
  <si>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</si>
  <si>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</si>
  <si>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</si>
  <si>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</si>
  <si>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</si>
  <si>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</si>
  <si>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</si>
  <si>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</si>
  <si>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</si>
  <si>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</si>
  <si>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</si>
  <si>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</si>
  <si>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</si>
  <si>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</si>
  <si>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</si>
  <si>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</si>
  <si>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</si>
  <si>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</si>
  <si>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</si>
  <si>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</si>
  <si>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</si>
  <si>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</si>
  <si>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</si>
  <si>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</si>
  <si>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</si>
  <si>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</si>
  <si>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</si>
  <si>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</si>
  <si>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</si>
  <si>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</si>
  <si>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</si>
  <si>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</si>
  <si>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</si>
  <si>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</si>
  <si>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</si>
  <si>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</si>
  <si>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</si>
  <si>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</si>
  <si>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</si>
  <si>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</si>
  <si>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</si>
  <si>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</si>
  <si>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</si>
  <si>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</si>
  <si>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</si>
  <si>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</si>
  <si>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</si>
  <si>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</si>
  <si>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</si>
  <si>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</si>
  <si>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</si>
  <si>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</si>
  <si>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</si>
  <si>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</si>
  <si>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</si>
  <si>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</si>
  <si>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</si>
  <si>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</si>
  <si>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</si>
  <si>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</si>
  <si>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</si>
  <si>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</si>
  <si>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</si>
  <si>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</si>
  <si>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</si>
  <si>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</si>
  <si>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</si>
  <si>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</si>
  <si>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</si>
  <si>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</si>
  <si>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</si>
  <si>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</si>
  <si>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</si>
  <si>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</si>
  <si>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</si>
  <si>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</si>
  <si>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</si>
  <si>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</si>
  <si>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</si>
  <si>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</si>
  <si>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</si>
  <si>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</si>
  <si>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</si>
  <si>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</si>
  <si>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</si>
  <si>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</si>
  <si>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</si>
  <si>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</si>
  <si>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</si>
  <si>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</si>
  <si>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</si>
  <si>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</si>
  <si>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</si>
  <si>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</si>
  <si>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</si>
  <si>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</si>
  <si>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</si>
  <si>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</si>
  <si>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</si>
  <si>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</si>
  <si>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</si>
  <si>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</si>
  <si>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</si>
  <si>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</si>
  <si>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</si>
  <si>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</si>
  <si>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</si>
  <si>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</si>
  <si>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</si>
  <si>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</si>
  <si>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</si>
  <si>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</si>
  <si>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</si>
  <si>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</si>
  <si>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</si>
  <si>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</si>
  <si>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</si>
  <si>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</si>
  <si>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</si>
  <si>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</si>
  <si>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</si>
  <si>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</si>
  <si>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</si>
  <si>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</si>
  <si>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</si>
  <si>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</si>
  <si>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</si>
  <si>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</si>
  <si>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</si>
  <si>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</si>
  <si>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</si>
  <si>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</si>
  <si>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</si>
  <si>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</si>
  <si>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</si>
  <si>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</si>
  <si>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</si>
  <si>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</si>
  <si>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</si>
  <si>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</si>
  <si>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</si>
  <si>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</si>
  <si>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</si>
  <si>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</si>
  <si>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</si>
  <si>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</si>
  <si>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</si>
  <si>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</si>
  <si>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</si>
  <si>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</si>
  <si>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</si>
  <si>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</si>
  <si>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</si>
  <si>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</si>
  <si>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</si>
  <si>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</si>
  <si>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</si>
  <si>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</si>
  <si>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</si>
  <si>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</si>
  <si>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</si>
  <si>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</si>
  <si>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</si>
  <si>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</si>
  <si>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</si>
  <si>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</si>
  <si>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</si>
  <si>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</si>
  <si>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</si>
  <si>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</si>
  <si>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</si>
  <si>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</si>
  <si>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</si>
  <si>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</si>
  <si>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</si>
  <si>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</si>
  <si>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</si>
  <si>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</si>
  <si>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</si>
  <si>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</si>
  <si>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</si>
  <si>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</si>
  <si>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</si>
  <si>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</si>
  <si>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</si>
  <si>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</si>
  <si>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</si>
  <si>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</si>
  <si>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</si>
  <si>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</si>
  <si>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</si>
  <si>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</si>
  <si>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</si>
  <si>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</si>
  <si>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</si>
  <si>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</si>
  <si>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</si>
  <si>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</si>
  <si>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</si>
  <si>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</si>
  <si>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</si>
  <si>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</si>
  <si>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</si>
  <si>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</si>
  <si>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</si>
  <si>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</si>
  <si>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</si>
  <si>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</si>
  <si>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</si>
  <si>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</si>
  <si>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</si>
  <si>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</si>
  <si>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</si>
  <si>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</si>
  <si>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</si>
  <si>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</si>
  <si>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</si>
  <si>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</si>
  <si>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</si>
  <si>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</si>
  <si>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</si>
  <si>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</si>
  <si>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</si>
  <si>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</si>
  <si>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</si>
  <si>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</si>
  <si>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</si>
  <si>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</si>
  <si>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</si>
  <si>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</si>
  <si>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</si>
  <si>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</si>
  <si>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</si>
  <si>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</si>
  <si>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</si>
  <si>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</si>
  <si>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</si>
  <si>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</si>
  <si>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</si>
  <si>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</si>
  <si>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</si>
  <si>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</si>
  <si>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</si>
  <si>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</si>
  <si>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</si>
  <si>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</si>
  <si>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</si>
  <si>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</si>
  <si>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</si>
  <si>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</si>
  <si>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</si>
  <si>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</si>
  <si>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</si>
  <si>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</si>
  <si>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</si>
  <si>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</si>
  <si>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</si>
  <si>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</si>
  <si>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</si>
  <si>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</si>
  <si>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</si>
  <si>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</si>
  <si>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</si>
  <si>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</si>
  <si>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</si>
  <si>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</si>
  <si>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</si>
  <si>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</si>
  <si>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</si>
  <si>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</si>
  <si>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</si>
  <si>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</si>
  <si>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</si>
  <si>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</si>
  <si>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</si>
  <si>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</si>
  <si>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</si>
  <si>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</si>
  <si>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</si>
  <si>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</si>
  <si>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</si>
  <si>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</si>
  <si>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</si>
  <si>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</si>
  <si>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</si>
  <si>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</si>
  <si>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</si>
  <si>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</si>
  <si>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</si>
  <si>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</si>
  <si>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</si>
  <si>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</si>
  <si>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</si>
  <si>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</si>
  <si>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</si>
  <si>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</si>
  <si>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</si>
  <si>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</si>
  <si>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</si>
  <si>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</si>
  <si>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</si>
  <si>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</si>
  <si>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</si>
  <si>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</si>
  <si>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</si>
  <si>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</si>
  <si>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</si>
  <si>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</si>
  <si>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</si>
  <si>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</si>
  <si>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</si>
  <si>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</si>
  <si>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</si>
  <si>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</si>
  <si>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</si>
  <si>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</si>
  <si>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</si>
  <si>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</si>
  <si>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</si>
  <si>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</si>
  <si>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</si>
  <si>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</si>
  <si>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</si>
  <si>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</si>
  <si>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</si>
  <si>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</si>
  <si>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</si>
  <si>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</si>
  <si>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</si>
  <si>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</si>
  <si>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</si>
  <si>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</si>
  <si>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</si>
  <si>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</si>
  <si>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</si>
  <si>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</si>
  <si>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</si>
  <si>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</si>
  <si>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</si>
  <si>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</si>
  <si>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</si>
  <si>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</si>
  <si>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</si>
  <si>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</si>
  <si>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</si>
  <si>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</si>
  <si>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</si>
  <si>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</si>
  <si>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</si>
  <si>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</si>
  <si>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</si>
  <si>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</si>
  <si>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</si>
  <si>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</si>
  <si>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</si>
  <si>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</si>
  <si>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</si>
  <si>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</si>
  <si>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</si>
  <si>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</si>
  <si>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</si>
  <si>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</si>
  <si>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</si>
  <si>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</si>
  <si>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</si>
  <si>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</si>
  <si>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</si>
  <si>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</si>
  <si>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</si>
  <si>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</si>
  <si>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</si>
  <si>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</si>
  <si>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</si>
  <si>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</si>
  <si>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</si>
  <si>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</si>
  <si>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</si>
  <si>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</si>
  <si>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</si>
  <si>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</si>
  <si>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</si>
  <si>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</si>
  <si>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</si>
  <si>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</si>
  <si>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</si>
  <si>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</si>
  <si>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</si>
  <si>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</si>
  <si>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</si>
  <si>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</si>
  <si>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</si>
  <si>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</si>
  <si>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</si>
  <si>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</si>
  <si>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</si>
  <si>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</si>
  <si>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</si>
  <si>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</si>
  <si>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</si>
  <si>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</si>
  <si>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</si>
  <si>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</si>
  <si>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</si>
  <si>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</si>
  <si>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</si>
  <si>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</si>
  <si>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</si>
  <si>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</si>
  <si>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</si>
  <si>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</si>
  <si>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</si>
  <si>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</si>
  <si>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</si>
  <si>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</si>
  <si>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</si>
  <si>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</si>
  <si>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</si>
  <si>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</si>
  <si>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</si>
  <si>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</si>
  <si>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</si>
  <si>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</si>
  <si>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</si>
  <si>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</si>
  <si>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</si>
  <si>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</si>
  <si>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</si>
  <si>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</si>
  <si>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</si>
  <si>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</si>
  <si>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</si>
  <si>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</si>
  <si>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</si>
  <si>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</si>
  <si>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</si>
  <si>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</si>
  <si>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</si>
  <si>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</si>
  <si>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</si>
  <si>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</si>
  <si>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</si>
  <si>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</si>
  <si>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</si>
  <si>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</si>
  <si>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</si>
  <si>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</si>
  <si>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</si>
  <si>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</si>
  <si>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</si>
  <si>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</si>
  <si>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</si>
  <si>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</si>
  <si>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</si>
  <si>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</si>
  <si>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</si>
  <si>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</si>
  <si>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</si>
  <si>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</si>
  <si>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</si>
  <si>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</si>
  <si>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</si>
  <si>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</si>
  <si>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</si>
  <si>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</si>
  <si>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</si>
  <si>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</si>
  <si>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</si>
  <si>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</si>
  <si>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</si>
  <si>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</si>
  <si>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</si>
  <si>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</si>
  <si>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</si>
  <si>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</si>
  <si>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</si>
  <si>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</si>
  <si>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</si>
  <si>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</si>
  <si>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</si>
  <si>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</si>
  <si>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</si>
  <si>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</si>
  <si>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</si>
  <si>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</si>
  <si>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</si>
  <si>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</si>
  <si>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</si>
  <si>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</si>
  <si>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</si>
  <si>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</si>
  <si>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</si>
  <si>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</si>
  <si>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</si>
  <si>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</si>
  <si>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</si>
  <si>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</si>
  <si>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</si>
  <si>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</si>
  <si>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</si>
  <si>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</si>
  <si>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</si>
  <si>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</si>
  <si>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</si>
  <si>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</si>
  <si>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</si>
  <si>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</si>
  <si>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</si>
  <si>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</si>
  <si>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</si>
  <si>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</si>
  <si>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</si>
  <si>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</si>
  <si>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</si>
  <si>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</si>
  <si>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</si>
  <si>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</si>
  <si>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</si>
  <si>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</si>
  <si>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</si>
  <si>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</si>
  <si>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</si>
  <si>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</si>
  <si>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</si>
  <si>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</si>
  <si>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</si>
  <si>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</si>
  <si>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</si>
  <si>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</si>
  <si>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</si>
  <si>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</si>
  <si>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</si>
  <si>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</si>
  <si>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</si>
  <si>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</si>
  <si>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</si>
  <si>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</si>
  <si>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</si>
  <si>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</si>
  <si>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</si>
  <si>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</si>
  <si>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</si>
  <si>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</si>
  <si>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</si>
  <si>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</si>
  <si>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</si>
  <si>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</si>
  <si>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</si>
  <si>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</si>
  <si>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</si>
  <si>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</si>
  <si>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</si>
  <si>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</si>
  <si>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</si>
  <si>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</si>
  <si>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</si>
  <si>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</si>
  <si>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</si>
  <si>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</si>
  <si>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</si>
  <si>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</si>
  <si>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</si>
  <si>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</si>
  <si>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</si>
  <si>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</si>
  <si>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</si>
  <si>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</si>
  <si>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</si>
  <si>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</si>
  <si>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</si>
  <si>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</si>
  <si>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</si>
  <si>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</si>
  <si>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</si>
  <si>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</si>
  <si>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</si>
  <si>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</si>
  <si>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</si>
  <si>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</si>
  <si>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</si>
  <si>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</si>
  <si>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</si>
  <si>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</si>
  <si>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</si>
  <si>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</si>
  <si>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</si>
  <si>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</si>
  <si>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</si>
  <si>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</si>
  <si>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</si>
  <si>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</si>
  <si>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</si>
  <si>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</si>
  <si>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</si>
  <si>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</si>
  <si>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</si>
  <si>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</si>
  <si>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</si>
  <si>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</si>
  <si>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</si>
  <si>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</si>
  <si>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</si>
  <si>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</si>
  <si>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</si>
  <si>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</si>
  <si>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</si>
  <si>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</si>
  <si>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</si>
  <si>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</si>
  <si>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</si>
  <si>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</si>
  <si>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</si>
  <si>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</si>
  <si>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</si>
  <si>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</si>
  <si>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</si>
  <si>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</si>
  <si>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</si>
  <si>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</si>
  <si>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</si>
  <si>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</si>
  <si>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</si>
  <si>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</si>
  <si>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</si>
  <si>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</si>
  <si>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</si>
  <si>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</si>
  <si>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</si>
  <si>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</si>
  <si>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</si>
  <si>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</si>
  <si>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</si>
  <si>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</si>
  <si>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</si>
  <si>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</si>
  <si>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</si>
  <si>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</si>
  <si>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</si>
  <si>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</si>
  <si>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</si>
  <si>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</si>
  <si>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</si>
  <si>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</si>
  <si>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</si>
  <si>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</si>
  <si>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</si>
  <si>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</si>
  <si>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</si>
  <si>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</si>
  <si>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</si>
  <si>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</si>
  <si>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</si>
  <si>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</si>
  <si>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</si>
  <si>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</si>
  <si>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</si>
  <si>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</si>
  <si>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</si>
  <si>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</si>
  <si>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</si>
  <si>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</si>
  <si>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</si>
  <si>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</si>
  <si>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</si>
  <si>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</si>
  <si>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</si>
  <si>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</si>
  <si>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</si>
  <si>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</si>
  <si>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</si>
  <si>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</si>
  <si>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</si>
  <si>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</si>
  <si>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</si>
  <si>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</si>
  <si>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</si>
  <si>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</si>
  <si>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</si>
  <si>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</si>
  <si>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</si>
  <si>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</si>
  <si>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</si>
  <si>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</si>
  <si>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</si>
  <si>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</si>
  <si>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</si>
  <si>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</si>
  <si>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</si>
  <si>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</si>
  <si>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</si>
  <si>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</si>
  <si>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</si>
  <si>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</si>
  <si>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</si>
  <si>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</si>
  <si>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</si>
  <si>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</si>
  <si>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</si>
  <si>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</si>
  <si>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</si>
  <si>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</si>
  <si>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</si>
  <si>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</si>
  <si>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</si>
  <si>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</si>
  <si>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</si>
  <si>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</si>
  <si>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</si>
  <si>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</si>
  <si>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</si>
  <si>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</si>
  <si>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</si>
  <si>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</si>
  <si>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</si>
  <si>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</si>
  <si>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</si>
  <si>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</si>
  <si>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</si>
  <si>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</si>
  <si>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</si>
  <si>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</si>
  <si>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</si>
  <si>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</si>
  <si>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</si>
  <si>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</si>
  <si>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</si>
  <si>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</si>
  <si>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</si>
  <si>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</si>
  <si>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</si>
  <si>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</si>
  <si>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</si>
  <si>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</si>
  <si>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</si>
  <si>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</si>
  <si>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</si>
  <si>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</si>
  <si>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</si>
  <si>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</si>
  <si>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</si>
  <si>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</si>
  <si>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</si>
  <si>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</si>
  <si>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</si>
  <si>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</si>
  <si>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</si>
  <si>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</si>
  <si>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</si>
  <si>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</si>
  <si>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</si>
  <si>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</si>
  <si>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</si>
  <si>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</si>
  <si>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</si>
  <si>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</si>
  <si>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</si>
  <si>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</si>
  <si>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</si>
  <si>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</si>
  <si>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</si>
  <si>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</si>
  <si>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</si>
  <si>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</si>
  <si>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</si>
  <si>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</si>
  <si>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</si>
  <si>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</si>
  <si>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</si>
  <si>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</si>
  <si>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</si>
  <si>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</si>
  <si>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</si>
  <si>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</si>
  <si>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</si>
  <si>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</si>
  <si>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</si>
  <si>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</si>
  <si>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</si>
  <si>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</si>
  <si>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</si>
  <si>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</si>
  <si>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</si>
  <si>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</si>
  <si>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</si>
  <si>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</si>
  <si>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</si>
  <si>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</si>
  <si>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</si>
  <si>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</si>
  <si>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</si>
  <si>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</si>
  <si>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</si>
  <si>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</si>
  <si>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</si>
  <si>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</si>
  <si>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</si>
  <si>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</si>
  <si>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</si>
  <si>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</si>
  <si>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</si>
  <si>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</si>
  <si>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</si>
  <si>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</si>
  <si>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</si>
  <si>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</si>
  <si>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</si>
  <si>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</si>
  <si>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</si>
  <si>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</si>
  <si>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</si>
  <si>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</si>
  <si>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</si>
  <si>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</si>
  <si>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</si>
  <si>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</si>
  <si>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</si>
  <si>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</si>
  <si>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</si>
  <si>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</si>
  <si>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</si>
  <si>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</si>
  <si>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</si>
  <si>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</si>
  <si>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</si>
  <si>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</si>
  <si>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</si>
  <si>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</si>
  <si>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</si>
  <si>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</si>
  <si>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</si>
  <si>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</si>
  <si>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</si>
  <si>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</si>
  <si>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</si>
  <si>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</si>
  <si>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</si>
  <si>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</si>
  <si>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</si>
  <si>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</si>
  <si>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</si>
  <si>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</si>
  <si>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</si>
  <si>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</si>
  <si>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</si>
  <si>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</si>
  <si>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</si>
  <si>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</si>
  <si>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</si>
  <si>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</si>
  <si>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</si>
  <si>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</si>
  <si>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</si>
  <si>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</si>
  <si>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</si>
  <si>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</si>
  <si>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</si>
  <si>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</si>
  <si>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</si>
  <si>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</si>
  <si>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</si>
  <si>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</si>
  <si>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</si>
  <si>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</si>
  <si>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</si>
  <si>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</si>
  <si>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</si>
  <si>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</si>
  <si>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</si>
  <si>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</si>
  <si>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</si>
  <si>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</si>
  <si>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</si>
  <si>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</si>
  <si>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</si>
  <si>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</si>
  <si>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</si>
  <si>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</si>
  <si>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</si>
  <si>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</si>
  <si>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</si>
  <si>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</si>
  <si>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</si>
  <si>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</si>
  <si>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</si>
  <si>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</si>
  <si>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</si>
  <si>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</si>
  <si>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</si>
  <si>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</si>
  <si>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</si>
  <si>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</si>
  <si>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</si>
  <si>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</si>
  <si>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</si>
  <si>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</si>
  <si>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</si>
  <si>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</si>
  <si>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</si>
  <si>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</si>
  <si>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</si>
  <si>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</si>
  <si>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</si>
  <si>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</si>
  <si>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</si>
  <si>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</si>
  <si>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</si>
  <si>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</si>
  <si>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</si>
  <si>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</si>
  <si>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</si>
  <si>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</si>
  <si>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</si>
  <si>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</si>
  <si>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</si>
  <si>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</si>
  <si>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</si>
  <si>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</si>
  <si>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</si>
  <si>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</si>
  <si>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</si>
  <si>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</si>
  <si>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</si>
  <si>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</si>
  <si>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</si>
  <si>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</si>
  <si>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</si>
  <si>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</si>
  <si>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</si>
  <si>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</si>
  <si>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</si>
  <si>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</si>
  <si>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</si>
  <si>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</si>
  <si>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</si>
  <si>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</si>
  <si>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</si>
  <si>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</si>
  <si>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</si>
  <si>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</si>
  <si>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</si>
  <si>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</si>
  <si>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</si>
  <si>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</si>
  <si>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</si>
  <si>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</si>
  <si>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</si>
  <si>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</si>
  <si>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</si>
  <si>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</si>
  <si>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</si>
  <si>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</si>
  <si>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</si>
  <si>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</si>
  <si>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</si>
  <si>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</si>
  <si>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</si>
  <si>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</si>
  <si>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</si>
  <si>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</si>
  <si>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</si>
  <si>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</si>
  <si>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</si>
  <si>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</si>
  <si>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</si>
  <si>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</si>
  <si>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</si>
  <si>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</si>
  <si>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</si>
  <si>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</si>
  <si>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</si>
  <si>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</si>
  <si>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</si>
  <si>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</si>
  <si>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</si>
  <si>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</si>
  <si>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</si>
  <si>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</si>
  <si>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</si>
  <si>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</si>
  <si>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</si>
  <si>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</si>
  <si>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</si>
  <si>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</si>
  <si>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</si>
  <si>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</si>
  <si>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</si>
  <si>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</si>
  <si>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</si>
  <si>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</si>
  <si>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</si>
  <si>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</si>
  <si>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</si>
  <si>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</si>
  <si>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</si>
  <si>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</si>
  <si>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</si>
  <si>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</si>
  <si>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</si>
  <si>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</si>
  <si>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</si>
  <si>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</si>
  <si>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</si>
  <si>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</si>
  <si>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</si>
  <si>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</si>
  <si>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</si>
  <si>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</si>
  <si>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</si>
  <si>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</si>
  <si>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</si>
  <si>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</si>
  <si>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</si>
  <si>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</si>
  <si>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</si>
  <si>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</si>
  <si>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</si>
  <si>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</si>
  <si>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</si>
  <si>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</si>
  <si>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</si>
  <si>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</si>
  <si>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</si>
  <si>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</si>
  <si>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</si>
  <si>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</si>
  <si>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</si>
  <si>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</si>
  <si>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</si>
  <si>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</si>
  <si>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</si>
  <si>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</si>
  <si>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</si>
  <si>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</si>
  <si>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</si>
  <si>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</si>
  <si>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</si>
  <si>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</si>
  <si>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</si>
  <si>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</si>
  <si>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</si>
  <si>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</si>
  <si>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</si>
  <si>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</si>
  <si>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</si>
  <si>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</si>
  <si>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</si>
  <si>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</si>
  <si>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</si>
  <si>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</si>
  <si>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</si>
  <si>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</si>
  <si>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</si>
  <si>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</si>
  <si>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</si>
  <si>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</si>
  <si>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</si>
  <si>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</si>
  <si>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</si>
  <si>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</si>
  <si>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</si>
  <si>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</si>
  <si>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</si>
  <si>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</si>
  <si>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</si>
  <si>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</si>
  <si>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</si>
  <si>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</si>
  <si>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</si>
  <si>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</si>
  <si>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</si>
  <si>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</si>
  <si>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</si>
  <si>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</si>
  <si>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</si>
  <si>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</si>
  <si>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</si>
  <si>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</si>
  <si>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</si>
  <si>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</si>
  <si>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</si>
  <si>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</si>
  <si>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</si>
  <si>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</si>
  <si>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</si>
  <si>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</si>
  <si>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</si>
  <si>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</si>
  <si>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</si>
  <si>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</si>
  <si>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</si>
  <si>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</si>
  <si>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</si>
  <si>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</si>
  <si>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</si>
  <si>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</si>
  <si>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</si>
  <si>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</si>
  <si>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</si>
  <si>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</si>
  <si>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</si>
  <si>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</si>
  <si>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</si>
  <si>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</si>
  <si>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</si>
  <si>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</si>
  <si>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</si>
  <si>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</si>
  <si>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</si>
  <si>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</si>
  <si>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</si>
  <si>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</si>
  <si>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</si>
  <si>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</si>
  <si>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</si>
  <si>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</si>
  <si>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</si>
  <si>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</si>
  <si>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</si>
  <si>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</si>
  <si>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</si>
  <si>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</si>
  <si>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</si>
  <si>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</si>
  <si>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</si>
  <si>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</si>
  <si>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</si>
  <si>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</si>
  <si>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</si>
  <si>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</si>
  <si>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</si>
  <si>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</si>
  <si>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</si>
  <si>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</si>
  <si>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</si>
  <si>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</si>
  <si>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</si>
  <si>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</si>
  <si>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</si>
  <si>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</si>
  <si>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</si>
  <si>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</si>
  <si>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</si>
  <si>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</si>
  <si>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</si>
  <si>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</si>
  <si>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</si>
  <si>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</si>
  <si>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</si>
  <si>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</si>
  <si>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</si>
  <si>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</si>
  <si>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</si>
  <si>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</si>
  <si>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</si>
  <si>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Allegheny Street (North of 6th Ave)</t>
  </si>
  <si>
    <t>Beaumont</t>
  </si>
  <si>
    <t>High Resource</t>
  </si>
  <si>
    <t>3590 Elm Avenue</t>
  </si>
  <si>
    <t>Long Beach</t>
  </si>
  <si>
    <t>CA</t>
  </si>
  <si>
    <t>Jordan Johnson</t>
  </si>
  <si>
    <t>562-684-1121</t>
  </si>
  <si>
    <t>jjohnson@linchousing.org</t>
  </si>
  <si>
    <t>Managing GP</t>
  </si>
  <si>
    <t>LINC-Beaumont 2 APTS, LLC</t>
  </si>
  <si>
    <t>Linc Housing Corporation</t>
  </si>
  <si>
    <t>Long Beach, CA 90807</t>
  </si>
  <si>
    <t>Holthouse Carlin &amp; Van Trigt LLP</t>
  </si>
  <si>
    <t>400 W Ventura Blvd, Suite 250</t>
  </si>
  <si>
    <t>Camarillo, CA 93010</t>
  </si>
  <si>
    <t>David Bierhorst</t>
  </si>
  <si>
    <t>805-374-8555</t>
  </si>
  <si>
    <t>805-413-1749</t>
  </si>
  <si>
    <t xml:space="preserve">daveb@hcvt.com </t>
  </si>
  <si>
    <t>California Housing Partnership</t>
  </si>
  <si>
    <t>600 Wilshire Blvd. Suite 890</t>
  </si>
  <si>
    <t>Los Angeles, CA 90017</t>
  </si>
  <si>
    <t>Chad Horsford</t>
  </si>
  <si>
    <t>213-892-8277</t>
  </si>
  <si>
    <t xml:space="preserve">chorsford@chpc.net </t>
  </si>
  <si>
    <t>Raymond James</t>
  </si>
  <si>
    <t>880 Carillon Parkway</t>
  </si>
  <si>
    <t>St. Petersburg, FL 33716</t>
  </si>
  <si>
    <t>Kevin Kilbane</t>
  </si>
  <si>
    <t>216-509-1342</t>
  </si>
  <si>
    <t>kevin.kilbane@raymondjames.com</t>
  </si>
  <si>
    <t>Partner Energy</t>
  </si>
  <si>
    <t>680 Knox Street, Ste 150</t>
  </si>
  <si>
    <t>Los Angeles, CA 90502</t>
  </si>
  <si>
    <t>Greg Switzer</t>
  </si>
  <si>
    <t xml:space="preserve">310-220-6199 </t>
  </si>
  <si>
    <t>gswitzer@ptrenergy.com</t>
  </si>
  <si>
    <t>(949) 302-6296</t>
  </si>
  <si>
    <t>31866 Camino Capistrano</t>
  </si>
  <si>
    <t>San Juan Capistrano, CA 92675</t>
  </si>
  <si>
    <t>D33 Architects</t>
  </si>
  <si>
    <t>bweller@d33design.com</t>
  </si>
  <si>
    <t>Carlos Ortiz</t>
  </si>
  <si>
    <t>cortiz@jsco.net</t>
  </si>
  <si>
    <t>888 S Figueroa St.,  Unit 400</t>
  </si>
  <si>
    <t>John Stewart Co</t>
  </si>
  <si>
    <t>(213) 787-2700</t>
  </si>
  <si>
    <t>Anthony Stubbs</t>
  </si>
  <si>
    <t>(760) 930-1333</t>
  </si>
  <si>
    <t>2111 Palomar Airport Rd, Suite 320</t>
  </si>
  <si>
    <t>Carlsbad, CA 92011</t>
  </si>
  <si>
    <t>California Municipal Finance Authority</t>
  </si>
  <si>
    <t>astubbs@cmfa-ca.com</t>
  </si>
  <si>
    <t>Vincent Leo Danise</t>
  </si>
  <si>
    <t>Highland, CA 92346</t>
  </si>
  <si>
    <t xml:space="preserve">6535 Summertrail Place, </t>
  </si>
  <si>
    <t>Inner City Infill Site</t>
  </si>
  <si>
    <t>Taxable Construction (BBVA)</t>
  </si>
  <si>
    <t>Tax-Exempt Construction Loan (BBVA)</t>
  </si>
  <si>
    <t>Fixed</t>
  </si>
  <si>
    <t>Costs Deferred Until Conversion</t>
  </si>
  <si>
    <t>Limited Partner Equity</t>
  </si>
  <si>
    <t>John Chan</t>
  </si>
  <si>
    <t>(209) 471-4829</t>
  </si>
  <si>
    <t>202 N Hunter Street, Suite 200</t>
  </si>
  <si>
    <t>Stockton, CA  95202</t>
  </si>
  <si>
    <t>Constrution Loan</t>
  </si>
  <si>
    <t>Construction Loan</t>
  </si>
  <si>
    <t>Long Beach CA 90807</t>
  </si>
  <si>
    <t>Anne Wilson</t>
  </si>
  <si>
    <t xml:space="preserve">562-684-1178 </t>
  </si>
  <si>
    <t>General Partner Equity</t>
  </si>
  <si>
    <t>Tax Credit Equity</t>
  </si>
  <si>
    <t>Conventional Perm Loan (BBVA)</t>
  </si>
  <si>
    <t>Perm Loan</t>
  </si>
  <si>
    <t>(916) 263-4655</t>
  </si>
  <si>
    <t>2020 W. El Camino Avenue, Suite 670, 95833</t>
  </si>
  <si>
    <t>Sacramento, CA 94252-2054</t>
  </si>
  <si>
    <t>Housing Authority of the County of Riverside, CA</t>
  </si>
  <si>
    <t>Drew Behrens</t>
  </si>
  <si>
    <t xml:space="preserve">Novogradac Consulting </t>
  </si>
  <si>
    <t>314.339.1059</t>
  </si>
  <si>
    <t>600 Washington Avenue, Suite 1600</t>
  </si>
  <si>
    <t>St. Louis, MO 63101</t>
  </si>
  <si>
    <t>Drew.Behrens@novoco.com</t>
  </si>
  <si>
    <t>Not Applicable</t>
  </si>
  <si>
    <t>Provided</t>
  </si>
  <si>
    <t>1 FTE</t>
  </si>
  <si>
    <t>John Stewart Company</t>
  </si>
  <si>
    <t>HCD MHP</t>
  </si>
  <si>
    <t>2 bedroom</t>
  </si>
  <si>
    <t>3 bedroom</t>
  </si>
  <si>
    <t>Gubb &amp; Barshay</t>
  </si>
  <si>
    <t>505 14th Street, Suite 450</t>
  </si>
  <si>
    <t>Oakland, CA 94612</t>
  </si>
  <si>
    <t>Lauren  Fechter</t>
  </si>
  <si>
    <t>415-781-6600</t>
  </si>
  <si>
    <t>lfechter@gubbandbarshay.com</t>
  </si>
  <si>
    <t>breacpa@aol.com</t>
  </si>
  <si>
    <t>Bernard Rea</t>
  </si>
  <si>
    <t>120 W Knoles Way</t>
  </si>
  <si>
    <t>Stockton, CA 95204</t>
  </si>
  <si>
    <t>209-933-9113</t>
  </si>
  <si>
    <t>Bernard Rea, CPA</t>
  </si>
  <si>
    <t>HA of County of Riverside</t>
  </si>
  <si>
    <t>Project-based vouchers (PBVs)</t>
  </si>
  <si>
    <t>Christina Taylor</t>
  </si>
  <si>
    <t>951-769-8518</t>
  </si>
  <si>
    <t>ctaylor@beaumontca.gov</t>
  </si>
  <si>
    <t>City of Beaumont</t>
  </si>
  <si>
    <t>550 E. 6th Street</t>
  </si>
  <si>
    <t>970 W. 190th Street, Suite 350</t>
  </si>
  <si>
    <t>Torrance, California 90502</t>
  </si>
  <si>
    <t>(213) 388-7272</t>
  </si>
  <si>
    <t>Ronald Buss</t>
  </si>
  <si>
    <t>Buss-Shelger Associates</t>
  </si>
  <si>
    <t>bussshelger@pacbell.net</t>
  </si>
  <si>
    <t>Cash Flow from Operations</t>
  </si>
  <si>
    <t>LINC Housing</t>
  </si>
  <si>
    <t>60 hours/year</t>
  </si>
  <si>
    <t>40%/60%</t>
  </si>
  <si>
    <t>Commercial General</t>
  </si>
  <si>
    <t>Allegheny Apartments (FKA Beaumont 2)</t>
  </si>
  <si>
    <t>Hector Leyva</t>
  </si>
  <si>
    <t>Misc Admin/Telephon</t>
  </si>
  <si>
    <t>Sixth Street Overlay: 24 units/acre</t>
  </si>
  <si>
    <t>Approved for 35% density bonus: 32.4 units/acre</t>
  </si>
  <si>
    <t>11% of project must be very low income AMI</t>
  </si>
  <si>
    <t>50 ft maximum allowed. Project is approximately 35 ft in height</t>
  </si>
  <si>
    <t>0.5 parking spaces/unit utilizing state density bonus = 24 spaces</t>
  </si>
  <si>
    <t xml:space="preserve">Special Inspections and  Energy </t>
  </si>
  <si>
    <t>Security and Construction Management</t>
  </si>
  <si>
    <t>Perm Legal</t>
  </si>
  <si>
    <t>Administrative GP</t>
  </si>
  <si>
    <t>Riverside Community Housing Corp</t>
  </si>
  <si>
    <t>5555 Arlington Ave</t>
  </si>
  <si>
    <t xml:space="preserve">Riverside </t>
  </si>
  <si>
    <t>Mike Walsh</t>
  </si>
  <si>
    <t>mwalsh@rivco.org</t>
  </si>
  <si>
    <t>951-343-5631</t>
  </si>
  <si>
    <t>Annual Issuer fees</t>
  </si>
  <si>
    <t>0</t>
  </si>
  <si>
    <t>419-150-050-9</t>
  </si>
  <si>
    <t>Allegheny Street (North of 6th Ave) -Address not established</t>
  </si>
  <si>
    <t>See General Partners below</t>
  </si>
  <si>
    <t>GP, Developer</t>
  </si>
  <si>
    <t>Brian Weller</t>
  </si>
  <si>
    <t>Sun Country Builders</t>
  </si>
  <si>
    <t>Peter Bridge</t>
  </si>
  <si>
    <t>3156 Lionshead Avenue</t>
  </si>
  <si>
    <t>Carlsbad, CA 92010</t>
  </si>
  <si>
    <t>706-630-8042</t>
  </si>
  <si>
    <t>pbridge@suncountrybuilders.net</t>
  </si>
  <si>
    <t>EDA Monitoring</t>
  </si>
  <si>
    <t>Annual Issuer Fee:</t>
  </si>
  <si>
    <t>Above residual receipts line for cash flow</t>
  </si>
  <si>
    <t>County of Riverside</t>
  </si>
  <si>
    <t>909 362-5933</t>
  </si>
  <si>
    <t>Sponsor Distributions</t>
  </si>
  <si>
    <t>EDA Monitoring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</si>
</sst>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1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s>
  <cellStyleXfs count="26390">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29" fillId="0" borderId="0" xfId="570" applyFont="1" applyAlignment="1">
      <alignment horizontal="left" wrapText="1"/>
    </xf>
    <xf numFmtId="0" fontId="11" fillId="0" borderId="0" xfId="570" applyFont="1" applyFill="1" applyAlignment="1" applyProtection="1">
      <alignment horizontal="left" vertical="top" wrapText="1"/>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8" fillId="0" borderId="0" xfId="0" applyFont="1" applyBorder="1" applyAlignment="1">
      <alignment horizontal="left" vertical="top"/>
    </xf>
    <xf numFmtId="0" fontId="18" fillId="0" borderId="0" xfId="0" applyFont="1" applyAlignment="1">
      <alignment horizontal="left" vertical="top"/>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168" fontId="20" fillId="5" borderId="6"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0" fontId="20" fillId="0" borderId="11" xfId="0" applyNumberFormat="1" applyFon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1"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0" fillId="0" borderId="6" xfId="0"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0" borderId="6" xfId="0" applyFill="1" applyBorder="1" applyAlignment="1" applyProtection="1">
      <alignment horizontal="left"/>
    </xf>
    <xf numFmtId="1" fontId="20" fillId="5" borderId="6" xfId="0" applyNumberFormat="1" applyFont="1" applyFill="1" applyBorder="1" applyAlignment="1" applyProtection="1">
      <alignment horizontal="right"/>
      <protection locked="0"/>
    </xf>
    <xf numFmtId="168" fontId="20" fillId="0" borderId="11" xfId="0" applyNumberFormat="1" applyFont="1" applyFill="1" applyBorder="1" applyAlignment="1" applyProtection="1">
      <alignment horizontal="center"/>
    </xf>
    <xf numFmtId="0" fontId="18" fillId="0" borderId="0" xfId="0" applyFont="1" applyAlignment="1" applyProtection="1">
      <alignment horizontal="center"/>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6" fontId="2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5"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0" borderId="3" xfId="0" applyBorder="1" applyAlignment="1" applyProtection="1">
      <alignment horizontal="left"/>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1" fillId="5" borderId="3" xfId="0" applyNumberFormat="1" applyFon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3" xfId="0" applyNumberFormat="1" applyFill="1" applyBorder="1" applyAlignment="1" applyProtection="1">
      <protection locked="0"/>
    </xf>
    <xf numFmtId="168" fontId="11" fillId="0" borderId="0" xfId="543" applyNumberFormat="1" applyFont="1" applyFill="1" applyBorder="1" applyAlignment="1" applyProtection="1">
      <alignment horizontal="center" vertical="center"/>
    </xf>
    <xf numFmtId="0" fontId="11" fillId="0" borderId="6" xfId="543" applyFont="1" applyBorder="1" applyAlignment="1" applyProtection="1">
      <alignment horizontal="left"/>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5" xfId="0"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11" fillId="5" borderId="3" xfId="0" applyNumberFormat="1" applyFont="1" applyFill="1" applyBorder="1" applyAlignment="1" applyProtection="1">
      <alignment horizontal="righ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8" fillId="0" borderId="9" xfId="0" applyFont="1" applyFill="1" applyBorder="1" applyAlignment="1" applyProtection="1">
      <alignment horizontal="center"/>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44"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11" fillId="5" borderId="106" xfId="57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1" fillId="5" borderId="107" xfId="570" applyFill="1" applyBorder="1" applyAlignment="1" applyProtection="1">
      <alignment horizontal="left"/>
      <protection locked="0"/>
    </xf>
    <xf numFmtId="0" fontId="11" fillId="5" borderId="106" xfId="570" applyFill="1" applyBorder="1" applyAlignment="1" applyProtection="1">
      <alignment horizontal="left"/>
      <protection locked="0"/>
    </xf>
    <xf numFmtId="0" fontId="11" fillId="5" borderId="6" xfId="570"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168" fontId="0" fillId="0" borderId="6" xfId="0" applyNumberFormat="1" applyFill="1" applyBorder="1" applyAlignment="1" applyProtection="1">
      <alignment horizontal="center"/>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0" fillId="5" borderId="6" xfId="0" applyFill="1" applyBorder="1" applyProtection="1">
      <protection locked="0"/>
    </xf>
    <xf numFmtId="0" fontId="11" fillId="0" borderId="6" xfId="0" applyFont="1" applyFill="1" applyBorder="1" applyAlignment="1" applyProtection="1">
      <alignment horizontal="left"/>
      <protection locked="0"/>
    </xf>
    <xf numFmtId="0" fontId="19"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7" fontId="11"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168" fontId="20" fillId="0" borderId="6" xfId="0" applyNumberFormat="1" applyFont="1" applyFill="1" applyBorder="1" applyAlignment="1" applyProtection="1">
      <alignment horizontal="center"/>
    </xf>
    <xf numFmtId="0" fontId="20" fillId="0" borderId="6" xfId="0" applyFont="1" applyFill="1" applyBorder="1" applyAlignment="1" applyProtection="1">
      <alignment horizontal="left" wrapText="1"/>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5" borderId="106" xfId="244"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0"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168" fontId="11" fillId="5" borderId="6" xfId="0" quotePrefix="1"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44" borderId="4" xfId="0" applyFont="1" applyFill="1" applyBorder="1" applyAlignment="1" applyProtection="1">
      <alignment horizontal="left" wrapText="1"/>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11"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30" fillId="5" borderId="3"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6" xfId="0"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20" fillId="2" borderId="11" xfId="0"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71" fontId="11" fillId="0" borderId="0" xfId="543" applyNumberFormat="1" applyFont="1" applyAlignment="1" applyProtection="1">
      <alignment horizontal="center"/>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0" borderId="1" xfId="0" applyFont="1" applyFill="1" applyBorder="1" applyAlignment="1" applyProtection="1">
      <alignment horizontal="center"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7" fillId="3" borderId="0" xfId="0" applyFont="1" applyFill="1" applyBorder="1" applyAlignment="1" applyProtection="1">
      <alignment horizontal="center" vertical="center"/>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20" fillId="0" borderId="11" xfId="0" applyFont="1" applyBorder="1" applyAlignment="1" applyProtection="1">
      <alignment horizontal="center"/>
    </xf>
    <xf numFmtId="166" fontId="11" fillId="5" borderId="106" xfId="570" applyNumberFormat="1" applyFont="1" applyFill="1" applyBorder="1" applyAlignment="1" applyProtection="1">
      <alignment horizontal="left"/>
      <protection locked="0"/>
    </xf>
    <xf numFmtId="166" fontId="11" fillId="5" borderId="108" xfId="570" applyNumberFormat="1" applyFont="1" applyFill="1" applyBorder="1" applyAlignment="1" applyProtection="1">
      <alignment horizontal="left"/>
      <protection locked="0"/>
    </xf>
    <xf numFmtId="0" fontId="11" fillId="5" borderId="109" xfId="570" applyFill="1" applyBorder="1" applyAlignment="1" applyProtection="1">
      <alignment horizontal="left"/>
      <protection locked="0"/>
    </xf>
    <xf numFmtId="0" fontId="11" fillId="5" borderId="109" xfId="570" applyFont="1" applyFill="1" applyBorder="1" applyAlignment="1" applyProtection="1">
      <alignment horizontal="left"/>
      <protection locked="0"/>
    </xf>
    <xf numFmtId="0" fontId="11" fillId="5" borderId="111" xfId="570" applyFont="1" applyFill="1" applyBorder="1" applyAlignment="1" applyProtection="1">
      <alignment horizontal="left"/>
      <protection locked="0"/>
    </xf>
    <xf numFmtId="0" fontId="11" fillId="5" borderId="111" xfId="570" applyFill="1" applyBorder="1" applyAlignment="1" applyProtection="1">
      <alignment horizontal="left"/>
      <protection locked="0"/>
    </xf>
    <xf numFmtId="0" fontId="11" fillId="5" borderId="110" xfId="570"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3"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0" xfId="4496" applyFont="1" applyFill="1" applyBorder="1" applyAlignment="1" applyProtection="1">
      <alignment horizontal="left" vertical="top" wrapText="1"/>
    </xf>
    <xf numFmtId="0" fontId="11" fillId="5" borderId="6" xfId="1193" applyFont="1" applyFill="1" applyBorder="1" applyAlignment="1" applyProtection="1">
      <alignment horizontal="left"/>
      <protection locked="0"/>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1" fillId="0" borderId="4" xfId="4496"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0" fontId="16" fillId="0" borderId="6" xfId="271" applyFont="1" applyBorder="1" applyAlignment="1" applyProtection="1">
      <alignment horizontal="center"/>
    </xf>
    <xf numFmtId="9" fontId="11" fillId="0" borderId="0" xfId="4495" applyFont="1" applyFill="1" applyAlignment="1">
      <alignment horizontal="center"/>
    </xf>
  </cellXfs>
  <cellStyles count="26390">
    <cellStyle name="20% - Accent1" xfId="1" builtinId="30" customBuiltin="1"/>
    <cellStyle name="20% - Accent1 10" xfId="4507" xr:uid="{00000000-0005-0000-0000-000001000000}"/>
    <cellStyle name="20% - Accent1 10 2" xfId="17140" xr:uid="{4BEA64F6-EF1A-4A37-B376-26592634794C}"/>
    <cellStyle name="20% - Accent1 11" xfId="21351" xr:uid="{34CF2D36-A3E0-4DA6-BFF0-9B55A26DEAC3}"/>
    <cellStyle name="20% - Accent1 12" xfId="12929" xr:uid="{E1510699-6E79-4CF6-BD3D-20AED265EF19}"/>
    <cellStyle name="20% - Accent1 13" xfId="22179" xr:uid="{4CCE9806-3221-47C8-A61F-0AD4090A4899}"/>
    <cellStyle name="20% - Accent1 14" xfId="8718" xr:uid="{C0A2FCCE-CC2B-4125-BCC7-303F73A6419A}"/>
    <cellStyle name="20% - Accent1 2" xfId="2" xr:uid="{00000000-0005-0000-0000-000002000000}"/>
    <cellStyle name="20% - Accent1 2 10" xfId="21352" xr:uid="{937F5164-9709-4A08-9B22-E29480F49799}"/>
    <cellStyle name="20% - Accent1 2 11" xfId="12930" xr:uid="{5C99D138-C93C-48D3-B3AE-E54A5DE7AEFF}"/>
    <cellStyle name="20% - Accent1 2 12" xfId="22180" xr:uid="{83FEAE32-DDB3-4362-8F4A-CD7D322A1F67}"/>
    <cellStyle name="20% - Accent1 2 13" xfId="8719" xr:uid="{D9D68CD0-9545-4C43-B500-E0DD01F8A158}"/>
    <cellStyle name="20% - Accent1 2 2" xfId="3" xr:uid="{00000000-0005-0000-0000-000003000000}"/>
    <cellStyle name="20% - Accent1 2 2 10" xfId="12931" xr:uid="{4A65F9AF-63DE-4C00-B203-D7E6E762DAF4}"/>
    <cellStyle name="20% - Accent1 2 2 11" xfId="22181" xr:uid="{9DE1DAD4-801B-4748-80D7-1348E532F00D}"/>
    <cellStyle name="20% - Accent1 2 2 12" xfId="8720" xr:uid="{79ECFE9C-637E-48CD-B7BE-8595AD32916D}"/>
    <cellStyle name="20% - Accent1 2 2 2" xfId="4" xr:uid="{00000000-0005-0000-0000-000004000000}"/>
    <cellStyle name="20% - Accent1 2 2 2 10" xfId="22182" xr:uid="{7BD9FC98-7E1D-4C57-927A-4ADA45AF5EC5}"/>
    <cellStyle name="20% - Accent1 2 2 2 11" xfId="8721" xr:uid="{B47D7F2E-DBA5-4D51-903E-809455F91133}"/>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9702" xr:uid="{56C969F0-4D49-4200-B74E-7AA99ECBC022}"/>
    <cellStyle name="20% - Accent1 2 2 2 2 2 3" xfId="15491" xr:uid="{9ECF2322-C6C3-4C3E-A2B2-2ADBA0C6479B}"/>
    <cellStyle name="20% - Accent1 2 2 2 2 2 4" xfId="24741" xr:uid="{7AD90F50-2257-4D57-8455-71766722D9CE}"/>
    <cellStyle name="20% - Accent1 2 2 2 2 2 5" xfId="11280" xr:uid="{2C3B13D8-F215-4648-8A18-67336444A079}"/>
    <cellStyle name="20% - Accent1 2 2 2 2 3" xfId="4924" xr:uid="{00000000-0005-0000-0000-000008000000}"/>
    <cellStyle name="20% - Accent1 2 2 2 2 3 2" xfId="17557" xr:uid="{5329A807-4F34-499D-B167-45BB32D662CA}"/>
    <cellStyle name="20% - Accent1 2 2 2 2 4" xfId="21767" xr:uid="{F742C1CF-A706-4B21-8679-C5977974F7A8}"/>
    <cellStyle name="20% - Accent1 2 2 2 2 5" xfId="13346" xr:uid="{85E435E4-936C-4EEE-94C3-1371A118B1E2}"/>
    <cellStyle name="20% - Accent1 2 2 2 2 6" xfId="22596" xr:uid="{BBCA37BF-2832-4C9F-BF92-A6998E70879C}"/>
    <cellStyle name="20% - Accent1 2 2 2 2 7" xfId="9135" xr:uid="{5B2B199D-7A53-44C9-B68C-AE5ED6F37641}"/>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20115" xr:uid="{20FD17B3-06D1-4878-922C-09E272C4D4F3}"/>
    <cellStyle name="20% - Accent1 2 2 2 3 2 3" xfId="15904" xr:uid="{1D46AA00-733A-49A6-9F8A-4E5C19A57455}"/>
    <cellStyle name="20% - Accent1 2 2 2 3 2 4" xfId="25154" xr:uid="{D3123B5E-CF1F-436B-872C-8FF22A884F6F}"/>
    <cellStyle name="20% - Accent1 2 2 2 3 2 5" xfId="11693" xr:uid="{ED24332F-1CBD-47D8-9F88-443223405B1B}"/>
    <cellStyle name="20% - Accent1 2 2 2 3 3" xfId="5337" xr:uid="{00000000-0005-0000-0000-00000C000000}"/>
    <cellStyle name="20% - Accent1 2 2 2 3 3 2" xfId="17970" xr:uid="{18A02353-68C8-4F93-9CB5-1C28AF4DB9B5}"/>
    <cellStyle name="20% - Accent1 2 2 2 3 4" xfId="13759" xr:uid="{E8BD1141-E20F-41EC-AA4A-E72AD4BAD186}"/>
    <cellStyle name="20% - Accent1 2 2 2 3 5" xfId="23009" xr:uid="{A2D570CE-BFE5-4ACA-813C-7EEA5D3CBC9F}"/>
    <cellStyle name="20% - Accent1 2 2 2 3 6" xfId="9548" xr:uid="{B43630E3-C5DC-4A95-83C3-1C0E9FAB550C}"/>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20528" xr:uid="{AA82E1AE-D572-4A1D-A7AA-40B9F1063E06}"/>
    <cellStyle name="20% - Accent1 2 2 2 4 2 3" xfId="16317" xr:uid="{0B646EEB-DF8C-4B5D-8CC9-0680A5FC363D}"/>
    <cellStyle name="20% - Accent1 2 2 2 4 2 4" xfId="25567" xr:uid="{7BFC51D3-93FF-4764-B148-0038E4E19666}"/>
    <cellStyle name="20% - Accent1 2 2 2 4 2 5" xfId="12106" xr:uid="{844778F7-ECDD-4998-B01E-F71250C194BE}"/>
    <cellStyle name="20% - Accent1 2 2 2 4 3" xfId="5750" xr:uid="{00000000-0005-0000-0000-000010000000}"/>
    <cellStyle name="20% - Accent1 2 2 2 4 3 2" xfId="18383" xr:uid="{812F565C-E9C0-468F-A0C2-5FF7EF707FF4}"/>
    <cellStyle name="20% - Accent1 2 2 2 4 4" xfId="14172" xr:uid="{EB28A200-E9D5-45D8-BCD4-D5C42D49E27A}"/>
    <cellStyle name="20% - Accent1 2 2 2 4 5" xfId="23422" xr:uid="{B0D6AB60-B201-4E97-BFD1-26500B92CEF4}"/>
    <cellStyle name="20% - Accent1 2 2 2 4 6" xfId="9961" xr:uid="{F63CCB6E-338F-417A-BE2F-EE2A32149FF8}"/>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20941" xr:uid="{85E2C70A-BB1F-4C1F-B3DA-5BC6AEB3AD27}"/>
    <cellStyle name="20% - Accent1 2 2 2 5 2 3" xfId="16730" xr:uid="{3BCB8DB7-5E7D-43C4-BD75-23BCD80DA40E}"/>
    <cellStyle name="20% - Accent1 2 2 2 5 2 4" xfId="25980" xr:uid="{490677F6-F82B-4D58-9730-C0054DDAA15C}"/>
    <cellStyle name="20% - Accent1 2 2 2 5 2 5" xfId="12519" xr:uid="{8112AE2D-F926-4653-A969-ED0B14818D98}"/>
    <cellStyle name="20% - Accent1 2 2 2 5 3" xfId="6163" xr:uid="{00000000-0005-0000-0000-000014000000}"/>
    <cellStyle name="20% - Accent1 2 2 2 5 3 2" xfId="18796" xr:uid="{0B22CC89-E5DA-42DB-8361-0C8747FBB456}"/>
    <cellStyle name="20% - Accent1 2 2 2 5 4" xfId="14585" xr:uid="{0E45B7B3-E1B3-4659-AD4A-94DA74D374CD}"/>
    <cellStyle name="20% - Accent1 2 2 2 5 5" xfId="23835" xr:uid="{63C0F361-C362-4422-8B11-3FDD6EAAFDD6}"/>
    <cellStyle name="20% - Accent1 2 2 2 5 6" xfId="10374" xr:uid="{A9417EAB-880C-4562-8356-0E17FF8E9790}"/>
    <cellStyle name="20% - Accent1 2 2 2 6" xfId="2268" xr:uid="{00000000-0005-0000-0000-000015000000}"/>
    <cellStyle name="20% - Accent1 2 2 2 6 2" xfId="6576" xr:uid="{00000000-0005-0000-0000-000016000000}"/>
    <cellStyle name="20% - Accent1 2 2 2 6 2 2" xfId="19209" xr:uid="{1516C9FB-7806-473E-B1BB-60A77F1B7EC8}"/>
    <cellStyle name="20% - Accent1 2 2 2 6 3" xfId="14998" xr:uid="{D82065B6-CC5F-4BE3-AED8-96B7AA8D08F6}"/>
    <cellStyle name="20% - Accent1 2 2 2 6 4" xfId="24248" xr:uid="{DE62FF6F-FD74-4587-9D23-6B0F56AC238F}"/>
    <cellStyle name="20% - Accent1 2 2 2 6 5" xfId="10787" xr:uid="{8C73806C-989F-4CFA-A998-ED355458F041}"/>
    <cellStyle name="20% - Accent1 2 2 2 7" xfId="4510" xr:uid="{00000000-0005-0000-0000-000017000000}"/>
    <cellStyle name="20% - Accent1 2 2 2 7 2" xfId="17143" xr:uid="{D76B89D3-A7CE-4DB2-A702-7F8C66C8F847}"/>
    <cellStyle name="20% - Accent1 2 2 2 8" xfId="21354" xr:uid="{21F968A7-2CBC-4316-B318-CE5C2291FABD}"/>
    <cellStyle name="20% - Accent1 2 2 2 9" xfId="12932" xr:uid="{95576C26-4743-49C6-A69C-0E543A5CEAF6}"/>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9701" xr:uid="{8395B652-ADF6-4EE8-9CB8-B68530EF645B}"/>
    <cellStyle name="20% - Accent1 2 2 3 2 3" xfId="15490" xr:uid="{4644CD5B-9F36-458F-B1BB-C62D89618AEA}"/>
    <cellStyle name="20% - Accent1 2 2 3 2 4" xfId="24740" xr:uid="{38DC1DCA-1737-4FA6-AA9D-AE7E805BE545}"/>
    <cellStyle name="20% - Accent1 2 2 3 2 5" xfId="11279" xr:uid="{CDC75F38-D04D-424C-B897-28269A571F05}"/>
    <cellStyle name="20% - Accent1 2 2 3 3" xfId="4923" xr:uid="{00000000-0005-0000-0000-00001B000000}"/>
    <cellStyle name="20% - Accent1 2 2 3 3 2" xfId="17556" xr:uid="{6D15AC3C-84C0-471B-81E7-7D45001E070C}"/>
    <cellStyle name="20% - Accent1 2 2 3 4" xfId="21766" xr:uid="{F9C1A6AE-2D9E-4CA8-9B12-BF70AD76AE5D}"/>
    <cellStyle name="20% - Accent1 2 2 3 5" xfId="13345" xr:uid="{C1F01CB3-0E30-43B8-A3F9-2DA6033F74CE}"/>
    <cellStyle name="20% - Accent1 2 2 3 6" xfId="22595" xr:uid="{69312CC1-F653-4527-84E5-A441DBC8611A}"/>
    <cellStyle name="20% - Accent1 2 2 3 7" xfId="9134" xr:uid="{6FAC4F7C-34D5-47A5-A6CF-852F01190A78}"/>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20114" xr:uid="{70DBE510-1DA0-46F8-A964-6D95C7021337}"/>
    <cellStyle name="20% - Accent1 2 2 4 2 3" xfId="15903" xr:uid="{F31694E3-D531-4D3B-9D02-A452088148BA}"/>
    <cellStyle name="20% - Accent1 2 2 4 2 4" xfId="25153" xr:uid="{B2716C8E-16F5-4FB1-8378-AACCE2389372}"/>
    <cellStyle name="20% - Accent1 2 2 4 2 5" xfId="11692" xr:uid="{5AD8747C-C86C-4BD8-86F6-2CE5B69D3AA3}"/>
    <cellStyle name="20% - Accent1 2 2 4 3" xfId="5336" xr:uid="{00000000-0005-0000-0000-00001F000000}"/>
    <cellStyle name="20% - Accent1 2 2 4 3 2" xfId="17969" xr:uid="{0DACE582-BA45-4141-B1E7-C757DEC9D8F0}"/>
    <cellStyle name="20% - Accent1 2 2 4 4" xfId="13758" xr:uid="{FB21D64D-C972-4222-8A4C-6EA74E7A5A9C}"/>
    <cellStyle name="20% - Accent1 2 2 4 5" xfId="23008" xr:uid="{9CF6E838-B72B-4609-9EA4-0CA96612EE16}"/>
    <cellStyle name="20% - Accent1 2 2 4 6" xfId="9547" xr:uid="{1772CE8F-2C2D-4DFE-B462-1DB8930894B1}"/>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20527" xr:uid="{A0F28D6F-6C1B-49C9-949F-2071DCC327C4}"/>
    <cellStyle name="20% - Accent1 2 2 5 2 3" xfId="16316" xr:uid="{B3AE52BF-1873-4219-9370-88E249C8B912}"/>
    <cellStyle name="20% - Accent1 2 2 5 2 4" xfId="25566" xr:uid="{DA2A53FA-0B4E-4AD6-AFCE-9E15DFFDF378}"/>
    <cellStyle name="20% - Accent1 2 2 5 2 5" xfId="12105" xr:uid="{48AD90ED-6B9D-4DA6-A7E0-CF85D2078EBA}"/>
    <cellStyle name="20% - Accent1 2 2 5 3" xfId="5749" xr:uid="{00000000-0005-0000-0000-000023000000}"/>
    <cellStyle name="20% - Accent1 2 2 5 3 2" xfId="18382" xr:uid="{8B134EF5-0C14-461B-B0E8-8D66140DF2EF}"/>
    <cellStyle name="20% - Accent1 2 2 5 4" xfId="14171" xr:uid="{413DD675-64EE-4A9D-8E90-0EF6A19D55E3}"/>
    <cellStyle name="20% - Accent1 2 2 5 5" xfId="23421" xr:uid="{2BC8FDAB-4A00-45F3-967F-F5FCD10B370D}"/>
    <cellStyle name="20% - Accent1 2 2 5 6" xfId="9960" xr:uid="{0E3242AF-7AC2-4B67-9273-745B8CA62E49}"/>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20940" xr:uid="{8AEC7DBF-6FB9-4334-9B4D-706386EF2124}"/>
    <cellStyle name="20% - Accent1 2 2 6 2 3" xfId="16729" xr:uid="{3C1F7735-BACB-4345-9FE1-758AC54C27F8}"/>
    <cellStyle name="20% - Accent1 2 2 6 2 4" xfId="25979" xr:uid="{56FF0BE0-13B7-4D0C-B964-AFCEBCDA64D9}"/>
    <cellStyle name="20% - Accent1 2 2 6 2 5" xfId="12518" xr:uid="{BDEE61DB-48B5-4B29-9E8B-711C824912FD}"/>
    <cellStyle name="20% - Accent1 2 2 6 3" xfId="6162" xr:uid="{00000000-0005-0000-0000-000027000000}"/>
    <cellStyle name="20% - Accent1 2 2 6 3 2" xfId="18795" xr:uid="{762104FE-D315-4E85-A247-29BA23E06FFC}"/>
    <cellStyle name="20% - Accent1 2 2 6 4" xfId="14584" xr:uid="{6D61C354-F2D8-43A2-8281-85EC42715D98}"/>
    <cellStyle name="20% - Accent1 2 2 6 5" xfId="23834" xr:uid="{67CEA958-A9DF-4E9C-AB7C-6FAC809B9EFE}"/>
    <cellStyle name="20% - Accent1 2 2 6 6" xfId="10373" xr:uid="{7B56910C-40D5-45D6-935F-4951CA474CA2}"/>
    <cellStyle name="20% - Accent1 2 2 7" xfId="2267" xr:uid="{00000000-0005-0000-0000-000028000000}"/>
    <cellStyle name="20% - Accent1 2 2 7 2" xfId="6575" xr:uid="{00000000-0005-0000-0000-000029000000}"/>
    <cellStyle name="20% - Accent1 2 2 7 2 2" xfId="19208" xr:uid="{83783D90-E309-4627-BEA0-37E8271695C4}"/>
    <cellStyle name="20% - Accent1 2 2 7 3" xfId="14997" xr:uid="{D3FF4DBD-529C-42AD-BF90-8497F534EA9A}"/>
    <cellStyle name="20% - Accent1 2 2 7 4" xfId="24247" xr:uid="{92B5C924-9AB6-450C-A541-49F17D274C29}"/>
    <cellStyle name="20% - Accent1 2 2 7 5" xfId="10786" xr:uid="{F043DFE5-B917-4794-A0E6-5B114514A11D}"/>
    <cellStyle name="20% - Accent1 2 2 8" xfId="4509" xr:uid="{00000000-0005-0000-0000-00002A000000}"/>
    <cellStyle name="20% - Accent1 2 2 8 2" xfId="17142" xr:uid="{ACEAA242-DB94-424E-9409-7CEEAA0210FC}"/>
    <cellStyle name="20% - Accent1 2 2 9" xfId="21353" xr:uid="{832EC80B-16EA-4DF2-AF52-A7769A82C157}"/>
    <cellStyle name="20% - Accent1 2 3" xfId="5" xr:uid="{00000000-0005-0000-0000-00002B000000}"/>
    <cellStyle name="20% - Accent1 2 3 10" xfId="22183" xr:uid="{D417C224-28AE-47B4-B085-8C4FA8E814F3}"/>
    <cellStyle name="20% - Accent1 2 3 11" xfId="8722" xr:uid="{4EB26AA6-529C-4D41-81A4-6AFCCD0738FB}"/>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9703" xr:uid="{D9702974-FA96-43B1-AC50-3B20DC59E965}"/>
    <cellStyle name="20% - Accent1 2 3 2 2 3" xfId="15492" xr:uid="{1AF07CB2-A3DA-4455-8011-CB8789242CF4}"/>
    <cellStyle name="20% - Accent1 2 3 2 2 4" xfId="24742" xr:uid="{89C873E8-3D62-4373-8DB0-634F9BC9C5D4}"/>
    <cellStyle name="20% - Accent1 2 3 2 2 5" xfId="11281" xr:uid="{91D84EEC-5F0F-4CD0-AAC2-FDEC8D4B4A1B}"/>
    <cellStyle name="20% - Accent1 2 3 2 3" xfId="4925" xr:uid="{00000000-0005-0000-0000-00002F000000}"/>
    <cellStyle name="20% - Accent1 2 3 2 3 2" xfId="17558" xr:uid="{AA3482B2-CE43-452D-B7AC-46BB4BB9F9D7}"/>
    <cellStyle name="20% - Accent1 2 3 2 4" xfId="21768" xr:uid="{4EBA44A0-9BEB-40E3-9465-4A26BE84AD9A}"/>
    <cellStyle name="20% - Accent1 2 3 2 5" xfId="13347" xr:uid="{72F0D65D-3BA9-4F40-8756-DE3A6BE09B93}"/>
    <cellStyle name="20% - Accent1 2 3 2 6" xfId="22597" xr:uid="{71A29AE4-A51C-45C5-8306-D8F7025745B9}"/>
    <cellStyle name="20% - Accent1 2 3 2 7" xfId="9136" xr:uid="{81328A2F-2E6F-47AA-9457-A664D532ABAE}"/>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20116" xr:uid="{38F73D7E-D137-495C-AF03-763710BA162F}"/>
    <cellStyle name="20% - Accent1 2 3 3 2 3" xfId="15905" xr:uid="{29451725-C6F8-4CDE-9AF2-F4FF2B47EF6F}"/>
    <cellStyle name="20% - Accent1 2 3 3 2 4" xfId="25155" xr:uid="{C27D2C5B-F953-4EAD-9D4E-AED10BF0ECF0}"/>
    <cellStyle name="20% - Accent1 2 3 3 2 5" xfId="11694" xr:uid="{745B1062-02F1-4B42-ACDD-9E78FF8049E3}"/>
    <cellStyle name="20% - Accent1 2 3 3 3" xfId="5338" xr:uid="{00000000-0005-0000-0000-000033000000}"/>
    <cellStyle name="20% - Accent1 2 3 3 3 2" xfId="17971" xr:uid="{04FAE576-80D2-420C-892F-BD091D263193}"/>
    <cellStyle name="20% - Accent1 2 3 3 4" xfId="13760" xr:uid="{271B8E0D-39B0-49C9-9675-561A892C01E9}"/>
    <cellStyle name="20% - Accent1 2 3 3 5" xfId="23010" xr:uid="{06F2EDFC-1F47-40A7-A1E8-5D6B6FAF939E}"/>
    <cellStyle name="20% - Accent1 2 3 3 6" xfId="9549" xr:uid="{D4449E91-8D03-4361-AAA1-AB2A8B6AC311}"/>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20529" xr:uid="{207E7234-DEFD-4A85-B022-B271C3ABB4BA}"/>
    <cellStyle name="20% - Accent1 2 3 4 2 3" xfId="16318" xr:uid="{FD927DFC-AA94-4F82-882B-46B19BBB5DC1}"/>
    <cellStyle name="20% - Accent1 2 3 4 2 4" xfId="25568" xr:uid="{745D785E-C739-4992-9C19-A7E689D09B6E}"/>
    <cellStyle name="20% - Accent1 2 3 4 2 5" xfId="12107" xr:uid="{5755B229-87FD-4872-B2AA-792A136B35EB}"/>
    <cellStyle name="20% - Accent1 2 3 4 3" xfId="5751" xr:uid="{00000000-0005-0000-0000-000037000000}"/>
    <cellStyle name="20% - Accent1 2 3 4 3 2" xfId="18384" xr:uid="{185A899F-A79C-4CEA-BBF3-C1B0517353F3}"/>
    <cellStyle name="20% - Accent1 2 3 4 4" xfId="14173" xr:uid="{55121587-55DE-43E4-9FF3-81633CD1B7C0}"/>
    <cellStyle name="20% - Accent1 2 3 4 5" xfId="23423" xr:uid="{1DEAC9B2-2792-4C78-98AD-017DD4A38253}"/>
    <cellStyle name="20% - Accent1 2 3 4 6" xfId="9962" xr:uid="{92565C50-6F64-463D-9635-263CAC01D1B6}"/>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20942" xr:uid="{B3E85CD1-0D48-4F62-BCAA-F356D28146D6}"/>
    <cellStyle name="20% - Accent1 2 3 5 2 3" xfId="16731" xr:uid="{01C24F1D-320C-4C90-80A4-EC7FF4644C13}"/>
    <cellStyle name="20% - Accent1 2 3 5 2 4" xfId="25981" xr:uid="{C859FADE-247E-4782-BCCE-4D51AC516F32}"/>
    <cellStyle name="20% - Accent1 2 3 5 2 5" xfId="12520" xr:uid="{46BD1136-CEBE-46C3-8498-FD544AD16589}"/>
    <cellStyle name="20% - Accent1 2 3 5 3" xfId="6164" xr:uid="{00000000-0005-0000-0000-00003B000000}"/>
    <cellStyle name="20% - Accent1 2 3 5 3 2" xfId="18797" xr:uid="{09D17FAA-15BF-4360-9427-A95AA8F0ED88}"/>
    <cellStyle name="20% - Accent1 2 3 5 4" xfId="14586" xr:uid="{2F3582F5-9ED5-4675-86AB-B4C7B5B433BC}"/>
    <cellStyle name="20% - Accent1 2 3 5 5" xfId="23836" xr:uid="{28024CF5-A7B1-4EFA-8BFC-24FAF5FACB2C}"/>
    <cellStyle name="20% - Accent1 2 3 5 6" xfId="10375" xr:uid="{94104C06-AC1F-4857-9DA5-7D28BB7735CB}"/>
    <cellStyle name="20% - Accent1 2 3 6" xfId="2269" xr:uid="{00000000-0005-0000-0000-00003C000000}"/>
    <cellStyle name="20% - Accent1 2 3 6 2" xfId="6577" xr:uid="{00000000-0005-0000-0000-00003D000000}"/>
    <cellStyle name="20% - Accent1 2 3 6 2 2" xfId="19210" xr:uid="{B02C93E0-18B7-4816-A5AE-F48EE1364C32}"/>
    <cellStyle name="20% - Accent1 2 3 6 3" xfId="14999" xr:uid="{373AB19C-75E9-435B-A196-D7ABBE2D4182}"/>
    <cellStyle name="20% - Accent1 2 3 6 4" xfId="24249" xr:uid="{5541722B-076C-40BC-BC48-B45EF43F14C5}"/>
    <cellStyle name="20% - Accent1 2 3 6 5" xfId="10788" xr:uid="{2C8F2EB8-5ACC-4BFD-A474-F13C9DB644A8}"/>
    <cellStyle name="20% - Accent1 2 3 7" xfId="4511" xr:uid="{00000000-0005-0000-0000-00003E000000}"/>
    <cellStyle name="20% - Accent1 2 3 7 2" xfId="17144" xr:uid="{D76F51B0-CC13-429D-A20E-7CC35E5FD133}"/>
    <cellStyle name="20% - Accent1 2 3 8" xfId="21355" xr:uid="{597C2054-9678-44A8-87F3-18E01B52C376}"/>
    <cellStyle name="20% - Accent1 2 3 9" xfId="12933" xr:uid="{4BD516B5-1CA3-4C20-B57B-2756305C67FE}"/>
    <cellStyle name="20% - Accent1 2 4" xfId="572" xr:uid="{00000000-0005-0000-0000-00003F000000}"/>
    <cellStyle name="20% - Accent1 2 4 2" xfId="2843" xr:uid="{00000000-0005-0000-0000-000040000000}"/>
    <cellStyle name="20% - Accent1 2 4 2 2" xfId="7067" xr:uid="{00000000-0005-0000-0000-000041000000}"/>
    <cellStyle name="20% - Accent1 2 4 2 2 2" xfId="19700" xr:uid="{55960211-D995-468E-BC98-374A427CFE68}"/>
    <cellStyle name="20% - Accent1 2 4 2 3" xfId="15489" xr:uid="{737F5FD9-D70C-4244-9422-78E343CB89A9}"/>
    <cellStyle name="20% - Accent1 2 4 2 4" xfId="24739" xr:uid="{541CBF87-35BF-4DF6-91C7-DF0587AE2A27}"/>
    <cellStyle name="20% - Accent1 2 4 2 5" xfId="11278" xr:uid="{4DBBF60D-B419-44BC-9EC3-5A33127C3E01}"/>
    <cellStyle name="20% - Accent1 2 4 3" xfId="4922" xr:uid="{00000000-0005-0000-0000-000042000000}"/>
    <cellStyle name="20% - Accent1 2 4 3 2" xfId="17555" xr:uid="{DA02B223-139D-4CF9-8307-5DA4B2A18CE3}"/>
    <cellStyle name="20% - Accent1 2 4 4" xfId="21765" xr:uid="{A9F34AC9-7C49-4A78-BA5A-B8F81250D75E}"/>
    <cellStyle name="20% - Accent1 2 4 5" xfId="13344" xr:uid="{CA5EB5FF-BDA8-401D-9C7E-437B7B8B9DF0}"/>
    <cellStyle name="20% - Accent1 2 4 6" xfId="22594" xr:uid="{C19C8F1E-96F0-4B5A-9052-FE4E3D7D6ADF}"/>
    <cellStyle name="20% - Accent1 2 4 7" xfId="9133" xr:uid="{355FAE89-3F79-4B4F-A7E1-FB50FDFBC00D}"/>
    <cellStyle name="20% - Accent1 2 5" xfId="1025" xr:uid="{00000000-0005-0000-0000-000043000000}"/>
    <cellStyle name="20% - Accent1 2 5 2" xfId="3256" xr:uid="{00000000-0005-0000-0000-000044000000}"/>
    <cellStyle name="20% - Accent1 2 5 2 2" xfId="7480" xr:uid="{00000000-0005-0000-0000-000045000000}"/>
    <cellStyle name="20% - Accent1 2 5 2 2 2" xfId="20113" xr:uid="{CFE5C071-A031-4764-AE51-5E657E7CB1CF}"/>
    <cellStyle name="20% - Accent1 2 5 2 3" xfId="15902" xr:uid="{E4CD8928-3433-415E-8F8A-D9204F52341F}"/>
    <cellStyle name="20% - Accent1 2 5 2 4" xfId="25152" xr:uid="{406456A9-8F70-4E27-8AAA-DA0A0766F32F}"/>
    <cellStyle name="20% - Accent1 2 5 2 5" xfId="11691" xr:uid="{8F8FCE42-D3CF-4FE9-99EF-E0F5ED206713}"/>
    <cellStyle name="20% - Accent1 2 5 3" xfId="5335" xr:uid="{00000000-0005-0000-0000-000046000000}"/>
    <cellStyle name="20% - Accent1 2 5 3 2" xfId="17968" xr:uid="{B5F6A9FB-F2AF-4A6E-8AB1-834CC9044C14}"/>
    <cellStyle name="20% - Accent1 2 5 4" xfId="13757" xr:uid="{1447E39E-7CCE-4B8D-81F2-B3B9484F1F3A}"/>
    <cellStyle name="20% - Accent1 2 5 5" xfId="23007" xr:uid="{689D46E1-42D3-45E2-8650-0FE429B0FF2A}"/>
    <cellStyle name="20% - Accent1 2 5 6" xfId="9546" xr:uid="{7D5C8EF1-BAF8-4BD4-B966-866690DB8EEE}"/>
    <cellStyle name="20% - Accent1 2 6" xfId="1439" xr:uid="{00000000-0005-0000-0000-000047000000}"/>
    <cellStyle name="20% - Accent1 2 6 2" xfId="3669" xr:uid="{00000000-0005-0000-0000-000048000000}"/>
    <cellStyle name="20% - Accent1 2 6 2 2" xfId="7893" xr:uid="{00000000-0005-0000-0000-000049000000}"/>
    <cellStyle name="20% - Accent1 2 6 2 2 2" xfId="20526" xr:uid="{D4FAF440-5E4D-402E-B287-97F74633B7D5}"/>
    <cellStyle name="20% - Accent1 2 6 2 3" xfId="16315" xr:uid="{D4FCDFE0-D82B-4AB8-823B-34920422EBE9}"/>
    <cellStyle name="20% - Accent1 2 6 2 4" xfId="25565" xr:uid="{F9F5F1DB-59B1-426B-982F-F69FFC09F014}"/>
    <cellStyle name="20% - Accent1 2 6 2 5" xfId="12104" xr:uid="{F17B13B1-F668-4B41-A045-10D568D6B908}"/>
    <cellStyle name="20% - Accent1 2 6 3" xfId="5748" xr:uid="{00000000-0005-0000-0000-00004A000000}"/>
    <cellStyle name="20% - Accent1 2 6 3 2" xfId="18381" xr:uid="{D4DD58D9-A495-4A64-BB67-B794861F938E}"/>
    <cellStyle name="20% - Accent1 2 6 4" xfId="14170" xr:uid="{E3C703B8-A46F-4413-9D9E-9A6712B92915}"/>
    <cellStyle name="20% - Accent1 2 6 5" xfId="23420" xr:uid="{D27E3CA6-5EE4-46BA-970D-E427A845AE36}"/>
    <cellStyle name="20% - Accent1 2 6 6" xfId="9959" xr:uid="{6DD182F5-6EA0-4531-B94E-8BEE1DA18395}"/>
    <cellStyle name="20% - Accent1 2 7" xfId="1853" xr:uid="{00000000-0005-0000-0000-00004B000000}"/>
    <cellStyle name="20% - Accent1 2 7 2" xfId="4082" xr:uid="{00000000-0005-0000-0000-00004C000000}"/>
    <cellStyle name="20% - Accent1 2 7 2 2" xfId="8306" xr:uid="{00000000-0005-0000-0000-00004D000000}"/>
    <cellStyle name="20% - Accent1 2 7 2 2 2" xfId="20939" xr:uid="{D09E3FC9-31BB-418E-BF36-212EC3BB73ED}"/>
    <cellStyle name="20% - Accent1 2 7 2 3" xfId="16728" xr:uid="{4E66E6CD-1005-4BCE-919D-43C4E8D56912}"/>
    <cellStyle name="20% - Accent1 2 7 2 4" xfId="25978" xr:uid="{25D052F5-9E9A-4070-AFB3-F4B68236A475}"/>
    <cellStyle name="20% - Accent1 2 7 2 5" xfId="12517" xr:uid="{54E2823C-A475-4CD4-A8E6-FD8BD4C58F39}"/>
    <cellStyle name="20% - Accent1 2 7 3" xfId="6161" xr:uid="{00000000-0005-0000-0000-00004E000000}"/>
    <cellStyle name="20% - Accent1 2 7 3 2" xfId="18794" xr:uid="{1BACCC0A-6455-4C98-9271-ED57070BFF7C}"/>
    <cellStyle name="20% - Accent1 2 7 4" xfId="14583" xr:uid="{5E1BF6CD-C35F-4625-8BA4-54301AB9DA2C}"/>
    <cellStyle name="20% - Accent1 2 7 5" xfId="23833" xr:uid="{BD656C26-DA3A-4E60-BF3A-EA89ACFDF53C}"/>
    <cellStyle name="20% - Accent1 2 7 6" xfId="10372" xr:uid="{90AC4085-3BA5-42F0-A13F-0770F8C85923}"/>
    <cellStyle name="20% - Accent1 2 8" xfId="2266" xr:uid="{00000000-0005-0000-0000-00004F000000}"/>
    <cellStyle name="20% - Accent1 2 8 2" xfId="6574" xr:uid="{00000000-0005-0000-0000-000050000000}"/>
    <cellStyle name="20% - Accent1 2 8 2 2" xfId="19207" xr:uid="{AA52D323-5000-4284-999E-8AB61DA8294C}"/>
    <cellStyle name="20% - Accent1 2 8 3" xfId="14996" xr:uid="{AD540861-F672-42B7-ADF7-92A292F02CD3}"/>
    <cellStyle name="20% - Accent1 2 8 4" xfId="24246" xr:uid="{A4079DE6-74CA-4727-BCBB-FA6A32C91DC5}"/>
    <cellStyle name="20% - Accent1 2 8 5" xfId="10785" xr:uid="{ED18454C-FEF3-4FAE-811D-AC9482B59A31}"/>
    <cellStyle name="20% - Accent1 2 9" xfId="4508" xr:uid="{00000000-0005-0000-0000-000051000000}"/>
    <cellStyle name="20% - Accent1 2 9 2" xfId="17141" xr:uid="{B0BEA4F6-07CE-453A-BB64-62A1AAB06AD1}"/>
    <cellStyle name="20% - Accent1 3" xfId="6" xr:uid="{00000000-0005-0000-0000-000052000000}"/>
    <cellStyle name="20% - Accent1 3 10" xfId="12934" xr:uid="{CAD7762B-49BF-4743-8BB9-C75FABB3E6BD}"/>
    <cellStyle name="20% - Accent1 3 11" xfId="22184" xr:uid="{B01429D3-C108-4E0A-BB41-5C426074EBF6}"/>
    <cellStyle name="20% - Accent1 3 12" xfId="8723" xr:uid="{2FE5F902-0E0C-4D24-B8D4-E2BB16B1B340}"/>
    <cellStyle name="20% - Accent1 3 2" xfId="7" xr:uid="{00000000-0005-0000-0000-000053000000}"/>
    <cellStyle name="20% - Accent1 3 2 10" xfId="22185" xr:uid="{741E7219-F88C-4445-9639-59F4FCDF7674}"/>
    <cellStyle name="20% - Accent1 3 2 11" xfId="8724" xr:uid="{05733542-6A37-4DE1-B48F-9E931D7467F4}"/>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9705" xr:uid="{B1047BA4-8E56-4F31-99BA-8225682612D8}"/>
    <cellStyle name="20% - Accent1 3 2 2 2 3" xfId="15494" xr:uid="{CD3B6E7D-0C65-4F66-B6D5-23F3998E7CB6}"/>
    <cellStyle name="20% - Accent1 3 2 2 2 4" xfId="24744" xr:uid="{09FD9C7A-0BA4-4AAC-8AE3-46C8F191A0C1}"/>
    <cellStyle name="20% - Accent1 3 2 2 2 5" xfId="11283" xr:uid="{60D6AB9B-5984-442F-88D8-870CB4BFE4E1}"/>
    <cellStyle name="20% - Accent1 3 2 2 3" xfId="4927" xr:uid="{00000000-0005-0000-0000-000057000000}"/>
    <cellStyle name="20% - Accent1 3 2 2 3 2" xfId="17560" xr:uid="{7A57D788-2C54-434E-9A3B-D777A3540C24}"/>
    <cellStyle name="20% - Accent1 3 2 2 4" xfId="21770" xr:uid="{10869D23-7D63-4639-8F56-01598FDC416D}"/>
    <cellStyle name="20% - Accent1 3 2 2 5" xfId="13349" xr:uid="{9F6163A5-7B5C-4297-96B5-1EFE3D8ADD5D}"/>
    <cellStyle name="20% - Accent1 3 2 2 6" xfId="22599" xr:uid="{59CDCD23-803D-4800-B352-2D354AD639F3}"/>
    <cellStyle name="20% - Accent1 3 2 2 7" xfId="9138" xr:uid="{90B6AF06-5CFB-434D-87FC-4E93DA26A2EA}"/>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20118" xr:uid="{48A18F29-B61B-46B2-85F9-303887B06C69}"/>
    <cellStyle name="20% - Accent1 3 2 3 2 3" xfId="15907" xr:uid="{AF617076-D48E-44E4-A92D-01C584C59271}"/>
    <cellStyle name="20% - Accent1 3 2 3 2 4" xfId="25157" xr:uid="{0EDACF37-744B-4ECA-9B6F-77D3FD2CE45F}"/>
    <cellStyle name="20% - Accent1 3 2 3 2 5" xfId="11696" xr:uid="{46768C77-92EE-4758-A1B6-3B9580AA357F}"/>
    <cellStyle name="20% - Accent1 3 2 3 3" xfId="5340" xr:uid="{00000000-0005-0000-0000-00005B000000}"/>
    <cellStyle name="20% - Accent1 3 2 3 3 2" xfId="17973" xr:uid="{77758F1E-7EFD-4132-B364-9953FCA9AF2E}"/>
    <cellStyle name="20% - Accent1 3 2 3 4" xfId="13762" xr:uid="{B3DD1E8A-307B-4F02-8416-B2D72531EA0A}"/>
    <cellStyle name="20% - Accent1 3 2 3 5" xfId="23012" xr:uid="{894CEFDD-68FC-4B68-822D-CD945E06EB4F}"/>
    <cellStyle name="20% - Accent1 3 2 3 6" xfId="9551" xr:uid="{B0F459C1-5613-4ECF-858D-79E18EF19C8F}"/>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20531" xr:uid="{3E9980D7-A0CD-4C15-8038-CD0145864F23}"/>
    <cellStyle name="20% - Accent1 3 2 4 2 3" xfId="16320" xr:uid="{ABCE504C-C9FB-4370-B5D4-4DD394F68219}"/>
    <cellStyle name="20% - Accent1 3 2 4 2 4" xfId="25570" xr:uid="{71BB7C5F-0249-4BDA-B8B1-F8B0DD31477F}"/>
    <cellStyle name="20% - Accent1 3 2 4 2 5" xfId="12109" xr:uid="{122F6B2A-FA9F-4233-9890-0B7402A3812E}"/>
    <cellStyle name="20% - Accent1 3 2 4 3" xfId="5753" xr:uid="{00000000-0005-0000-0000-00005F000000}"/>
    <cellStyle name="20% - Accent1 3 2 4 3 2" xfId="18386" xr:uid="{DEB9A73D-404C-4448-8774-F1AB47C84345}"/>
    <cellStyle name="20% - Accent1 3 2 4 4" xfId="14175" xr:uid="{23E3023E-4E70-44A6-8B6A-F3043E2A5CBE}"/>
    <cellStyle name="20% - Accent1 3 2 4 5" xfId="23425" xr:uid="{BC29E0F3-D231-4C2F-8D97-93B4FAB74B55}"/>
    <cellStyle name="20% - Accent1 3 2 4 6" xfId="9964" xr:uid="{4736F81F-F5D3-452A-9B5A-6218C655E38F}"/>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20944" xr:uid="{9E8A28F3-608B-490E-97FA-FB8582FE29FD}"/>
    <cellStyle name="20% - Accent1 3 2 5 2 3" xfId="16733" xr:uid="{0FA2BDDB-BBEF-470F-B272-934CDED50889}"/>
    <cellStyle name="20% - Accent1 3 2 5 2 4" xfId="25983" xr:uid="{A9F75BDD-EBCC-43AA-BB1A-8DC7D92E32AF}"/>
    <cellStyle name="20% - Accent1 3 2 5 2 5" xfId="12522" xr:uid="{2F291963-E43F-483B-946E-4DA3267EC6AE}"/>
    <cellStyle name="20% - Accent1 3 2 5 3" xfId="6166" xr:uid="{00000000-0005-0000-0000-000063000000}"/>
    <cellStyle name="20% - Accent1 3 2 5 3 2" xfId="18799" xr:uid="{B0ACDC52-0715-418A-A206-3156772C58B6}"/>
    <cellStyle name="20% - Accent1 3 2 5 4" xfId="14588" xr:uid="{ACEA6CBF-1BC0-411E-99A7-C3B889590DA3}"/>
    <cellStyle name="20% - Accent1 3 2 5 5" xfId="23838" xr:uid="{027F0C8C-4DFE-495C-9DFA-7EEF4608D85C}"/>
    <cellStyle name="20% - Accent1 3 2 5 6" xfId="10377" xr:uid="{388346F5-EBEB-4E1F-AB58-6CA62E6FD32B}"/>
    <cellStyle name="20% - Accent1 3 2 6" xfId="2271" xr:uid="{00000000-0005-0000-0000-000064000000}"/>
    <cellStyle name="20% - Accent1 3 2 6 2" xfId="6579" xr:uid="{00000000-0005-0000-0000-000065000000}"/>
    <cellStyle name="20% - Accent1 3 2 6 2 2" xfId="19212" xr:uid="{C682C558-7E97-42BF-BA7D-31C41E39F8BE}"/>
    <cellStyle name="20% - Accent1 3 2 6 3" xfId="15001" xr:uid="{DF57100F-F076-49E6-B80A-12DA5E3042C2}"/>
    <cellStyle name="20% - Accent1 3 2 6 4" xfId="24251" xr:uid="{903D6DB6-E508-4CF1-92DB-50D8A995F890}"/>
    <cellStyle name="20% - Accent1 3 2 6 5" xfId="10790" xr:uid="{799FCA65-46ED-4C78-8BB7-96F948FCFD1E}"/>
    <cellStyle name="20% - Accent1 3 2 7" xfId="4513" xr:uid="{00000000-0005-0000-0000-000066000000}"/>
    <cellStyle name="20% - Accent1 3 2 7 2" xfId="17146" xr:uid="{A338926B-10E9-4E59-83A7-7D71368AF72D}"/>
    <cellStyle name="20% - Accent1 3 2 8" xfId="21357" xr:uid="{B13B6C72-0322-4BF8-B167-197AEB813B72}"/>
    <cellStyle name="20% - Accent1 3 2 9" xfId="12935" xr:uid="{44CC3BC3-2028-4694-8802-E79403CE48EC}"/>
    <cellStyle name="20% - Accent1 3 3" xfId="576" xr:uid="{00000000-0005-0000-0000-000067000000}"/>
    <cellStyle name="20% - Accent1 3 3 2" xfId="2847" xr:uid="{00000000-0005-0000-0000-000068000000}"/>
    <cellStyle name="20% - Accent1 3 3 2 2" xfId="7071" xr:uid="{00000000-0005-0000-0000-000069000000}"/>
    <cellStyle name="20% - Accent1 3 3 2 2 2" xfId="19704" xr:uid="{A8C78DA0-7A29-4EE6-97B9-3585DCEDF090}"/>
    <cellStyle name="20% - Accent1 3 3 2 3" xfId="15493" xr:uid="{D216D1B8-58ED-466F-AF6A-3032EFDDA29E}"/>
    <cellStyle name="20% - Accent1 3 3 2 4" xfId="24743" xr:uid="{DAB777C3-5E67-420A-A75A-BB9E6161B933}"/>
    <cellStyle name="20% - Accent1 3 3 2 5" xfId="11282" xr:uid="{FAB0A7A1-9626-45EE-8021-268EE7FA16EB}"/>
    <cellStyle name="20% - Accent1 3 3 3" xfId="4926" xr:uid="{00000000-0005-0000-0000-00006A000000}"/>
    <cellStyle name="20% - Accent1 3 3 3 2" xfId="17559" xr:uid="{6F4DA81F-34CA-40DB-B806-210CB00E18B7}"/>
    <cellStyle name="20% - Accent1 3 3 4" xfId="21769" xr:uid="{EDBFFCA3-2154-4B31-AA4D-FC6993234DAE}"/>
    <cellStyle name="20% - Accent1 3 3 5" xfId="13348" xr:uid="{C7F169FA-94DF-4D76-A1B2-53BA909190BC}"/>
    <cellStyle name="20% - Accent1 3 3 6" xfId="22598" xr:uid="{FC680CA6-61FC-4746-A060-D98D1F026907}"/>
    <cellStyle name="20% - Accent1 3 3 7" xfId="9137" xr:uid="{E7B69250-13B2-4960-8C31-ACBBA49B0D74}"/>
    <cellStyle name="20% - Accent1 3 4" xfId="1029" xr:uid="{00000000-0005-0000-0000-00006B000000}"/>
    <cellStyle name="20% - Accent1 3 4 2" xfId="3260" xr:uid="{00000000-0005-0000-0000-00006C000000}"/>
    <cellStyle name="20% - Accent1 3 4 2 2" xfId="7484" xr:uid="{00000000-0005-0000-0000-00006D000000}"/>
    <cellStyle name="20% - Accent1 3 4 2 2 2" xfId="20117" xr:uid="{00F1B6E7-8BEC-4D34-A33F-B2182AED10A1}"/>
    <cellStyle name="20% - Accent1 3 4 2 3" xfId="15906" xr:uid="{E4018416-F9F2-4525-BE03-5D7609956CF6}"/>
    <cellStyle name="20% - Accent1 3 4 2 4" xfId="25156" xr:uid="{D32B8F5E-A709-4D5A-88E9-E7A01A62BC3B}"/>
    <cellStyle name="20% - Accent1 3 4 2 5" xfId="11695" xr:uid="{FB3CC5AA-519B-4BD7-8BF3-57EDADA365DB}"/>
    <cellStyle name="20% - Accent1 3 4 3" xfId="5339" xr:uid="{00000000-0005-0000-0000-00006E000000}"/>
    <cellStyle name="20% - Accent1 3 4 3 2" xfId="17972" xr:uid="{D36B2A1F-D5FD-47F9-9F90-8CE2C179FEC8}"/>
    <cellStyle name="20% - Accent1 3 4 4" xfId="13761" xr:uid="{9FFB2D98-0B35-4124-85E7-58880412BE50}"/>
    <cellStyle name="20% - Accent1 3 4 5" xfId="23011" xr:uid="{182ACBAF-43A8-4F60-A54D-BB850941E876}"/>
    <cellStyle name="20% - Accent1 3 4 6" xfId="9550" xr:uid="{1EC30F02-8B0E-410C-A32A-F3961A3F9252}"/>
    <cellStyle name="20% - Accent1 3 5" xfId="1443" xr:uid="{00000000-0005-0000-0000-00006F000000}"/>
    <cellStyle name="20% - Accent1 3 5 2" xfId="3673" xr:uid="{00000000-0005-0000-0000-000070000000}"/>
    <cellStyle name="20% - Accent1 3 5 2 2" xfId="7897" xr:uid="{00000000-0005-0000-0000-000071000000}"/>
    <cellStyle name="20% - Accent1 3 5 2 2 2" xfId="20530" xr:uid="{B909D890-4ACB-457E-8F62-BBDC83F30426}"/>
    <cellStyle name="20% - Accent1 3 5 2 3" xfId="16319" xr:uid="{E1B49BEB-3B70-4974-9062-55D773D01E8B}"/>
    <cellStyle name="20% - Accent1 3 5 2 4" xfId="25569" xr:uid="{559BC4DB-C38F-4C56-B804-1855C2B982BA}"/>
    <cellStyle name="20% - Accent1 3 5 2 5" xfId="12108" xr:uid="{CECFD15C-D067-43B7-AD78-2C9CDFF3C3D2}"/>
    <cellStyle name="20% - Accent1 3 5 3" xfId="5752" xr:uid="{00000000-0005-0000-0000-000072000000}"/>
    <cellStyle name="20% - Accent1 3 5 3 2" xfId="18385" xr:uid="{D529E557-6E25-42BA-BB9C-2EC0B754ABCB}"/>
    <cellStyle name="20% - Accent1 3 5 4" xfId="14174" xr:uid="{8C76E746-A18F-4A82-A5C2-BAB0428847FE}"/>
    <cellStyle name="20% - Accent1 3 5 5" xfId="23424" xr:uid="{70E225A3-2192-462E-8629-90C25F9E645C}"/>
    <cellStyle name="20% - Accent1 3 5 6" xfId="9963" xr:uid="{216A20DD-9EE1-4586-8610-3C3F55BA09C6}"/>
    <cellStyle name="20% - Accent1 3 6" xfId="1857" xr:uid="{00000000-0005-0000-0000-000073000000}"/>
    <cellStyle name="20% - Accent1 3 6 2" xfId="4086" xr:uid="{00000000-0005-0000-0000-000074000000}"/>
    <cellStyle name="20% - Accent1 3 6 2 2" xfId="8310" xr:uid="{00000000-0005-0000-0000-000075000000}"/>
    <cellStyle name="20% - Accent1 3 6 2 2 2" xfId="20943" xr:uid="{5FECB541-B1EC-4C3B-AAD3-E5074E0C5030}"/>
    <cellStyle name="20% - Accent1 3 6 2 3" xfId="16732" xr:uid="{90641D0F-D470-40D0-925C-847B6A097AA5}"/>
    <cellStyle name="20% - Accent1 3 6 2 4" xfId="25982" xr:uid="{F6961EA6-EBE3-4D1F-A369-70EFD8DFDD5F}"/>
    <cellStyle name="20% - Accent1 3 6 2 5" xfId="12521" xr:uid="{8FC48591-BBA4-45CC-BDE9-95B37A979360}"/>
    <cellStyle name="20% - Accent1 3 6 3" xfId="6165" xr:uid="{00000000-0005-0000-0000-000076000000}"/>
    <cellStyle name="20% - Accent1 3 6 3 2" xfId="18798" xr:uid="{01B2D0A2-9B07-4222-9C23-DDEC19469119}"/>
    <cellStyle name="20% - Accent1 3 6 4" xfId="14587" xr:uid="{0297AE96-0A32-4293-AF56-1C8D679CA382}"/>
    <cellStyle name="20% - Accent1 3 6 5" xfId="23837" xr:uid="{B8676299-3702-4397-8C92-8B91B23B8AE5}"/>
    <cellStyle name="20% - Accent1 3 6 6" xfId="10376" xr:uid="{320C77EE-ABF4-4D4C-A144-F780C7F39C63}"/>
    <cellStyle name="20% - Accent1 3 7" xfId="2270" xr:uid="{00000000-0005-0000-0000-000077000000}"/>
    <cellStyle name="20% - Accent1 3 7 2" xfId="6578" xr:uid="{00000000-0005-0000-0000-000078000000}"/>
    <cellStyle name="20% - Accent1 3 7 2 2" xfId="19211" xr:uid="{B759CCCB-6685-4778-BE5D-A578DC0F1745}"/>
    <cellStyle name="20% - Accent1 3 7 3" xfId="15000" xr:uid="{53F1C242-5E3F-435D-8C51-228693E75D4E}"/>
    <cellStyle name="20% - Accent1 3 7 4" xfId="24250" xr:uid="{DC619A04-A1E7-4837-B812-B2CA2975BD7B}"/>
    <cellStyle name="20% - Accent1 3 7 5" xfId="10789" xr:uid="{42E8C601-DB6D-4712-A691-C6863B31221D}"/>
    <cellStyle name="20% - Accent1 3 8" xfId="4512" xr:uid="{00000000-0005-0000-0000-000079000000}"/>
    <cellStyle name="20% - Accent1 3 8 2" xfId="17145" xr:uid="{1D4E8F6B-11B9-41DE-9FC1-2DC66ED022F7}"/>
    <cellStyle name="20% - Accent1 3 9" xfId="21356" xr:uid="{C2951777-33CB-4E22-819E-B944BD5A82F9}"/>
    <cellStyle name="20% - Accent1 4" xfId="8" xr:uid="{00000000-0005-0000-0000-00007A000000}"/>
    <cellStyle name="20% - Accent1 4 10" xfId="22186" xr:uid="{AF06B766-6253-47B6-B037-BEE35A3EAC93}"/>
    <cellStyle name="20% - Accent1 4 11" xfId="8725" xr:uid="{5D36D2C4-099F-4720-A2A2-2F141BD6A0A7}"/>
    <cellStyle name="20% - Accent1 4 2" xfId="578" xr:uid="{00000000-0005-0000-0000-00007B000000}"/>
    <cellStyle name="20% - Accent1 4 2 2" xfId="2849" xr:uid="{00000000-0005-0000-0000-00007C000000}"/>
    <cellStyle name="20% - Accent1 4 2 2 2" xfId="7073" xr:uid="{00000000-0005-0000-0000-00007D000000}"/>
    <cellStyle name="20% - Accent1 4 2 2 2 2" xfId="19706" xr:uid="{27CF1FDC-E57D-42C9-92C6-CEE29EFC0940}"/>
    <cellStyle name="20% - Accent1 4 2 2 3" xfId="15495" xr:uid="{F8B19FDD-5180-432C-9B10-F2817A7D6501}"/>
    <cellStyle name="20% - Accent1 4 2 2 4" xfId="24745" xr:uid="{D0E7EF48-B397-472E-8CC7-679973CD2BE1}"/>
    <cellStyle name="20% - Accent1 4 2 2 5" xfId="11284" xr:uid="{7B2F7F1E-C9DC-4239-81CC-5EF6B0843BDC}"/>
    <cellStyle name="20% - Accent1 4 2 3" xfId="4928" xr:uid="{00000000-0005-0000-0000-00007E000000}"/>
    <cellStyle name="20% - Accent1 4 2 3 2" xfId="17561" xr:uid="{1D5691DD-50D6-4533-847F-34E36C6057BA}"/>
    <cellStyle name="20% - Accent1 4 2 4" xfId="21771" xr:uid="{21FF18B8-EA9A-4B17-9243-DDAFA33B6516}"/>
    <cellStyle name="20% - Accent1 4 2 5" xfId="13350" xr:uid="{47B07667-3C29-45FC-B17B-38A58C0BEBCC}"/>
    <cellStyle name="20% - Accent1 4 2 6" xfId="22600" xr:uid="{F5C8E12D-7693-407B-BB47-608A27C2A89E}"/>
    <cellStyle name="20% - Accent1 4 2 7" xfId="9139" xr:uid="{9B2556B1-7129-42BF-BD1D-36AA2026F468}"/>
    <cellStyle name="20% - Accent1 4 3" xfId="1031" xr:uid="{00000000-0005-0000-0000-00007F000000}"/>
    <cellStyle name="20% - Accent1 4 3 2" xfId="3262" xr:uid="{00000000-0005-0000-0000-000080000000}"/>
    <cellStyle name="20% - Accent1 4 3 2 2" xfId="7486" xr:uid="{00000000-0005-0000-0000-000081000000}"/>
    <cellStyle name="20% - Accent1 4 3 2 2 2" xfId="20119" xr:uid="{2BB181CD-389E-4D0A-A892-DDA6FBA093B3}"/>
    <cellStyle name="20% - Accent1 4 3 2 3" xfId="15908" xr:uid="{EC9DABE3-CF81-4398-BFB6-020356B6D45B}"/>
    <cellStyle name="20% - Accent1 4 3 2 4" xfId="25158" xr:uid="{9FB7A538-F530-422E-B304-D8BF9D7D6F5C}"/>
    <cellStyle name="20% - Accent1 4 3 2 5" xfId="11697" xr:uid="{668CD76A-E8ED-47AE-88D6-09EF5B5071C9}"/>
    <cellStyle name="20% - Accent1 4 3 3" xfId="5341" xr:uid="{00000000-0005-0000-0000-000082000000}"/>
    <cellStyle name="20% - Accent1 4 3 3 2" xfId="17974" xr:uid="{FCE1353B-6BC9-4188-B656-CF44CA0A5C6E}"/>
    <cellStyle name="20% - Accent1 4 3 4" xfId="13763" xr:uid="{62A04FD1-B816-48CD-83F8-1C0231A43E5E}"/>
    <cellStyle name="20% - Accent1 4 3 5" xfId="23013" xr:uid="{D2DFDFE1-442F-405A-9E7C-E50699634752}"/>
    <cellStyle name="20% - Accent1 4 3 6" xfId="9552" xr:uid="{532CA738-9F27-414F-8E88-5C5700D6F5EB}"/>
    <cellStyle name="20% - Accent1 4 4" xfId="1445" xr:uid="{00000000-0005-0000-0000-000083000000}"/>
    <cellStyle name="20% - Accent1 4 4 2" xfId="3675" xr:uid="{00000000-0005-0000-0000-000084000000}"/>
    <cellStyle name="20% - Accent1 4 4 2 2" xfId="7899" xr:uid="{00000000-0005-0000-0000-000085000000}"/>
    <cellStyle name="20% - Accent1 4 4 2 2 2" xfId="20532" xr:uid="{DDDA0D3E-490A-4A4D-B65D-C5E14C69A61B}"/>
    <cellStyle name="20% - Accent1 4 4 2 3" xfId="16321" xr:uid="{1A871D74-1379-4E0A-AD1A-1F71970528D1}"/>
    <cellStyle name="20% - Accent1 4 4 2 4" xfId="25571" xr:uid="{FBE713D4-F3DB-4A9B-87F8-7437937BDD04}"/>
    <cellStyle name="20% - Accent1 4 4 2 5" xfId="12110" xr:uid="{C14BA98D-B5DC-4F0A-A06D-A782CCB1F203}"/>
    <cellStyle name="20% - Accent1 4 4 3" xfId="5754" xr:uid="{00000000-0005-0000-0000-000086000000}"/>
    <cellStyle name="20% - Accent1 4 4 3 2" xfId="18387" xr:uid="{56CBCB1B-11EA-452B-A362-0A0112A08E77}"/>
    <cellStyle name="20% - Accent1 4 4 4" xfId="14176" xr:uid="{1017D8F7-ACEF-4E01-9A15-8373328A41D0}"/>
    <cellStyle name="20% - Accent1 4 4 5" xfId="23426" xr:uid="{2CDED44D-3549-4E60-99DF-696170D93F66}"/>
    <cellStyle name="20% - Accent1 4 4 6" xfId="9965" xr:uid="{BEDBE0DF-734C-4A4F-8997-8D6B006B1A0C}"/>
    <cellStyle name="20% - Accent1 4 5" xfId="1859" xr:uid="{00000000-0005-0000-0000-000087000000}"/>
    <cellStyle name="20% - Accent1 4 5 2" xfId="4088" xr:uid="{00000000-0005-0000-0000-000088000000}"/>
    <cellStyle name="20% - Accent1 4 5 2 2" xfId="8312" xr:uid="{00000000-0005-0000-0000-000089000000}"/>
    <cellStyle name="20% - Accent1 4 5 2 2 2" xfId="20945" xr:uid="{0CCD5CDE-3C14-4E42-A9F0-8CE2E8255A3D}"/>
    <cellStyle name="20% - Accent1 4 5 2 3" xfId="16734" xr:uid="{46606629-4E46-4D29-AFDE-FA698071F752}"/>
    <cellStyle name="20% - Accent1 4 5 2 4" xfId="25984" xr:uid="{7EF47D11-6A6F-4D08-AA30-B62363840A34}"/>
    <cellStyle name="20% - Accent1 4 5 2 5" xfId="12523" xr:uid="{F7AA8B7F-C282-4232-8C12-8A0BD2B6AA68}"/>
    <cellStyle name="20% - Accent1 4 5 3" xfId="6167" xr:uid="{00000000-0005-0000-0000-00008A000000}"/>
    <cellStyle name="20% - Accent1 4 5 3 2" xfId="18800" xr:uid="{260D99BC-E128-489F-91AC-3AD9DCB6CA21}"/>
    <cellStyle name="20% - Accent1 4 5 4" xfId="14589" xr:uid="{6F0B470E-3C74-4F05-BCF3-0F814E02F5EA}"/>
    <cellStyle name="20% - Accent1 4 5 5" xfId="23839" xr:uid="{220C211D-76D4-405E-8CC7-11C17BAA6AEC}"/>
    <cellStyle name="20% - Accent1 4 5 6" xfId="10378" xr:uid="{68D53B46-2141-457B-B44A-D040C078426B}"/>
    <cellStyle name="20% - Accent1 4 6" xfId="2272" xr:uid="{00000000-0005-0000-0000-00008B000000}"/>
    <cellStyle name="20% - Accent1 4 6 2" xfId="6580" xr:uid="{00000000-0005-0000-0000-00008C000000}"/>
    <cellStyle name="20% - Accent1 4 6 2 2" xfId="19213" xr:uid="{152175E9-3EB0-49C6-8056-E255FA52A358}"/>
    <cellStyle name="20% - Accent1 4 6 3" xfId="15002" xr:uid="{8C16868E-44CE-4CCE-9C77-A136EBEFB4F8}"/>
    <cellStyle name="20% - Accent1 4 6 4" xfId="24252" xr:uid="{B468612F-372C-4DFF-A749-5FB2A7850059}"/>
    <cellStyle name="20% - Accent1 4 6 5" xfId="10791" xr:uid="{128A5A7A-FF8C-4131-8A95-668754F54E3A}"/>
    <cellStyle name="20% - Accent1 4 7" xfId="4514" xr:uid="{00000000-0005-0000-0000-00008D000000}"/>
    <cellStyle name="20% - Accent1 4 7 2" xfId="17147" xr:uid="{773A57F3-00C5-4FA6-B0BA-2FBC68D0C0A3}"/>
    <cellStyle name="20% - Accent1 4 8" xfId="21358" xr:uid="{5E94DBD2-8B9C-433A-A791-9477765DEE63}"/>
    <cellStyle name="20% - Accent1 4 9" xfId="12936" xr:uid="{B185873D-E432-4FC9-B02E-9081858FA64A}"/>
    <cellStyle name="20% - Accent1 5" xfId="571" xr:uid="{00000000-0005-0000-0000-00008E000000}"/>
    <cellStyle name="20% - Accent1 5 2" xfId="2842" xr:uid="{00000000-0005-0000-0000-00008F000000}"/>
    <cellStyle name="20% - Accent1 5 2 2" xfId="7066" xr:uid="{00000000-0005-0000-0000-000090000000}"/>
    <cellStyle name="20% - Accent1 5 2 2 2" xfId="19699" xr:uid="{49EF0910-2ABE-4A1C-BFC6-B58E50AD1F15}"/>
    <cellStyle name="20% - Accent1 5 2 3" xfId="15488" xr:uid="{FEE73CBA-9019-44EE-8E78-1837295B355F}"/>
    <cellStyle name="20% - Accent1 5 2 4" xfId="24738" xr:uid="{BD1AC7F0-7F5F-4179-B351-DD1040E5E574}"/>
    <cellStyle name="20% - Accent1 5 2 5" xfId="11277" xr:uid="{28D9A551-2253-4DBC-908D-16C2A737924F}"/>
    <cellStyle name="20% - Accent1 5 3" xfId="4921" xr:uid="{00000000-0005-0000-0000-000091000000}"/>
    <cellStyle name="20% - Accent1 5 3 2" xfId="17554" xr:uid="{E034F199-C7BC-409F-AC2A-1A36B544D502}"/>
    <cellStyle name="20% - Accent1 5 4" xfId="21764" xr:uid="{BAC2B26A-E393-4694-8839-169F0B9CB162}"/>
    <cellStyle name="20% - Accent1 5 5" xfId="13343" xr:uid="{73A1BB07-86CF-4F13-A29B-2B5206A59D43}"/>
    <cellStyle name="20% - Accent1 5 6" xfId="22593" xr:uid="{D7DF6295-5C5F-483A-9431-0DC499487079}"/>
    <cellStyle name="20% - Accent1 5 7" xfId="9132" xr:uid="{AEA87276-797E-4E79-85D6-98850D1901AD}"/>
    <cellStyle name="20% - Accent1 6" xfId="1024" xr:uid="{00000000-0005-0000-0000-000092000000}"/>
    <cellStyle name="20% - Accent1 6 2" xfId="3255" xr:uid="{00000000-0005-0000-0000-000093000000}"/>
    <cellStyle name="20% - Accent1 6 2 2" xfId="7479" xr:uid="{00000000-0005-0000-0000-000094000000}"/>
    <cellStyle name="20% - Accent1 6 2 2 2" xfId="20112" xr:uid="{72894C47-9202-4FBC-B0FC-17F19D78F1A5}"/>
    <cellStyle name="20% - Accent1 6 2 3" xfId="15901" xr:uid="{D80BD602-6353-4258-88AF-F870AAD5BA25}"/>
    <cellStyle name="20% - Accent1 6 2 4" xfId="25151" xr:uid="{24B85C4E-5FCE-42D9-97E3-48351CD73574}"/>
    <cellStyle name="20% - Accent1 6 2 5" xfId="11690" xr:uid="{EAD41704-56EA-497A-A3FC-7B78B2AE1E7D}"/>
    <cellStyle name="20% - Accent1 6 3" xfId="5334" xr:uid="{00000000-0005-0000-0000-000095000000}"/>
    <cellStyle name="20% - Accent1 6 3 2" xfId="17967" xr:uid="{05390526-BB6B-43B3-BB76-DB26ED503142}"/>
    <cellStyle name="20% - Accent1 6 4" xfId="13756" xr:uid="{8ED89292-D7A2-490E-A5CC-68D42B5E270B}"/>
    <cellStyle name="20% - Accent1 6 5" xfId="23006" xr:uid="{53CD89BD-CAD5-4714-9050-499805CAA36A}"/>
    <cellStyle name="20% - Accent1 6 6" xfId="9545" xr:uid="{2DDE6979-88CC-4D01-BF00-3D9718EF6CFA}"/>
    <cellStyle name="20% - Accent1 7" xfId="1438" xr:uid="{00000000-0005-0000-0000-000096000000}"/>
    <cellStyle name="20% - Accent1 7 2" xfId="3668" xr:uid="{00000000-0005-0000-0000-000097000000}"/>
    <cellStyle name="20% - Accent1 7 2 2" xfId="7892" xr:uid="{00000000-0005-0000-0000-000098000000}"/>
    <cellStyle name="20% - Accent1 7 2 2 2" xfId="20525" xr:uid="{A3CDE3FD-C2D4-4213-80AD-9503B2C55B6B}"/>
    <cellStyle name="20% - Accent1 7 2 3" xfId="16314" xr:uid="{0551999C-8576-429B-93A0-4F3A159FECE2}"/>
    <cellStyle name="20% - Accent1 7 2 4" xfId="25564" xr:uid="{86C7E429-CE75-4C0A-9A00-E847B78FBD16}"/>
    <cellStyle name="20% - Accent1 7 2 5" xfId="12103" xr:uid="{D887F4D9-5D2D-43F0-97DB-EBBEF71B3C25}"/>
    <cellStyle name="20% - Accent1 7 3" xfId="5747" xr:uid="{00000000-0005-0000-0000-000099000000}"/>
    <cellStyle name="20% - Accent1 7 3 2" xfId="18380" xr:uid="{6330C569-E76D-46A5-ADB1-D628F6EA74B4}"/>
    <cellStyle name="20% - Accent1 7 4" xfId="14169" xr:uid="{AC15215A-47F5-41F0-8AFF-F2D3159747B7}"/>
    <cellStyle name="20% - Accent1 7 5" xfId="23419" xr:uid="{94B87C15-5647-4714-8D1A-34217BA48EF3}"/>
    <cellStyle name="20% - Accent1 7 6" xfId="9958" xr:uid="{537CF037-379D-47C9-B796-A3F5F8BFA195}"/>
    <cellStyle name="20% - Accent1 8" xfId="1852" xr:uid="{00000000-0005-0000-0000-00009A000000}"/>
    <cellStyle name="20% - Accent1 8 2" xfId="4081" xr:uid="{00000000-0005-0000-0000-00009B000000}"/>
    <cellStyle name="20% - Accent1 8 2 2" xfId="8305" xr:uid="{00000000-0005-0000-0000-00009C000000}"/>
    <cellStyle name="20% - Accent1 8 2 2 2" xfId="20938" xr:uid="{740012E7-73C2-43DA-AE66-AED85F6AFA73}"/>
    <cellStyle name="20% - Accent1 8 2 3" xfId="16727" xr:uid="{BE7487F6-D08A-4803-94EB-108712684CE2}"/>
    <cellStyle name="20% - Accent1 8 2 4" xfId="25977" xr:uid="{FCECF5EC-36ED-4C7A-ADDD-7B4CC75C659A}"/>
    <cellStyle name="20% - Accent1 8 2 5" xfId="12516" xr:uid="{AED7790B-C7D3-4216-857C-0D7A98E1F8D4}"/>
    <cellStyle name="20% - Accent1 8 3" xfId="6160" xr:uid="{00000000-0005-0000-0000-00009D000000}"/>
    <cellStyle name="20% - Accent1 8 3 2" xfId="18793" xr:uid="{390B1A23-1F99-4D39-8073-66BBE85C1212}"/>
    <cellStyle name="20% - Accent1 8 4" xfId="14582" xr:uid="{46A8B684-E3A3-466E-8571-724A90A02F14}"/>
    <cellStyle name="20% - Accent1 8 5" xfId="23832" xr:uid="{25CAE02C-9934-47C0-B593-5875E6BD7770}"/>
    <cellStyle name="20% - Accent1 8 6" xfId="10371" xr:uid="{5B88740E-A821-4C7A-BEB7-6504A0A6729D}"/>
    <cellStyle name="20% - Accent1 9" xfId="2265" xr:uid="{00000000-0005-0000-0000-00009E000000}"/>
    <cellStyle name="20% - Accent1 9 2" xfId="6573" xr:uid="{00000000-0005-0000-0000-00009F000000}"/>
    <cellStyle name="20% - Accent1 9 2 2" xfId="19206" xr:uid="{85136F08-E163-4104-A23B-5997825CCE83}"/>
    <cellStyle name="20% - Accent1 9 3" xfId="14995" xr:uid="{3B06B35A-F128-4B8D-A00F-9D25D8FEDF87}"/>
    <cellStyle name="20% - Accent1 9 4" xfId="24245" xr:uid="{35563BEC-1EED-40EA-8167-33FBFE5ACE7C}"/>
    <cellStyle name="20% - Accent1 9 5" xfId="10784" xr:uid="{C2226A4D-96C6-4BE1-A183-F0FFD5B35206}"/>
    <cellStyle name="20% - Accent2" xfId="9" builtinId="34" customBuiltin="1"/>
    <cellStyle name="20% - Accent2 10" xfId="4515" xr:uid="{00000000-0005-0000-0000-0000A1000000}"/>
    <cellStyle name="20% - Accent2 10 2" xfId="17148" xr:uid="{16E44365-1205-41CD-8E33-62F61BFA7597}"/>
    <cellStyle name="20% - Accent2 11" xfId="21359" xr:uid="{AE20B7C2-38D0-45AE-8FCF-B72B5405BD78}"/>
    <cellStyle name="20% - Accent2 12" xfId="12937" xr:uid="{CB4C9537-2EBE-4FFD-A052-983CA1619227}"/>
    <cellStyle name="20% - Accent2 13" xfId="22187" xr:uid="{8B254489-3B17-41D0-B8E1-1559399DD94F}"/>
    <cellStyle name="20% - Accent2 14" xfId="8726" xr:uid="{4DFB0533-5C7F-4A1B-95CD-8CBFABEE0378}"/>
    <cellStyle name="20% - Accent2 2" xfId="10" xr:uid="{00000000-0005-0000-0000-0000A2000000}"/>
    <cellStyle name="20% - Accent2 2 10" xfId="21360" xr:uid="{1AD450F7-EBB8-4B9A-84C2-6601FAB3FA59}"/>
    <cellStyle name="20% - Accent2 2 11" xfId="12938" xr:uid="{DC9F67E1-0191-4538-924A-F3CDD26F16C7}"/>
    <cellStyle name="20% - Accent2 2 12" xfId="22188" xr:uid="{4E93BC45-E31F-4488-8D19-9AE111CB219D}"/>
    <cellStyle name="20% - Accent2 2 13" xfId="8727" xr:uid="{A1BF0E79-31AB-4630-A94D-8F0B1588EF5A}"/>
    <cellStyle name="20% - Accent2 2 2" xfId="11" xr:uid="{00000000-0005-0000-0000-0000A3000000}"/>
    <cellStyle name="20% - Accent2 2 2 10" xfId="12939" xr:uid="{8542C98C-A665-43F8-9355-AEC009E5D046}"/>
    <cellStyle name="20% - Accent2 2 2 11" xfId="22189" xr:uid="{BE4D6815-DA55-47A3-8267-B4E925DBEA2A}"/>
    <cellStyle name="20% - Accent2 2 2 12" xfId="8728" xr:uid="{BA5DB5C0-F553-4C94-A0A5-A82147BAD6CF}"/>
    <cellStyle name="20% - Accent2 2 2 2" xfId="12" xr:uid="{00000000-0005-0000-0000-0000A4000000}"/>
    <cellStyle name="20% - Accent2 2 2 2 10" xfId="22190" xr:uid="{C48F8DB5-17F8-458E-A1F9-09C2C482CAD6}"/>
    <cellStyle name="20% - Accent2 2 2 2 11" xfId="8729" xr:uid="{20E04B4D-5AFB-4DAA-86A1-994B2EF8B499}"/>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9710" xr:uid="{24F6C0F4-BD29-472C-8F7A-261749C15B12}"/>
    <cellStyle name="20% - Accent2 2 2 2 2 2 3" xfId="15499" xr:uid="{FED85199-CE5D-41C1-B637-797135D88DCC}"/>
    <cellStyle name="20% - Accent2 2 2 2 2 2 4" xfId="24749" xr:uid="{B8164305-6E9A-4600-800B-8AE58805416B}"/>
    <cellStyle name="20% - Accent2 2 2 2 2 2 5" xfId="11288" xr:uid="{49EDD4B5-3E79-47AE-A825-119B2DF73E52}"/>
    <cellStyle name="20% - Accent2 2 2 2 2 3" xfId="4932" xr:uid="{00000000-0005-0000-0000-0000A8000000}"/>
    <cellStyle name="20% - Accent2 2 2 2 2 3 2" xfId="17565" xr:uid="{517744BC-878B-4C5C-A7AA-D88D42BD757C}"/>
    <cellStyle name="20% - Accent2 2 2 2 2 4" xfId="21775" xr:uid="{6D727298-3055-4674-9325-8828FA0D3F20}"/>
    <cellStyle name="20% - Accent2 2 2 2 2 5" xfId="13354" xr:uid="{FFEC93F3-B065-4DD1-8988-2B9668920DFE}"/>
    <cellStyle name="20% - Accent2 2 2 2 2 6" xfId="22604" xr:uid="{6EEBD2B9-6FCA-4D32-901B-39D1D1AD53A1}"/>
    <cellStyle name="20% - Accent2 2 2 2 2 7" xfId="9143" xr:uid="{C759DD0A-9225-4AF6-9273-93CB92CF9363}"/>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20123" xr:uid="{67DB675B-7560-4CE4-973A-240402D30DFD}"/>
    <cellStyle name="20% - Accent2 2 2 2 3 2 3" xfId="15912" xr:uid="{51CC1391-7048-431C-B197-2096654546F9}"/>
    <cellStyle name="20% - Accent2 2 2 2 3 2 4" xfId="25162" xr:uid="{447B02F9-782C-4577-8B1C-B8290429F752}"/>
    <cellStyle name="20% - Accent2 2 2 2 3 2 5" xfId="11701" xr:uid="{29D80FA3-F95D-4987-B41F-D331F5F6BF9F}"/>
    <cellStyle name="20% - Accent2 2 2 2 3 3" xfId="5345" xr:uid="{00000000-0005-0000-0000-0000AC000000}"/>
    <cellStyle name="20% - Accent2 2 2 2 3 3 2" xfId="17978" xr:uid="{8199F003-5D6D-4B0D-BAB7-EC52CC201B06}"/>
    <cellStyle name="20% - Accent2 2 2 2 3 4" xfId="13767" xr:uid="{7F18363E-BEDE-4C17-B5AB-CE0672A3FB76}"/>
    <cellStyle name="20% - Accent2 2 2 2 3 5" xfId="23017" xr:uid="{EA12F1F6-5374-4CAC-8929-A17A2BBA463B}"/>
    <cellStyle name="20% - Accent2 2 2 2 3 6" xfId="9556" xr:uid="{C03A8CFB-D713-47EC-981E-E76F69BA42F8}"/>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20536" xr:uid="{BF567D99-F3C5-4EBD-94F9-BEC98B10CB29}"/>
    <cellStyle name="20% - Accent2 2 2 2 4 2 3" xfId="16325" xr:uid="{6125D61B-133A-41BC-99F6-B50B021BF0D1}"/>
    <cellStyle name="20% - Accent2 2 2 2 4 2 4" xfId="25575" xr:uid="{3E78D548-FD5C-47E9-A0C6-EF07B542DE2F}"/>
    <cellStyle name="20% - Accent2 2 2 2 4 2 5" xfId="12114" xr:uid="{3D154925-DEBA-4DFA-856A-54B43585F508}"/>
    <cellStyle name="20% - Accent2 2 2 2 4 3" xfId="5758" xr:uid="{00000000-0005-0000-0000-0000B0000000}"/>
    <cellStyle name="20% - Accent2 2 2 2 4 3 2" xfId="18391" xr:uid="{29ED42B3-FAE7-4D89-BA65-975E46B93D6C}"/>
    <cellStyle name="20% - Accent2 2 2 2 4 4" xfId="14180" xr:uid="{07E826F8-FF08-4E09-839C-AFA1CADC1AB8}"/>
    <cellStyle name="20% - Accent2 2 2 2 4 5" xfId="23430" xr:uid="{8F3EEE36-E651-4344-AA2E-244B641B3349}"/>
    <cellStyle name="20% - Accent2 2 2 2 4 6" xfId="9969" xr:uid="{ECB67E25-23D8-4106-B1B3-8D47136390BD}"/>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20949" xr:uid="{8D8178F7-5356-4EFA-B543-0446219B6822}"/>
    <cellStyle name="20% - Accent2 2 2 2 5 2 3" xfId="16738" xr:uid="{151C2DC7-C0EA-472E-8EC4-8247F4FF449F}"/>
    <cellStyle name="20% - Accent2 2 2 2 5 2 4" xfId="25988" xr:uid="{72E11C26-CAAC-421E-A85D-53E4A3787D4F}"/>
    <cellStyle name="20% - Accent2 2 2 2 5 2 5" xfId="12527" xr:uid="{A795899E-12D0-418B-9E98-6A55623109C4}"/>
    <cellStyle name="20% - Accent2 2 2 2 5 3" xfId="6171" xr:uid="{00000000-0005-0000-0000-0000B4000000}"/>
    <cellStyle name="20% - Accent2 2 2 2 5 3 2" xfId="18804" xr:uid="{AF664A46-5D3F-4250-B666-00E4ACD7C663}"/>
    <cellStyle name="20% - Accent2 2 2 2 5 4" xfId="14593" xr:uid="{DE938DEF-0464-44F4-A7B1-A1F491981632}"/>
    <cellStyle name="20% - Accent2 2 2 2 5 5" xfId="23843" xr:uid="{4C5E4FED-D7A3-496C-B48C-99263A0AD4FE}"/>
    <cellStyle name="20% - Accent2 2 2 2 5 6" xfId="10382" xr:uid="{A0925B09-A60A-42FE-9E68-ED313E098F4D}"/>
    <cellStyle name="20% - Accent2 2 2 2 6" xfId="2276" xr:uid="{00000000-0005-0000-0000-0000B5000000}"/>
    <cellStyle name="20% - Accent2 2 2 2 6 2" xfId="6584" xr:uid="{00000000-0005-0000-0000-0000B6000000}"/>
    <cellStyle name="20% - Accent2 2 2 2 6 2 2" xfId="19217" xr:uid="{575093DD-3A03-449F-B86B-84C1FE283C8B}"/>
    <cellStyle name="20% - Accent2 2 2 2 6 3" xfId="15006" xr:uid="{04E57759-ADEB-4F14-A8BE-DD141C7593C3}"/>
    <cellStyle name="20% - Accent2 2 2 2 6 4" xfId="24256" xr:uid="{7B2058E1-A885-4AF6-A8D6-8416981768F7}"/>
    <cellStyle name="20% - Accent2 2 2 2 6 5" xfId="10795" xr:uid="{73B0C917-2DAA-4349-823C-8AFF921EDD24}"/>
    <cellStyle name="20% - Accent2 2 2 2 7" xfId="4518" xr:uid="{00000000-0005-0000-0000-0000B7000000}"/>
    <cellStyle name="20% - Accent2 2 2 2 7 2" xfId="17151" xr:uid="{69C32EB2-7807-40D7-9C33-4C4BF544C9FF}"/>
    <cellStyle name="20% - Accent2 2 2 2 8" xfId="21362" xr:uid="{674C2F44-A84C-4CA4-A704-FB5A7127D9A5}"/>
    <cellStyle name="20% - Accent2 2 2 2 9" xfId="12940" xr:uid="{C4EF5953-F78C-4A05-B9EB-64A9925BD6F1}"/>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9709" xr:uid="{1FF308EB-C8FC-422E-AB03-B94CD9EEB6E6}"/>
    <cellStyle name="20% - Accent2 2 2 3 2 3" xfId="15498" xr:uid="{F5F83336-AADE-4055-BDA3-598F53FB71EE}"/>
    <cellStyle name="20% - Accent2 2 2 3 2 4" xfId="24748" xr:uid="{B3727121-83CC-4463-81B6-5D87578A37AE}"/>
    <cellStyle name="20% - Accent2 2 2 3 2 5" xfId="11287" xr:uid="{5017BB6A-B6B8-41D8-B058-D8550E1FC6C6}"/>
    <cellStyle name="20% - Accent2 2 2 3 3" xfId="4931" xr:uid="{00000000-0005-0000-0000-0000BB000000}"/>
    <cellStyle name="20% - Accent2 2 2 3 3 2" xfId="17564" xr:uid="{86E229B6-60F2-4DEA-BFC6-241C0715EAAE}"/>
    <cellStyle name="20% - Accent2 2 2 3 4" xfId="21774" xr:uid="{9B47B461-9217-4D7B-BB1B-F40252255EBB}"/>
    <cellStyle name="20% - Accent2 2 2 3 5" xfId="13353" xr:uid="{BFCC55D3-8E82-48A0-8CED-54692C73093D}"/>
    <cellStyle name="20% - Accent2 2 2 3 6" xfId="22603" xr:uid="{28957617-3A4F-4654-80AD-CC0FD306DCC8}"/>
    <cellStyle name="20% - Accent2 2 2 3 7" xfId="9142" xr:uid="{8914A0B4-E7F2-4EF1-BD6C-46BAD4CFE82E}"/>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20122" xr:uid="{FE577424-E561-4E67-992B-EF48C1273A92}"/>
    <cellStyle name="20% - Accent2 2 2 4 2 3" xfId="15911" xr:uid="{47712E5C-4861-483F-8710-F2EB14C00728}"/>
    <cellStyle name="20% - Accent2 2 2 4 2 4" xfId="25161" xr:uid="{7C733FBC-40A3-4AE5-BB4D-ED7F7E2017A7}"/>
    <cellStyle name="20% - Accent2 2 2 4 2 5" xfId="11700" xr:uid="{7AF08EC1-A44B-4669-96BA-6160A9F8511A}"/>
    <cellStyle name="20% - Accent2 2 2 4 3" xfId="5344" xr:uid="{00000000-0005-0000-0000-0000BF000000}"/>
    <cellStyle name="20% - Accent2 2 2 4 3 2" xfId="17977" xr:uid="{EAC70541-20F6-4FC7-92B5-363C73187DDF}"/>
    <cellStyle name="20% - Accent2 2 2 4 4" xfId="13766" xr:uid="{C353DC74-9D42-4BBC-B258-5C4FE80BC059}"/>
    <cellStyle name="20% - Accent2 2 2 4 5" xfId="23016" xr:uid="{A407D018-153C-4144-91E6-DC4C42D81384}"/>
    <cellStyle name="20% - Accent2 2 2 4 6" xfId="9555" xr:uid="{0ABC4876-EBEC-46DA-B130-AF6F8CDA2190}"/>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20535" xr:uid="{47EF566D-84B7-418C-AF2E-CF7061E2E1A6}"/>
    <cellStyle name="20% - Accent2 2 2 5 2 3" xfId="16324" xr:uid="{2A37F560-1370-43D5-B056-11A940BCCC5C}"/>
    <cellStyle name="20% - Accent2 2 2 5 2 4" xfId="25574" xr:uid="{7A4EFC78-8040-4841-A108-6515CB9DA45A}"/>
    <cellStyle name="20% - Accent2 2 2 5 2 5" xfId="12113" xr:uid="{03667001-F50B-481E-8968-C026212685C7}"/>
    <cellStyle name="20% - Accent2 2 2 5 3" xfId="5757" xr:uid="{00000000-0005-0000-0000-0000C3000000}"/>
    <cellStyle name="20% - Accent2 2 2 5 3 2" xfId="18390" xr:uid="{F458CE80-F443-4F80-8147-16ADF91CFCFB}"/>
    <cellStyle name="20% - Accent2 2 2 5 4" xfId="14179" xr:uid="{B1432975-D2D2-4DAE-B24C-83E19CD54AA2}"/>
    <cellStyle name="20% - Accent2 2 2 5 5" xfId="23429" xr:uid="{2BAADAAB-A60F-453C-AFCA-61FF08AEEA7F}"/>
    <cellStyle name="20% - Accent2 2 2 5 6" xfId="9968" xr:uid="{7EC12DA6-0166-4472-A2EF-6F96532844A6}"/>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20948" xr:uid="{BFA109A1-B78F-4526-8CAD-C993CCC2A73E}"/>
    <cellStyle name="20% - Accent2 2 2 6 2 3" xfId="16737" xr:uid="{5340552F-687A-491F-BE12-C9C07FAC2B64}"/>
    <cellStyle name="20% - Accent2 2 2 6 2 4" xfId="25987" xr:uid="{BBEB82B1-A107-4ABF-95E9-57E0C073DAA1}"/>
    <cellStyle name="20% - Accent2 2 2 6 2 5" xfId="12526" xr:uid="{BD29003A-CC47-4983-B47B-E486133FB799}"/>
    <cellStyle name="20% - Accent2 2 2 6 3" xfId="6170" xr:uid="{00000000-0005-0000-0000-0000C7000000}"/>
    <cellStyle name="20% - Accent2 2 2 6 3 2" xfId="18803" xr:uid="{71799E96-2A31-44B8-91C1-AEC8D75285B7}"/>
    <cellStyle name="20% - Accent2 2 2 6 4" xfId="14592" xr:uid="{23328F0C-53DF-4935-8D2C-8070C6637FD4}"/>
    <cellStyle name="20% - Accent2 2 2 6 5" xfId="23842" xr:uid="{24CA399E-6FA2-4697-8E3D-C0FE16E9C27B}"/>
    <cellStyle name="20% - Accent2 2 2 6 6" xfId="10381" xr:uid="{6565F306-5F7F-4DAF-BA8F-83725A7842F9}"/>
    <cellStyle name="20% - Accent2 2 2 7" xfId="2275" xr:uid="{00000000-0005-0000-0000-0000C8000000}"/>
    <cellStyle name="20% - Accent2 2 2 7 2" xfId="6583" xr:uid="{00000000-0005-0000-0000-0000C9000000}"/>
    <cellStyle name="20% - Accent2 2 2 7 2 2" xfId="19216" xr:uid="{84553EF5-6CBE-4B4E-949A-9867A6D6B8E8}"/>
    <cellStyle name="20% - Accent2 2 2 7 3" xfId="15005" xr:uid="{B4FD3FAF-66E6-4871-8EA1-4F644CB19934}"/>
    <cellStyle name="20% - Accent2 2 2 7 4" xfId="24255" xr:uid="{487C96BE-BF43-450F-9C20-391B2FE3B691}"/>
    <cellStyle name="20% - Accent2 2 2 7 5" xfId="10794" xr:uid="{C6B70DE3-A5FD-4942-BB73-DC454D613CF7}"/>
    <cellStyle name="20% - Accent2 2 2 8" xfId="4517" xr:uid="{00000000-0005-0000-0000-0000CA000000}"/>
    <cellStyle name="20% - Accent2 2 2 8 2" xfId="17150" xr:uid="{D927D5F6-368C-4B12-8BAC-E570C69924A2}"/>
    <cellStyle name="20% - Accent2 2 2 9" xfId="21361" xr:uid="{DE5C5F2A-657C-4C65-BBF6-5DB87D864A92}"/>
    <cellStyle name="20% - Accent2 2 3" xfId="13" xr:uid="{00000000-0005-0000-0000-0000CB000000}"/>
    <cellStyle name="20% - Accent2 2 3 10" xfId="22191" xr:uid="{5711AF1D-B669-40B7-9611-F98085273C7D}"/>
    <cellStyle name="20% - Accent2 2 3 11" xfId="8730" xr:uid="{85E1556C-74E0-4413-8E36-89B093F586B2}"/>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9711" xr:uid="{521982E3-498E-451D-B77F-462920B2140C}"/>
    <cellStyle name="20% - Accent2 2 3 2 2 3" xfId="15500" xr:uid="{35F39644-8846-40C9-8D19-0B14653D25CF}"/>
    <cellStyle name="20% - Accent2 2 3 2 2 4" xfId="24750" xr:uid="{4A6D1C80-967D-4D20-9EC3-ADAC54191B49}"/>
    <cellStyle name="20% - Accent2 2 3 2 2 5" xfId="11289" xr:uid="{5732F7D7-4702-4CFC-85C8-51A5EF671836}"/>
    <cellStyle name="20% - Accent2 2 3 2 3" xfId="4933" xr:uid="{00000000-0005-0000-0000-0000CF000000}"/>
    <cellStyle name="20% - Accent2 2 3 2 3 2" xfId="17566" xr:uid="{2DDB5F6E-2664-4957-899C-CCE138BF50FB}"/>
    <cellStyle name="20% - Accent2 2 3 2 4" xfId="21776" xr:uid="{82AA7673-4D7E-44A9-A592-73FE23032E55}"/>
    <cellStyle name="20% - Accent2 2 3 2 5" xfId="13355" xr:uid="{1021A45E-F77A-42FD-B30D-26F9ADEC2855}"/>
    <cellStyle name="20% - Accent2 2 3 2 6" xfId="22605" xr:uid="{3954A43F-A1BA-49DE-BDE9-BEDF1A9FFC71}"/>
    <cellStyle name="20% - Accent2 2 3 2 7" xfId="9144" xr:uid="{752C75BB-A44F-40B9-BD72-3ACC31AE8CDB}"/>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20124" xr:uid="{197795CC-28FF-4913-A21F-D78938295117}"/>
    <cellStyle name="20% - Accent2 2 3 3 2 3" xfId="15913" xr:uid="{FF3C4771-1E80-4276-835F-273D4BD1A30B}"/>
    <cellStyle name="20% - Accent2 2 3 3 2 4" xfId="25163" xr:uid="{176C4091-8051-40DE-9BCF-2E398DC7971B}"/>
    <cellStyle name="20% - Accent2 2 3 3 2 5" xfId="11702" xr:uid="{715A1670-5BE9-44D7-8055-334E096437A7}"/>
    <cellStyle name="20% - Accent2 2 3 3 3" xfId="5346" xr:uid="{00000000-0005-0000-0000-0000D3000000}"/>
    <cellStyle name="20% - Accent2 2 3 3 3 2" xfId="17979" xr:uid="{FFCA6CCD-F86F-4AC4-B5A7-BDCE514A7215}"/>
    <cellStyle name="20% - Accent2 2 3 3 4" xfId="13768" xr:uid="{26D1E9DF-EBBC-4145-8706-87C13F48EAEF}"/>
    <cellStyle name="20% - Accent2 2 3 3 5" xfId="23018" xr:uid="{FF479CAE-9D34-47A2-A8A0-79BAAFA1AEC7}"/>
    <cellStyle name="20% - Accent2 2 3 3 6" xfId="9557" xr:uid="{29A1273C-EDB2-4084-A901-4690B64692D0}"/>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20537" xr:uid="{5538939C-8321-4ACE-8374-3173A226F730}"/>
    <cellStyle name="20% - Accent2 2 3 4 2 3" xfId="16326" xr:uid="{025994B9-6045-4EA7-A59C-8E16EE41C8DD}"/>
    <cellStyle name="20% - Accent2 2 3 4 2 4" xfId="25576" xr:uid="{0A81E9FA-F47F-4295-A7B4-43E57BEA05A4}"/>
    <cellStyle name="20% - Accent2 2 3 4 2 5" xfId="12115" xr:uid="{0506911F-3F89-44EA-A434-2304CBC665B0}"/>
    <cellStyle name="20% - Accent2 2 3 4 3" xfId="5759" xr:uid="{00000000-0005-0000-0000-0000D7000000}"/>
    <cellStyle name="20% - Accent2 2 3 4 3 2" xfId="18392" xr:uid="{FD4C2976-6328-4A6B-B7AC-9C15833F95C4}"/>
    <cellStyle name="20% - Accent2 2 3 4 4" xfId="14181" xr:uid="{873A0ABF-3535-4C07-B087-78B3133660F6}"/>
    <cellStyle name="20% - Accent2 2 3 4 5" xfId="23431" xr:uid="{74B788B2-33FF-4AED-AC3D-B580027B99A9}"/>
    <cellStyle name="20% - Accent2 2 3 4 6" xfId="9970" xr:uid="{B39A25AF-4690-4D83-A425-214D60928324}"/>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20950" xr:uid="{A28C1902-1282-42A7-B3A1-BFCFF695BF59}"/>
    <cellStyle name="20% - Accent2 2 3 5 2 3" xfId="16739" xr:uid="{2A4DAB47-9488-43C8-A99F-21709A739EC0}"/>
    <cellStyle name="20% - Accent2 2 3 5 2 4" xfId="25989" xr:uid="{191F81BF-860D-4962-81B2-591D3593ACBB}"/>
    <cellStyle name="20% - Accent2 2 3 5 2 5" xfId="12528" xr:uid="{7B33E541-147D-40FC-B6D6-076DC2E3008F}"/>
    <cellStyle name="20% - Accent2 2 3 5 3" xfId="6172" xr:uid="{00000000-0005-0000-0000-0000DB000000}"/>
    <cellStyle name="20% - Accent2 2 3 5 3 2" xfId="18805" xr:uid="{314EBE72-543C-41F4-BA74-E0910ED4BC00}"/>
    <cellStyle name="20% - Accent2 2 3 5 4" xfId="14594" xr:uid="{3E88559D-0FDE-4E36-9F30-D00B60594E41}"/>
    <cellStyle name="20% - Accent2 2 3 5 5" xfId="23844" xr:uid="{EBDFB950-346B-41DB-9073-8E29D7B1D4D8}"/>
    <cellStyle name="20% - Accent2 2 3 5 6" xfId="10383" xr:uid="{16954C60-095D-4545-BFC6-3A1460C8BF8D}"/>
    <cellStyle name="20% - Accent2 2 3 6" xfId="2277" xr:uid="{00000000-0005-0000-0000-0000DC000000}"/>
    <cellStyle name="20% - Accent2 2 3 6 2" xfId="6585" xr:uid="{00000000-0005-0000-0000-0000DD000000}"/>
    <cellStyle name="20% - Accent2 2 3 6 2 2" xfId="19218" xr:uid="{580D23F4-D6D2-4F3A-B686-9BDF49AA3E9A}"/>
    <cellStyle name="20% - Accent2 2 3 6 3" xfId="15007" xr:uid="{AE70E885-D74D-4082-8D7F-7C8E83060EC7}"/>
    <cellStyle name="20% - Accent2 2 3 6 4" xfId="24257" xr:uid="{BD134BED-3B27-4892-A0DA-58BD6E2D2B26}"/>
    <cellStyle name="20% - Accent2 2 3 6 5" xfId="10796" xr:uid="{A99E352F-B9ED-407F-9DCF-64E6BD558C6B}"/>
    <cellStyle name="20% - Accent2 2 3 7" xfId="4519" xr:uid="{00000000-0005-0000-0000-0000DE000000}"/>
    <cellStyle name="20% - Accent2 2 3 7 2" xfId="17152" xr:uid="{B8B51BDB-9264-41F1-9A98-96A52C0F3CD6}"/>
    <cellStyle name="20% - Accent2 2 3 8" xfId="21363" xr:uid="{43750D63-993D-40B4-95BE-960717055EEF}"/>
    <cellStyle name="20% - Accent2 2 3 9" xfId="12941" xr:uid="{89302BA7-18F4-4240-BF3D-62DC53735B76}"/>
    <cellStyle name="20% - Accent2 2 4" xfId="580" xr:uid="{00000000-0005-0000-0000-0000DF000000}"/>
    <cellStyle name="20% - Accent2 2 4 2" xfId="2851" xr:uid="{00000000-0005-0000-0000-0000E0000000}"/>
    <cellStyle name="20% - Accent2 2 4 2 2" xfId="7075" xr:uid="{00000000-0005-0000-0000-0000E1000000}"/>
    <cellStyle name="20% - Accent2 2 4 2 2 2" xfId="19708" xr:uid="{811FD7DE-79DA-478A-BA20-45CB3B9990A2}"/>
    <cellStyle name="20% - Accent2 2 4 2 3" xfId="15497" xr:uid="{9B94C4DA-8692-4401-9188-F5A7DE508EC5}"/>
    <cellStyle name="20% - Accent2 2 4 2 4" xfId="24747" xr:uid="{5FBA54DB-B13D-4313-86B8-B0CFC5CD63B9}"/>
    <cellStyle name="20% - Accent2 2 4 2 5" xfId="11286" xr:uid="{75ECB9AB-2E4F-4887-B63F-0742DE50DEE0}"/>
    <cellStyle name="20% - Accent2 2 4 3" xfId="4930" xr:uid="{00000000-0005-0000-0000-0000E2000000}"/>
    <cellStyle name="20% - Accent2 2 4 3 2" xfId="17563" xr:uid="{AE4245BA-BE9E-491F-AF85-B1114B98679D}"/>
    <cellStyle name="20% - Accent2 2 4 4" xfId="21773" xr:uid="{9E8A8F74-A029-4F07-A670-8ACEAABA7A8E}"/>
    <cellStyle name="20% - Accent2 2 4 5" xfId="13352" xr:uid="{83CFE5B2-D6EC-4835-B247-0DFCF794A3F9}"/>
    <cellStyle name="20% - Accent2 2 4 6" xfId="22602" xr:uid="{680833EE-8FAA-449A-A9B2-FDA92DB3A714}"/>
    <cellStyle name="20% - Accent2 2 4 7" xfId="9141" xr:uid="{99995E48-4B03-40D2-870C-65A827830B30}"/>
    <cellStyle name="20% - Accent2 2 5" xfId="1033" xr:uid="{00000000-0005-0000-0000-0000E3000000}"/>
    <cellStyle name="20% - Accent2 2 5 2" xfId="3264" xr:uid="{00000000-0005-0000-0000-0000E4000000}"/>
    <cellStyle name="20% - Accent2 2 5 2 2" xfId="7488" xr:uid="{00000000-0005-0000-0000-0000E5000000}"/>
    <cellStyle name="20% - Accent2 2 5 2 2 2" xfId="20121" xr:uid="{2925BCAF-7A83-4905-B5C6-6385553D391D}"/>
    <cellStyle name="20% - Accent2 2 5 2 3" xfId="15910" xr:uid="{60FE3453-81A1-4D1F-BC55-C64DB14989CF}"/>
    <cellStyle name="20% - Accent2 2 5 2 4" xfId="25160" xr:uid="{69210C7D-C045-4ABE-B174-5959ABA8677B}"/>
    <cellStyle name="20% - Accent2 2 5 2 5" xfId="11699" xr:uid="{5C00B2A2-B7E6-485D-8F2B-D92717E83875}"/>
    <cellStyle name="20% - Accent2 2 5 3" xfId="5343" xr:uid="{00000000-0005-0000-0000-0000E6000000}"/>
    <cellStyle name="20% - Accent2 2 5 3 2" xfId="17976" xr:uid="{FE300C88-493F-4C7D-BE8A-336DB9B33E29}"/>
    <cellStyle name="20% - Accent2 2 5 4" xfId="13765" xr:uid="{53781455-D72D-4857-BD0C-5E8F86692267}"/>
    <cellStyle name="20% - Accent2 2 5 5" xfId="23015" xr:uid="{B08DA358-791D-4735-AEA4-DD087AA14B0F}"/>
    <cellStyle name="20% - Accent2 2 5 6" xfId="9554" xr:uid="{DFA9DC0B-6F97-4D56-831A-ACE2776A07B9}"/>
    <cellStyle name="20% - Accent2 2 6" xfId="1447" xr:uid="{00000000-0005-0000-0000-0000E7000000}"/>
    <cellStyle name="20% - Accent2 2 6 2" xfId="3677" xr:uid="{00000000-0005-0000-0000-0000E8000000}"/>
    <cellStyle name="20% - Accent2 2 6 2 2" xfId="7901" xr:uid="{00000000-0005-0000-0000-0000E9000000}"/>
    <cellStyle name="20% - Accent2 2 6 2 2 2" xfId="20534" xr:uid="{3BE574A3-0B70-4158-9333-31500F75DD8F}"/>
    <cellStyle name="20% - Accent2 2 6 2 3" xfId="16323" xr:uid="{FA305F38-B807-4446-BE49-7077C6116075}"/>
    <cellStyle name="20% - Accent2 2 6 2 4" xfId="25573" xr:uid="{EA396221-487F-4C16-A445-24CB989F6740}"/>
    <cellStyle name="20% - Accent2 2 6 2 5" xfId="12112" xr:uid="{6618DC15-7ADA-4BE8-9D12-3C27CE76483D}"/>
    <cellStyle name="20% - Accent2 2 6 3" xfId="5756" xr:uid="{00000000-0005-0000-0000-0000EA000000}"/>
    <cellStyle name="20% - Accent2 2 6 3 2" xfId="18389" xr:uid="{0A782602-0E1E-4881-B710-7821688E3574}"/>
    <cellStyle name="20% - Accent2 2 6 4" xfId="14178" xr:uid="{A5F01921-AF0A-4B37-8518-B5079351B1F1}"/>
    <cellStyle name="20% - Accent2 2 6 5" xfId="23428" xr:uid="{685B76D6-A9F5-459A-97E2-7B771A404912}"/>
    <cellStyle name="20% - Accent2 2 6 6" xfId="9967" xr:uid="{76D8142A-94ED-4EED-8B80-07A28E7BA262}"/>
    <cellStyle name="20% - Accent2 2 7" xfId="1861" xr:uid="{00000000-0005-0000-0000-0000EB000000}"/>
    <cellStyle name="20% - Accent2 2 7 2" xfId="4090" xr:uid="{00000000-0005-0000-0000-0000EC000000}"/>
    <cellStyle name="20% - Accent2 2 7 2 2" xfId="8314" xr:uid="{00000000-0005-0000-0000-0000ED000000}"/>
    <cellStyle name="20% - Accent2 2 7 2 2 2" xfId="20947" xr:uid="{C24B63D2-ADC6-4711-AD35-2F54CB5D275B}"/>
    <cellStyle name="20% - Accent2 2 7 2 3" xfId="16736" xr:uid="{7283D2C9-9248-415E-B9D7-BA7DDA39AFDC}"/>
    <cellStyle name="20% - Accent2 2 7 2 4" xfId="25986" xr:uid="{5ACDA616-F2C2-4B24-BE5F-FFDEE6DF4A0A}"/>
    <cellStyle name="20% - Accent2 2 7 2 5" xfId="12525" xr:uid="{78DE5B55-977C-41BA-B949-444AB92FCBB7}"/>
    <cellStyle name="20% - Accent2 2 7 3" xfId="6169" xr:uid="{00000000-0005-0000-0000-0000EE000000}"/>
    <cellStyle name="20% - Accent2 2 7 3 2" xfId="18802" xr:uid="{E3D29FE9-EC37-44FF-8956-2C4EBC4FEAF1}"/>
    <cellStyle name="20% - Accent2 2 7 4" xfId="14591" xr:uid="{81363DF7-574B-4619-90EF-21B03A721A2B}"/>
    <cellStyle name="20% - Accent2 2 7 5" xfId="23841" xr:uid="{48D1BDD1-668E-4025-A227-3B0C6A24A6BB}"/>
    <cellStyle name="20% - Accent2 2 7 6" xfId="10380" xr:uid="{152970D6-BC0C-4A3B-82EF-649A2C5D9E49}"/>
    <cellStyle name="20% - Accent2 2 8" xfId="2274" xr:uid="{00000000-0005-0000-0000-0000EF000000}"/>
    <cellStyle name="20% - Accent2 2 8 2" xfId="6582" xr:uid="{00000000-0005-0000-0000-0000F0000000}"/>
    <cellStyle name="20% - Accent2 2 8 2 2" xfId="19215" xr:uid="{DE6F916C-5E82-48D7-83CC-C4079930F8DB}"/>
    <cellStyle name="20% - Accent2 2 8 3" xfId="15004" xr:uid="{C0265D5A-3A0A-4327-9E57-6E63DA0670DF}"/>
    <cellStyle name="20% - Accent2 2 8 4" xfId="24254" xr:uid="{7E42C177-4816-4A7A-8037-F61B6A190657}"/>
    <cellStyle name="20% - Accent2 2 8 5" xfId="10793" xr:uid="{5FEE3B56-9992-4AC4-9418-993024B3C250}"/>
    <cellStyle name="20% - Accent2 2 9" xfId="4516" xr:uid="{00000000-0005-0000-0000-0000F1000000}"/>
    <cellStyle name="20% - Accent2 2 9 2" xfId="17149" xr:uid="{BCF6226B-4A10-4CF0-BE1D-540EBE96078A}"/>
    <cellStyle name="20% - Accent2 3" xfId="14" xr:uid="{00000000-0005-0000-0000-0000F2000000}"/>
    <cellStyle name="20% - Accent2 3 10" xfId="12942" xr:uid="{119C7AFE-878F-422A-A52E-02DF8583042C}"/>
    <cellStyle name="20% - Accent2 3 11" xfId="22192" xr:uid="{8C2F4DDC-68AC-4C5A-AD3B-323B582274B7}"/>
    <cellStyle name="20% - Accent2 3 12" xfId="8731" xr:uid="{376EC087-F928-4457-AF9B-199A734B8CB2}"/>
    <cellStyle name="20% - Accent2 3 2" xfId="15" xr:uid="{00000000-0005-0000-0000-0000F3000000}"/>
    <cellStyle name="20% - Accent2 3 2 10" xfId="22193" xr:uid="{A68AF307-590A-466B-BE21-503CC1D3BABA}"/>
    <cellStyle name="20% - Accent2 3 2 11" xfId="8732" xr:uid="{4DF23F3C-BF4F-4A33-A92B-4CCBE6C3CAD1}"/>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9713" xr:uid="{BCD2A8BD-D364-4D76-B4DC-F6488D7D52F2}"/>
    <cellStyle name="20% - Accent2 3 2 2 2 3" xfId="15502" xr:uid="{0E353704-33AA-42CB-BAAF-51FF56F460E3}"/>
    <cellStyle name="20% - Accent2 3 2 2 2 4" xfId="24752" xr:uid="{DF0DF5DD-E972-433B-BCD1-77A038187107}"/>
    <cellStyle name="20% - Accent2 3 2 2 2 5" xfId="11291" xr:uid="{056A5FF3-7BEA-43CD-B32A-BB3C79CB133D}"/>
    <cellStyle name="20% - Accent2 3 2 2 3" xfId="4935" xr:uid="{00000000-0005-0000-0000-0000F7000000}"/>
    <cellStyle name="20% - Accent2 3 2 2 3 2" xfId="17568" xr:uid="{925F7758-830A-4651-A473-E904219529BB}"/>
    <cellStyle name="20% - Accent2 3 2 2 4" xfId="21778" xr:uid="{C0B50969-0177-4C62-9BC6-36EC48372AF6}"/>
    <cellStyle name="20% - Accent2 3 2 2 5" xfId="13357" xr:uid="{295E229B-11B0-4AB7-B357-52114CB2D220}"/>
    <cellStyle name="20% - Accent2 3 2 2 6" xfId="22607" xr:uid="{75294664-DEAB-49C8-9AD1-2CCEA9EA69C7}"/>
    <cellStyle name="20% - Accent2 3 2 2 7" xfId="9146" xr:uid="{57C49477-65E7-4196-8E95-6C46C7551534}"/>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20126" xr:uid="{B6571F18-7712-4547-A1CD-4C7C32E97BD7}"/>
    <cellStyle name="20% - Accent2 3 2 3 2 3" xfId="15915" xr:uid="{51A8C9CB-A334-4A6E-AA87-96C4F6A52580}"/>
    <cellStyle name="20% - Accent2 3 2 3 2 4" xfId="25165" xr:uid="{29C7C459-E8F8-4E4D-A306-AD28C1DEF910}"/>
    <cellStyle name="20% - Accent2 3 2 3 2 5" xfId="11704" xr:uid="{0BBDA6BD-3267-41E3-AB90-6BFDBE8918C7}"/>
    <cellStyle name="20% - Accent2 3 2 3 3" xfId="5348" xr:uid="{00000000-0005-0000-0000-0000FB000000}"/>
    <cellStyle name="20% - Accent2 3 2 3 3 2" xfId="17981" xr:uid="{FF576B78-2A3A-4BC9-A2F8-BF812E783E94}"/>
    <cellStyle name="20% - Accent2 3 2 3 4" xfId="13770" xr:uid="{EE04FF17-6B3C-40C0-9D11-E2BF24D1640A}"/>
    <cellStyle name="20% - Accent2 3 2 3 5" xfId="23020" xr:uid="{F2672DA9-4D98-4F55-B0CB-737B786867E4}"/>
    <cellStyle name="20% - Accent2 3 2 3 6" xfId="9559" xr:uid="{79DCAC0B-76A0-4CE4-8D2E-FBAEEC3A42E7}"/>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20539" xr:uid="{4FE440DA-1297-4C00-AD9C-96105910AD25}"/>
    <cellStyle name="20% - Accent2 3 2 4 2 3" xfId="16328" xr:uid="{A4820F92-4E63-4FB3-AEB3-496FBD2E2C22}"/>
    <cellStyle name="20% - Accent2 3 2 4 2 4" xfId="25578" xr:uid="{CF10CCAB-9903-473B-BB83-977A4090AFBF}"/>
    <cellStyle name="20% - Accent2 3 2 4 2 5" xfId="12117" xr:uid="{77BB2716-02D3-4638-8332-45D08450AFE2}"/>
    <cellStyle name="20% - Accent2 3 2 4 3" xfId="5761" xr:uid="{00000000-0005-0000-0000-0000FF000000}"/>
    <cellStyle name="20% - Accent2 3 2 4 3 2" xfId="18394" xr:uid="{0541622A-443F-4232-ADFC-1DC499A8D963}"/>
    <cellStyle name="20% - Accent2 3 2 4 4" xfId="14183" xr:uid="{D493E649-2FB2-4C94-8E33-314FBCE84696}"/>
    <cellStyle name="20% - Accent2 3 2 4 5" xfId="23433" xr:uid="{94664090-8F4C-4ECD-8D4F-8A0F287C0E58}"/>
    <cellStyle name="20% - Accent2 3 2 4 6" xfId="9972" xr:uid="{9250F4BC-7BE0-4720-B9D5-C0279ED5C88A}"/>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20952" xr:uid="{AD36F4B6-1800-4A29-A5EA-23B605D6F8B6}"/>
    <cellStyle name="20% - Accent2 3 2 5 2 3" xfId="16741" xr:uid="{E3959622-A6FC-484E-BEC5-74BE0E76C6E8}"/>
    <cellStyle name="20% - Accent2 3 2 5 2 4" xfId="25991" xr:uid="{75F2FDB3-4DA3-43D7-85AF-88E198BC7763}"/>
    <cellStyle name="20% - Accent2 3 2 5 2 5" xfId="12530" xr:uid="{6A950DC1-F6F7-41E3-AF35-A29B9C73035A}"/>
    <cellStyle name="20% - Accent2 3 2 5 3" xfId="6174" xr:uid="{00000000-0005-0000-0000-000003010000}"/>
    <cellStyle name="20% - Accent2 3 2 5 3 2" xfId="18807" xr:uid="{4F3F74E8-A6EB-4616-858E-AC7FB3454186}"/>
    <cellStyle name="20% - Accent2 3 2 5 4" xfId="14596" xr:uid="{0CEF875B-4766-45CB-A060-2AE7E1F55882}"/>
    <cellStyle name="20% - Accent2 3 2 5 5" xfId="23846" xr:uid="{DAF64442-F7A7-4D3A-B2A7-4A61F6EF7CEA}"/>
    <cellStyle name="20% - Accent2 3 2 5 6" xfId="10385" xr:uid="{82EB7BDF-270B-455B-A6D9-A62BD244533C}"/>
    <cellStyle name="20% - Accent2 3 2 6" xfId="2279" xr:uid="{00000000-0005-0000-0000-000004010000}"/>
    <cellStyle name="20% - Accent2 3 2 6 2" xfId="6587" xr:uid="{00000000-0005-0000-0000-000005010000}"/>
    <cellStyle name="20% - Accent2 3 2 6 2 2" xfId="19220" xr:uid="{318ECD19-2CD7-4D40-951D-10E594C2CB7E}"/>
    <cellStyle name="20% - Accent2 3 2 6 3" xfId="15009" xr:uid="{A92A74E2-486F-40C8-BA44-95F9BDE00C10}"/>
    <cellStyle name="20% - Accent2 3 2 6 4" xfId="24259" xr:uid="{659FC233-0E51-462D-9304-ADB8F24709E3}"/>
    <cellStyle name="20% - Accent2 3 2 6 5" xfId="10798" xr:uid="{A837AB5F-5F2F-4A5D-9175-5A78736C2E17}"/>
    <cellStyle name="20% - Accent2 3 2 7" xfId="4521" xr:uid="{00000000-0005-0000-0000-000006010000}"/>
    <cellStyle name="20% - Accent2 3 2 7 2" xfId="17154" xr:uid="{88D8EE93-4B22-4448-9E3A-FE6682192B74}"/>
    <cellStyle name="20% - Accent2 3 2 8" xfId="21365" xr:uid="{E9F962CB-A186-409C-96B5-2F8D86252B4D}"/>
    <cellStyle name="20% - Accent2 3 2 9" xfId="12943" xr:uid="{641E2AB5-7A03-401D-8272-4BB91F45B20B}"/>
    <cellStyle name="20% - Accent2 3 3" xfId="584" xr:uid="{00000000-0005-0000-0000-000007010000}"/>
    <cellStyle name="20% - Accent2 3 3 2" xfId="2855" xr:uid="{00000000-0005-0000-0000-000008010000}"/>
    <cellStyle name="20% - Accent2 3 3 2 2" xfId="7079" xr:uid="{00000000-0005-0000-0000-000009010000}"/>
    <cellStyle name="20% - Accent2 3 3 2 2 2" xfId="19712" xr:uid="{5D207A50-8ECE-4762-860B-85291092B51B}"/>
    <cellStyle name="20% - Accent2 3 3 2 3" xfId="15501" xr:uid="{3B5995E2-078F-456D-9ECB-5C9AED0EFA1F}"/>
    <cellStyle name="20% - Accent2 3 3 2 4" xfId="24751" xr:uid="{4611EC66-8D8A-4B54-80FF-AFEBCE631855}"/>
    <cellStyle name="20% - Accent2 3 3 2 5" xfId="11290" xr:uid="{E3796DC6-73DF-4E84-93D9-D067CA46BF82}"/>
    <cellStyle name="20% - Accent2 3 3 3" xfId="4934" xr:uid="{00000000-0005-0000-0000-00000A010000}"/>
    <cellStyle name="20% - Accent2 3 3 3 2" xfId="17567" xr:uid="{0D0B9676-5A1C-4A6D-B900-33E2199B4E63}"/>
    <cellStyle name="20% - Accent2 3 3 4" xfId="21777" xr:uid="{1CBC0612-1A18-43A9-944E-865399EE0D18}"/>
    <cellStyle name="20% - Accent2 3 3 5" xfId="13356" xr:uid="{AF63D89F-8DF7-44D6-B5F6-79612215502F}"/>
    <cellStyle name="20% - Accent2 3 3 6" xfId="22606" xr:uid="{FA0FC957-36AA-406D-B0CE-D9CD46D19B22}"/>
    <cellStyle name="20% - Accent2 3 3 7" xfId="9145" xr:uid="{2B8E2F41-B799-457D-94EA-C28EA5B631D7}"/>
    <cellStyle name="20% - Accent2 3 4" xfId="1037" xr:uid="{00000000-0005-0000-0000-00000B010000}"/>
    <cellStyle name="20% - Accent2 3 4 2" xfId="3268" xr:uid="{00000000-0005-0000-0000-00000C010000}"/>
    <cellStyle name="20% - Accent2 3 4 2 2" xfId="7492" xr:uid="{00000000-0005-0000-0000-00000D010000}"/>
    <cellStyle name="20% - Accent2 3 4 2 2 2" xfId="20125" xr:uid="{4B05D8CB-6799-4CEE-8CFF-E211D85D9E9D}"/>
    <cellStyle name="20% - Accent2 3 4 2 3" xfId="15914" xr:uid="{F5C67159-FBC3-4EF9-B9F1-DADFE6772119}"/>
    <cellStyle name="20% - Accent2 3 4 2 4" xfId="25164" xr:uid="{04145F4F-EDB6-43CA-9882-46B1A8886E7C}"/>
    <cellStyle name="20% - Accent2 3 4 2 5" xfId="11703" xr:uid="{C98F5165-20EF-4563-82DA-09E7DF52EA47}"/>
    <cellStyle name="20% - Accent2 3 4 3" xfId="5347" xr:uid="{00000000-0005-0000-0000-00000E010000}"/>
    <cellStyle name="20% - Accent2 3 4 3 2" xfId="17980" xr:uid="{0DB04006-4DA2-4426-8878-2A9F4AF4CA53}"/>
    <cellStyle name="20% - Accent2 3 4 4" xfId="13769" xr:uid="{7A84BE53-3D98-47FC-B409-FB64A4EAE455}"/>
    <cellStyle name="20% - Accent2 3 4 5" xfId="23019" xr:uid="{43F5A0ED-2938-4810-9831-F975EBA5ECF7}"/>
    <cellStyle name="20% - Accent2 3 4 6" xfId="9558" xr:uid="{7273C7E3-D298-4D34-B00A-672349BAD785}"/>
    <cellStyle name="20% - Accent2 3 5" xfId="1451" xr:uid="{00000000-0005-0000-0000-00000F010000}"/>
    <cellStyle name="20% - Accent2 3 5 2" xfId="3681" xr:uid="{00000000-0005-0000-0000-000010010000}"/>
    <cellStyle name="20% - Accent2 3 5 2 2" xfId="7905" xr:uid="{00000000-0005-0000-0000-000011010000}"/>
    <cellStyle name="20% - Accent2 3 5 2 2 2" xfId="20538" xr:uid="{728193F7-0C00-4BAD-BA3A-AC5FD5AC8671}"/>
    <cellStyle name="20% - Accent2 3 5 2 3" xfId="16327" xr:uid="{08BD065E-6CC8-4833-9C4F-344309BE5D92}"/>
    <cellStyle name="20% - Accent2 3 5 2 4" xfId="25577" xr:uid="{13B35781-06A9-468D-B6A4-4581B0EA61A1}"/>
    <cellStyle name="20% - Accent2 3 5 2 5" xfId="12116" xr:uid="{B2F42FBA-BAC5-4380-B315-564F2EFE5A34}"/>
    <cellStyle name="20% - Accent2 3 5 3" xfId="5760" xr:uid="{00000000-0005-0000-0000-000012010000}"/>
    <cellStyle name="20% - Accent2 3 5 3 2" xfId="18393" xr:uid="{E513B50F-BF45-4CF5-904B-D6732D2AAB13}"/>
    <cellStyle name="20% - Accent2 3 5 4" xfId="14182" xr:uid="{13A2187B-9C01-431E-8EB5-418E85954BCB}"/>
    <cellStyle name="20% - Accent2 3 5 5" xfId="23432" xr:uid="{B1302280-B69F-4DC6-BAEC-C69AFD03B824}"/>
    <cellStyle name="20% - Accent2 3 5 6" xfId="9971" xr:uid="{EEB41C63-5396-437D-8A8E-F5690C496347}"/>
    <cellStyle name="20% - Accent2 3 6" xfId="1865" xr:uid="{00000000-0005-0000-0000-000013010000}"/>
    <cellStyle name="20% - Accent2 3 6 2" xfId="4094" xr:uid="{00000000-0005-0000-0000-000014010000}"/>
    <cellStyle name="20% - Accent2 3 6 2 2" xfId="8318" xr:uid="{00000000-0005-0000-0000-000015010000}"/>
    <cellStyle name="20% - Accent2 3 6 2 2 2" xfId="20951" xr:uid="{0D7EF79F-B93A-4F83-B89A-0628745D1CD2}"/>
    <cellStyle name="20% - Accent2 3 6 2 3" xfId="16740" xr:uid="{FA1C8CD5-D246-4C51-8214-CDB297757F52}"/>
    <cellStyle name="20% - Accent2 3 6 2 4" xfId="25990" xr:uid="{A53F2DD6-5A9E-4CD0-B0AC-799CB960815D}"/>
    <cellStyle name="20% - Accent2 3 6 2 5" xfId="12529" xr:uid="{DFE9F408-4A09-4376-83D1-28DB92AEE9BB}"/>
    <cellStyle name="20% - Accent2 3 6 3" xfId="6173" xr:uid="{00000000-0005-0000-0000-000016010000}"/>
    <cellStyle name="20% - Accent2 3 6 3 2" xfId="18806" xr:uid="{54782339-2E49-4A89-8307-544CEA251EE6}"/>
    <cellStyle name="20% - Accent2 3 6 4" xfId="14595" xr:uid="{5ED6CB0A-F923-4D93-BF31-154533D57061}"/>
    <cellStyle name="20% - Accent2 3 6 5" xfId="23845" xr:uid="{7D13DFD6-A6D7-468B-AC1A-B18762D70B09}"/>
    <cellStyle name="20% - Accent2 3 6 6" xfId="10384" xr:uid="{E64430DF-1345-41F5-AABF-3EF35D3B51C9}"/>
    <cellStyle name="20% - Accent2 3 7" xfId="2278" xr:uid="{00000000-0005-0000-0000-000017010000}"/>
    <cellStyle name="20% - Accent2 3 7 2" xfId="6586" xr:uid="{00000000-0005-0000-0000-000018010000}"/>
    <cellStyle name="20% - Accent2 3 7 2 2" xfId="19219" xr:uid="{6E4AAC81-EF01-4F72-970F-B15E3F00A955}"/>
    <cellStyle name="20% - Accent2 3 7 3" xfId="15008" xr:uid="{FFDFCADB-E666-4AD4-943A-6D620CA2EA38}"/>
    <cellStyle name="20% - Accent2 3 7 4" xfId="24258" xr:uid="{9A8B4713-EB0F-4919-A66D-8771442EA46E}"/>
    <cellStyle name="20% - Accent2 3 7 5" xfId="10797" xr:uid="{E923D38E-7F2E-4030-A3B7-7469FC65E415}"/>
    <cellStyle name="20% - Accent2 3 8" xfId="4520" xr:uid="{00000000-0005-0000-0000-000019010000}"/>
    <cellStyle name="20% - Accent2 3 8 2" xfId="17153" xr:uid="{5BFC3FDE-1904-410C-B089-CC889F2D8408}"/>
    <cellStyle name="20% - Accent2 3 9" xfId="21364" xr:uid="{D326F3E3-23FE-4CBF-BB36-A68F90EE7852}"/>
    <cellStyle name="20% - Accent2 4" xfId="16" xr:uid="{00000000-0005-0000-0000-00001A010000}"/>
    <cellStyle name="20% - Accent2 4 10" xfId="22194" xr:uid="{DEDEACBA-C1E2-4B42-80E8-B93CED696F25}"/>
    <cellStyle name="20% - Accent2 4 11" xfId="8733" xr:uid="{4E2F5EEE-FC28-4142-9033-62D9FFB58AE1}"/>
    <cellStyle name="20% - Accent2 4 2" xfId="586" xr:uid="{00000000-0005-0000-0000-00001B010000}"/>
    <cellStyle name="20% - Accent2 4 2 2" xfId="2857" xr:uid="{00000000-0005-0000-0000-00001C010000}"/>
    <cellStyle name="20% - Accent2 4 2 2 2" xfId="7081" xr:uid="{00000000-0005-0000-0000-00001D010000}"/>
    <cellStyle name="20% - Accent2 4 2 2 2 2" xfId="19714" xr:uid="{B99C5A2C-D0B3-43A1-A883-FA9ADF815538}"/>
    <cellStyle name="20% - Accent2 4 2 2 3" xfId="15503" xr:uid="{49E7A3CB-C338-4D32-BCF0-6B55A47A7535}"/>
    <cellStyle name="20% - Accent2 4 2 2 4" xfId="24753" xr:uid="{1C448A9B-D3B9-49F2-82D9-780C31134B8A}"/>
    <cellStyle name="20% - Accent2 4 2 2 5" xfId="11292" xr:uid="{FC264404-3561-433C-904B-E11E5E4A40FB}"/>
    <cellStyle name="20% - Accent2 4 2 3" xfId="4936" xr:uid="{00000000-0005-0000-0000-00001E010000}"/>
    <cellStyle name="20% - Accent2 4 2 3 2" xfId="17569" xr:uid="{53AD3699-6A13-4C2F-BE13-BD347EAE32F4}"/>
    <cellStyle name="20% - Accent2 4 2 4" xfId="21779" xr:uid="{E7161080-7EE5-4B28-B534-F6C292D81FD1}"/>
    <cellStyle name="20% - Accent2 4 2 5" xfId="13358" xr:uid="{E4CBC737-931F-47CF-BE5C-961FA0E1B762}"/>
    <cellStyle name="20% - Accent2 4 2 6" xfId="22608" xr:uid="{8D1DB1AA-11D5-45B9-ADA1-C61254F8339C}"/>
    <cellStyle name="20% - Accent2 4 2 7" xfId="9147" xr:uid="{9197DC6F-43E3-4691-93FB-73AEB5158E68}"/>
    <cellStyle name="20% - Accent2 4 3" xfId="1039" xr:uid="{00000000-0005-0000-0000-00001F010000}"/>
    <cellStyle name="20% - Accent2 4 3 2" xfId="3270" xr:uid="{00000000-0005-0000-0000-000020010000}"/>
    <cellStyle name="20% - Accent2 4 3 2 2" xfId="7494" xr:uid="{00000000-0005-0000-0000-000021010000}"/>
    <cellStyle name="20% - Accent2 4 3 2 2 2" xfId="20127" xr:uid="{9C214D21-1393-4813-A58C-2EBF0C5E87E5}"/>
    <cellStyle name="20% - Accent2 4 3 2 3" xfId="15916" xr:uid="{1A6B44BF-FE3A-489C-8D8E-7D943F54202B}"/>
    <cellStyle name="20% - Accent2 4 3 2 4" xfId="25166" xr:uid="{93B1E6E2-3B27-4C41-A022-6267A8C7EB85}"/>
    <cellStyle name="20% - Accent2 4 3 2 5" xfId="11705" xr:uid="{4E3657B1-3976-4223-8378-75214C383C02}"/>
    <cellStyle name="20% - Accent2 4 3 3" xfId="5349" xr:uid="{00000000-0005-0000-0000-000022010000}"/>
    <cellStyle name="20% - Accent2 4 3 3 2" xfId="17982" xr:uid="{75CC1E4A-9974-4096-880B-150DA0FE4AD6}"/>
    <cellStyle name="20% - Accent2 4 3 4" xfId="13771" xr:uid="{4D429DBF-F774-45D7-9D5D-DF144FCC517C}"/>
    <cellStyle name="20% - Accent2 4 3 5" xfId="23021" xr:uid="{4B527B49-2CDD-49E2-AFEB-040BD4BEC334}"/>
    <cellStyle name="20% - Accent2 4 3 6" xfId="9560" xr:uid="{6175AF27-5306-455B-B0EB-4D9812A198B6}"/>
    <cellStyle name="20% - Accent2 4 4" xfId="1453" xr:uid="{00000000-0005-0000-0000-000023010000}"/>
    <cellStyle name="20% - Accent2 4 4 2" xfId="3683" xr:uid="{00000000-0005-0000-0000-000024010000}"/>
    <cellStyle name="20% - Accent2 4 4 2 2" xfId="7907" xr:uid="{00000000-0005-0000-0000-000025010000}"/>
    <cellStyle name="20% - Accent2 4 4 2 2 2" xfId="20540" xr:uid="{6AA50051-EA07-4168-979F-7AEE50D3B59E}"/>
    <cellStyle name="20% - Accent2 4 4 2 3" xfId="16329" xr:uid="{0D1B852E-4465-4C5C-8820-29BA9178FF44}"/>
    <cellStyle name="20% - Accent2 4 4 2 4" xfId="25579" xr:uid="{0EEC0950-A015-406E-9BF1-81F3365821DD}"/>
    <cellStyle name="20% - Accent2 4 4 2 5" xfId="12118" xr:uid="{4A9ACA34-DE67-4CA6-AE1D-F1B6353E9797}"/>
    <cellStyle name="20% - Accent2 4 4 3" xfId="5762" xr:uid="{00000000-0005-0000-0000-000026010000}"/>
    <cellStyle name="20% - Accent2 4 4 3 2" xfId="18395" xr:uid="{77D435D2-10F7-424D-9832-A04CDD797B51}"/>
    <cellStyle name="20% - Accent2 4 4 4" xfId="14184" xr:uid="{EB7E0771-4F49-4EA0-A120-EFFFB64AB43A}"/>
    <cellStyle name="20% - Accent2 4 4 5" xfId="23434" xr:uid="{B0443B08-4B94-4195-980C-9A16D42CB920}"/>
    <cellStyle name="20% - Accent2 4 4 6" xfId="9973" xr:uid="{F440533D-57FC-47D1-A6F1-9A2185BCF79C}"/>
    <cellStyle name="20% - Accent2 4 5" xfId="1867" xr:uid="{00000000-0005-0000-0000-000027010000}"/>
    <cellStyle name="20% - Accent2 4 5 2" xfId="4096" xr:uid="{00000000-0005-0000-0000-000028010000}"/>
    <cellStyle name="20% - Accent2 4 5 2 2" xfId="8320" xr:uid="{00000000-0005-0000-0000-000029010000}"/>
    <cellStyle name="20% - Accent2 4 5 2 2 2" xfId="20953" xr:uid="{B6062AEC-853A-4ADC-AC8E-111791F09E65}"/>
    <cellStyle name="20% - Accent2 4 5 2 3" xfId="16742" xr:uid="{A491CF2F-2951-483B-83F8-146F18F3A06B}"/>
    <cellStyle name="20% - Accent2 4 5 2 4" xfId="25992" xr:uid="{3BB068D0-11C5-47FE-8C44-177F2654CB66}"/>
    <cellStyle name="20% - Accent2 4 5 2 5" xfId="12531" xr:uid="{A1036484-FE7D-4DCA-A238-9B51DC6FBEC3}"/>
    <cellStyle name="20% - Accent2 4 5 3" xfId="6175" xr:uid="{00000000-0005-0000-0000-00002A010000}"/>
    <cellStyle name="20% - Accent2 4 5 3 2" xfId="18808" xr:uid="{D191600A-E159-4D76-83DC-2FE659BC5727}"/>
    <cellStyle name="20% - Accent2 4 5 4" xfId="14597" xr:uid="{E6A25DB1-077D-4C6E-9BA0-DD5449517FBB}"/>
    <cellStyle name="20% - Accent2 4 5 5" xfId="23847" xr:uid="{17572B7D-1856-43C3-8B5A-1FA8599DBF28}"/>
    <cellStyle name="20% - Accent2 4 5 6" xfId="10386" xr:uid="{391B7C01-B427-4CCF-89D4-598E8E07A57C}"/>
    <cellStyle name="20% - Accent2 4 6" xfId="2280" xr:uid="{00000000-0005-0000-0000-00002B010000}"/>
    <cellStyle name="20% - Accent2 4 6 2" xfId="6588" xr:uid="{00000000-0005-0000-0000-00002C010000}"/>
    <cellStyle name="20% - Accent2 4 6 2 2" xfId="19221" xr:uid="{CF22E93C-F4D7-4BFB-ADF0-31BD4C404FF2}"/>
    <cellStyle name="20% - Accent2 4 6 3" xfId="15010" xr:uid="{87984E42-B0C5-4EA6-805E-71251032B426}"/>
    <cellStyle name="20% - Accent2 4 6 4" xfId="24260" xr:uid="{878230C9-A526-4D81-BF91-F5BF2C5B77B2}"/>
    <cellStyle name="20% - Accent2 4 6 5" xfId="10799" xr:uid="{9443C08C-AF1A-456F-80BA-C803C6ADFB62}"/>
    <cellStyle name="20% - Accent2 4 7" xfId="4522" xr:uid="{00000000-0005-0000-0000-00002D010000}"/>
    <cellStyle name="20% - Accent2 4 7 2" xfId="17155" xr:uid="{F6A0E406-B6D3-4F5C-B38E-4F11DC0BD4AC}"/>
    <cellStyle name="20% - Accent2 4 8" xfId="21366" xr:uid="{BA416A4F-7E4B-4F51-A3CE-4EBA77F2CB56}"/>
    <cellStyle name="20% - Accent2 4 9" xfId="12944" xr:uid="{4D76DAC6-1D4A-4C34-AE86-C3EF08EB9E31}"/>
    <cellStyle name="20% - Accent2 5" xfId="579" xr:uid="{00000000-0005-0000-0000-00002E010000}"/>
    <cellStyle name="20% - Accent2 5 2" xfId="2850" xr:uid="{00000000-0005-0000-0000-00002F010000}"/>
    <cellStyle name="20% - Accent2 5 2 2" xfId="7074" xr:uid="{00000000-0005-0000-0000-000030010000}"/>
    <cellStyle name="20% - Accent2 5 2 2 2" xfId="19707" xr:uid="{F5029B85-71C7-4882-835A-1F35AE40EF87}"/>
    <cellStyle name="20% - Accent2 5 2 3" xfId="15496" xr:uid="{3A86232B-BFA1-4A44-854E-2468303E4B01}"/>
    <cellStyle name="20% - Accent2 5 2 4" xfId="24746" xr:uid="{4C0D3F8F-49E7-4374-B4C7-37F2BDF06008}"/>
    <cellStyle name="20% - Accent2 5 2 5" xfId="11285" xr:uid="{EF7C4200-90D2-4A04-862E-4699526ED6F4}"/>
    <cellStyle name="20% - Accent2 5 3" xfId="4929" xr:uid="{00000000-0005-0000-0000-000031010000}"/>
    <cellStyle name="20% - Accent2 5 3 2" xfId="17562" xr:uid="{E067A172-3832-4CAE-9374-81113748F8B8}"/>
    <cellStyle name="20% - Accent2 5 4" xfId="21772" xr:uid="{58CA97B8-D8C6-4223-9E0C-FABCAB3048B5}"/>
    <cellStyle name="20% - Accent2 5 5" xfId="13351" xr:uid="{AF80A065-5EF1-4CC9-96F8-25CF7753DC39}"/>
    <cellStyle name="20% - Accent2 5 6" xfId="22601" xr:uid="{9EEB4375-472C-45C0-90CB-D9CCE186125E}"/>
    <cellStyle name="20% - Accent2 5 7" xfId="9140" xr:uid="{9439291E-07A6-47F0-A444-B494967ABAFA}"/>
    <cellStyle name="20% - Accent2 6" xfId="1032" xr:uid="{00000000-0005-0000-0000-000032010000}"/>
    <cellStyle name="20% - Accent2 6 2" xfId="3263" xr:uid="{00000000-0005-0000-0000-000033010000}"/>
    <cellStyle name="20% - Accent2 6 2 2" xfId="7487" xr:uid="{00000000-0005-0000-0000-000034010000}"/>
    <cellStyle name="20% - Accent2 6 2 2 2" xfId="20120" xr:uid="{7648A5EE-EA7B-42B0-BE77-34C4C3C5F4C4}"/>
    <cellStyle name="20% - Accent2 6 2 3" xfId="15909" xr:uid="{D55CB879-BDD2-4DE3-A17A-F0BD7D78169A}"/>
    <cellStyle name="20% - Accent2 6 2 4" xfId="25159" xr:uid="{FC35202C-F469-4439-B160-F7DB833F22A5}"/>
    <cellStyle name="20% - Accent2 6 2 5" xfId="11698" xr:uid="{B6523B21-48F0-4FB6-BCC6-56C2900697D6}"/>
    <cellStyle name="20% - Accent2 6 3" xfId="5342" xr:uid="{00000000-0005-0000-0000-000035010000}"/>
    <cellStyle name="20% - Accent2 6 3 2" xfId="17975" xr:uid="{FF817160-A56B-41B6-9BDA-B654B8CABBAF}"/>
    <cellStyle name="20% - Accent2 6 4" xfId="13764" xr:uid="{10212651-E9BE-4627-9B82-14A12BA6ADF0}"/>
    <cellStyle name="20% - Accent2 6 5" xfId="23014" xr:uid="{7B706530-D170-48C2-BF5B-0974DE46F636}"/>
    <cellStyle name="20% - Accent2 6 6" xfId="9553" xr:uid="{70EE0397-374F-4396-9457-D790426D81B2}"/>
    <cellStyle name="20% - Accent2 7" xfId="1446" xr:uid="{00000000-0005-0000-0000-000036010000}"/>
    <cellStyle name="20% - Accent2 7 2" xfId="3676" xr:uid="{00000000-0005-0000-0000-000037010000}"/>
    <cellStyle name="20% - Accent2 7 2 2" xfId="7900" xr:uid="{00000000-0005-0000-0000-000038010000}"/>
    <cellStyle name="20% - Accent2 7 2 2 2" xfId="20533" xr:uid="{7629DDC5-5AC6-4BE8-9CA8-07991C1EDF25}"/>
    <cellStyle name="20% - Accent2 7 2 3" xfId="16322" xr:uid="{ECBABFFF-D6C4-4BFB-9FF7-7C41F40665D2}"/>
    <cellStyle name="20% - Accent2 7 2 4" xfId="25572" xr:uid="{8FE870D0-4282-40A1-8416-154E4C5C3890}"/>
    <cellStyle name="20% - Accent2 7 2 5" xfId="12111" xr:uid="{7557C35A-0F3E-41B5-A613-7B8D55C6A452}"/>
    <cellStyle name="20% - Accent2 7 3" xfId="5755" xr:uid="{00000000-0005-0000-0000-000039010000}"/>
    <cellStyle name="20% - Accent2 7 3 2" xfId="18388" xr:uid="{B53B537B-D084-4FAA-A9E8-74C492209496}"/>
    <cellStyle name="20% - Accent2 7 4" xfId="14177" xr:uid="{D8532724-E41C-4EBB-90FB-8B286985496B}"/>
    <cellStyle name="20% - Accent2 7 5" xfId="23427" xr:uid="{8021491B-DE7F-43EE-B4FD-352AC39C5977}"/>
    <cellStyle name="20% - Accent2 7 6" xfId="9966" xr:uid="{6A5041E1-7E14-46D0-AB3A-8B1C908C88CF}"/>
    <cellStyle name="20% - Accent2 8" xfId="1860" xr:uid="{00000000-0005-0000-0000-00003A010000}"/>
    <cellStyle name="20% - Accent2 8 2" xfId="4089" xr:uid="{00000000-0005-0000-0000-00003B010000}"/>
    <cellStyle name="20% - Accent2 8 2 2" xfId="8313" xr:uid="{00000000-0005-0000-0000-00003C010000}"/>
    <cellStyle name="20% - Accent2 8 2 2 2" xfId="20946" xr:uid="{15C2622F-BFCB-4EB0-BC30-626DEBB2B0F5}"/>
    <cellStyle name="20% - Accent2 8 2 3" xfId="16735" xr:uid="{5718F4B9-0B3E-41CD-B59B-DB8800935854}"/>
    <cellStyle name="20% - Accent2 8 2 4" xfId="25985" xr:uid="{7438F6E2-67A2-4A9C-A01D-F621C83780BE}"/>
    <cellStyle name="20% - Accent2 8 2 5" xfId="12524" xr:uid="{64C5D389-BC98-4F32-8113-92E873C8AFF4}"/>
    <cellStyle name="20% - Accent2 8 3" xfId="6168" xr:uid="{00000000-0005-0000-0000-00003D010000}"/>
    <cellStyle name="20% - Accent2 8 3 2" xfId="18801" xr:uid="{C47D7BD3-1B1B-4652-AB40-A534F23C45CA}"/>
    <cellStyle name="20% - Accent2 8 4" xfId="14590" xr:uid="{CD56B6ED-B4CF-4885-8D10-75E818C7F1D1}"/>
    <cellStyle name="20% - Accent2 8 5" xfId="23840" xr:uid="{3B295FF5-F743-4DD7-80BD-5B7DE35B9347}"/>
    <cellStyle name="20% - Accent2 8 6" xfId="10379" xr:uid="{02283E18-DE2E-42CF-9951-D9B4F9A1E3AC}"/>
    <cellStyle name="20% - Accent2 9" xfId="2273" xr:uid="{00000000-0005-0000-0000-00003E010000}"/>
    <cellStyle name="20% - Accent2 9 2" xfId="6581" xr:uid="{00000000-0005-0000-0000-00003F010000}"/>
    <cellStyle name="20% - Accent2 9 2 2" xfId="19214" xr:uid="{2171264F-21DB-418D-9FD6-BA119B2596C3}"/>
    <cellStyle name="20% - Accent2 9 3" xfId="15003" xr:uid="{96D431B2-844F-4E0F-A39B-36C13012BAFB}"/>
    <cellStyle name="20% - Accent2 9 4" xfId="24253" xr:uid="{3DC46100-520B-4DC0-A90B-E90C0D9BC6E3}"/>
    <cellStyle name="20% - Accent2 9 5" xfId="10792" xr:uid="{63160D4B-6A22-458C-AF69-345F56F464A3}"/>
    <cellStyle name="20% - Accent3" xfId="17" builtinId="38" customBuiltin="1"/>
    <cellStyle name="20% - Accent3 10" xfId="4523" xr:uid="{00000000-0005-0000-0000-000041010000}"/>
    <cellStyle name="20% - Accent3 10 2" xfId="17156" xr:uid="{96DA934A-C363-4080-AD27-0728E2ABF759}"/>
    <cellStyle name="20% - Accent3 11" xfId="21367" xr:uid="{FB54D4DC-86D2-4747-9031-013C2EB444A5}"/>
    <cellStyle name="20% - Accent3 12" xfId="12945" xr:uid="{FB88AF64-3675-494E-A49D-AE9B3725F19E}"/>
    <cellStyle name="20% - Accent3 13" xfId="22195" xr:uid="{A420DFDE-7A2C-4001-946C-26DB486D4B44}"/>
    <cellStyle name="20% - Accent3 14" xfId="8734" xr:uid="{6551C303-82C2-4F3B-B2CB-2E2295160098}"/>
    <cellStyle name="20% - Accent3 2" xfId="18" xr:uid="{00000000-0005-0000-0000-000042010000}"/>
    <cellStyle name="20% - Accent3 2 10" xfId="21368" xr:uid="{922080B8-B0F7-4BCE-A216-93AA1A213C46}"/>
    <cellStyle name="20% - Accent3 2 11" xfId="12946" xr:uid="{8D119BF6-DE22-453A-905D-E01187643CBA}"/>
    <cellStyle name="20% - Accent3 2 12" xfId="22196" xr:uid="{0319B21B-D5A5-4B2D-B571-46BEFCFB1740}"/>
    <cellStyle name="20% - Accent3 2 13" xfId="8735" xr:uid="{2C9BBDEA-0D98-4768-8F9B-E8E25EEA12D9}"/>
    <cellStyle name="20% - Accent3 2 2" xfId="19" xr:uid="{00000000-0005-0000-0000-000043010000}"/>
    <cellStyle name="20% - Accent3 2 2 10" xfId="12947" xr:uid="{85A9D3C4-C0E0-4276-A76F-2B7674979FB7}"/>
    <cellStyle name="20% - Accent3 2 2 11" xfId="22197" xr:uid="{55C6A8F6-F8D3-4177-BCCD-C62A91D430CE}"/>
    <cellStyle name="20% - Accent3 2 2 12" xfId="8736" xr:uid="{32590F08-C256-407A-B99D-F71427085ED8}"/>
    <cellStyle name="20% - Accent3 2 2 2" xfId="20" xr:uid="{00000000-0005-0000-0000-000044010000}"/>
    <cellStyle name="20% - Accent3 2 2 2 10" xfId="22198" xr:uid="{0E54BA51-00F6-4418-9C41-947FA5F6D424}"/>
    <cellStyle name="20% - Accent3 2 2 2 11" xfId="8737" xr:uid="{1FCF115E-E7C6-4BA5-A35F-420690B8DA86}"/>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9718" xr:uid="{AB04A71F-F566-468D-A987-EDD1A5858D4A}"/>
    <cellStyle name="20% - Accent3 2 2 2 2 2 3" xfId="15507" xr:uid="{14D3FE34-5659-4DB0-91C4-855D09D64848}"/>
    <cellStyle name="20% - Accent3 2 2 2 2 2 4" xfId="24757" xr:uid="{8807D0A3-E5B2-4B3B-B666-D80D200C76CB}"/>
    <cellStyle name="20% - Accent3 2 2 2 2 2 5" xfId="11296" xr:uid="{8DE46055-D0B1-429D-9E42-FEBE000AC51A}"/>
    <cellStyle name="20% - Accent3 2 2 2 2 3" xfId="4940" xr:uid="{00000000-0005-0000-0000-000048010000}"/>
    <cellStyle name="20% - Accent3 2 2 2 2 3 2" xfId="17573" xr:uid="{21D29869-7DD1-43FC-BC9C-01F84F6C2999}"/>
    <cellStyle name="20% - Accent3 2 2 2 2 4" xfId="21783" xr:uid="{BDD29942-0295-401E-BCC0-1D9107D1229B}"/>
    <cellStyle name="20% - Accent3 2 2 2 2 5" xfId="13362" xr:uid="{990BFB04-85AE-4334-930E-4A87752BA893}"/>
    <cellStyle name="20% - Accent3 2 2 2 2 6" xfId="22612" xr:uid="{FF39C2F7-CE5E-4714-A386-10D28F317888}"/>
    <cellStyle name="20% - Accent3 2 2 2 2 7" xfId="9151" xr:uid="{F54C082F-5663-4CEA-97EB-0F7B611ED04F}"/>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20131" xr:uid="{27AA9B2F-80A9-438B-868B-EFE83F4AC8DB}"/>
    <cellStyle name="20% - Accent3 2 2 2 3 2 3" xfId="15920" xr:uid="{CC6AE37C-BC7C-493E-9A05-696A79C5A044}"/>
    <cellStyle name="20% - Accent3 2 2 2 3 2 4" xfId="25170" xr:uid="{5B8F4599-C3E9-4741-9110-8CF58F1BC792}"/>
    <cellStyle name="20% - Accent3 2 2 2 3 2 5" xfId="11709" xr:uid="{EC51C02A-1908-437E-86A2-20A19FAC3A6F}"/>
    <cellStyle name="20% - Accent3 2 2 2 3 3" xfId="5353" xr:uid="{00000000-0005-0000-0000-00004C010000}"/>
    <cellStyle name="20% - Accent3 2 2 2 3 3 2" xfId="17986" xr:uid="{D46B32E0-68C6-452C-9BFA-D0AB44D9F744}"/>
    <cellStyle name="20% - Accent3 2 2 2 3 4" xfId="13775" xr:uid="{31F09535-1B77-45B7-9163-EA2654527043}"/>
    <cellStyle name="20% - Accent3 2 2 2 3 5" xfId="23025" xr:uid="{F4BEC7CF-B573-4776-AAD9-819655FE606E}"/>
    <cellStyle name="20% - Accent3 2 2 2 3 6" xfId="9564" xr:uid="{958FE98A-9876-44D2-8517-B27FF9AE4411}"/>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20544" xr:uid="{85EF15D7-19ED-4E2F-9D1A-15045FCA443A}"/>
    <cellStyle name="20% - Accent3 2 2 2 4 2 3" xfId="16333" xr:uid="{79DF0EE8-F290-4A5C-8D34-5E0158535C3C}"/>
    <cellStyle name="20% - Accent3 2 2 2 4 2 4" xfId="25583" xr:uid="{4A2950C6-6358-4BA7-815B-B8D228A56184}"/>
    <cellStyle name="20% - Accent3 2 2 2 4 2 5" xfId="12122" xr:uid="{5C147333-8808-42FC-BCA8-8595BACE87B5}"/>
    <cellStyle name="20% - Accent3 2 2 2 4 3" xfId="5766" xr:uid="{00000000-0005-0000-0000-000050010000}"/>
    <cellStyle name="20% - Accent3 2 2 2 4 3 2" xfId="18399" xr:uid="{04B10B28-6FD0-40FE-BCF0-6046431E2891}"/>
    <cellStyle name="20% - Accent3 2 2 2 4 4" xfId="14188" xr:uid="{0EC536E9-BB9B-4A20-BA04-10102537406E}"/>
    <cellStyle name="20% - Accent3 2 2 2 4 5" xfId="23438" xr:uid="{33AD2035-AD82-4D74-A715-16C6ED079561}"/>
    <cellStyle name="20% - Accent3 2 2 2 4 6" xfId="9977" xr:uid="{28AB49D4-CEE6-4B69-B283-334234910789}"/>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20957" xr:uid="{0A01AD35-63F5-4F41-8923-508AD9D886BE}"/>
    <cellStyle name="20% - Accent3 2 2 2 5 2 3" xfId="16746" xr:uid="{0F52B0CE-2326-49F9-BF4B-5BBE66CA7843}"/>
    <cellStyle name="20% - Accent3 2 2 2 5 2 4" xfId="25996" xr:uid="{DCB48742-B399-4FFD-B892-120E85B52564}"/>
    <cellStyle name="20% - Accent3 2 2 2 5 2 5" xfId="12535" xr:uid="{783DE813-F3D7-4018-A157-414615F4023A}"/>
    <cellStyle name="20% - Accent3 2 2 2 5 3" xfId="6179" xr:uid="{00000000-0005-0000-0000-000054010000}"/>
    <cellStyle name="20% - Accent3 2 2 2 5 3 2" xfId="18812" xr:uid="{40EA8585-1C72-4FCD-BC15-069466CA66FB}"/>
    <cellStyle name="20% - Accent3 2 2 2 5 4" xfId="14601" xr:uid="{1D7723F6-F867-490A-B92E-41530654E431}"/>
    <cellStyle name="20% - Accent3 2 2 2 5 5" xfId="23851" xr:uid="{E576355D-B298-498F-A571-61BECB611873}"/>
    <cellStyle name="20% - Accent3 2 2 2 5 6" xfId="10390" xr:uid="{AD7FDCA0-FCDD-444D-B4BA-0D03C0528749}"/>
    <cellStyle name="20% - Accent3 2 2 2 6" xfId="2284" xr:uid="{00000000-0005-0000-0000-000055010000}"/>
    <cellStyle name="20% - Accent3 2 2 2 6 2" xfId="6592" xr:uid="{00000000-0005-0000-0000-000056010000}"/>
    <cellStyle name="20% - Accent3 2 2 2 6 2 2" xfId="19225" xr:uid="{765EDC10-99D8-4488-9A7A-0725FF00DAF8}"/>
    <cellStyle name="20% - Accent3 2 2 2 6 3" xfId="15014" xr:uid="{C505544D-DEFA-420B-866D-4F2420AEA94F}"/>
    <cellStyle name="20% - Accent3 2 2 2 6 4" xfId="24264" xr:uid="{ACB876D7-527C-47DC-8B59-4020A6816239}"/>
    <cellStyle name="20% - Accent3 2 2 2 6 5" xfId="10803" xr:uid="{C07E04F6-1710-401E-A474-0EBA519264B1}"/>
    <cellStyle name="20% - Accent3 2 2 2 7" xfId="4526" xr:uid="{00000000-0005-0000-0000-000057010000}"/>
    <cellStyle name="20% - Accent3 2 2 2 7 2" xfId="17159" xr:uid="{7C42FD12-23FF-435C-B3DA-EE4E9D3FDEEA}"/>
    <cellStyle name="20% - Accent3 2 2 2 8" xfId="21370" xr:uid="{5A988810-BD1F-4B76-A7DD-DE06527E9CE7}"/>
    <cellStyle name="20% - Accent3 2 2 2 9" xfId="12948" xr:uid="{4E9C77EA-6F35-4973-863A-25CC1EB55D8F}"/>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9717" xr:uid="{2899D587-F0A5-4350-9201-D629224769FF}"/>
    <cellStyle name="20% - Accent3 2 2 3 2 3" xfId="15506" xr:uid="{67FABA36-F2BA-44F2-BFC9-42791BC48559}"/>
    <cellStyle name="20% - Accent3 2 2 3 2 4" xfId="24756" xr:uid="{3BB9E873-83EE-4265-A6AC-E9B82FFBDA62}"/>
    <cellStyle name="20% - Accent3 2 2 3 2 5" xfId="11295" xr:uid="{F1EC2C14-D3DA-4C7D-B767-D3921DDA912A}"/>
    <cellStyle name="20% - Accent3 2 2 3 3" xfId="4939" xr:uid="{00000000-0005-0000-0000-00005B010000}"/>
    <cellStyle name="20% - Accent3 2 2 3 3 2" xfId="17572" xr:uid="{87A62769-2E7E-4AAC-9A84-22F9C731134E}"/>
    <cellStyle name="20% - Accent3 2 2 3 4" xfId="21782" xr:uid="{9D4D9C7C-0D8C-4552-BA4D-C129CB5D61F5}"/>
    <cellStyle name="20% - Accent3 2 2 3 5" xfId="13361" xr:uid="{B2E3EA5D-709B-4EED-8DFC-A5CA8A7C6A84}"/>
    <cellStyle name="20% - Accent3 2 2 3 6" xfId="22611" xr:uid="{A219C24B-4473-4064-81EE-C0BDD564EAE5}"/>
    <cellStyle name="20% - Accent3 2 2 3 7" xfId="9150" xr:uid="{21B643F4-BA91-42F8-B9B6-A50580BB0494}"/>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20130" xr:uid="{9F25A085-D17A-4530-B8FB-999F2A5F6DFE}"/>
    <cellStyle name="20% - Accent3 2 2 4 2 3" xfId="15919" xr:uid="{5CEF1613-25AC-4DBB-AEE6-EE5C8581C918}"/>
    <cellStyle name="20% - Accent3 2 2 4 2 4" xfId="25169" xr:uid="{7A4E378E-C73E-4DCD-993C-9CEE57B6E835}"/>
    <cellStyle name="20% - Accent3 2 2 4 2 5" xfId="11708" xr:uid="{CE936885-C4B2-49F3-B2F8-92AE25F69724}"/>
    <cellStyle name="20% - Accent3 2 2 4 3" xfId="5352" xr:uid="{00000000-0005-0000-0000-00005F010000}"/>
    <cellStyle name="20% - Accent3 2 2 4 3 2" xfId="17985" xr:uid="{670840CA-CE90-4437-A5CF-F4F665296503}"/>
    <cellStyle name="20% - Accent3 2 2 4 4" xfId="13774" xr:uid="{964DED1D-828C-4242-A89C-DF2A7B01F4D8}"/>
    <cellStyle name="20% - Accent3 2 2 4 5" xfId="23024" xr:uid="{A17D642F-E4AE-42C1-950F-19F1BC8D59FA}"/>
    <cellStyle name="20% - Accent3 2 2 4 6" xfId="9563" xr:uid="{DA971EFD-CB84-4B1A-9CC4-DE1F737BB820}"/>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20543" xr:uid="{B829A674-F43F-4638-BD03-6B8DC57F66CC}"/>
    <cellStyle name="20% - Accent3 2 2 5 2 3" xfId="16332" xr:uid="{DE8D5862-6349-4BBA-A5A6-9D7CB17E311A}"/>
    <cellStyle name="20% - Accent3 2 2 5 2 4" xfId="25582" xr:uid="{C405965A-14C1-4018-BE5F-F7DECDCA34F6}"/>
    <cellStyle name="20% - Accent3 2 2 5 2 5" xfId="12121" xr:uid="{ABC71244-1D3D-4A80-A96D-D4F81A3C094D}"/>
    <cellStyle name="20% - Accent3 2 2 5 3" xfId="5765" xr:uid="{00000000-0005-0000-0000-000063010000}"/>
    <cellStyle name="20% - Accent3 2 2 5 3 2" xfId="18398" xr:uid="{C01BF5F9-D400-42EF-B8B6-4C848C76F0C4}"/>
    <cellStyle name="20% - Accent3 2 2 5 4" xfId="14187" xr:uid="{6473E241-1435-457C-A71A-77652DFEE821}"/>
    <cellStyle name="20% - Accent3 2 2 5 5" xfId="23437" xr:uid="{F0990E34-4E99-4A69-B835-FE59B10DDB5B}"/>
    <cellStyle name="20% - Accent3 2 2 5 6" xfId="9976" xr:uid="{5ECB668C-F958-4E6B-B3A3-DF4B610EAFF1}"/>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20956" xr:uid="{FD4EF5A5-E7DA-466D-9D6E-3A5B4230559F}"/>
    <cellStyle name="20% - Accent3 2 2 6 2 3" xfId="16745" xr:uid="{E8547074-AF4F-4528-8682-3B4E2FAC3E42}"/>
    <cellStyle name="20% - Accent3 2 2 6 2 4" xfId="25995" xr:uid="{E668349D-C5C5-401C-A789-5AB97CF9F0E4}"/>
    <cellStyle name="20% - Accent3 2 2 6 2 5" xfId="12534" xr:uid="{16A130B2-811B-4C0C-AAEA-AD66741DAD7B}"/>
    <cellStyle name="20% - Accent3 2 2 6 3" xfId="6178" xr:uid="{00000000-0005-0000-0000-000067010000}"/>
    <cellStyle name="20% - Accent3 2 2 6 3 2" xfId="18811" xr:uid="{65DA84A9-20B0-4CE2-BCA4-E4339C85D100}"/>
    <cellStyle name="20% - Accent3 2 2 6 4" xfId="14600" xr:uid="{B6184DD7-4CBF-4293-86B7-B67A3F79114A}"/>
    <cellStyle name="20% - Accent3 2 2 6 5" xfId="23850" xr:uid="{35301BD7-01C8-4534-B096-681623BA979F}"/>
    <cellStyle name="20% - Accent3 2 2 6 6" xfId="10389" xr:uid="{60B30596-8BFA-4843-A82D-8B0A1F1CADAE}"/>
    <cellStyle name="20% - Accent3 2 2 7" xfId="2283" xr:uid="{00000000-0005-0000-0000-000068010000}"/>
    <cellStyle name="20% - Accent3 2 2 7 2" xfId="6591" xr:uid="{00000000-0005-0000-0000-000069010000}"/>
    <cellStyle name="20% - Accent3 2 2 7 2 2" xfId="19224" xr:uid="{6B992196-2280-49B3-BFD9-E1CD2BD3B06A}"/>
    <cellStyle name="20% - Accent3 2 2 7 3" xfId="15013" xr:uid="{720C8AA3-9BF9-4F77-BF86-8125D5ACE0AC}"/>
    <cellStyle name="20% - Accent3 2 2 7 4" xfId="24263" xr:uid="{0B4C1BF9-8512-46E5-A698-006D00CDDE92}"/>
    <cellStyle name="20% - Accent3 2 2 7 5" xfId="10802" xr:uid="{1D7336A9-1BD8-4449-8E22-2D995A576FA4}"/>
    <cellStyle name="20% - Accent3 2 2 8" xfId="4525" xr:uid="{00000000-0005-0000-0000-00006A010000}"/>
    <cellStyle name="20% - Accent3 2 2 8 2" xfId="17158" xr:uid="{872D41A8-CE29-4684-9562-27F40A78FC99}"/>
    <cellStyle name="20% - Accent3 2 2 9" xfId="21369" xr:uid="{88DBDCB7-E070-4459-9D9A-63A0DAEDC2FA}"/>
    <cellStyle name="20% - Accent3 2 3" xfId="21" xr:uid="{00000000-0005-0000-0000-00006B010000}"/>
    <cellStyle name="20% - Accent3 2 3 10" xfId="22199" xr:uid="{4B055410-4BC8-4C50-BF8F-448F02006681}"/>
    <cellStyle name="20% - Accent3 2 3 11" xfId="8738" xr:uid="{A49EFD95-1FCF-40A4-AC88-0450FF07416C}"/>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9719" xr:uid="{4C2C5C0F-A58E-4762-A010-2127693340EB}"/>
    <cellStyle name="20% - Accent3 2 3 2 2 3" xfId="15508" xr:uid="{399C9D55-7F36-4FC4-AF04-432409C7A025}"/>
    <cellStyle name="20% - Accent3 2 3 2 2 4" xfId="24758" xr:uid="{9C572E0E-074D-4EFA-B014-EE4C7480FBFA}"/>
    <cellStyle name="20% - Accent3 2 3 2 2 5" xfId="11297" xr:uid="{7D08B4CD-CF78-474A-8D4A-0E48EBADB3ED}"/>
    <cellStyle name="20% - Accent3 2 3 2 3" xfId="4941" xr:uid="{00000000-0005-0000-0000-00006F010000}"/>
    <cellStyle name="20% - Accent3 2 3 2 3 2" xfId="17574" xr:uid="{5B4F237E-B307-4561-A13B-B83BCB543D4B}"/>
    <cellStyle name="20% - Accent3 2 3 2 4" xfId="21784" xr:uid="{42F4464E-2418-464E-BA3F-9DE3D167CC53}"/>
    <cellStyle name="20% - Accent3 2 3 2 5" xfId="13363" xr:uid="{CC6E5765-1D12-44B3-8E8A-F906C66C5856}"/>
    <cellStyle name="20% - Accent3 2 3 2 6" xfId="22613" xr:uid="{1A677F74-EDED-4AAB-BE48-0C9B0BAA34D9}"/>
    <cellStyle name="20% - Accent3 2 3 2 7" xfId="9152" xr:uid="{AAFF0DC5-D310-4D50-9624-B18E231CABDA}"/>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20132" xr:uid="{B35EE57F-7B97-4D37-B7FB-494E6061B317}"/>
    <cellStyle name="20% - Accent3 2 3 3 2 3" xfId="15921" xr:uid="{3635B12D-A636-4E9F-9519-17443BA52B0C}"/>
    <cellStyle name="20% - Accent3 2 3 3 2 4" xfId="25171" xr:uid="{E8869EA4-CA12-405C-B394-E768C8D0EBFB}"/>
    <cellStyle name="20% - Accent3 2 3 3 2 5" xfId="11710" xr:uid="{6FD3F2BB-F1CD-4CD4-8878-190F093B3998}"/>
    <cellStyle name="20% - Accent3 2 3 3 3" xfId="5354" xr:uid="{00000000-0005-0000-0000-000073010000}"/>
    <cellStyle name="20% - Accent3 2 3 3 3 2" xfId="17987" xr:uid="{7D2F3723-47C3-4866-9D95-99FEBAD36E6C}"/>
    <cellStyle name="20% - Accent3 2 3 3 4" xfId="13776" xr:uid="{4A2DFE00-7272-44C5-8C3F-2AD8B3B561B2}"/>
    <cellStyle name="20% - Accent3 2 3 3 5" xfId="23026" xr:uid="{3057780C-B28D-4892-A67E-1BAEDBA5378F}"/>
    <cellStyle name="20% - Accent3 2 3 3 6" xfId="9565" xr:uid="{7D459B52-84F5-476F-B713-47705537B86C}"/>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20545" xr:uid="{E57A7C0B-46FC-43AB-AAFC-3895D2EB0F1A}"/>
    <cellStyle name="20% - Accent3 2 3 4 2 3" xfId="16334" xr:uid="{AB2BAB79-150A-48F7-8C11-636232FAFF8F}"/>
    <cellStyle name="20% - Accent3 2 3 4 2 4" xfId="25584" xr:uid="{85B34ED9-670B-499F-B49C-7ACB056F0A1E}"/>
    <cellStyle name="20% - Accent3 2 3 4 2 5" xfId="12123" xr:uid="{824746FF-912D-43B5-A9ED-CEB9DE032D5E}"/>
    <cellStyle name="20% - Accent3 2 3 4 3" xfId="5767" xr:uid="{00000000-0005-0000-0000-000077010000}"/>
    <cellStyle name="20% - Accent3 2 3 4 3 2" xfId="18400" xr:uid="{266BF830-A8B3-4D89-A190-6E894BC9DB3C}"/>
    <cellStyle name="20% - Accent3 2 3 4 4" xfId="14189" xr:uid="{B9B94742-CAB3-40C5-A5B8-1EB305A7F687}"/>
    <cellStyle name="20% - Accent3 2 3 4 5" xfId="23439" xr:uid="{B51251D8-3798-4B34-BD2B-54B02B1B7C65}"/>
    <cellStyle name="20% - Accent3 2 3 4 6" xfId="9978" xr:uid="{965E7C4E-4B21-46B9-8D5D-B490B235FC6F}"/>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20958" xr:uid="{1FB4FF74-47E0-49E0-9A84-ECE5E10A9DE9}"/>
    <cellStyle name="20% - Accent3 2 3 5 2 3" xfId="16747" xr:uid="{D803B38C-92CA-48E1-B872-16D885B580DA}"/>
    <cellStyle name="20% - Accent3 2 3 5 2 4" xfId="25997" xr:uid="{03FAACBA-357A-4CAD-8A25-2537CC747B54}"/>
    <cellStyle name="20% - Accent3 2 3 5 2 5" xfId="12536" xr:uid="{EC4232EC-B47B-43A6-AF7A-7A677DB2B71D}"/>
    <cellStyle name="20% - Accent3 2 3 5 3" xfId="6180" xr:uid="{00000000-0005-0000-0000-00007B010000}"/>
    <cellStyle name="20% - Accent3 2 3 5 3 2" xfId="18813" xr:uid="{DDCC0BE1-40A1-4037-8CB3-9BA52C06B398}"/>
    <cellStyle name="20% - Accent3 2 3 5 4" xfId="14602" xr:uid="{A23AFDC8-9670-4884-BC77-1C82C57736D8}"/>
    <cellStyle name="20% - Accent3 2 3 5 5" xfId="23852" xr:uid="{72341068-7B98-4E06-A0BD-546AE683FE45}"/>
    <cellStyle name="20% - Accent3 2 3 5 6" xfId="10391" xr:uid="{E88A57D9-AD6D-409A-98B1-070A45E1A04B}"/>
    <cellStyle name="20% - Accent3 2 3 6" xfId="2285" xr:uid="{00000000-0005-0000-0000-00007C010000}"/>
    <cellStyle name="20% - Accent3 2 3 6 2" xfId="6593" xr:uid="{00000000-0005-0000-0000-00007D010000}"/>
    <cellStyle name="20% - Accent3 2 3 6 2 2" xfId="19226" xr:uid="{05392E91-64D5-4472-AA9A-D6A80B4A2DE2}"/>
    <cellStyle name="20% - Accent3 2 3 6 3" xfId="15015" xr:uid="{F7239AD7-D75C-4BB0-BE59-2F899D73B3F7}"/>
    <cellStyle name="20% - Accent3 2 3 6 4" xfId="24265" xr:uid="{3611DBD5-B4AC-4DD7-9645-D07185BF72CF}"/>
    <cellStyle name="20% - Accent3 2 3 6 5" xfId="10804" xr:uid="{80A5FCC7-6DBE-4473-AF81-D025C3EA1ED5}"/>
    <cellStyle name="20% - Accent3 2 3 7" xfId="4527" xr:uid="{00000000-0005-0000-0000-00007E010000}"/>
    <cellStyle name="20% - Accent3 2 3 7 2" xfId="17160" xr:uid="{208F15DD-3748-441F-AB45-3C9E321D1209}"/>
    <cellStyle name="20% - Accent3 2 3 8" xfId="21371" xr:uid="{4E303E09-93BA-4ECA-960F-7BEE67E1FBCF}"/>
    <cellStyle name="20% - Accent3 2 3 9" xfId="12949" xr:uid="{81C86687-CB87-4B2A-9611-CF514B21D86A}"/>
    <cellStyle name="20% - Accent3 2 4" xfId="588" xr:uid="{00000000-0005-0000-0000-00007F010000}"/>
    <cellStyle name="20% - Accent3 2 4 2" xfId="2859" xr:uid="{00000000-0005-0000-0000-000080010000}"/>
    <cellStyle name="20% - Accent3 2 4 2 2" xfId="7083" xr:uid="{00000000-0005-0000-0000-000081010000}"/>
    <cellStyle name="20% - Accent3 2 4 2 2 2" xfId="19716" xr:uid="{B49C4572-4A83-426B-A6BD-25BCEC09F9AA}"/>
    <cellStyle name="20% - Accent3 2 4 2 3" xfId="15505" xr:uid="{AD859645-0669-45B6-A5FF-B4FF6B3EBC88}"/>
    <cellStyle name="20% - Accent3 2 4 2 4" xfId="24755" xr:uid="{D4236384-EE43-471C-8F0E-F274160F4346}"/>
    <cellStyle name="20% - Accent3 2 4 2 5" xfId="11294" xr:uid="{A748764A-4788-49F7-9F02-3E178D03C14D}"/>
    <cellStyle name="20% - Accent3 2 4 3" xfId="4938" xr:uid="{00000000-0005-0000-0000-000082010000}"/>
    <cellStyle name="20% - Accent3 2 4 3 2" xfId="17571" xr:uid="{9F77E30B-61E3-41A8-B23D-2538BC56D8FC}"/>
    <cellStyle name="20% - Accent3 2 4 4" xfId="21781" xr:uid="{95E41E17-2D7C-4CE7-A8C1-DBAA3DE3D4D0}"/>
    <cellStyle name="20% - Accent3 2 4 5" xfId="13360" xr:uid="{030A8FDE-4A60-4424-9747-F777849AEE9D}"/>
    <cellStyle name="20% - Accent3 2 4 6" xfId="22610" xr:uid="{666E6C3C-0582-46C5-A6A1-38236C76C68D}"/>
    <cellStyle name="20% - Accent3 2 4 7" xfId="9149" xr:uid="{90833263-4046-46E2-947A-48693B2F890D}"/>
    <cellStyle name="20% - Accent3 2 5" xfId="1041" xr:uid="{00000000-0005-0000-0000-000083010000}"/>
    <cellStyle name="20% - Accent3 2 5 2" xfId="3272" xr:uid="{00000000-0005-0000-0000-000084010000}"/>
    <cellStyle name="20% - Accent3 2 5 2 2" xfId="7496" xr:uid="{00000000-0005-0000-0000-000085010000}"/>
    <cellStyle name="20% - Accent3 2 5 2 2 2" xfId="20129" xr:uid="{B448753C-FFA7-47E4-9398-A7DE0BB25BF8}"/>
    <cellStyle name="20% - Accent3 2 5 2 3" xfId="15918" xr:uid="{82F259CE-3228-4366-8043-F4CA1C998EDB}"/>
    <cellStyle name="20% - Accent3 2 5 2 4" xfId="25168" xr:uid="{3206AF7C-4C7F-4C5E-B185-1FCE8005B559}"/>
    <cellStyle name="20% - Accent3 2 5 2 5" xfId="11707" xr:uid="{F5A21461-DA96-44B3-988F-E9556084B0C9}"/>
    <cellStyle name="20% - Accent3 2 5 3" xfId="5351" xr:uid="{00000000-0005-0000-0000-000086010000}"/>
    <cellStyle name="20% - Accent3 2 5 3 2" xfId="17984" xr:uid="{0C8E440A-FD71-4F79-AC11-9064E4BBEFE8}"/>
    <cellStyle name="20% - Accent3 2 5 4" xfId="13773" xr:uid="{12CE1C58-6368-43DC-B5BA-6BAC12CA18A5}"/>
    <cellStyle name="20% - Accent3 2 5 5" xfId="23023" xr:uid="{33F63CB5-42D0-4100-A85C-4AD1A9BEE32A}"/>
    <cellStyle name="20% - Accent3 2 5 6" xfId="9562" xr:uid="{B85FAADB-B64C-40F3-A62A-E71506E6AEBA}"/>
    <cellStyle name="20% - Accent3 2 6" xfId="1455" xr:uid="{00000000-0005-0000-0000-000087010000}"/>
    <cellStyle name="20% - Accent3 2 6 2" xfId="3685" xr:uid="{00000000-0005-0000-0000-000088010000}"/>
    <cellStyle name="20% - Accent3 2 6 2 2" xfId="7909" xr:uid="{00000000-0005-0000-0000-000089010000}"/>
    <cellStyle name="20% - Accent3 2 6 2 2 2" xfId="20542" xr:uid="{BFCBDBDC-285A-4546-B0D1-A77DD42CCF85}"/>
    <cellStyle name="20% - Accent3 2 6 2 3" xfId="16331" xr:uid="{FF637FDB-4F87-41AA-BB34-F568C7E74156}"/>
    <cellStyle name="20% - Accent3 2 6 2 4" xfId="25581" xr:uid="{E3F29DFE-724E-4703-82E4-855D4F4EE3DC}"/>
    <cellStyle name="20% - Accent3 2 6 2 5" xfId="12120" xr:uid="{FB2AB0F0-BE6A-4020-9BEA-44A24C2DBF03}"/>
    <cellStyle name="20% - Accent3 2 6 3" xfId="5764" xr:uid="{00000000-0005-0000-0000-00008A010000}"/>
    <cellStyle name="20% - Accent3 2 6 3 2" xfId="18397" xr:uid="{59B0C9EC-9EFB-447B-8054-DF5B9C37F817}"/>
    <cellStyle name="20% - Accent3 2 6 4" xfId="14186" xr:uid="{CD163071-B263-45EF-8A47-F2D214EDDF2B}"/>
    <cellStyle name="20% - Accent3 2 6 5" xfId="23436" xr:uid="{B16CF3BA-4A81-4338-BA70-308C10303EFC}"/>
    <cellStyle name="20% - Accent3 2 6 6" xfId="9975" xr:uid="{50F34751-BA38-4E52-AECB-0FC09788B9AA}"/>
    <cellStyle name="20% - Accent3 2 7" xfId="1869" xr:uid="{00000000-0005-0000-0000-00008B010000}"/>
    <cellStyle name="20% - Accent3 2 7 2" xfId="4098" xr:uid="{00000000-0005-0000-0000-00008C010000}"/>
    <cellStyle name="20% - Accent3 2 7 2 2" xfId="8322" xr:uid="{00000000-0005-0000-0000-00008D010000}"/>
    <cellStyle name="20% - Accent3 2 7 2 2 2" xfId="20955" xr:uid="{B0009C3A-B82D-4B27-B0F2-9C8889D18C34}"/>
    <cellStyle name="20% - Accent3 2 7 2 3" xfId="16744" xr:uid="{313F92C5-8F0C-4B3E-B549-6DDF9FFE4BE5}"/>
    <cellStyle name="20% - Accent3 2 7 2 4" xfId="25994" xr:uid="{F685BB5A-08B6-4BF7-9B64-7CE13BFBAE4D}"/>
    <cellStyle name="20% - Accent3 2 7 2 5" xfId="12533" xr:uid="{311BB9A6-77FD-47F6-95AB-5EBBD36C2DE6}"/>
    <cellStyle name="20% - Accent3 2 7 3" xfId="6177" xr:uid="{00000000-0005-0000-0000-00008E010000}"/>
    <cellStyle name="20% - Accent3 2 7 3 2" xfId="18810" xr:uid="{40805A56-2101-4991-9CE8-F6602CC4F817}"/>
    <cellStyle name="20% - Accent3 2 7 4" xfId="14599" xr:uid="{8C3F2B08-35E1-46C6-BAA1-85B35546661B}"/>
    <cellStyle name="20% - Accent3 2 7 5" xfId="23849" xr:uid="{E33A7DED-21A2-41B3-AE7F-7FE200CF666F}"/>
    <cellStyle name="20% - Accent3 2 7 6" xfId="10388" xr:uid="{57003AAF-BBB0-4FC4-9626-C46E852DCA3C}"/>
    <cellStyle name="20% - Accent3 2 8" xfId="2282" xr:uid="{00000000-0005-0000-0000-00008F010000}"/>
    <cellStyle name="20% - Accent3 2 8 2" xfId="6590" xr:uid="{00000000-0005-0000-0000-000090010000}"/>
    <cellStyle name="20% - Accent3 2 8 2 2" xfId="19223" xr:uid="{DA374C64-9B54-42BC-A358-E2DA30029C10}"/>
    <cellStyle name="20% - Accent3 2 8 3" xfId="15012" xr:uid="{E7D6693A-0FEF-4D70-9812-58C99AD8C413}"/>
    <cellStyle name="20% - Accent3 2 8 4" xfId="24262" xr:uid="{3696659B-A21B-4A2D-AD4D-E9F29AF47E25}"/>
    <cellStyle name="20% - Accent3 2 8 5" xfId="10801" xr:uid="{4380BB2C-6C4F-4C38-B77D-766976BD83F5}"/>
    <cellStyle name="20% - Accent3 2 9" xfId="4524" xr:uid="{00000000-0005-0000-0000-000091010000}"/>
    <cellStyle name="20% - Accent3 2 9 2" xfId="17157" xr:uid="{1FB3AEBD-58DA-4E9A-A150-7AD2C96F54FB}"/>
    <cellStyle name="20% - Accent3 3" xfId="22" xr:uid="{00000000-0005-0000-0000-000092010000}"/>
    <cellStyle name="20% - Accent3 3 10" xfId="12950" xr:uid="{11186230-F60B-46C3-ABAC-F35700659D2A}"/>
    <cellStyle name="20% - Accent3 3 11" xfId="22200" xr:uid="{F55880A7-1B8C-45CB-8736-CC7D9EB7EB55}"/>
    <cellStyle name="20% - Accent3 3 12" xfId="8739" xr:uid="{16A4ED33-6CEC-4496-9A9F-D8923882626F}"/>
    <cellStyle name="20% - Accent3 3 2" xfId="23" xr:uid="{00000000-0005-0000-0000-000093010000}"/>
    <cellStyle name="20% - Accent3 3 2 10" xfId="22201" xr:uid="{A0AAC803-A541-4B8E-A539-7D6D969037A8}"/>
    <cellStyle name="20% - Accent3 3 2 11" xfId="8740" xr:uid="{C7CEF40A-5B13-4967-963C-E85914530BB8}"/>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9721" xr:uid="{046EEB23-12D3-46E0-ACD9-398D3890868C}"/>
    <cellStyle name="20% - Accent3 3 2 2 2 3" xfId="15510" xr:uid="{436EDE2B-D308-4A52-9448-0DB76B41860B}"/>
    <cellStyle name="20% - Accent3 3 2 2 2 4" xfId="24760" xr:uid="{9A404836-0626-43F2-B2B7-BF0EB34018F6}"/>
    <cellStyle name="20% - Accent3 3 2 2 2 5" xfId="11299" xr:uid="{5E3967D3-03AA-4244-83CF-AF8987B5D3AB}"/>
    <cellStyle name="20% - Accent3 3 2 2 3" xfId="4943" xr:uid="{00000000-0005-0000-0000-000097010000}"/>
    <cellStyle name="20% - Accent3 3 2 2 3 2" xfId="17576" xr:uid="{1E2D9AD0-8474-471A-8741-EDBF5EA17599}"/>
    <cellStyle name="20% - Accent3 3 2 2 4" xfId="21786" xr:uid="{6870BDDD-508B-4754-A555-0325B5B297D3}"/>
    <cellStyle name="20% - Accent3 3 2 2 5" xfId="13365" xr:uid="{D16A2224-24F2-4646-8182-EA8148C2E1C8}"/>
    <cellStyle name="20% - Accent3 3 2 2 6" xfId="22615" xr:uid="{72110F4B-D445-4215-A273-ADB2086FA3E4}"/>
    <cellStyle name="20% - Accent3 3 2 2 7" xfId="9154" xr:uid="{D50B1B59-9012-4D77-A561-44C56AEFA967}"/>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20134" xr:uid="{B711DF97-72DE-406F-9830-6D7821A68272}"/>
    <cellStyle name="20% - Accent3 3 2 3 2 3" xfId="15923" xr:uid="{273250EC-D854-4403-8E98-5D8027514A87}"/>
    <cellStyle name="20% - Accent3 3 2 3 2 4" xfId="25173" xr:uid="{87ECA971-6A8F-495E-9D43-6AC39AF164FE}"/>
    <cellStyle name="20% - Accent3 3 2 3 2 5" xfId="11712" xr:uid="{C2EB59C5-B26C-459B-846F-E042E57C4555}"/>
    <cellStyle name="20% - Accent3 3 2 3 3" xfId="5356" xr:uid="{00000000-0005-0000-0000-00009B010000}"/>
    <cellStyle name="20% - Accent3 3 2 3 3 2" xfId="17989" xr:uid="{2ED8D37F-74AF-4BFA-A584-B331C85391D9}"/>
    <cellStyle name="20% - Accent3 3 2 3 4" xfId="13778" xr:uid="{86856424-994C-49BC-9897-DC7B11000B2E}"/>
    <cellStyle name="20% - Accent3 3 2 3 5" xfId="23028" xr:uid="{83CF0EF7-43F0-4C27-B490-5B2AB8F9BA49}"/>
    <cellStyle name="20% - Accent3 3 2 3 6" xfId="9567" xr:uid="{9FAAD769-7F44-445D-9658-5A983C3DE1EB}"/>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20547" xr:uid="{851880A3-F023-40BC-9E38-6451AA1893CC}"/>
    <cellStyle name="20% - Accent3 3 2 4 2 3" xfId="16336" xr:uid="{C0D5CD76-F596-4268-A4CB-63A7884A4EF9}"/>
    <cellStyle name="20% - Accent3 3 2 4 2 4" xfId="25586" xr:uid="{C823027E-5AD3-4D1D-B67C-5ABABAF6A0A5}"/>
    <cellStyle name="20% - Accent3 3 2 4 2 5" xfId="12125" xr:uid="{03F98A87-EFC4-4A2D-B5CA-3F1C04BECCAF}"/>
    <cellStyle name="20% - Accent3 3 2 4 3" xfId="5769" xr:uid="{00000000-0005-0000-0000-00009F010000}"/>
    <cellStyle name="20% - Accent3 3 2 4 3 2" xfId="18402" xr:uid="{23EA6BA3-C6C9-4341-8781-571180085885}"/>
    <cellStyle name="20% - Accent3 3 2 4 4" xfId="14191" xr:uid="{CE239744-6854-4081-A47A-BE46C2D0B403}"/>
    <cellStyle name="20% - Accent3 3 2 4 5" xfId="23441" xr:uid="{E228FA0A-B6DB-40F1-B3DE-3133E5534FF6}"/>
    <cellStyle name="20% - Accent3 3 2 4 6" xfId="9980" xr:uid="{F2C2B898-C420-4A31-981E-F36BE80DB294}"/>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20960" xr:uid="{408596AB-8119-4643-9E4F-60430D7A9A2C}"/>
    <cellStyle name="20% - Accent3 3 2 5 2 3" xfId="16749" xr:uid="{09E5CC2F-4B92-4DC6-87BB-9F01FFE0180F}"/>
    <cellStyle name="20% - Accent3 3 2 5 2 4" xfId="25999" xr:uid="{506675DE-F756-4B34-A287-6A35956CDCF4}"/>
    <cellStyle name="20% - Accent3 3 2 5 2 5" xfId="12538" xr:uid="{33F724B0-E4DE-469F-B35A-6B276CF9FEB8}"/>
    <cellStyle name="20% - Accent3 3 2 5 3" xfId="6182" xr:uid="{00000000-0005-0000-0000-0000A3010000}"/>
    <cellStyle name="20% - Accent3 3 2 5 3 2" xfId="18815" xr:uid="{F5BE2A31-D085-49D4-922A-20FA444183E1}"/>
    <cellStyle name="20% - Accent3 3 2 5 4" xfId="14604" xr:uid="{EFE0CCB8-BF61-41A7-8462-7A832054BCC5}"/>
    <cellStyle name="20% - Accent3 3 2 5 5" xfId="23854" xr:uid="{17C338D8-CF53-4FB5-80A8-033899785498}"/>
    <cellStyle name="20% - Accent3 3 2 5 6" xfId="10393" xr:uid="{C3C27D23-BBEE-44E1-83C4-323DEAD0674C}"/>
    <cellStyle name="20% - Accent3 3 2 6" xfId="2287" xr:uid="{00000000-0005-0000-0000-0000A4010000}"/>
    <cellStyle name="20% - Accent3 3 2 6 2" xfId="6595" xr:uid="{00000000-0005-0000-0000-0000A5010000}"/>
    <cellStyle name="20% - Accent3 3 2 6 2 2" xfId="19228" xr:uid="{8F8EE692-2DB3-44E2-B731-28AAF47F647C}"/>
    <cellStyle name="20% - Accent3 3 2 6 3" xfId="15017" xr:uid="{E7178B92-9B57-47D8-AF11-924A295D7878}"/>
    <cellStyle name="20% - Accent3 3 2 6 4" xfId="24267" xr:uid="{33C4E8AC-7B95-4C87-BFDC-EB93DAA22BC8}"/>
    <cellStyle name="20% - Accent3 3 2 6 5" xfId="10806" xr:uid="{85D31FB5-1C8A-4349-ADBF-2265BEEC2138}"/>
    <cellStyle name="20% - Accent3 3 2 7" xfId="4529" xr:uid="{00000000-0005-0000-0000-0000A6010000}"/>
    <cellStyle name="20% - Accent3 3 2 7 2" xfId="17162" xr:uid="{E96BD1BF-6F54-4E59-83C2-B3F72417835F}"/>
    <cellStyle name="20% - Accent3 3 2 8" xfId="21373" xr:uid="{93D4185E-B5E2-4AE2-844F-2F1B7D487A1D}"/>
    <cellStyle name="20% - Accent3 3 2 9" xfId="12951" xr:uid="{F6A27595-0501-45C1-961F-572524EDBC19}"/>
    <cellStyle name="20% - Accent3 3 3" xfId="592" xr:uid="{00000000-0005-0000-0000-0000A7010000}"/>
    <cellStyle name="20% - Accent3 3 3 2" xfId="2863" xr:uid="{00000000-0005-0000-0000-0000A8010000}"/>
    <cellStyle name="20% - Accent3 3 3 2 2" xfId="7087" xr:uid="{00000000-0005-0000-0000-0000A9010000}"/>
    <cellStyle name="20% - Accent3 3 3 2 2 2" xfId="19720" xr:uid="{FAC76081-77BF-47D7-9B31-8BE102326E4D}"/>
    <cellStyle name="20% - Accent3 3 3 2 3" xfId="15509" xr:uid="{152F34AB-EABD-4FC2-BD29-EA1CFDBB7780}"/>
    <cellStyle name="20% - Accent3 3 3 2 4" xfId="24759" xr:uid="{13F8C8FD-D5F4-45DA-9860-6B3F9237F25C}"/>
    <cellStyle name="20% - Accent3 3 3 2 5" xfId="11298" xr:uid="{716ABCEA-7A4B-4766-B330-D3BA49C7B02B}"/>
    <cellStyle name="20% - Accent3 3 3 3" xfId="4942" xr:uid="{00000000-0005-0000-0000-0000AA010000}"/>
    <cellStyle name="20% - Accent3 3 3 3 2" xfId="17575" xr:uid="{23A22B21-8E69-4EAB-BB18-D6A997281F88}"/>
    <cellStyle name="20% - Accent3 3 3 4" xfId="21785" xr:uid="{396384AB-607F-42EA-BAD1-9A896071373A}"/>
    <cellStyle name="20% - Accent3 3 3 5" xfId="13364" xr:uid="{E385F893-A5B2-4C08-92A8-3DEF4FC1F038}"/>
    <cellStyle name="20% - Accent3 3 3 6" xfId="22614" xr:uid="{9601ABDD-9406-4317-96B4-DDF9001FD107}"/>
    <cellStyle name="20% - Accent3 3 3 7" xfId="9153" xr:uid="{7FDCE309-6FCF-43C1-8466-43EF6D80243C}"/>
    <cellStyle name="20% - Accent3 3 4" xfId="1045" xr:uid="{00000000-0005-0000-0000-0000AB010000}"/>
    <cellStyle name="20% - Accent3 3 4 2" xfId="3276" xr:uid="{00000000-0005-0000-0000-0000AC010000}"/>
    <cellStyle name="20% - Accent3 3 4 2 2" xfId="7500" xr:uid="{00000000-0005-0000-0000-0000AD010000}"/>
    <cellStyle name="20% - Accent3 3 4 2 2 2" xfId="20133" xr:uid="{163D67CD-EC84-426F-9975-5B29B060E5F2}"/>
    <cellStyle name="20% - Accent3 3 4 2 3" xfId="15922" xr:uid="{D792934C-A6E8-4D99-96CB-EDB1B4FA2C42}"/>
    <cellStyle name="20% - Accent3 3 4 2 4" xfId="25172" xr:uid="{14ED909B-8BC9-497E-BE06-DB7E14034285}"/>
    <cellStyle name="20% - Accent3 3 4 2 5" xfId="11711" xr:uid="{6D1D10A9-C106-4549-B9C4-714024960545}"/>
    <cellStyle name="20% - Accent3 3 4 3" xfId="5355" xr:uid="{00000000-0005-0000-0000-0000AE010000}"/>
    <cellStyle name="20% - Accent3 3 4 3 2" xfId="17988" xr:uid="{0CCD0569-2265-4347-9067-390700A862DE}"/>
    <cellStyle name="20% - Accent3 3 4 4" xfId="13777" xr:uid="{FC8B6D17-E73D-4B74-936A-A68FF58F4E9F}"/>
    <cellStyle name="20% - Accent3 3 4 5" xfId="23027" xr:uid="{D6D5E506-BB13-407D-B8E4-FA017DD3F71E}"/>
    <cellStyle name="20% - Accent3 3 4 6" xfId="9566" xr:uid="{617F7D2D-9DF9-48A6-9621-C87A15E793D8}"/>
    <cellStyle name="20% - Accent3 3 5" xfId="1459" xr:uid="{00000000-0005-0000-0000-0000AF010000}"/>
    <cellStyle name="20% - Accent3 3 5 2" xfId="3689" xr:uid="{00000000-0005-0000-0000-0000B0010000}"/>
    <cellStyle name="20% - Accent3 3 5 2 2" xfId="7913" xr:uid="{00000000-0005-0000-0000-0000B1010000}"/>
    <cellStyle name="20% - Accent3 3 5 2 2 2" xfId="20546" xr:uid="{F9F808F3-5EE6-4802-AAF3-2654B8693113}"/>
    <cellStyle name="20% - Accent3 3 5 2 3" xfId="16335" xr:uid="{F47E0D72-5B84-45F9-A929-3C0DD032FDC8}"/>
    <cellStyle name="20% - Accent3 3 5 2 4" xfId="25585" xr:uid="{D39C817F-3CDC-4DA5-8AC6-37CF299195B3}"/>
    <cellStyle name="20% - Accent3 3 5 2 5" xfId="12124" xr:uid="{EFFE6B62-CF0B-4465-8D56-4AA33D04E284}"/>
    <cellStyle name="20% - Accent3 3 5 3" xfId="5768" xr:uid="{00000000-0005-0000-0000-0000B2010000}"/>
    <cellStyle name="20% - Accent3 3 5 3 2" xfId="18401" xr:uid="{7F6B068D-9282-400B-AFCF-BDCFD4735B89}"/>
    <cellStyle name="20% - Accent3 3 5 4" xfId="14190" xr:uid="{D5076446-1A64-49E2-8611-8D9127C1F084}"/>
    <cellStyle name="20% - Accent3 3 5 5" xfId="23440" xr:uid="{B1F83213-140B-4056-A88F-C1C7EB14C436}"/>
    <cellStyle name="20% - Accent3 3 5 6" xfId="9979" xr:uid="{CB04747C-F068-4232-8946-2769589CB8DF}"/>
    <cellStyle name="20% - Accent3 3 6" xfId="1873" xr:uid="{00000000-0005-0000-0000-0000B3010000}"/>
    <cellStyle name="20% - Accent3 3 6 2" xfId="4102" xr:uid="{00000000-0005-0000-0000-0000B4010000}"/>
    <cellStyle name="20% - Accent3 3 6 2 2" xfId="8326" xr:uid="{00000000-0005-0000-0000-0000B5010000}"/>
    <cellStyle name="20% - Accent3 3 6 2 2 2" xfId="20959" xr:uid="{4D2193D0-AC6B-4BD4-BD2C-6026294DA336}"/>
    <cellStyle name="20% - Accent3 3 6 2 3" xfId="16748" xr:uid="{7F0B3D9E-7B8F-44F6-B608-72818C189A1B}"/>
    <cellStyle name="20% - Accent3 3 6 2 4" xfId="25998" xr:uid="{7B2DB90A-39AD-4015-8CFE-CB93A75788A4}"/>
    <cellStyle name="20% - Accent3 3 6 2 5" xfId="12537" xr:uid="{20BB6FEE-6BD1-491C-A689-B41400041281}"/>
    <cellStyle name="20% - Accent3 3 6 3" xfId="6181" xr:uid="{00000000-0005-0000-0000-0000B6010000}"/>
    <cellStyle name="20% - Accent3 3 6 3 2" xfId="18814" xr:uid="{23D8B612-029D-458B-ABC6-BBE914F20744}"/>
    <cellStyle name="20% - Accent3 3 6 4" xfId="14603" xr:uid="{842A49A5-0AC6-4429-8251-77A648C759B7}"/>
    <cellStyle name="20% - Accent3 3 6 5" xfId="23853" xr:uid="{85F2C28F-886D-4493-88F9-B7FEC2BBF1A2}"/>
    <cellStyle name="20% - Accent3 3 6 6" xfId="10392" xr:uid="{6C9C0F85-EC02-432C-95EB-75DA8C2DE022}"/>
    <cellStyle name="20% - Accent3 3 7" xfId="2286" xr:uid="{00000000-0005-0000-0000-0000B7010000}"/>
    <cellStyle name="20% - Accent3 3 7 2" xfId="6594" xr:uid="{00000000-0005-0000-0000-0000B8010000}"/>
    <cellStyle name="20% - Accent3 3 7 2 2" xfId="19227" xr:uid="{2D3609B6-B33F-461B-B2BB-D14E05A231AA}"/>
    <cellStyle name="20% - Accent3 3 7 3" xfId="15016" xr:uid="{12660E49-9925-49DE-AB21-397883FBF0FC}"/>
    <cellStyle name="20% - Accent3 3 7 4" xfId="24266" xr:uid="{9E11637A-512E-4563-853F-007B60D2D278}"/>
    <cellStyle name="20% - Accent3 3 7 5" xfId="10805" xr:uid="{C093719C-C675-4AB4-A6AA-B5C06F5AE276}"/>
    <cellStyle name="20% - Accent3 3 8" xfId="4528" xr:uid="{00000000-0005-0000-0000-0000B9010000}"/>
    <cellStyle name="20% - Accent3 3 8 2" xfId="17161" xr:uid="{4A1D008A-E9EF-4A52-A139-CC81806E021D}"/>
    <cellStyle name="20% - Accent3 3 9" xfId="21372" xr:uid="{16AE1990-67E4-4B57-B093-C713CA453991}"/>
    <cellStyle name="20% - Accent3 4" xfId="24" xr:uid="{00000000-0005-0000-0000-0000BA010000}"/>
    <cellStyle name="20% - Accent3 4 10" xfId="22202" xr:uid="{90244231-3D0C-4BE8-8654-8147A7A82489}"/>
    <cellStyle name="20% - Accent3 4 11" xfId="8741" xr:uid="{B781D69B-8949-4177-8B4B-C8E25DCD2ACD}"/>
    <cellStyle name="20% - Accent3 4 2" xfId="594" xr:uid="{00000000-0005-0000-0000-0000BB010000}"/>
    <cellStyle name="20% - Accent3 4 2 2" xfId="2865" xr:uid="{00000000-0005-0000-0000-0000BC010000}"/>
    <cellStyle name="20% - Accent3 4 2 2 2" xfId="7089" xr:uid="{00000000-0005-0000-0000-0000BD010000}"/>
    <cellStyle name="20% - Accent3 4 2 2 2 2" xfId="19722" xr:uid="{62E7C089-440C-4D49-B469-806CA211DC6C}"/>
    <cellStyle name="20% - Accent3 4 2 2 3" xfId="15511" xr:uid="{1AF14F01-D935-47D9-813F-97449A5F54BB}"/>
    <cellStyle name="20% - Accent3 4 2 2 4" xfId="24761" xr:uid="{17A2DEF9-E5ED-4A4A-801C-7286C556892F}"/>
    <cellStyle name="20% - Accent3 4 2 2 5" xfId="11300" xr:uid="{B238070A-7FF9-4D27-BE37-7A2AA8BD876A}"/>
    <cellStyle name="20% - Accent3 4 2 3" xfId="4944" xr:uid="{00000000-0005-0000-0000-0000BE010000}"/>
    <cellStyle name="20% - Accent3 4 2 3 2" xfId="17577" xr:uid="{55DB8E1C-BA8B-4AD2-98AF-209322CF4A3F}"/>
    <cellStyle name="20% - Accent3 4 2 4" xfId="21787" xr:uid="{AC0D95FB-42E2-4EF0-BE69-14DC915695DB}"/>
    <cellStyle name="20% - Accent3 4 2 5" xfId="13366" xr:uid="{4117A03B-EF4F-43E6-9227-9024A8B09FD7}"/>
    <cellStyle name="20% - Accent3 4 2 6" xfId="22616" xr:uid="{A5049DF2-8815-4275-A5FB-9B7877B0F579}"/>
    <cellStyle name="20% - Accent3 4 2 7" xfId="9155" xr:uid="{6BF61AD5-E49D-480E-9B94-BC4D81D81F59}"/>
    <cellStyle name="20% - Accent3 4 3" xfId="1047" xr:uid="{00000000-0005-0000-0000-0000BF010000}"/>
    <cellStyle name="20% - Accent3 4 3 2" xfId="3278" xr:uid="{00000000-0005-0000-0000-0000C0010000}"/>
    <cellStyle name="20% - Accent3 4 3 2 2" xfId="7502" xr:uid="{00000000-0005-0000-0000-0000C1010000}"/>
    <cellStyle name="20% - Accent3 4 3 2 2 2" xfId="20135" xr:uid="{F74DD356-5148-4DCE-8271-14427E3AFBB3}"/>
    <cellStyle name="20% - Accent3 4 3 2 3" xfId="15924" xr:uid="{20B97737-72E9-434C-9363-CFFBCEA60AE4}"/>
    <cellStyle name="20% - Accent3 4 3 2 4" xfId="25174" xr:uid="{095DC096-B5FD-4B11-988A-226AC1362337}"/>
    <cellStyle name="20% - Accent3 4 3 2 5" xfId="11713" xr:uid="{4591AFBF-34C5-49D5-A224-DCFE29644ABB}"/>
    <cellStyle name="20% - Accent3 4 3 3" xfId="5357" xr:uid="{00000000-0005-0000-0000-0000C2010000}"/>
    <cellStyle name="20% - Accent3 4 3 3 2" xfId="17990" xr:uid="{BC943289-6E30-4031-8A3A-DCB3B778FD4A}"/>
    <cellStyle name="20% - Accent3 4 3 4" xfId="13779" xr:uid="{0DE11379-17AF-4CC5-94FF-8941432A2694}"/>
    <cellStyle name="20% - Accent3 4 3 5" xfId="23029" xr:uid="{AD00A207-6A82-40E0-8A02-7170291B727B}"/>
    <cellStyle name="20% - Accent3 4 3 6" xfId="9568" xr:uid="{75EB3402-9D3E-4FD0-B774-3F771B379DEC}"/>
    <cellStyle name="20% - Accent3 4 4" xfId="1461" xr:uid="{00000000-0005-0000-0000-0000C3010000}"/>
    <cellStyle name="20% - Accent3 4 4 2" xfId="3691" xr:uid="{00000000-0005-0000-0000-0000C4010000}"/>
    <cellStyle name="20% - Accent3 4 4 2 2" xfId="7915" xr:uid="{00000000-0005-0000-0000-0000C5010000}"/>
    <cellStyle name="20% - Accent3 4 4 2 2 2" xfId="20548" xr:uid="{0A75DC33-5312-4586-B4CF-C7D511718BDA}"/>
    <cellStyle name="20% - Accent3 4 4 2 3" xfId="16337" xr:uid="{AE0EBBDF-9172-4E96-ACCC-FDEFC665D249}"/>
    <cellStyle name="20% - Accent3 4 4 2 4" xfId="25587" xr:uid="{7864D9F8-B969-4E94-8BED-C1F2DD0CD0D8}"/>
    <cellStyle name="20% - Accent3 4 4 2 5" xfId="12126" xr:uid="{12E17910-9419-44E4-8DCE-766FDE51194B}"/>
    <cellStyle name="20% - Accent3 4 4 3" xfId="5770" xr:uid="{00000000-0005-0000-0000-0000C6010000}"/>
    <cellStyle name="20% - Accent3 4 4 3 2" xfId="18403" xr:uid="{94A677ED-ACB8-48A6-8E15-714DA8429E86}"/>
    <cellStyle name="20% - Accent3 4 4 4" xfId="14192" xr:uid="{623A8A9C-08AC-4E84-8BC1-94309BA0894A}"/>
    <cellStyle name="20% - Accent3 4 4 5" xfId="23442" xr:uid="{952E905E-4B86-4A86-8D02-A9E8DCB7242D}"/>
    <cellStyle name="20% - Accent3 4 4 6" xfId="9981" xr:uid="{9E86EE18-3D56-4E73-9BE4-A3D5FED46549}"/>
    <cellStyle name="20% - Accent3 4 5" xfId="1875" xr:uid="{00000000-0005-0000-0000-0000C7010000}"/>
    <cellStyle name="20% - Accent3 4 5 2" xfId="4104" xr:uid="{00000000-0005-0000-0000-0000C8010000}"/>
    <cellStyle name="20% - Accent3 4 5 2 2" xfId="8328" xr:uid="{00000000-0005-0000-0000-0000C9010000}"/>
    <cellStyle name="20% - Accent3 4 5 2 2 2" xfId="20961" xr:uid="{D94A19F9-A3D1-427C-9212-DB0E5F13D595}"/>
    <cellStyle name="20% - Accent3 4 5 2 3" xfId="16750" xr:uid="{8C2F7414-AE25-4A94-9EF5-6934216E4EB6}"/>
    <cellStyle name="20% - Accent3 4 5 2 4" xfId="26000" xr:uid="{F552F8C4-77D8-41C0-A95D-78468E02075D}"/>
    <cellStyle name="20% - Accent3 4 5 2 5" xfId="12539" xr:uid="{65CE446C-904E-4B23-9D48-7A7BF5916C43}"/>
    <cellStyle name="20% - Accent3 4 5 3" xfId="6183" xr:uid="{00000000-0005-0000-0000-0000CA010000}"/>
    <cellStyle name="20% - Accent3 4 5 3 2" xfId="18816" xr:uid="{DECDAD48-78EF-4748-90F6-5AA785C411A5}"/>
    <cellStyle name="20% - Accent3 4 5 4" xfId="14605" xr:uid="{01A22929-4A35-45F5-A661-DA60266794EA}"/>
    <cellStyle name="20% - Accent3 4 5 5" xfId="23855" xr:uid="{EFB752E8-8C1A-4473-BC56-9A3CC5305139}"/>
    <cellStyle name="20% - Accent3 4 5 6" xfId="10394" xr:uid="{A0A705D0-D0ED-4166-93FB-2006676D39E0}"/>
    <cellStyle name="20% - Accent3 4 6" xfId="2288" xr:uid="{00000000-0005-0000-0000-0000CB010000}"/>
    <cellStyle name="20% - Accent3 4 6 2" xfId="6596" xr:uid="{00000000-0005-0000-0000-0000CC010000}"/>
    <cellStyle name="20% - Accent3 4 6 2 2" xfId="19229" xr:uid="{D059EB46-0046-45F4-8CBE-8BEF73BC6E01}"/>
    <cellStyle name="20% - Accent3 4 6 3" xfId="15018" xr:uid="{52535361-FC7A-4B51-86A9-32A78B5CF3EF}"/>
    <cellStyle name="20% - Accent3 4 6 4" xfId="24268" xr:uid="{C006E58E-76CD-48D0-AC93-0215A27A9527}"/>
    <cellStyle name="20% - Accent3 4 6 5" xfId="10807" xr:uid="{008D295C-35B3-40E9-85D7-28989A904423}"/>
    <cellStyle name="20% - Accent3 4 7" xfId="4530" xr:uid="{00000000-0005-0000-0000-0000CD010000}"/>
    <cellStyle name="20% - Accent3 4 7 2" xfId="17163" xr:uid="{E571B9B8-EEBC-4FB4-827F-0A933AD121AE}"/>
    <cellStyle name="20% - Accent3 4 8" xfId="21374" xr:uid="{5DB16644-CD40-41E7-92DC-FCE33AC187B6}"/>
    <cellStyle name="20% - Accent3 4 9" xfId="12952" xr:uid="{8AF8DDFA-E7A0-4F9F-A358-4BAD20181188}"/>
    <cellStyle name="20% - Accent3 5" xfId="587" xr:uid="{00000000-0005-0000-0000-0000CE010000}"/>
    <cellStyle name="20% - Accent3 5 2" xfId="2858" xr:uid="{00000000-0005-0000-0000-0000CF010000}"/>
    <cellStyle name="20% - Accent3 5 2 2" xfId="7082" xr:uid="{00000000-0005-0000-0000-0000D0010000}"/>
    <cellStyle name="20% - Accent3 5 2 2 2" xfId="19715" xr:uid="{C51A4B8E-439E-4362-B207-1A00217B9385}"/>
    <cellStyle name="20% - Accent3 5 2 3" xfId="15504" xr:uid="{AA900766-EFF8-4FB2-8C9F-2A41275BF103}"/>
    <cellStyle name="20% - Accent3 5 2 4" xfId="24754" xr:uid="{747BE8D6-4735-4C26-8275-AA2870C9797B}"/>
    <cellStyle name="20% - Accent3 5 2 5" xfId="11293" xr:uid="{70AC2429-6F96-461B-83D7-E5E4161D369A}"/>
    <cellStyle name="20% - Accent3 5 3" xfId="4937" xr:uid="{00000000-0005-0000-0000-0000D1010000}"/>
    <cellStyle name="20% - Accent3 5 3 2" xfId="17570" xr:uid="{AF2BD553-D424-4FEB-AC1A-53C71E651F74}"/>
    <cellStyle name="20% - Accent3 5 4" xfId="21780" xr:uid="{22BF6BAC-7F3A-4D9D-A5D5-D5D8F8804FAD}"/>
    <cellStyle name="20% - Accent3 5 5" xfId="13359" xr:uid="{35E39331-D76C-4CF8-94D9-EBCCD1F5FDB5}"/>
    <cellStyle name="20% - Accent3 5 6" xfId="22609" xr:uid="{D8368CA5-8A92-4A8A-A642-AC05AB2982DA}"/>
    <cellStyle name="20% - Accent3 5 7" xfId="9148" xr:uid="{79516B8A-8405-4D1E-B40A-E77F52865943}"/>
    <cellStyle name="20% - Accent3 6" xfId="1040" xr:uid="{00000000-0005-0000-0000-0000D2010000}"/>
    <cellStyle name="20% - Accent3 6 2" xfId="3271" xr:uid="{00000000-0005-0000-0000-0000D3010000}"/>
    <cellStyle name="20% - Accent3 6 2 2" xfId="7495" xr:uid="{00000000-0005-0000-0000-0000D4010000}"/>
    <cellStyle name="20% - Accent3 6 2 2 2" xfId="20128" xr:uid="{132834C8-6927-4A64-B749-0A09FF2DBAF9}"/>
    <cellStyle name="20% - Accent3 6 2 3" xfId="15917" xr:uid="{C64DB9A4-12B9-4C84-AB41-39885A500A27}"/>
    <cellStyle name="20% - Accent3 6 2 4" xfId="25167" xr:uid="{91E90C61-B767-45F7-B9FB-3DBD75960A20}"/>
    <cellStyle name="20% - Accent3 6 2 5" xfId="11706" xr:uid="{D0C5D937-AC65-49DD-BA5E-4FE72E1158E5}"/>
    <cellStyle name="20% - Accent3 6 3" xfId="5350" xr:uid="{00000000-0005-0000-0000-0000D5010000}"/>
    <cellStyle name="20% - Accent3 6 3 2" xfId="17983" xr:uid="{9E3419A8-8AB5-46E0-A410-86AE38CB9004}"/>
    <cellStyle name="20% - Accent3 6 4" xfId="13772" xr:uid="{36A032A3-CA56-48A3-A8D2-24964A7293E1}"/>
    <cellStyle name="20% - Accent3 6 5" xfId="23022" xr:uid="{621DF585-230F-41F4-A158-1797898F86F1}"/>
    <cellStyle name="20% - Accent3 6 6" xfId="9561" xr:uid="{23A7E8CF-8FB7-4AE3-BCA2-7E143C00EE71}"/>
    <cellStyle name="20% - Accent3 7" xfId="1454" xr:uid="{00000000-0005-0000-0000-0000D6010000}"/>
    <cellStyle name="20% - Accent3 7 2" xfId="3684" xr:uid="{00000000-0005-0000-0000-0000D7010000}"/>
    <cellStyle name="20% - Accent3 7 2 2" xfId="7908" xr:uid="{00000000-0005-0000-0000-0000D8010000}"/>
    <cellStyle name="20% - Accent3 7 2 2 2" xfId="20541" xr:uid="{F595FCA2-A3DE-4974-8708-29C5DC882A64}"/>
    <cellStyle name="20% - Accent3 7 2 3" xfId="16330" xr:uid="{8C9F76CA-1BCF-417B-AA4E-8E5C014F5EA7}"/>
    <cellStyle name="20% - Accent3 7 2 4" xfId="25580" xr:uid="{E14489DC-23E9-4ED7-88FF-630D4020C7D2}"/>
    <cellStyle name="20% - Accent3 7 2 5" xfId="12119" xr:uid="{73643B39-102D-40B8-9DDD-C7E631589458}"/>
    <cellStyle name="20% - Accent3 7 3" xfId="5763" xr:uid="{00000000-0005-0000-0000-0000D9010000}"/>
    <cellStyle name="20% - Accent3 7 3 2" xfId="18396" xr:uid="{6224BB7B-BBA9-4A23-9C0D-F03415D65EE0}"/>
    <cellStyle name="20% - Accent3 7 4" xfId="14185" xr:uid="{6A6BDE99-C5DA-4503-9A0B-D6E328308ABF}"/>
    <cellStyle name="20% - Accent3 7 5" xfId="23435" xr:uid="{2529499E-D581-4D04-8F0E-A93CED6A8C3B}"/>
    <cellStyle name="20% - Accent3 7 6" xfId="9974" xr:uid="{5D6A4F90-CFBA-4557-9BB8-7714B78B697E}"/>
    <cellStyle name="20% - Accent3 8" xfId="1868" xr:uid="{00000000-0005-0000-0000-0000DA010000}"/>
    <cellStyle name="20% - Accent3 8 2" xfId="4097" xr:uid="{00000000-0005-0000-0000-0000DB010000}"/>
    <cellStyle name="20% - Accent3 8 2 2" xfId="8321" xr:uid="{00000000-0005-0000-0000-0000DC010000}"/>
    <cellStyle name="20% - Accent3 8 2 2 2" xfId="20954" xr:uid="{1409195E-E167-422D-8509-17C23856E7BF}"/>
    <cellStyle name="20% - Accent3 8 2 3" xfId="16743" xr:uid="{B031D19C-D905-42C9-8DD0-2234F8A8A85F}"/>
    <cellStyle name="20% - Accent3 8 2 4" xfId="25993" xr:uid="{CF2CA5ED-33D0-4708-AB96-3A903AF8E53E}"/>
    <cellStyle name="20% - Accent3 8 2 5" xfId="12532" xr:uid="{25EE755F-94BD-4C97-86D3-82C9D931AABA}"/>
    <cellStyle name="20% - Accent3 8 3" xfId="6176" xr:uid="{00000000-0005-0000-0000-0000DD010000}"/>
    <cellStyle name="20% - Accent3 8 3 2" xfId="18809" xr:uid="{D0492F7B-7549-4BB5-BFB9-E8412C8B0A0B}"/>
    <cellStyle name="20% - Accent3 8 4" xfId="14598" xr:uid="{FC390934-86B7-4C4B-8CF7-C6B58D6CA28F}"/>
    <cellStyle name="20% - Accent3 8 5" xfId="23848" xr:uid="{A2E7EB60-F6B4-4B54-BE6E-A78B148E6F22}"/>
    <cellStyle name="20% - Accent3 8 6" xfId="10387" xr:uid="{B337CDA5-3621-4F5F-8C80-A2D10EDFFB67}"/>
    <cellStyle name="20% - Accent3 9" xfId="2281" xr:uid="{00000000-0005-0000-0000-0000DE010000}"/>
    <cellStyle name="20% - Accent3 9 2" xfId="6589" xr:uid="{00000000-0005-0000-0000-0000DF010000}"/>
    <cellStyle name="20% - Accent3 9 2 2" xfId="19222" xr:uid="{12392B08-16A0-4C01-8A94-109C0CD459FF}"/>
    <cellStyle name="20% - Accent3 9 3" xfId="15011" xr:uid="{A29FD9FA-E682-4998-8663-CF2E6B31E181}"/>
    <cellStyle name="20% - Accent3 9 4" xfId="24261" xr:uid="{6C1A1A49-13F0-4FA7-8860-2B324896FBBE}"/>
    <cellStyle name="20% - Accent3 9 5" xfId="10800" xr:uid="{2F6F9720-7E41-4834-9DE7-8185B636FD14}"/>
    <cellStyle name="20% - Accent4" xfId="25" builtinId="42" customBuiltin="1"/>
    <cellStyle name="20% - Accent4 10" xfId="4531" xr:uid="{00000000-0005-0000-0000-0000E1010000}"/>
    <cellStyle name="20% - Accent4 10 2" xfId="17164" xr:uid="{A9254BC4-E243-442A-A87C-2BD2D10C745B}"/>
    <cellStyle name="20% - Accent4 11" xfId="21375" xr:uid="{1AE0D63A-5DD3-481C-8375-3156CD8FB9A0}"/>
    <cellStyle name="20% - Accent4 12" xfId="12953" xr:uid="{599805E0-818C-451B-81EA-D93D5E082222}"/>
    <cellStyle name="20% - Accent4 13" xfId="22203" xr:uid="{C4D8F26E-FDFE-4270-A9F4-35CA570BB191}"/>
    <cellStyle name="20% - Accent4 14" xfId="8742" xr:uid="{D8C2BEEA-F241-4D26-9DFA-2405FCC8B137}"/>
    <cellStyle name="20% - Accent4 2" xfId="26" xr:uid="{00000000-0005-0000-0000-0000E2010000}"/>
    <cellStyle name="20% - Accent4 2 10" xfId="21376" xr:uid="{3D14E48E-3B20-4405-954A-1ECA7077F37E}"/>
    <cellStyle name="20% - Accent4 2 11" xfId="12954" xr:uid="{18E6EFB3-C098-4E74-8FED-03D573C78129}"/>
    <cellStyle name="20% - Accent4 2 12" xfId="22204" xr:uid="{3E101333-418D-4DE8-B76F-9CEF2318CEFA}"/>
    <cellStyle name="20% - Accent4 2 13" xfId="8743" xr:uid="{3D05B4BF-782B-49E0-81D1-AE04A8EEE3DA}"/>
    <cellStyle name="20% - Accent4 2 2" xfId="27" xr:uid="{00000000-0005-0000-0000-0000E3010000}"/>
    <cellStyle name="20% - Accent4 2 2 10" xfId="12955" xr:uid="{2DE035DA-7ABE-46AC-953D-6579C5A38402}"/>
    <cellStyle name="20% - Accent4 2 2 11" xfId="22205" xr:uid="{C9118C73-7927-4B94-A365-DD4C1E75218E}"/>
    <cellStyle name="20% - Accent4 2 2 12" xfId="8744" xr:uid="{D199DB37-29BA-4292-9047-8427842A54EC}"/>
    <cellStyle name="20% - Accent4 2 2 2" xfId="28" xr:uid="{00000000-0005-0000-0000-0000E4010000}"/>
    <cellStyle name="20% - Accent4 2 2 2 10" xfId="22206" xr:uid="{8F1AD732-602E-42F8-8B2F-DB686F0BDF20}"/>
    <cellStyle name="20% - Accent4 2 2 2 11" xfId="8745" xr:uid="{0F30DFC9-E17F-4401-AD01-AC7364346A4A}"/>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9726" xr:uid="{337024EA-BE90-49DB-BB8A-EF16F6D30A96}"/>
    <cellStyle name="20% - Accent4 2 2 2 2 2 3" xfId="15515" xr:uid="{5924E6E7-FB34-478D-8577-E27467BA3002}"/>
    <cellStyle name="20% - Accent4 2 2 2 2 2 4" xfId="24765" xr:uid="{39E10FD9-60CB-46EB-AEDB-0D34BF3495CF}"/>
    <cellStyle name="20% - Accent4 2 2 2 2 2 5" xfId="11304" xr:uid="{3312309C-2665-4623-A780-651A2F638916}"/>
    <cellStyle name="20% - Accent4 2 2 2 2 3" xfId="4948" xr:uid="{00000000-0005-0000-0000-0000E8010000}"/>
    <cellStyle name="20% - Accent4 2 2 2 2 3 2" xfId="17581" xr:uid="{47D3915F-1414-4EF2-9365-F8342F9AC308}"/>
    <cellStyle name="20% - Accent4 2 2 2 2 4" xfId="21791" xr:uid="{687A641B-B02A-414E-BA1C-BC075866B1E8}"/>
    <cellStyle name="20% - Accent4 2 2 2 2 5" xfId="13370" xr:uid="{88DAFC2C-73A7-47D2-91DC-9FD2BE5A9D87}"/>
    <cellStyle name="20% - Accent4 2 2 2 2 6" xfId="22620" xr:uid="{6ECEFD79-2B2A-4B5B-815C-1E2FDD499809}"/>
    <cellStyle name="20% - Accent4 2 2 2 2 7" xfId="9159" xr:uid="{CA8C3EDF-B84B-4C23-B4E0-40E1DA2468E2}"/>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20139" xr:uid="{9127A4B1-0C1D-4944-A4AC-6022462C9739}"/>
    <cellStyle name="20% - Accent4 2 2 2 3 2 3" xfId="15928" xr:uid="{EBC8CAD8-F3DB-46D3-95B3-F1931DC586DC}"/>
    <cellStyle name="20% - Accent4 2 2 2 3 2 4" xfId="25178" xr:uid="{9BFEECD9-904A-4EB4-B9E3-EA835806AEAB}"/>
    <cellStyle name="20% - Accent4 2 2 2 3 2 5" xfId="11717" xr:uid="{B7D8D5B1-77B7-42A9-BEC5-52A9AACA7B60}"/>
    <cellStyle name="20% - Accent4 2 2 2 3 3" xfId="5361" xr:uid="{00000000-0005-0000-0000-0000EC010000}"/>
    <cellStyle name="20% - Accent4 2 2 2 3 3 2" xfId="17994" xr:uid="{DB075B3E-10E4-4E51-B01D-AE83E6D33584}"/>
    <cellStyle name="20% - Accent4 2 2 2 3 4" xfId="13783" xr:uid="{A8023E84-CA93-4193-AD46-654096375497}"/>
    <cellStyle name="20% - Accent4 2 2 2 3 5" xfId="23033" xr:uid="{DC6B088F-381C-49DA-BB0C-45D27C431920}"/>
    <cellStyle name="20% - Accent4 2 2 2 3 6" xfId="9572" xr:uid="{34B21336-DD99-41C5-B97D-60302D913A8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20552" xr:uid="{1558944C-1F5C-48E2-9046-7C34AEDEA8F8}"/>
    <cellStyle name="20% - Accent4 2 2 2 4 2 3" xfId="16341" xr:uid="{077ED4BB-76E3-4FF5-B1F6-4678BBC4381A}"/>
    <cellStyle name="20% - Accent4 2 2 2 4 2 4" xfId="25591" xr:uid="{F2EC2846-7E20-4E80-981E-E0966B574673}"/>
    <cellStyle name="20% - Accent4 2 2 2 4 2 5" xfId="12130" xr:uid="{625F17A0-A8A8-4611-9830-E5E51169D9F2}"/>
    <cellStyle name="20% - Accent4 2 2 2 4 3" xfId="5774" xr:uid="{00000000-0005-0000-0000-0000F0010000}"/>
    <cellStyle name="20% - Accent4 2 2 2 4 3 2" xfId="18407" xr:uid="{6B4691BB-A0B0-493D-A3AE-9DBEB84B481D}"/>
    <cellStyle name="20% - Accent4 2 2 2 4 4" xfId="14196" xr:uid="{9B1339F0-67E5-44D8-8FC9-E593FBB1BA49}"/>
    <cellStyle name="20% - Accent4 2 2 2 4 5" xfId="23446" xr:uid="{544F51CD-C93B-4475-8E8A-69D4C9E9D8EF}"/>
    <cellStyle name="20% - Accent4 2 2 2 4 6" xfId="9985" xr:uid="{87BC6716-51EE-46EA-AB9C-FFF68956B532}"/>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20965" xr:uid="{CC3F5593-81E0-4D21-8A2F-0CA1799C6A5B}"/>
    <cellStyle name="20% - Accent4 2 2 2 5 2 3" xfId="16754" xr:uid="{4C77E03E-B91D-4B79-AA5D-9F01E768623E}"/>
    <cellStyle name="20% - Accent4 2 2 2 5 2 4" xfId="26004" xr:uid="{334BBEE6-5229-4F13-9A15-99BB4361C8AA}"/>
    <cellStyle name="20% - Accent4 2 2 2 5 2 5" xfId="12543" xr:uid="{2AC00782-CD86-4A59-9996-04504F4695C2}"/>
    <cellStyle name="20% - Accent4 2 2 2 5 3" xfId="6187" xr:uid="{00000000-0005-0000-0000-0000F4010000}"/>
    <cellStyle name="20% - Accent4 2 2 2 5 3 2" xfId="18820" xr:uid="{757128EA-0811-41A5-A653-65F7D96FCA55}"/>
    <cellStyle name="20% - Accent4 2 2 2 5 4" xfId="14609" xr:uid="{85BEB7D2-2074-4533-89E2-9FE1FE68AED0}"/>
    <cellStyle name="20% - Accent4 2 2 2 5 5" xfId="23859" xr:uid="{623B7CFB-3387-4BF3-811A-4628576628B0}"/>
    <cellStyle name="20% - Accent4 2 2 2 5 6" xfId="10398" xr:uid="{78DDA80D-903D-4E59-A820-D68966D491D9}"/>
    <cellStyle name="20% - Accent4 2 2 2 6" xfId="2292" xr:uid="{00000000-0005-0000-0000-0000F5010000}"/>
    <cellStyle name="20% - Accent4 2 2 2 6 2" xfId="6600" xr:uid="{00000000-0005-0000-0000-0000F6010000}"/>
    <cellStyle name="20% - Accent4 2 2 2 6 2 2" xfId="19233" xr:uid="{049FF51C-67A2-4B71-93D0-AB18EF695223}"/>
    <cellStyle name="20% - Accent4 2 2 2 6 3" xfId="15022" xr:uid="{41595659-16A8-44DC-98F3-1782A304A72A}"/>
    <cellStyle name="20% - Accent4 2 2 2 6 4" xfId="24272" xr:uid="{08051771-F781-4576-A336-7B88CCF94E32}"/>
    <cellStyle name="20% - Accent4 2 2 2 6 5" xfId="10811" xr:uid="{C2474F31-B338-4D70-89B9-22EAF1609E56}"/>
    <cellStyle name="20% - Accent4 2 2 2 7" xfId="4534" xr:uid="{00000000-0005-0000-0000-0000F7010000}"/>
    <cellStyle name="20% - Accent4 2 2 2 7 2" xfId="17167" xr:uid="{478ADE3D-A177-4F6B-BB4E-91AD5A98817E}"/>
    <cellStyle name="20% - Accent4 2 2 2 8" xfId="21378" xr:uid="{BA743746-CD5A-4766-B075-CC9569A16044}"/>
    <cellStyle name="20% - Accent4 2 2 2 9" xfId="12956" xr:uid="{0A6A14AE-984C-4C28-8203-B3C3C44ABA6F}"/>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9725" xr:uid="{02DAFCBA-C224-46E6-991B-A9FE5377829D}"/>
    <cellStyle name="20% - Accent4 2 2 3 2 3" xfId="15514" xr:uid="{CF0BB271-A13F-41BD-9A6E-5A1141639530}"/>
    <cellStyle name="20% - Accent4 2 2 3 2 4" xfId="24764" xr:uid="{02105A03-506F-4545-AEBB-75EDB9FDA146}"/>
    <cellStyle name="20% - Accent4 2 2 3 2 5" xfId="11303" xr:uid="{EEEFA10A-1E32-47E2-889A-460F58DB46D5}"/>
    <cellStyle name="20% - Accent4 2 2 3 3" xfId="4947" xr:uid="{00000000-0005-0000-0000-0000FB010000}"/>
    <cellStyle name="20% - Accent4 2 2 3 3 2" xfId="17580" xr:uid="{22D1A57F-BDEF-4039-BA41-1E89F2C446CA}"/>
    <cellStyle name="20% - Accent4 2 2 3 4" xfId="21790" xr:uid="{B1F8372A-D1BE-483A-BAEC-7D46B3DECC28}"/>
    <cellStyle name="20% - Accent4 2 2 3 5" xfId="13369" xr:uid="{BCD434A9-156F-4AF5-8E31-82E5F20CB494}"/>
    <cellStyle name="20% - Accent4 2 2 3 6" xfId="22619" xr:uid="{52B07DEB-115E-4FE0-90A6-2C30423A8113}"/>
    <cellStyle name="20% - Accent4 2 2 3 7" xfId="9158" xr:uid="{A3ECA94D-B9F3-4923-8991-5C49ACF7B2F6}"/>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20138" xr:uid="{71780FD2-4446-4AD6-AEBF-37F9A8565F8B}"/>
    <cellStyle name="20% - Accent4 2 2 4 2 3" xfId="15927" xr:uid="{68352285-ED20-49EA-A6FC-BDC5C26C0228}"/>
    <cellStyle name="20% - Accent4 2 2 4 2 4" xfId="25177" xr:uid="{2EC56699-BEA1-4A2C-87C1-C6FA32A24482}"/>
    <cellStyle name="20% - Accent4 2 2 4 2 5" xfId="11716" xr:uid="{0C4ACE92-9C80-48FC-9A78-D5F370B35738}"/>
    <cellStyle name="20% - Accent4 2 2 4 3" xfId="5360" xr:uid="{00000000-0005-0000-0000-0000FF010000}"/>
    <cellStyle name="20% - Accent4 2 2 4 3 2" xfId="17993" xr:uid="{FB0678EF-C54C-4BD3-B580-C32570B2A4AE}"/>
    <cellStyle name="20% - Accent4 2 2 4 4" xfId="13782" xr:uid="{D5780DBB-50D9-48BE-8AFC-A8D58DA58514}"/>
    <cellStyle name="20% - Accent4 2 2 4 5" xfId="23032" xr:uid="{D6049259-5F3E-4C4A-A32C-2C47A9A841DD}"/>
    <cellStyle name="20% - Accent4 2 2 4 6" xfId="9571" xr:uid="{C3EF0EEE-FCC3-470C-9FDE-DE2870278D3D}"/>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20551" xr:uid="{FDEB0BD1-B4A7-4827-A01C-770A18F7F951}"/>
    <cellStyle name="20% - Accent4 2 2 5 2 3" xfId="16340" xr:uid="{9787C3DF-7D17-4E05-B732-686E2DDA1224}"/>
    <cellStyle name="20% - Accent4 2 2 5 2 4" xfId="25590" xr:uid="{A4DD2D5D-5C99-46DD-98EB-369ED9EC52F9}"/>
    <cellStyle name="20% - Accent4 2 2 5 2 5" xfId="12129" xr:uid="{7DF3730D-52D5-4A89-8590-30DCF65EA7D7}"/>
    <cellStyle name="20% - Accent4 2 2 5 3" xfId="5773" xr:uid="{00000000-0005-0000-0000-000003020000}"/>
    <cellStyle name="20% - Accent4 2 2 5 3 2" xfId="18406" xr:uid="{31325F77-B1E6-4432-B52E-56BF24BA772E}"/>
    <cellStyle name="20% - Accent4 2 2 5 4" xfId="14195" xr:uid="{52F9394E-0904-4083-921E-3A8E18E7982A}"/>
    <cellStyle name="20% - Accent4 2 2 5 5" xfId="23445" xr:uid="{288210D7-3D2C-497C-AAAD-28B3808FBE7C}"/>
    <cellStyle name="20% - Accent4 2 2 5 6" xfId="9984" xr:uid="{D6AE59E7-B42C-4E55-9412-AC057E87CA8C}"/>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20964" xr:uid="{B8C459A2-3D8D-4399-BB23-641D8EE1FA1A}"/>
    <cellStyle name="20% - Accent4 2 2 6 2 3" xfId="16753" xr:uid="{5F3E3E10-34EE-4B0F-AD8F-5B09E8B6A3A4}"/>
    <cellStyle name="20% - Accent4 2 2 6 2 4" xfId="26003" xr:uid="{C2281F26-011F-46A6-A3F8-5CC7F94385A9}"/>
    <cellStyle name="20% - Accent4 2 2 6 2 5" xfId="12542" xr:uid="{C6ED8496-EE07-4E8B-A724-6CF13141594C}"/>
    <cellStyle name="20% - Accent4 2 2 6 3" xfId="6186" xr:uid="{00000000-0005-0000-0000-000007020000}"/>
    <cellStyle name="20% - Accent4 2 2 6 3 2" xfId="18819" xr:uid="{9FDB9FEF-C854-4BC6-808D-23A459029E72}"/>
    <cellStyle name="20% - Accent4 2 2 6 4" xfId="14608" xr:uid="{7C224969-E74D-4DD5-BEFB-CC3A82CBC47D}"/>
    <cellStyle name="20% - Accent4 2 2 6 5" xfId="23858" xr:uid="{D0A89B37-1C08-4921-8848-93DB6752A971}"/>
    <cellStyle name="20% - Accent4 2 2 6 6" xfId="10397" xr:uid="{2CCBD9D9-7852-4E14-9F19-A89F3C12EAE9}"/>
    <cellStyle name="20% - Accent4 2 2 7" xfId="2291" xr:uid="{00000000-0005-0000-0000-000008020000}"/>
    <cellStyle name="20% - Accent4 2 2 7 2" xfId="6599" xr:uid="{00000000-0005-0000-0000-000009020000}"/>
    <cellStyle name="20% - Accent4 2 2 7 2 2" xfId="19232" xr:uid="{085733A8-C69B-4C81-972B-8108FB5DE1A9}"/>
    <cellStyle name="20% - Accent4 2 2 7 3" xfId="15021" xr:uid="{5FBC3154-BD89-45EE-8CE9-05EFAD0FACEF}"/>
    <cellStyle name="20% - Accent4 2 2 7 4" xfId="24271" xr:uid="{8D2BE4D7-5515-4270-9CFC-A6EE340EFC0E}"/>
    <cellStyle name="20% - Accent4 2 2 7 5" xfId="10810" xr:uid="{F9185843-BA07-4C90-B2A1-FC2735001490}"/>
    <cellStyle name="20% - Accent4 2 2 8" xfId="4533" xr:uid="{00000000-0005-0000-0000-00000A020000}"/>
    <cellStyle name="20% - Accent4 2 2 8 2" xfId="17166" xr:uid="{758923AC-BA97-422D-9437-25703EA23B33}"/>
    <cellStyle name="20% - Accent4 2 2 9" xfId="21377" xr:uid="{C3D465F0-A1B5-4BFA-A9F3-250437397CD6}"/>
    <cellStyle name="20% - Accent4 2 3" xfId="29" xr:uid="{00000000-0005-0000-0000-00000B020000}"/>
    <cellStyle name="20% - Accent4 2 3 10" xfId="22207" xr:uid="{407E3B93-324F-4316-88E8-0CE0B410EB49}"/>
    <cellStyle name="20% - Accent4 2 3 11" xfId="8746" xr:uid="{2541B1FA-6CCC-4F1A-9762-8712463DA25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9727" xr:uid="{4917E45C-18A6-4134-A75F-B8D49018EBE8}"/>
    <cellStyle name="20% - Accent4 2 3 2 2 3" xfId="15516" xr:uid="{7809D423-7BFD-43F3-BB40-6EEDA2F437FE}"/>
    <cellStyle name="20% - Accent4 2 3 2 2 4" xfId="24766" xr:uid="{1BD72621-D9C8-4F59-B5CA-2232846A2551}"/>
    <cellStyle name="20% - Accent4 2 3 2 2 5" xfId="11305" xr:uid="{274F72DE-DF66-432C-95FE-1DC53131F27B}"/>
    <cellStyle name="20% - Accent4 2 3 2 3" xfId="4949" xr:uid="{00000000-0005-0000-0000-00000F020000}"/>
    <cellStyle name="20% - Accent4 2 3 2 3 2" xfId="17582" xr:uid="{D9C422EA-3965-4D4A-B304-698A7CC57B73}"/>
    <cellStyle name="20% - Accent4 2 3 2 4" xfId="21792" xr:uid="{B4432BAA-6C90-45CA-B982-A4BB152C2B15}"/>
    <cellStyle name="20% - Accent4 2 3 2 5" xfId="13371" xr:uid="{3835CFC7-7450-4F16-B577-481A3015B4F7}"/>
    <cellStyle name="20% - Accent4 2 3 2 6" xfId="22621" xr:uid="{1F08AA1F-2416-4C8D-8B59-79B00B9CECEF}"/>
    <cellStyle name="20% - Accent4 2 3 2 7" xfId="9160" xr:uid="{855E48DA-0A8D-4277-8F90-0A7ED8520968}"/>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20140" xr:uid="{1536AA1E-777B-433D-8ED8-9657ADEEA5DA}"/>
    <cellStyle name="20% - Accent4 2 3 3 2 3" xfId="15929" xr:uid="{5CA599FF-600B-4674-9065-FC3B8BAB57A3}"/>
    <cellStyle name="20% - Accent4 2 3 3 2 4" xfId="25179" xr:uid="{D60DA15D-8C69-4628-88D5-8F4668873E7F}"/>
    <cellStyle name="20% - Accent4 2 3 3 2 5" xfId="11718" xr:uid="{D7330715-EB26-4A48-8D08-D06BD370F212}"/>
    <cellStyle name="20% - Accent4 2 3 3 3" xfId="5362" xr:uid="{00000000-0005-0000-0000-000013020000}"/>
    <cellStyle name="20% - Accent4 2 3 3 3 2" xfId="17995" xr:uid="{5770AB23-6AE9-4790-9132-BEFE4A595730}"/>
    <cellStyle name="20% - Accent4 2 3 3 4" xfId="13784" xr:uid="{A613446F-81D1-40DA-852A-E89C7BEAD3F1}"/>
    <cellStyle name="20% - Accent4 2 3 3 5" xfId="23034" xr:uid="{4E2E6157-AA9C-44E1-8B0B-E4BB2E194AFD}"/>
    <cellStyle name="20% - Accent4 2 3 3 6" xfId="9573" xr:uid="{A7FFBCB7-1209-49A6-968F-5A9D139A193F}"/>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20553" xr:uid="{5CD6E53D-1352-467E-B7CF-10115DC04711}"/>
    <cellStyle name="20% - Accent4 2 3 4 2 3" xfId="16342" xr:uid="{6B16BD82-2CD0-4949-A393-9ED376E745F1}"/>
    <cellStyle name="20% - Accent4 2 3 4 2 4" xfId="25592" xr:uid="{DB53650C-269E-43EC-82A9-D9F278B3EC62}"/>
    <cellStyle name="20% - Accent4 2 3 4 2 5" xfId="12131" xr:uid="{232FEB4A-CBDC-44F9-B4B4-E58293599784}"/>
    <cellStyle name="20% - Accent4 2 3 4 3" xfId="5775" xr:uid="{00000000-0005-0000-0000-000017020000}"/>
    <cellStyle name="20% - Accent4 2 3 4 3 2" xfId="18408" xr:uid="{92A91118-3324-4A06-8336-5E1BA0A4E9B1}"/>
    <cellStyle name="20% - Accent4 2 3 4 4" xfId="14197" xr:uid="{C6777A7C-BC34-4024-9465-3EEB0316635C}"/>
    <cellStyle name="20% - Accent4 2 3 4 5" xfId="23447" xr:uid="{7BAA57A5-42C4-4DCC-8AC8-34B5174D30A5}"/>
    <cellStyle name="20% - Accent4 2 3 4 6" xfId="9986" xr:uid="{90863314-3249-4221-9D3D-5CA1F71F7650}"/>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20966" xr:uid="{EBD85371-2C78-4A1B-8640-4CFD4379045D}"/>
    <cellStyle name="20% - Accent4 2 3 5 2 3" xfId="16755" xr:uid="{4C98E4FC-E114-4325-A094-7D6813506041}"/>
    <cellStyle name="20% - Accent4 2 3 5 2 4" xfId="26005" xr:uid="{E24C0EC3-E228-4C31-B335-4C8496CE489F}"/>
    <cellStyle name="20% - Accent4 2 3 5 2 5" xfId="12544" xr:uid="{E64A7D5C-3DB5-4AD7-A640-B43574DB0C2C}"/>
    <cellStyle name="20% - Accent4 2 3 5 3" xfId="6188" xr:uid="{00000000-0005-0000-0000-00001B020000}"/>
    <cellStyle name="20% - Accent4 2 3 5 3 2" xfId="18821" xr:uid="{DB05EA6B-E7D1-4126-ADE5-3B446FDFA0B9}"/>
    <cellStyle name="20% - Accent4 2 3 5 4" xfId="14610" xr:uid="{F7F809A3-1E5F-4896-9E34-A050EDF0C045}"/>
    <cellStyle name="20% - Accent4 2 3 5 5" xfId="23860" xr:uid="{6AC753F8-3F6F-4A9D-AAF7-BB2A4F0634E9}"/>
    <cellStyle name="20% - Accent4 2 3 5 6" xfId="10399" xr:uid="{0D024394-BC7D-4E73-A4CA-F65DDE7A4CE1}"/>
    <cellStyle name="20% - Accent4 2 3 6" xfId="2293" xr:uid="{00000000-0005-0000-0000-00001C020000}"/>
    <cellStyle name="20% - Accent4 2 3 6 2" xfId="6601" xr:uid="{00000000-0005-0000-0000-00001D020000}"/>
    <cellStyle name="20% - Accent4 2 3 6 2 2" xfId="19234" xr:uid="{B0D80E9D-324A-4AC2-8A8E-D2D4A54B8346}"/>
    <cellStyle name="20% - Accent4 2 3 6 3" xfId="15023" xr:uid="{705ABBBB-3225-41E1-9DC0-FD32871D2636}"/>
    <cellStyle name="20% - Accent4 2 3 6 4" xfId="24273" xr:uid="{D088A2AE-D077-4724-9FC6-1E42A67653FA}"/>
    <cellStyle name="20% - Accent4 2 3 6 5" xfId="10812" xr:uid="{DCD063C3-16B4-4341-AF95-4AA9D7C7583C}"/>
    <cellStyle name="20% - Accent4 2 3 7" xfId="4535" xr:uid="{00000000-0005-0000-0000-00001E020000}"/>
    <cellStyle name="20% - Accent4 2 3 7 2" xfId="17168" xr:uid="{06751C90-17F5-4FF5-B323-7F5D42339CB5}"/>
    <cellStyle name="20% - Accent4 2 3 8" xfId="21379" xr:uid="{46F04776-E147-444A-B1AA-24029FDE91B2}"/>
    <cellStyle name="20% - Accent4 2 3 9" xfId="12957" xr:uid="{A1F9F0FC-7FF5-485F-AA25-1985A6494BD7}"/>
    <cellStyle name="20% - Accent4 2 4" xfId="596" xr:uid="{00000000-0005-0000-0000-00001F020000}"/>
    <cellStyle name="20% - Accent4 2 4 2" xfId="2867" xr:uid="{00000000-0005-0000-0000-000020020000}"/>
    <cellStyle name="20% - Accent4 2 4 2 2" xfId="7091" xr:uid="{00000000-0005-0000-0000-000021020000}"/>
    <cellStyle name="20% - Accent4 2 4 2 2 2" xfId="19724" xr:uid="{1DB7B7A0-B6CE-46CA-8F84-CB0C7632F45D}"/>
    <cellStyle name="20% - Accent4 2 4 2 3" xfId="15513" xr:uid="{FE664D56-1080-4E3C-AD6D-DF2C64604697}"/>
    <cellStyle name="20% - Accent4 2 4 2 4" xfId="24763" xr:uid="{9CDBF40F-1706-485A-9A91-75FB42D7392B}"/>
    <cellStyle name="20% - Accent4 2 4 2 5" xfId="11302" xr:uid="{A1C43207-6A83-4015-8A24-42D7A5F0149C}"/>
    <cellStyle name="20% - Accent4 2 4 3" xfId="4946" xr:uid="{00000000-0005-0000-0000-000022020000}"/>
    <cellStyle name="20% - Accent4 2 4 3 2" xfId="17579" xr:uid="{E7B7C7A7-1670-410E-963A-EAFC280A5A3D}"/>
    <cellStyle name="20% - Accent4 2 4 4" xfId="21789" xr:uid="{D6407F1E-0120-4309-B70C-30470529F99B}"/>
    <cellStyle name="20% - Accent4 2 4 5" xfId="13368" xr:uid="{999A2138-4090-4444-A4A1-4A52728ECAFD}"/>
    <cellStyle name="20% - Accent4 2 4 6" xfId="22618" xr:uid="{FD2AB407-EC89-4AD4-827E-0C7EEC47DF49}"/>
    <cellStyle name="20% - Accent4 2 4 7" xfId="9157" xr:uid="{A7C5395D-B564-45CD-A640-3C1A7D1A38A5}"/>
    <cellStyle name="20% - Accent4 2 5" xfId="1049" xr:uid="{00000000-0005-0000-0000-000023020000}"/>
    <cellStyle name="20% - Accent4 2 5 2" xfId="3280" xr:uid="{00000000-0005-0000-0000-000024020000}"/>
    <cellStyle name="20% - Accent4 2 5 2 2" xfId="7504" xr:uid="{00000000-0005-0000-0000-000025020000}"/>
    <cellStyle name="20% - Accent4 2 5 2 2 2" xfId="20137" xr:uid="{567544D8-AABC-4523-8A90-6C654B3D7632}"/>
    <cellStyle name="20% - Accent4 2 5 2 3" xfId="15926" xr:uid="{8B5CBE50-F90E-41E8-A3FE-C6E5CBE33CDD}"/>
    <cellStyle name="20% - Accent4 2 5 2 4" xfId="25176" xr:uid="{BC007382-1F75-44E4-B995-A3EC9D5717FD}"/>
    <cellStyle name="20% - Accent4 2 5 2 5" xfId="11715" xr:uid="{F1BE5863-E370-4177-88CD-3304A52C1FDD}"/>
    <cellStyle name="20% - Accent4 2 5 3" xfId="5359" xr:uid="{00000000-0005-0000-0000-000026020000}"/>
    <cellStyle name="20% - Accent4 2 5 3 2" xfId="17992" xr:uid="{9ED067A0-4C15-4AD4-ACF6-5E22E493FBCE}"/>
    <cellStyle name="20% - Accent4 2 5 4" xfId="13781" xr:uid="{4793250C-795B-48DF-9E26-E6E361C640E0}"/>
    <cellStyle name="20% - Accent4 2 5 5" xfId="23031" xr:uid="{ED9BAD65-5B2E-4CAC-AC1E-FB32C369EA45}"/>
    <cellStyle name="20% - Accent4 2 5 6" xfId="9570" xr:uid="{96A57341-E79E-4724-B2E9-5FDD23D05D02}"/>
    <cellStyle name="20% - Accent4 2 6" xfId="1463" xr:uid="{00000000-0005-0000-0000-000027020000}"/>
    <cellStyle name="20% - Accent4 2 6 2" xfId="3693" xr:uid="{00000000-0005-0000-0000-000028020000}"/>
    <cellStyle name="20% - Accent4 2 6 2 2" xfId="7917" xr:uid="{00000000-0005-0000-0000-000029020000}"/>
    <cellStyle name="20% - Accent4 2 6 2 2 2" xfId="20550" xr:uid="{0DF3CA01-4147-45D4-BDA0-C136EBFBF5E6}"/>
    <cellStyle name="20% - Accent4 2 6 2 3" xfId="16339" xr:uid="{3D063C96-78F8-43CF-A059-ABF8F2503D22}"/>
    <cellStyle name="20% - Accent4 2 6 2 4" xfId="25589" xr:uid="{FB21F2E9-B80D-4681-B0E1-3ACE17DCDD44}"/>
    <cellStyle name="20% - Accent4 2 6 2 5" xfId="12128" xr:uid="{6FF8157D-15A5-4C33-9A0B-A7799A8AB687}"/>
    <cellStyle name="20% - Accent4 2 6 3" xfId="5772" xr:uid="{00000000-0005-0000-0000-00002A020000}"/>
    <cellStyle name="20% - Accent4 2 6 3 2" xfId="18405" xr:uid="{CAAB76FB-CE23-4778-B722-BB81E2611CC8}"/>
    <cellStyle name="20% - Accent4 2 6 4" xfId="14194" xr:uid="{9D3FDEDE-9D9A-4E5C-BFF8-59494D4EB6F6}"/>
    <cellStyle name="20% - Accent4 2 6 5" xfId="23444" xr:uid="{02762AE0-97B1-44EE-946E-638A8DDF4E7B}"/>
    <cellStyle name="20% - Accent4 2 6 6" xfId="9983" xr:uid="{8B24A9BA-9194-4FFD-A7B2-A9652C851E6E}"/>
    <cellStyle name="20% - Accent4 2 7" xfId="1877" xr:uid="{00000000-0005-0000-0000-00002B020000}"/>
    <cellStyle name="20% - Accent4 2 7 2" xfId="4106" xr:uid="{00000000-0005-0000-0000-00002C020000}"/>
    <cellStyle name="20% - Accent4 2 7 2 2" xfId="8330" xr:uid="{00000000-0005-0000-0000-00002D020000}"/>
    <cellStyle name="20% - Accent4 2 7 2 2 2" xfId="20963" xr:uid="{410D8FC7-F93C-4ED4-B5CB-C9034DE6579D}"/>
    <cellStyle name="20% - Accent4 2 7 2 3" xfId="16752" xr:uid="{2A134365-034A-4340-8508-717C52097884}"/>
    <cellStyle name="20% - Accent4 2 7 2 4" xfId="26002" xr:uid="{30E37CCC-69C8-4FD6-BA40-9BAB78B23B24}"/>
    <cellStyle name="20% - Accent4 2 7 2 5" xfId="12541" xr:uid="{46BC44EA-3B9A-44F2-9C87-D73A47A0DEFD}"/>
    <cellStyle name="20% - Accent4 2 7 3" xfId="6185" xr:uid="{00000000-0005-0000-0000-00002E020000}"/>
    <cellStyle name="20% - Accent4 2 7 3 2" xfId="18818" xr:uid="{84351BD6-F356-4BFB-8D76-6A0413325CF3}"/>
    <cellStyle name="20% - Accent4 2 7 4" xfId="14607" xr:uid="{5A37F908-5D54-4D28-89B7-B7D8CE5D36F4}"/>
    <cellStyle name="20% - Accent4 2 7 5" xfId="23857" xr:uid="{AE86207F-D986-4BF5-A720-0D9A7CE7AFB5}"/>
    <cellStyle name="20% - Accent4 2 7 6" xfId="10396" xr:uid="{440C26D3-F374-4E79-95FB-296869FCEEE5}"/>
    <cellStyle name="20% - Accent4 2 8" xfId="2290" xr:uid="{00000000-0005-0000-0000-00002F020000}"/>
    <cellStyle name="20% - Accent4 2 8 2" xfId="6598" xr:uid="{00000000-0005-0000-0000-000030020000}"/>
    <cellStyle name="20% - Accent4 2 8 2 2" xfId="19231" xr:uid="{3685FD28-33E1-45ED-9DF5-1C75B7D1BF96}"/>
    <cellStyle name="20% - Accent4 2 8 3" xfId="15020" xr:uid="{BB90EE49-D324-4D38-9A8E-363AE705521C}"/>
    <cellStyle name="20% - Accent4 2 8 4" xfId="24270" xr:uid="{5B5EE7F1-53B2-42CB-9834-7DBB3F814D94}"/>
    <cellStyle name="20% - Accent4 2 8 5" xfId="10809" xr:uid="{34960AA4-12A8-44C7-9EDD-55D300105B1D}"/>
    <cellStyle name="20% - Accent4 2 9" xfId="4532" xr:uid="{00000000-0005-0000-0000-000031020000}"/>
    <cellStyle name="20% - Accent4 2 9 2" xfId="17165" xr:uid="{0749B4F8-B985-4A50-AA11-B48F31F4106D}"/>
    <cellStyle name="20% - Accent4 3" xfId="30" xr:uid="{00000000-0005-0000-0000-000032020000}"/>
    <cellStyle name="20% - Accent4 3 10" xfId="12958" xr:uid="{A886054A-B1A8-4920-BEA0-DB5BAE5699E8}"/>
    <cellStyle name="20% - Accent4 3 11" xfId="22208" xr:uid="{461ED35E-D4A5-4B3D-B40A-BF12B9A7CD74}"/>
    <cellStyle name="20% - Accent4 3 12" xfId="8747" xr:uid="{AB0E7B98-3CB1-440B-B8E0-FC14EB959208}"/>
    <cellStyle name="20% - Accent4 3 2" xfId="31" xr:uid="{00000000-0005-0000-0000-000033020000}"/>
    <cellStyle name="20% - Accent4 3 2 10" xfId="22209" xr:uid="{8134396F-FABA-4B54-869E-7CBDBF3732D6}"/>
    <cellStyle name="20% - Accent4 3 2 11" xfId="8748" xr:uid="{0253A792-932C-492C-B548-0881232450E6}"/>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9729" xr:uid="{9A65DC95-8C4B-460D-AA8D-475CB39D8B61}"/>
    <cellStyle name="20% - Accent4 3 2 2 2 3" xfId="15518" xr:uid="{41E84AB6-5CC2-46D9-9EF4-F2677B597F3C}"/>
    <cellStyle name="20% - Accent4 3 2 2 2 4" xfId="24768" xr:uid="{842D9AE0-24A1-4AE9-BB7F-FAD11BADE241}"/>
    <cellStyle name="20% - Accent4 3 2 2 2 5" xfId="11307" xr:uid="{5E3B058D-6831-4464-BFAE-0775A5384377}"/>
    <cellStyle name="20% - Accent4 3 2 2 3" xfId="4951" xr:uid="{00000000-0005-0000-0000-000037020000}"/>
    <cellStyle name="20% - Accent4 3 2 2 3 2" xfId="17584" xr:uid="{F0D3E44B-A454-49F5-87BF-97AAA5F2A8FE}"/>
    <cellStyle name="20% - Accent4 3 2 2 4" xfId="21794" xr:uid="{7324175E-99C8-4A56-930A-6030218FEC26}"/>
    <cellStyle name="20% - Accent4 3 2 2 5" xfId="13373" xr:uid="{E260AF6D-CBC6-4209-9A35-60615E188002}"/>
    <cellStyle name="20% - Accent4 3 2 2 6" xfId="22623" xr:uid="{92ABD98A-43BD-4EDE-8F16-BF6E6CFBB164}"/>
    <cellStyle name="20% - Accent4 3 2 2 7" xfId="9162" xr:uid="{A99347B1-80F6-4E32-BD6C-6EF97384792B}"/>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20142" xr:uid="{50438E3C-99F0-4541-B2C6-6BA498D69174}"/>
    <cellStyle name="20% - Accent4 3 2 3 2 3" xfId="15931" xr:uid="{CB48C864-60D1-4AE2-A6F1-733A8F2C576D}"/>
    <cellStyle name="20% - Accent4 3 2 3 2 4" xfId="25181" xr:uid="{7793E294-E0C7-4823-8C2C-463134B6C2C1}"/>
    <cellStyle name="20% - Accent4 3 2 3 2 5" xfId="11720" xr:uid="{D58AD92E-B0E5-417C-A93F-C1D2D37F8FAE}"/>
    <cellStyle name="20% - Accent4 3 2 3 3" xfId="5364" xr:uid="{00000000-0005-0000-0000-00003B020000}"/>
    <cellStyle name="20% - Accent4 3 2 3 3 2" xfId="17997" xr:uid="{4F445591-B41E-4BF3-99FF-B2F13A898EFC}"/>
    <cellStyle name="20% - Accent4 3 2 3 4" xfId="13786" xr:uid="{9DC33DA3-5469-4BEF-927C-69608BC86840}"/>
    <cellStyle name="20% - Accent4 3 2 3 5" xfId="23036" xr:uid="{0D9C3D21-B5B6-4EE2-866B-E84798A3A3C0}"/>
    <cellStyle name="20% - Accent4 3 2 3 6" xfId="9575" xr:uid="{39523FD1-A685-4A1A-94B5-B735319392B8}"/>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20555" xr:uid="{6D80FE29-84A0-45DF-85DB-E9A479596FC1}"/>
    <cellStyle name="20% - Accent4 3 2 4 2 3" xfId="16344" xr:uid="{17BFABE4-983D-42C8-A106-E314D787C8F9}"/>
    <cellStyle name="20% - Accent4 3 2 4 2 4" xfId="25594" xr:uid="{E4290D83-3036-43ED-9546-0CB5266D9F44}"/>
    <cellStyle name="20% - Accent4 3 2 4 2 5" xfId="12133" xr:uid="{2EDCF747-B1CD-4AFD-B38B-2C9EEC2117A8}"/>
    <cellStyle name="20% - Accent4 3 2 4 3" xfId="5777" xr:uid="{00000000-0005-0000-0000-00003F020000}"/>
    <cellStyle name="20% - Accent4 3 2 4 3 2" xfId="18410" xr:uid="{90E0FF13-34A2-4188-B5D4-9761BBC7D24D}"/>
    <cellStyle name="20% - Accent4 3 2 4 4" xfId="14199" xr:uid="{70D0F651-2907-4DC9-ABD1-CC79EAA2EA98}"/>
    <cellStyle name="20% - Accent4 3 2 4 5" xfId="23449" xr:uid="{BB24178F-CE23-4A90-88BE-DB1056A27380}"/>
    <cellStyle name="20% - Accent4 3 2 4 6" xfId="9988" xr:uid="{47097C5A-FE2C-48B1-897F-C7AE488DFA25}"/>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20968" xr:uid="{315BC533-3DBF-4239-8BD0-25518AC9E0CE}"/>
    <cellStyle name="20% - Accent4 3 2 5 2 3" xfId="16757" xr:uid="{CBCEF84C-E5D3-4F8A-9A40-E19026947C3D}"/>
    <cellStyle name="20% - Accent4 3 2 5 2 4" xfId="26007" xr:uid="{B9C4CFB7-9B3B-43ED-8254-B806E617D609}"/>
    <cellStyle name="20% - Accent4 3 2 5 2 5" xfId="12546" xr:uid="{D004E0D4-56B8-47FF-A331-B31F57B84E11}"/>
    <cellStyle name="20% - Accent4 3 2 5 3" xfId="6190" xr:uid="{00000000-0005-0000-0000-000043020000}"/>
    <cellStyle name="20% - Accent4 3 2 5 3 2" xfId="18823" xr:uid="{B4C8E94E-2DB9-449C-8C62-C1286832E39D}"/>
    <cellStyle name="20% - Accent4 3 2 5 4" xfId="14612" xr:uid="{7D8FD6EE-2B64-4C70-AB03-1C3ACF9E2AA6}"/>
    <cellStyle name="20% - Accent4 3 2 5 5" xfId="23862" xr:uid="{DFCFABCA-C1E7-42AB-B014-948FA4C55145}"/>
    <cellStyle name="20% - Accent4 3 2 5 6" xfId="10401" xr:uid="{59142930-5AAD-49EF-96F5-068801A4AB91}"/>
    <cellStyle name="20% - Accent4 3 2 6" xfId="2295" xr:uid="{00000000-0005-0000-0000-000044020000}"/>
    <cellStyle name="20% - Accent4 3 2 6 2" xfId="6603" xr:uid="{00000000-0005-0000-0000-000045020000}"/>
    <cellStyle name="20% - Accent4 3 2 6 2 2" xfId="19236" xr:uid="{8E4757A8-7165-470C-8A63-785CBBEB2017}"/>
    <cellStyle name="20% - Accent4 3 2 6 3" xfId="15025" xr:uid="{0446365A-BE89-4915-84AE-6EC0914A2FEC}"/>
    <cellStyle name="20% - Accent4 3 2 6 4" xfId="24275" xr:uid="{D2BDF94B-0EF9-4883-B4CD-9A71656A93FD}"/>
    <cellStyle name="20% - Accent4 3 2 6 5" xfId="10814" xr:uid="{EE2DF9A7-4398-4753-9B1A-61358D26AD22}"/>
    <cellStyle name="20% - Accent4 3 2 7" xfId="4537" xr:uid="{00000000-0005-0000-0000-000046020000}"/>
    <cellStyle name="20% - Accent4 3 2 7 2" xfId="17170" xr:uid="{CBF7166D-8548-4B0B-8027-908F138BCEF6}"/>
    <cellStyle name="20% - Accent4 3 2 8" xfId="21381" xr:uid="{D2586CB8-6F58-4AC9-A5E7-7D6B6B305786}"/>
    <cellStyle name="20% - Accent4 3 2 9" xfId="12959" xr:uid="{E7896F6F-85E5-4414-8D28-D875A658B6BE}"/>
    <cellStyle name="20% - Accent4 3 3" xfId="600" xr:uid="{00000000-0005-0000-0000-000047020000}"/>
    <cellStyle name="20% - Accent4 3 3 2" xfId="2871" xr:uid="{00000000-0005-0000-0000-000048020000}"/>
    <cellStyle name="20% - Accent4 3 3 2 2" xfId="7095" xr:uid="{00000000-0005-0000-0000-000049020000}"/>
    <cellStyle name="20% - Accent4 3 3 2 2 2" xfId="19728" xr:uid="{6A30FED6-2AB9-460F-803C-49FFA2FB3AD8}"/>
    <cellStyle name="20% - Accent4 3 3 2 3" xfId="15517" xr:uid="{BAF4551E-A3B8-46F0-BDE9-D8E6DD1DBCB9}"/>
    <cellStyle name="20% - Accent4 3 3 2 4" xfId="24767" xr:uid="{97541EB3-6B9F-4432-AAD3-C398EC7A6B6A}"/>
    <cellStyle name="20% - Accent4 3 3 2 5" xfId="11306" xr:uid="{8797591A-5BB9-4D94-BEDC-0BD21ABB7B23}"/>
    <cellStyle name="20% - Accent4 3 3 3" xfId="4950" xr:uid="{00000000-0005-0000-0000-00004A020000}"/>
    <cellStyle name="20% - Accent4 3 3 3 2" xfId="17583" xr:uid="{BE46E63E-5771-4B33-AFB5-574FCEBCB1A3}"/>
    <cellStyle name="20% - Accent4 3 3 4" xfId="21793" xr:uid="{C0D2EB9F-8B3C-451E-89F5-64BB04214AB1}"/>
    <cellStyle name="20% - Accent4 3 3 5" xfId="13372" xr:uid="{62B3ED14-2BB6-4B63-B744-1A6207EDE872}"/>
    <cellStyle name="20% - Accent4 3 3 6" xfId="22622" xr:uid="{A92528EB-9569-4E94-B64E-E0A58681080E}"/>
    <cellStyle name="20% - Accent4 3 3 7" xfId="9161" xr:uid="{C80D9E0C-552E-4A58-9FF8-3CAA092E47A0}"/>
    <cellStyle name="20% - Accent4 3 4" xfId="1053" xr:uid="{00000000-0005-0000-0000-00004B020000}"/>
    <cellStyle name="20% - Accent4 3 4 2" xfId="3284" xr:uid="{00000000-0005-0000-0000-00004C020000}"/>
    <cellStyle name="20% - Accent4 3 4 2 2" xfId="7508" xr:uid="{00000000-0005-0000-0000-00004D020000}"/>
    <cellStyle name="20% - Accent4 3 4 2 2 2" xfId="20141" xr:uid="{A83A54C9-B163-4698-83E7-B897F95AD746}"/>
    <cellStyle name="20% - Accent4 3 4 2 3" xfId="15930" xr:uid="{7B40651F-13F8-473B-AA92-A23C9878702F}"/>
    <cellStyle name="20% - Accent4 3 4 2 4" xfId="25180" xr:uid="{B41DFD22-F72C-448B-9520-A3C653EFCBAF}"/>
    <cellStyle name="20% - Accent4 3 4 2 5" xfId="11719" xr:uid="{1FF7EEB7-B3C2-48E0-94EC-D609270DAEA6}"/>
    <cellStyle name="20% - Accent4 3 4 3" xfId="5363" xr:uid="{00000000-0005-0000-0000-00004E020000}"/>
    <cellStyle name="20% - Accent4 3 4 3 2" xfId="17996" xr:uid="{935DE34C-B605-4973-92C7-693EC1DE19DA}"/>
    <cellStyle name="20% - Accent4 3 4 4" xfId="13785" xr:uid="{848C0D93-EBEA-4D31-837B-B76DCC489D84}"/>
    <cellStyle name="20% - Accent4 3 4 5" xfId="23035" xr:uid="{D95FF5DA-7ABD-4FC7-A382-DD2C00620173}"/>
    <cellStyle name="20% - Accent4 3 4 6" xfId="9574" xr:uid="{8B021C1B-2FE4-4986-A259-1988DA6DE45C}"/>
    <cellStyle name="20% - Accent4 3 5" xfId="1467" xr:uid="{00000000-0005-0000-0000-00004F020000}"/>
    <cellStyle name="20% - Accent4 3 5 2" xfId="3697" xr:uid="{00000000-0005-0000-0000-000050020000}"/>
    <cellStyle name="20% - Accent4 3 5 2 2" xfId="7921" xr:uid="{00000000-0005-0000-0000-000051020000}"/>
    <cellStyle name="20% - Accent4 3 5 2 2 2" xfId="20554" xr:uid="{232E066A-F06F-4A6E-8AB8-6C499D47D9AD}"/>
    <cellStyle name="20% - Accent4 3 5 2 3" xfId="16343" xr:uid="{46A404F7-9655-41AB-ABEA-B073D697D992}"/>
    <cellStyle name="20% - Accent4 3 5 2 4" xfId="25593" xr:uid="{04015988-F03F-41A8-83E0-7E640F9189D6}"/>
    <cellStyle name="20% - Accent4 3 5 2 5" xfId="12132" xr:uid="{12559148-78F3-4691-B3F0-A76EC2D414C7}"/>
    <cellStyle name="20% - Accent4 3 5 3" xfId="5776" xr:uid="{00000000-0005-0000-0000-000052020000}"/>
    <cellStyle name="20% - Accent4 3 5 3 2" xfId="18409" xr:uid="{D5493733-9FED-4EFE-8506-0988E2D64A45}"/>
    <cellStyle name="20% - Accent4 3 5 4" xfId="14198" xr:uid="{A049BE42-4D4C-4008-92DB-CB1FDF540FA2}"/>
    <cellStyle name="20% - Accent4 3 5 5" xfId="23448" xr:uid="{302A6445-D422-44BC-906F-415A0C640278}"/>
    <cellStyle name="20% - Accent4 3 5 6" xfId="9987" xr:uid="{8F783299-3851-4DCE-A0B1-C94554B21950}"/>
    <cellStyle name="20% - Accent4 3 6" xfId="1881" xr:uid="{00000000-0005-0000-0000-000053020000}"/>
    <cellStyle name="20% - Accent4 3 6 2" xfId="4110" xr:uid="{00000000-0005-0000-0000-000054020000}"/>
    <cellStyle name="20% - Accent4 3 6 2 2" xfId="8334" xr:uid="{00000000-0005-0000-0000-000055020000}"/>
    <cellStyle name="20% - Accent4 3 6 2 2 2" xfId="20967" xr:uid="{2A97C881-1197-4758-B584-58EF6C25B74C}"/>
    <cellStyle name="20% - Accent4 3 6 2 3" xfId="16756" xr:uid="{8BF41256-CBA4-4856-9A48-D77EBA4BF245}"/>
    <cellStyle name="20% - Accent4 3 6 2 4" xfId="26006" xr:uid="{620F08C9-A892-4D95-9A62-E3A873719EF4}"/>
    <cellStyle name="20% - Accent4 3 6 2 5" xfId="12545" xr:uid="{C6CB50EB-3221-44A7-B9C4-BD1F39922815}"/>
    <cellStyle name="20% - Accent4 3 6 3" xfId="6189" xr:uid="{00000000-0005-0000-0000-000056020000}"/>
    <cellStyle name="20% - Accent4 3 6 3 2" xfId="18822" xr:uid="{4ECBED79-752C-47E0-A16D-6FC63E094705}"/>
    <cellStyle name="20% - Accent4 3 6 4" xfId="14611" xr:uid="{A4C8D541-7D33-4204-82D3-BA3D9C2B1F36}"/>
    <cellStyle name="20% - Accent4 3 6 5" xfId="23861" xr:uid="{9B2127BA-7A3E-4E1C-BC54-B1420AC21159}"/>
    <cellStyle name="20% - Accent4 3 6 6" xfId="10400" xr:uid="{B2037E9D-1C9B-414B-A295-C96F5DE77A05}"/>
    <cellStyle name="20% - Accent4 3 7" xfId="2294" xr:uid="{00000000-0005-0000-0000-000057020000}"/>
    <cellStyle name="20% - Accent4 3 7 2" xfId="6602" xr:uid="{00000000-0005-0000-0000-000058020000}"/>
    <cellStyle name="20% - Accent4 3 7 2 2" xfId="19235" xr:uid="{D2844B27-AA34-4472-AEAD-DF69D690A221}"/>
    <cellStyle name="20% - Accent4 3 7 3" xfId="15024" xr:uid="{8D5745DE-9E44-4A9A-8F39-AB1D9C9AADF7}"/>
    <cellStyle name="20% - Accent4 3 7 4" xfId="24274" xr:uid="{78186D57-7270-45F1-B521-87A2F59DBEC6}"/>
    <cellStyle name="20% - Accent4 3 7 5" xfId="10813" xr:uid="{903706F0-F385-4451-AEDB-FB8DCF8015DA}"/>
    <cellStyle name="20% - Accent4 3 8" xfId="4536" xr:uid="{00000000-0005-0000-0000-000059020000}"/>
    <cellStyle name="20% - Accent4 3 8 2" xfId="17169" xr:uid="{DB326EC9-016D-4283-BDFA-CEC8ADFEEB28}"/>
    <cellStyle name="20% - Accent4 3 9" xfId="21380" xr:uid="{245ABFF9-6E1A-41B9-839B-0B7C906F005B}"/>
    <cellStyle name="20% - Accent4 4" xfId="32" xr:uid="{00000000-0005-0000-0000-00005A020000}"/>
    <cellStyle name="20% - Accent4 4 10" xfId="22210" xr:uid="{D029778F-B618-4CA1-96F4-D0223308998D}"/>
    <cellStyle name="20% - Accent4 4 11" xfId="8749" xr:uid="{FC95A63C-7A80-43D4-B2EA-68A04E5C37CC}"/>
    <cellStyle name="20% - Accent4 4 2" xfId="602" xr:uid="{00000000-0005-0000-0000-00005B020000}"/>
    <cellStyle name="20% - Accent4 4 2 2" xfId="2873" xr:uid="{00000000-0005-0000-0000-00005C020000}"/>
    <cellStyle name="20% - Accent4 4 2 2 2" xfId="7097" xr:uid="{00000000-0005-0000-0000-00005D020000}"/>
    <cellStyle name="20% - Accent4 4 2 2 2 2" xfId="19730" xr:uid="{98023A64-C855-4FEC-8F81-A4573B00D43C}"/>
    <cellStyle name="20% - Accent4 4 2 2 3" xfId="15519" xr:uid="{BC77AC3A-34AC-4B0C-B938-5CD444F2BC1D}"/>
    <cellStyle name="20% - Accent4 4 2 2 4" xfId="24769" xr:uid="{1F8E385B-37EA-4954-B0B3-FD43B6207924}"/>
    <cellStyle name="20% - Accent4 4 2 2 5" xfId="11308" xr:uid="{9B440905-6BBC-4C65-8B41-2CFAA298FADB}"/>
    <cellStyle name="20% - Accent4 4 2 3" xfId="4952" xr:uid="{00000000-0005-0000-0000-00005E020000}"/>
    <cellStyle name="20% - Accent4 4 2 3 2" xfId="17585" xr:uid="{6F12BABD-C713-4AD4-B019-A403426F3BD6}"/>
    <cellStyle name="20% - Accent4 4 2 4" xfId="21795" xr:uid="{D767302D-0EA0-4AE9-BBF3-9F1FB58FCEC1}"/>
    <cellStyle name="20% - Accent4 4 2 5" xfId="13374" xr:uid="{09A75896-0ACE-40F9-A6C2-7D8ADCA77851}"/>
    <cellStyle name="20% - Accent4 4 2 6" xfId="22624" xr:uid="{1D5E74CD-F009-4452-9F1B-A10470068FA3}"/>
    <cellStyle name="20% - Accent4 4 2 7" xfId="9163" xr:uid="{6CB6B9B6-D0D5-4351-9E7A-60EB5CD5F1D5}"/>
    <cellStyle name="20% - Accent4 4 3" xfId="1055" xr:uid="{00000000-0005-0000-0000-00005F020000}"/>
    <cellStyle name="20% - Accent4 4 3 2" xfId="3286" xr:uid="{00000000-0005-0000-0000-000060020000}"/>
    <cellStyle name="20% - Accent4 4 3 2 2" xfId="7510" xr:uid="{00000000-0005-0000-0000-000061020000}"/>
    <cellStyle name="20% - Accent4 4 3 2 2 2" xfId="20143" xr:uid="{E82D3330-3E4A-46FF-B50A-EC0206915AAA}"/>
    <cellStyle name="20% - Accent4 4 3 2 3" xfId="15932" xr:uid="{87C4F4F3-DA5C-4C29-81DA-65171FE50D89}"/>
    <cellStyle name="20% - Accent4 4 3 2 4" xfId="25182" xr:uid="{72719B89-CBBF-4F08-9CF9-1AB77EB21AA1}"/>
    <cellStyle name="20% - Accent4 4 3 2 5" xfId="11721" xr:uid="{A34E9994-828E-4D74-A4F7-8C557336A3AA}"/>
    <cellStyle name="20% - Accent4 4 3 3" xfId="5365" xr:uid="{00000000-0005-0000-0000-000062020000}"/>
    <cellStyle name="20% - Accent4 4 3 3 2" xfId="17998" xr:uid="{FFA59607-62ED-4962-8FD3-200AA37F0D2D}"/>
    <cellStyle name="20% - Accent4 4 3 4" xfId="13787" xr:uid="{5979D90D-25E0-4D4D-BF67-444AD3ABB8BE}"/>
    <cellStyle name="20% - Accent4 4 3 5" xfId="23037" xr:uid="{A0A0B10E-FEDF-48EF-8BC8-7C350D50D5FB}"/>
    <cellStyle name="20% - Accent4 4 3 6" xfId="9576" xr:uid="{C096E563-3EE8-4379-8263-CA19576CFB13}"/>
    <cellStyle name="20% - Accent4 4 4" xfId="1469" xr:uid="{00000000-0005-0000-0000-000063020000}"/>
    <cellStyle name="20% - Accent4 4 4 2" xfId="3699" xr:uid="{00000000-0005-0000-0000-000064020000}"/>
    <cellStyle name="20% - Accent4 4 4 2 2" xfId="7923" xr:uid="{00000000-0005-0000-0000-000065020000}"/>
    <cellStyle name="20% - Accent4 4 4 2 2 2" xfId="20556" xr:uid="{0C5ABDFD-7B43-4E9D-B40E-55D4A7736C20}"/>
    <cellStyle name="20% - Accent4 4 4 2 3" xfId="16345" xr:uid="{6FB79460-7E08-4AA9-A466-5C25388416D5}"/>
    <cellStyle name="20% - Accent4 4 4 2 4" xfId="25595" xr:uid="{515D3037-180C-4E8A-8903-D978ACF4EF80}"/>
    <cellStyle name="20% - Accent4 4 4 2 5" xfId="12134" xr:uid="{B18ED265-C222-42EB-B831-F60970E52805}"/>
    <cellStyle name="20% - Accent4 4 4 3" xfId="5778" xr:uid="{00000000-0005-0000-0000-000066020000}"/>
    <cellStyle name="20% - Accent4 4 4 3 2" xfId="18411" xr:uid="{4CE1D21F-CA2B-4109-B632-FE9C90BC4738}"/>
    <cellStyle name="20% - Accent4 4 4 4" xfId="14200" xr:uid="{7E635285-6EE8-4453-AAA7-A1C1477DE009}"/>
    <cellStyle name="20% - Accent4 4 4 5" xfId="23450" xr:uid="{EE9A53C6-22C7-4CE1-B607-EFEEFE64F584}"/>
    <cellStyle name="20% - Accent4 4 4 6" xfId="9989" xr:uid="{E4C826C0-0138-4188-8878-B22E8BCE5844}"/>
    <cellStyle name="20% - Accent4 4 5" xfId="1883" xr:uid="{00000000-0005-0000-0000-000067020000}"/>
    <cellStyle name="20% - Accent4 4 5 2" xfId="4112" xr:uid="{00000000-0005-0000-0000-000068020000}"/>
    <cellStyle name="20% - Accent4 4 5 2 2" xfId="8336" xr:uid="{00000000-0005-0000-0000-000069020000}"/>
    <cellStyle name="20% - Accent4 4 5 2 2 2" xfId="20969" xr:uid="{D1B5DF9C-E23C-4950-A973-810BA35E1EC6}"/>
    <cellStyle name="20% - Accent4 4 5 2 3" xfId="16758" xr:uid="{1F02CDC6-A523-4B30-8E01-98BE760C07E9}"/>
    <cellStyle name="20% - Accent4 4 5 2 4" xfId="26008" xr:uid="{80C8A1D7-689B-43DB-9DD8-31B4DB029ADD}"/>
    <cellStyle name="20% - Accent4 4 5 2 5" xfId="12547" xr:uid="{F52D96AB-CE5F-40B6-931A-E579CC657B44}"/>
    <cellStyle name="20% - Accent4 4 5 3" xfId="6191" xr:uid="{00000000-0005-0000-0000-00006A020000}"/>
    <cellStyle name="20% - Accent4 4 5 3 2" xfId="18824" xr:uid="{5714B9C3-9F82-4278-B5AF-8B6D56581098}"/>
    <cellStyle name="20% - Accent4 4 5 4" xfId="14613" xr:uid="{D57DD21F-6466-4EB3-880C-F2D8A7A064FF}"/>
    <cellStyle name="20% - Accent4 4 5 5" xfId="23863" xr:uid="{E7C94B22-E8E4-4C2A-B680-36173D51D6F2}"/>
    <cellStyle name="20% - Accent4 4 5 6" xfId="10402" xr:uid="{96CF7CD4-B97B-487D-A85E-BECC79B26E6B}"/>
    <cellStyle name="20% - Accent4 4 6" xfId="2296" xr:uid="{00000000-0005-0000-0000-00006B020000}"/>
    <cellStyle name="20% - Accent4 4 6 2" xfId="6604" xr:uid="{00000000-0005-0000-0000-00006C020000}"/>
    <cellStyle name="20% - Accent4 4 6 2 2" xfId="19237" xr:uid="{067503EB-1D84-49C7-9864-B5B8329E2C9C}"/>
    <cellStyle name="20% - Accent4 4 6 3" xfId="15026" xr:uid="{4346FA01-977F-4FAE-9FFB-04220EDFA636}"/>
    <cellStyle name="20% - Accent4 4 6 4" xfId="24276" xr:uid="{FFBC1CAD-16BF-40D3-8065-C5DBCA46A4AA}"/>
    <cellStyle name="20% - Accent4 4 6 5" xfId="10815" xr:uid="{25B15E52-1532-44A8-B52F-9B40AD1534A2}"/>
    <cellStyle name="20% - Accent4 4 7" xfId="4538" xr:uid="{00000000-0005-0000-0000-00006D020000}"/>
    <cellStyle name="20% - Accent4 4 7 2" xfId="17171" xr:uid="{A5C57213-00AE-4894-B9EE-801C4BCDF68D}"/>
    <cellStyle name="20% - Accent4 4 8" xfId="21382" xr:uid="{5580355E-ED31-406C-9AF5-0BF69D9E7283}"/>
    <cellStyle name="20% - Accent4 4 9" xfId="12960" xr:uid="{39E10D50-C119-4D7E-8BDE-9F03CB86D92E}"/>
    <cellStyle name="20% - Accent4 5" xfId="595" xr:uid="{00000000-0005-0000-0000-00006E020000}"/>
    <cellStyle name="20% - Accent4 5 2" xfId="2866" xr:uid="{00000000-0005-0000-0000-00006F020000}"/>
    <cellStyle name="20% - Accent4 5 2 2" xfId="7090" xr:uid="{00000000-0005-0000-0000-000070020000}"/>
    <cellStyle name="20% - Accent4 5 2 2 2" xfId="19723" xr:uid="{BDF58ED8-C2F3-4235-9C15-D0545D7C99FD}"/>
    <cellStyle name="20% - Accent4 5 2 3" xfId="15512" xr:uid="{589C49E1-ED58-4496-8F7A-39F0B6460BA2}"/>
    <cellStyle name="20% - Accent4 5 2 4" xfId="24762" xr:uid="{D9A4F120-447D-424F-825A-58994D6D32C2}"/>
    <cellStyle name="20% - Accent4 5 2 5" xfId="11301" xr:uid="{2327FCF5-6811-4538-A3C9-1ACB77E5C0A6}"/>
    <cellStyle name="20% - Accent4 5 3" xfId="4945" xr:uid="{00000000-0005-0000-0000-000071020000}"/>
    <cellStyle name="20% - Accent4 5 3 2" xfId="17578" xr:uid="{51D708D4-8424-4768-AFE7-2A067587FE1F}"/>
    <cellStyle name="20% - Accent4 5 4" xfId="21788" xr:uid="{6EC43721-A77A-49F2-BF41-6E58E0F2870B}"/>
    <cellStyle name="20% - Accent4 5 5" xfId="13367" xr:uid="{A0606264-557B-4285-998C-6BAA5F070C2F}"/>
    <cellStyle name="20% - Accent4 5 6" xfId="22617" xr:uid="{AE9AD5C9-6815-4791-AEB9-C5E4955F1C5C}"/>
    <cellStyle name="20% - Accent4 5 7" xfId="9156" xr:uid="{453640DA-E534-4225-B733-A78F45C647A0}"/>
    <cellStyle name="20% - Accent4 6" xfId="1048" xr:uid="{00000000-0005-0000-0000-000072020000}"/>
    <cellStyle name="20% - Accent4 6 2" xfId="3279" xr:uid="{00000000-0005-0000-0000-000073020000}"/>
    <cellStyle name="20% - Accent4 6 2 2" xfId="7503" xr:uid="{00000000-0005-0000-0000-000074020000}"/>
    <cellStyle name="20% - Accent4 6 2 2 2" xfId="20136" xr:uid="{DD2BFFA4-B518-4C6F-A7FB-C6F81EE9857F}"/>
    <cellStyle name="20% - Accent4 6 2 3" xfId="15925" xr:uid="{F7106764-B542-4926-A076-696967512059}"/>
    <cellStyle name="20% - Accent4 6 2 4" xfId="25175" xr:uid="{D05E5382-18F0-42C3-9469-250C27E94107}"/>
    <cellStyle name="20% - Accent4 6 2 5" xfId="11714" xr:uid="{B555EB7A-EC77-44D9-8AF4-E7431B8DC7E1}"/>
    <cellStyle name="20% - Accent4 6 3" xfId="5358" xr:uid="{00000000-0005-0000-0000-000075020000}"/>
    <cellStyle name="20% - Accent4 6 3 2" xfId="17991" xr:uid="{4F0BC197-3938-41C1-BCB5-C0984BFC98C5}"/>
    <cellStyle name="20% - Accent4 6 4" xfId="13780" xr:uid="{A13EAB79-A105-4A45-ACED-A4B00E8F118E}"/>
    <cellStyle name="20% - Accent4 6 5" xfId="23030" xr:uid="{2AF80020-52E1-45CE-BA3B-131D256DA45B}"/>
    <cellStyle name="20% - Accent4 6 6" xfId="9569" xr:uid="{2840AA7B-2CAD-4E59-8F86-A9EFDFACFEF3}"/>
    <cellStyle name="20% - Accent4 7" xfId="1462" xr:uid="{00000000-0005-0000-0000-000076020000}"/>
    <cellStyle name="20% - Accent4 7 2" xfId="3692" xr:uid="{00000000-0005-0000-0000-000077020000}"/>
    <cellStyle name="20% - Accent4 7 2 2" xfId="7916" xr:uid="{00000000-0005-0000-0000-000078020000}"/>
    <cellStyle name="20% - Accent4 7 2 2 2" xfId="20549" xr:uid="{AA629B9A-6991-4E05-A73B-9B1D5D29A2E1}"/>
    <cellStyle name="20% - Accent4 7 2 3" xfId="16338" xr:uid="{2AC6ED7E-F2BF-43AB-86CA-0D7E4259EEE1}"/>
    <cellStyle name="20% - Accent4 7 2 4" xfId="25588" xr:uid="{D5507CA9-1A86-437A-BC82-7FB92D353C23}"/>
    <cellStyle name="20% - Accent4 7 2 5" xfId="12127" xr:uid="{B6A0ACE0-834F-473E-B211-22E55AF334A6}"/>
    <cellStyle name="20% - Accent4 7 3" xfId="5771" xr:uid="{00000000-0005-0000-0000-000079020000}"/>
    <cellStyle name="20% - Accent4 7 3 2" xfId="18404" xr:uid="{F40EC576-4986-4330-8C52-E81DB52E9E8A}"/>
    <cellStyle name="20% - Accent4 7 4" xfId="14193" xr:uid="{8566909F-5E98-4F65-BEDC-B2528B2306EC}"/>
    <cellStyle name="20% - Accent4 7 5" xfId="23443" xr:uid="{CB000FFC-33AC-4A24-A890-6DBB633BED85}"/>
    <cellStyle name="20% - Accent4 7 6" xfId="9982" xr:uid="{6CDBE914-FB8F-4736-B344-DF66B3ECCC26}"/>
    <cellStyle name="20% - Accent4 8" xfId="1876" xr:uid="{00000000-0005-0000-0000-00007A020000}"/>
    <cellStyle name="20% - Accent4 8 2" xfId="4105" xr:uid="{00000000-0005-0000-0000-00007B020000}"/>
    <cellStyle name="20% - Accent4 8 2 2" xfId="8329" xr:uid="{00000000-0005-0000-0000-00007C020000}"/>
    <cellStyle name="20% - Accent4 8 2 2 2" xfId="20962" xr:uid="{F4558066-58DD-4485-A58B-BD63BAC240DA}"/>
    <cellStyle name="20% - Accent4 8 2 3" xfId="16751" xr:uid="{AF261F9F-C640-43C5-BF8B-F9C845B8A94B}"/>
    <cellStyle name="20% - Accent4 8 2 4" xfId="26001" xr:uid="{FE66B61C-8BAE-451A-9E7D-ECD0E9DA6F45}"/>
    <cellStyle name="20% - Accent4 8 2 5" xfId="12540" xr:uid="{25EFF36D-2873-428F-8AC7-62775D2D7215}"/>
    <cellStyle name="20% - Accent4 8 3" xfId="6184" xr:uid="{00000000-0005-0000-0000-00007D020000}"/>
    <cellStyle name="20% - Accent4 8 3 2" xfId="18817" xr:uid="{A75ABC31-B155-4F91-8C5C-054E27C0696A}"/>
    <cellStyle name="20% - Accent4 8 4" xfId="14606" xr:uid="{31141F3D-638B-4AF0-AB0F-16EF9D4FBB87}"/>
    <cellStyle name="20% - Accent4 8 5" xfId="23856" xr:uid="{9956435C-A2E5-4288-9A4A-6C6705D8B589}"/>
    <cellStyle name="20% - Accent4 8 6" xfId="10395" xr:uid="{87C2F6F5-7409-4D13-A2B2-E7E0655D523A}"/>
    <cellStyle name="20% - Accent4 9" xfId="2289" xr:uid="{00000000-0005-0000-0000-00007E020000}"/>
    <cellStyle name="20% - Accent4 9 2" xfId="6597" xr:uid="{00000000-0005-0000-0000-00007F020000}"/>
    <cellStyle name="20% - Accent4 9 2 2" xfId="19230" xr:uid="{D03F9D8A-DB31-4E06-A31D-6C833B8D7E1A}"/>
    <cellStyle name="20% - Accent4 9 3" xfId="15019" xr:uid="{5ACAC513-5994-4CCE-A3FB-D2732FDB38B5}"/>
    <cellStyle name="20% - Accent4 9 4" xfId="24269" xr:uid="{0FA5125B-A246-4807-90BA-03B93AF9FC85}"/>
    <cellStyle name="20% - Accent4 9 5" xfId="10808" xr:uid="{C06AAD6F-5DBF-4E01-85D9-0BBD5C3D93DE}"/>
    <cellStyle name="20% - Accent5" xfId="33" builtinId="46" customBuiltin="1"/>
    <cellStyle name="20% - Accent5 10" xfId="4539" xr:uid="{00000000-0005-0000-0000-000081020000}"/>
    <cellStyle name="20% - Accent5 10 2" xfId="17172" xr:uid="{B0DEBBA6-7D63-4CB9-9B86-B411005DAF46}"/>
    <cellStyle name="20% - Accent5 11" xfId="21383" xr:uid="{9D8AB702-AC3C-473D-96A4-3CE1C4130B5B}"/>
    <cellStyle name="20% - Accent5 12" xfId="12961" xr:uid="{49933422-E7C0-4655-B4C2-9B179A145F22}"/>
    <cellStyle name="20% - Accent5 13" xfId="22211" xr:uid="{2AF5FF0B-162B-48AE-8EF3-E82BB4C7E9B2}"/>
    <cellStyle name="20% - Accent5 14" xfId="8750" xr:uid="{22B4CB22-AB9A-47D1-89E0-B641CFC90264}"/>
    <cellStyle name="20% - Accent5 2" xfId="34" xr:uid="{00000000-0005-0000-0000-000082020000}"/>
    <cellStyle name="20% - Accent5 2 10" xfId="21384" xr:uid="{106A9701-A6B4-4E5B-98F9-F58FBC472CF7}"/>
    <cellStyle name="20% - Accent5 2 11" xfId="12962" xr:uid="{93445B6C-8A6E-4420-B4B7-43F22515500A}"/>
    <cellStyle name="20% - Accent5 2 12" xfId="22212" xr:uid="{4C830EF2-5ECA-452D-B9A6-765F1511CCEF}"/>
    <cellStyle name="20% - Accent5 2 13" xfId="8751" xr:uid="{AEA60042-F2CC-4FBD-B5D1-E61C9C157F12}"/>
    <cellStyle name="20% - Accent5 2 2" xfId="35" xr:uid="{00000000-0005-0000-0000-000083020000}"/>
    <cellStyle name="20% - Accent5 2 2 10" xfId="12963" xr:uid="{3A119733-CA3E-402D-A253-62AF78C2C392}"/>
    <cellStyle name="20% - Accent5 2 2 11" xfId="22213" xr:uid="{ADEB5336-F54D-464B-8799-7322FCF52880}"/>
    <cellStyle name="20% - Accent5 2 2 12" xfId="8752" xr:uid="{E471DD27-A171-4799-ADEC-51AD70BFB7E5}"/>
    <cellStyle name="20% - Accent5 2 2 2" xfId="36" xr:uid="{00000000-0005-0000-0000-000084020000}"/>
    <cellStyle name="20% - Accent5 2 2 2 10" xfId="22214" xr:uid="{459A85CC-291C-489F-85C8-0C6C6894BD16}"/>
    <cellStyle name="20% - Accent5 2 2 2 11" xfId="8753" xr:uid="{118D2F78-2076-43C6-A63F-0B2D154769F7}"/>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9734" xr:uid="{98E654B2-5685-436F-8DCF-5B300DA9A432}"/>
    <cellStyle name="20% - Accent5 2 2 2 2 2 3" xfId="15523" xr:uid="{64C1C9BC-F60B-4EC8-B65C-C7C9E4DC9F05}"/>
    <cellStyle name="20% - Accent5 2 2 2 2 2 4" xfId="24773" xr:uid="{49BC22FB-B364-4B8E-A62F-756D4D207362}"/>
    <cellStyle name="20% - Accent5 2 2 2 2 2 5" xfId="11312" xr:uid="{B231101F-5417-4FB8-893F-2B4028682529}"/>
    <cellStyle name="20% - Accent5 2 2 2 2 3" xfId="4956" xr:uid="{00000000-0005-0000-0000-000088020000}"/>
    <cellStyle name="20% - Accent5 2 2 2 2 3 2" xfId="17589" xr:uid="{37B5058F-386A-4325-8CB6-2E63D956EDEF}"/>
    <cellStyle name="20% - Accent5 2 2 2 2 4" xfId="21799" xr:uid="{144172D5-12A4-4669-827F-76DDBC2DB06F}"/>
    <cellStyle name="20% - Accent5 2 2 2 2 5" xfId="13378" xr:uid="{15FBF704-4EE7-4908-AB91-A91215B3FB1B}"/>
    <cellStyle name="20% - Accent5 2 2 2 2 6" xfId="22628" xr:uid="{A739C601-4EC5-48B1-B374-5492C7FCCECD}"/>
    <cellStyle name="20% - Accent5 2 2 2 2 7" xfId="9167" xr:uid="{ABFB2D57-C144-42FB-9EC3-263A7DEA29A7}"/>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20147" xr:uid="{467EAC26-8DB3-4E7E-A6EA-F0CEFED73EC2}"/>
    <cellStyle name="20% - Accent5 2 2 2 3 2 3" xfId="15936" xr:uid="{CE3B423D-F599-4D30-A701-845EF00780AD}"/>
    <cellStyle name="20% - Accent5 2 2 2 3 2 4" xfId="25186" xr:uid="{A21057A0-AAFB-40EA-A476-A60D61399417}"/>
    <cellStyle name="20% - Accent5 2 2 2 3 2 5" xfId="11725" xr:uid="{69DCF725-F8A9-42D0-B42F-EAC5970EE9DA}"/>
    <cellStyle name="20% - Accent5 2 2 2 3 3" xfId="5369" xr:uid="{00000000-0005-0000-0000-00008C020000}"/>
    <cellStyle name="20% - Accent5 2 2 2 3 3 2" xfId="18002" xr:uid="{8E2DCD6A-CFB6-4C14-A337-12F819DD9E54}"/>
    <cellStyle name="20% - Accent5 2 2 2 3 4" xfId="13791" xr:uid="{77A7E3A8-6090-4297-8D12-73161993D6C6}"/>
    <cellStyle name="20% - Accent5 2 2 2 3 5" xfId="23041" xr:uid="{8069621F-761A-4C56-8CC8-1303C90711A9}"/>
    <cellStyle name="20% - Accent5 2 2 2 3 6" xfId="9580" xr:uid="{D8A4993B-2B8F-47D6-92B8-5ABFC0C4BE5D}"/>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20560" xr:uid="{2243E2A7-7940-4DE5-BBE5-D730B80805AA}"/>
    <cellStyle name="20% - Accent5 2 2 2 4 2 3" xfId="16349" xr:uid="{E9E66ACE-400A-4CC0-B089-6E4AF42442E7}"/>
    <cellStyle name="20% - Accent5 2 2 2 4 2 4" xfId="25599" xr:uid="{2503CB65-8F8C-4D2B-94EF-1E2DB4D7B824}"/>
    <cellStyle name="20% - Accent5 2 2 2 4 2 5" xfId="12138" xr:uid="{929C6D82-2915-4A0B-ABFD-D58FC8C37813}"/>
    <cellStyle name="20% - Accent5 2 2 2 4 3" xfId="5782" xr:uid="{00000000-0005-0000-0000-000090020000}"/>
    <cellStyle name="20% - Accent5 2 2 2 4 3 2" xfId="18415" xr:uid="{32F00F8D-24A0-45A4-99E8-A9033B666B30}"/>
    <cellStyle name="20% - Accent5 2 2 2 4 4" xfId="14204" xr:uid="{AD9EFCC8-6AFC-4374-9231-68812DF21058}"/>
    <cellStyle name="20% - Accent5 2 2 2 4 5" xfId="23454" xr:uid="{BD55784D-1373-4B92-B069-40DAFC8BE9EA}"/>
    <cellStyle name="20% - Accent5 2 2 2 4 6" xfId="9993" xr:uid="{15DABBC0-ECF0-46AC-9070-59A608BC811F}"/>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20973" xr:uid="{C1E9CAF0-71D6-4E08-813D-B7169AF42303}"/>
    <cellStyle name="20% - Accent5 2 2 2 5 2 3" xfId="16762" xr:uid="{F74DDB55-2E80-4D64-9762-71372CC3FC7A}"/>
    <cellStyle name="20% - Accent5 2 2 2 5 2 4" xfId="26012" xr:uid="{31591B7A-32A9-4665-903E-5FEE363BA131}"/>
    <cellStyle name="20% - Accent5 2 2 2 5 2 5" xfId="12551" xr:uid="{BFAA778F-9953-4181-80B2-9DD2D1853B46}"/>
    <cellStyle name="20% - Accent5 2 2 2 5 3" xfId="6195" xr:uid="{00000000-0005-0000-0000-000094020000}"/>
    <cellStyle name="20% - Accent5 2 2 2 5 3 2" xfId="18828" xr:uid="{C5399240-E7EA-4C3B-B13B-F78FE669161F}"/>
    <cellStyle name="20% - Accent5 2 2 2 5 4" xfId="14617" xr:uid="{0FB2A446-3114-4B44-AD76-EF217D942466}"/>
    <cellStyle name="20% - Accent5 2 2 2 5 5" xfId="23867" xr:uid="{2E9CB13E-FA9A-4AD7-9E38-1C6D7CDDCA84}"/>
    <cellStyle name="20% - Accent5 2 2 2 5 6" xfId="10406" xr:uid="{001462BB-5CBF-4367-BE0D-67DA662FEC9B}"/>
    <cellStyle name="20% - Accent5 2 2 2 6" xfId="2300" xr:uid="{00000000-0005-0000-0000-000095020000}"/>
    <cellStyle name="20% - Accent5 2 2 2 6 2" xfId="6608" xr:uid="{00000000-0005-0000-0000-000096020000}"/>
    <cellStyle name="20% - Accent5 2 2 2 6 2 2" xfId="19241" xr:uid="{CCD445F2-76B9-4B40-AFBF-13D5239966A7}"/>
    <cellStyle name="20% - Accent5 2 2 2 6 3" xfId="15030" xr:uid="{720588D5-7B7B-4E07-952A-B239ADD357B3}"/>
    <cellStyle name="20% - Accent5 2 2 2 6 4" xfId="24280" xr:uid="{AE52B9DE-464C-42AC-AD78-EE2E20D62EDA}"/>
    <cellStyle name="20% - Accent5 2 2 2 6 5" xfId="10819" xr:uid="{AB8E66DD-4B50-41F9-A61A-ED91DA646C1E}"/>
    <cellStyle name="20% - Accent5 2 2 2 7" xfId="4542" xr:uid="{00000000-0005-0000-0000-000097020000}"/>
    <cellStyle name="20% - Accent5 2 2 2 7 2" xfId="17175" xr:uid="{7BA07171-0572-4FE1-B823-49D32C71B243}"/>
    <cellStyle name="20% - Accent5 2 2 2 8" xfId="21386" xr:uid="{25A2F3C8-BD0A-4B11-B6D8-1A6C06A3B390}"/>
    <cellStyle name="20% - Accent5 2 2 2 9" xfId="12964" xr:uid="{CC17B75D-D16A-4D8F-AB4A-13A435092881}"/>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9733" xr:uid="{BE391B6B-809B-4BC3-BBF3-5B7C50A1837B}"/>
    <cellStyle name="20% - Accent5 2 2 3 2 3" xfId="15522" xr:uid="{7C905449-7EC8-40EF-8168-9F098382CA6F}"/>
    <cellStyle name="20% - Accent5 2 2 3 2 4" xfId="24772" xr:uid="{AD37A7DB-4313-4EE0-BD39-EEDE13093A4B}"/>
    <cellStyle name="20% - Accent5 2 2 3 2 5" xfId="11311" xr:uid="{07BF4AC8-0A55-4831-B44E-D0AA3BA228D9}"/>
    <cellStyle name="20% - Accent5 2 2 3 3" xfId="4955" xr:uid="{00000000-0005-0000-0000-00009B020000}"/>
    <cellStyle name="20% - Accent5 2 2 3 3 2" xfId="17588" xr:uid="{C67F4665-9F20-4C15-AC21-6556689E1344}"/>
    <cellStyle name="20% - Accent5 2 2 3 4" xfId="21798" xr:uid="{455599A3-21E8-474E-898E-684B7FD19853}"/>
    <cellStyle name="20% - Accent5 2 2 3 5" xfId="13377" xr:uid="{84924AD2-C433-4204-A758-A8C6D5D27240}"/>
    <cellStyle name="20% - Accent5 2 2 3 6" xfId="22627" xr:uid="{4C8F6701-1F3B-4367-B8C7-D98C9F6E6AA6}"/>
    <cellStyle name="20% - Accent5 2 2 3 7" xfId="9166" xr:uid="{8B0A6EB8-FD69-476A-AF8F-C128495AE1ED}"/>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20146" xr:uid="{F8656F2D-4854-425D-A346-5A0DE534998D}"/>
    <cellStyle name="20% - Accent5 2 2 4 2 3" xfId="15935" xr:uid="{4CE899A1-BCE1-4DFA-A339-EF351C37DA1E}"/>
    <cellStyle name="20% - Accent5 2 2 4 2 4" xfId="25185" xr:uid="{70167E90-4CCC-4F53-AB53-BA776454EA16}"/>
    <cellStyle name="20% - Accent5 2 2 4 2 5" xfId="11724" xr:uid="{614C3DC7-A142-4BB4-88C6-288E74CC515D}"/>
    <cellStyle name="20% - Accent5 2 2 4 3" xfId="5368" xr:uid="{00000000-0005-0000-0000-00009F020000}"/>
    <cellStyle name="20% - Accent5 2 2 4 3 2" xfId="18001" xr:uid="{19104FC1-62FB-4B7C-B205-5303B822255A}"/>
    <cellStyle name="20% - Accent5 2 2 4 4" xfId="13790" xr:uid="{8843CC80-5152-4776-9B57-DA0829627951}"/>
    <cellStyle name="20% - Accent5 2 2 4 5" xfId="23040" xr:uid="{13E26656-DEA6-45E9-B633-0FF2F74D2A2E}"/>
    <cellStyle name="20% - Accent5 2 2 4 6" xfId="9579" xr:uid="{C6EAB75A-AE4B-46DF-832A-3A84B24F9DF4}"/>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20559" xr:uid="{68A029CA-5080-46A6-92A6-0E6CF745A7E2}"/>
    <cellStyle name="20% - Accent5 2 2 5 2 3" xfId="16348" xr:uid="{7373639E-2E3F-4C91-B63C-605E3304095E}"/>
    <cellStyle name="20% - Accent5 2 2 5 2 4" xfId="25598" xr:uid="{6B3A3213-A327-4B08-B7D8-FFACB4A583E4}"/>
    <cellStyle name="20% - Accent5 2 2 5 2 5" xfId="12137" xr:uid="{A7E34003-A1C3-40C3-BF62-C212FFE025C1}"/>
    <cellStyle name="20% - Accent5 2 2 5 3" xfId="5781" xr:uid="{00000000-0005-0000-0000-0000A3020000}"/>
    <cellStyle name="20% - Accent5 2 2 5 3 2" xfId="18414" xr:uid="{41514B0B-339E-4271-84EB-92053FD77392}"/>
    <cellStyle name="20% - Accent5 2 2 5 4" xfId="14203" xr:uid="{F025F7A7-FD87-4C9E-B2EE-35D5E5F2CE31}"/>
    <cellStyle name="20% - Accent5 2 2 5 5" xfId="23453" xr:uid="{5157FDD7-43A8-4D49-9053-84826F2B7BB8}"/>
    <cellStyle name="20% - Accent5 2 2 5 6" xfId="9992" xr:uid="{0B534497-D335-4532-A2B7-884179116A83}"/>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20972" xr:uid="{8BE48AB7-D0D5-42EC-98A7-CC917811C606}"/>
    <cellStyle name="20% - Accent5 2 2 6 2 3" xfId="16761" xr:uid="{43DC3156-7C75-4D9E-8DF3-69D72FB2B76E}"/>
    <cellStyle name="20% - Accent5 2 2 6 2 4" xfId="26011" xr:uid="{33406355-5414-4C08-826B-39A6BA4C4A3F}"/>
    <cellStyle name="20% - Accent5 2 2 6 2 5" xfId="12550" xr:uid="{1DF81D53-7A8E-4FD1-9B70-E6C93ADB4813}"/>
    <cellStyle name="20% - Accent5 2 2 6 3" xfId="6194" xr:uid="{00000000-0005-0000-0000-0000A7020000}"/>
    <cellStyle name="20% - Accent5 2 2 6 3 2" xfId="18827" xr:uid="{10A21E62-2871-4838-A6BE-671CB1BB2C37}"/>
    <cellStyle name="20% - Accent5 2 2 6 4" xfId="14616" xr:uid="{0311244A-7423-42AF-938A-D9A21CB6DC46}"/>
    <cellStyle name="20% - Accent5 2 2 6 5" xfId="23866" xr:uid="{094DAFD9-A074-4F39-A2AA-267D457085B2}"/>
    <cellStyle name="20% - Accent5 2 2 6 6" xfId="10405" xr:uid="{9FA9AF5B-2703-4DF5-8398-6ABE5FE4E041}"/>
    <cellStyle name="20% - Accent5 2 2 7" xfId="2299" xr:uid="{00000000-0005-0000-0000-0000A8020000}"/>
    <cellStyle name="20% - Accent5 2 2 7 2" xfId="6607" xr:uid="{00000000-0005-0000-0000-0000A9020000}"/>
    <cellStyle name="20% - Accent5 2 2 7 2 2" xfId="19240" xr:uid="{87A57F82-5E5A-45DF-929D-85A78D5FFC19}"/>
    <cellStyle name="20% - Accent5 2 2 7 3" xfId="15029" xr:uid="{A6CE376C-EBD6-43C4-B63E-92BF9F0ABA9A}"/>
    <cellStyle name="20% - Accent5 2 2 7 4" xfId="24279" xr:uid="{234B1B34-AF4B-4DBC-8C2B-CBA828475C27}"/>
    <cellStyle name="20% - Accent5 2 2 7 5" xfId="10818" xr:uid="{78035AAD-1BD2-4FB6-AAD4-78992008AD37}"/>
    <cellStyle name="20% - Accent5 2 2 8" xfId="4541" xr:uid="{00000000-0005-0000-0000-0000AA020000}"/>
    <cellStyle name="20% - Accent5 2 2 8 2" xfId="17174" xr:uid="{40BC9E68-D119-41B9-B2AE-39C55248B909}"/>
    <cellStyle name="20% - Accent5 2 2 9" xfId="21385" xr:uid="{9B956143-4E3A-4C4E-AA84-3D6C922C498F}"/>
    <cellStyle name="20% - Accent5 2 3" xfId="37" xr:uid="{00000000-0005-0000-0000-0000AB020000}"/>
    <cellStyle name="20% - Accent5 2 3 10" xfId="22215" xr:uid="{58083369-E401-47D0-A9FE-3CD383A3300E}"/>
    <cellStyle name="20% - Accent5 2 3 11" xfId="8754" xr:uid="{E96CF4B4-E778-44C4-B50E-F4B628BC09D2}"/>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9735" xr:uid="{1CEE69C1-9A3E-4480-95E1-8AD7334225B8}"/>
    <cellStyle name="20% - Accent5 2 3 2 2 3" xfId="15524" xr:uid="{0F0A0AFF-5873-45F3-95E4-F0690AC9BE88}"/>
    <cellStyle name="20% - Accent5 2 3 2 2 4" xfId="24774" xr:uid="{698C2743-31F2-41CE-8D56-B34706D23DF4}"/>
    <cellStyle name="20% - Accent5 2 3 2 2 5" xfId="11313" xr:uid="{0EE1059B-CD2F-4B10-B10F-35DAD81FB8EC}"/>
    <cellStyle name="20% - Accent5 2 3 2 3" xfId="4957" xr:uid="{00000000-0005-0000-0000-0000AF020000}"/>
    <cellStyle name="20% - Accent5 2 3 2 3 2" xfId="17590" xr:uid="{2729B715-54CC-495D-B408-5FCC8F26DF0A}"/>
    <cellStyle name="20% - Accent5 2 3 2 4" xfId="21800" xr:uid="{17475156-9F01-48BF-9A06-DEA5AACD33FB}"/>
    <cellStyle name="20% - Accent5 2 3 2 5" xfId="13379" xr:uid="{84B12FFC-C072-4930-8BCD-424BD5E04A1D}"/>
    <cellStyle name="20% - Accent5 2 3 2 6" xfId="22629" xr:uid="{255D06AB-A8EF-4113-910F-EC8271C37DB8}"/>
    <cellStyle name="20% - Accent5 2 3 2 7" xfId="9168" xr:uid="{8A9376FD-0665-4F13-A492-564A6BC11BCE}"/>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20148" xr:uid="{DAAEB331-7D26-4BEF-9CE4-72C88E3DC072}"/>
    <cellStyle name="20% - Accent5 2 3 3 2 3" xfId="15937" xr:uid="{B9D9807A-B129-4AAB-94D9-653B498FE994}"/>
    <cellStyle name="20% - Accent5 2 3 3 2 4" xfId="25187" xr:uid="{79629DAD-51CF-4ABE-9745-3458F5EE3CC3}"/>
    <cellStyle name="20% - Accent5 2 3 3 2 5" xfId="11726" xr:uid="{2A369627-3CA7-4B26-9391-6E99D381A525}"/>
    <cellStyle name="20% - Accent5 2 3 3 3" xfId="5370" xr:uid="{00000000-0005-0000-0000-0000B3020000}"/>
    <cellStyle name="20% - Accent5 2 3 3 3 2" xfId="18003" xr:uid="{EBF5D61C-6D08-40C5-8AE8-5D28285984F5}"/>
    <cellStyle name="20% - Accent5 2 3 3 4" xfId="13792" xr:uid="{66B957C0-B36F-46E4-AAD5-9BCE6CA93D59}"/>
    <cellStyle name="20% - Accent5 2 3 3 5" xfId="23042" xr:uid="{A25A13BD-CCE2-48E6-980B-93D52B0DEB0C}"/>
    <cellStyle name="20% - Accent5 2 3 3 6" xfId="9581" xr:uid="{D14F31C1-7FEC-4FD6-A056-C360D155725A}"/>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20561" xr:uid="{D3292943-7512-470B-AC78-64AAD9624B03}"/>
    <cellStyle name="20% - Accent5 2 3 4 2 3" xfId="16350" xr:uid="{D3109FC7-FAA8-4C84-ACCB-6B90A0DD6031}"/>
    <cellStyle name="20% - Accent5 2 3 4 2 4" xfId="25600" xr:uid="{D1C9118F-C2C1-4FBB-9616-B3C03ECA3ABB}"/>
    <cellStyle name="20% - Accent5 2 3 4 2 5" xfId="12139" xr:uid="{073CDE21-7EC8-4946-92EB-367F9298283C}"/>
    <cellStyle name="20% - Accent5 2 3 4 3" xfId="5783" xr:uid="{00000000-0005-0000-0000-0000B7020000}"/>
    <cellStyle name="20% - Accent5 2 3 4 3 2" xfId="18416" xr:uid="{2DB143CF-7F95-4E41-B0B5-BA06AA89F008}"/>
    <cellStyle name="20% - Accent5 2 3 4 4" xfId="14205" xr:uid="{7D07F4DE-FA16-4A7C-A185-5232485CAA09}"/>
    <cellStyle name="20% - Accent5 2 3 4 5" xfId="23455" xr:uid="{D2601E80-B656-4A7B-91A1-47FBAE405232}"/>
    <cellStyle name="20% - Accent5 2 3 4 6" xfId="9994" xr:uid="{1055C256-741D-4CF3-AFED-19718E9318B1}"/>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20974" xr:uid="{1E6244D1-D902-4A83-8226-76769D3981C4}"/>
    <cellStyle name="20% - Accent5 2 3 5 2 3" xfId="16763" xr:uid="{3FCA21D5-D31E-46F2-BAC7-4AAF19CE9AEA}"/>
    <cellStyle name="20% - Accent5 2 3 5 2 4" xfId="26013" xr:uid="{253AF3AF-9366-439A-B111-B4BBF9F95AFE}"/>
    <cellStyle name="20% - Accent5 2 3 5 2 5" xfId="12552" xr:uid="{706351C4-50B8-47FF-842B-E94A0E41E4DC}"/>
    <cellStyle name="20% - Accent5 2 3 5 3" xfId="6196" xr:uid="{00000000-0005-0000-0000-0000BB020000}"/>
    <cellStyle name="20% - Accent5 2 3 5 3 2" xfId="18829" xr:uid="{1B74DEC0-0C94-4385-A2BC-10D0CFCACCC1}"/>
    <cellStyle name="20% - Accent5 2 3 5 4" xfId="14618" xr:uid="{1436EBE6-B6B1-494C-A6BB-B67128F64666}"/>
    <cellStyle name="20% - Accent5 2 3 5 5" xfId="23868" xr:uid="{3E260CF1-F9EA-4A0A-8621-5C2FD205BAC8}"/>
    <cellStyle name="20% - Accent5 2 3 5 6" xfId="10407" xr:uid="{73DBA56A-2133-4CD5-AD01-9CDECC58424F}"/>
    <cellStyle name="20% - Accent5 2 3 6" xfId="2301" xr:uid="{00000000-0005-0000-0000-0000BC020000}"/>
    <cellStyle name="20% - Accent5 2 3 6 2" xfId="6609" xr:uid="{00000000-0005-0000-0000-0000BD020000}"/>
    <cellStyle name="20% - Accent5 2 3 6 2 2" xfId="19242" xr:uid="{A8FF0217-D23E-49A1-BE36-E86422306DF0}"/>
    <cellStyle name="20% - Accent5 2 3 6 3" xfId="15031" xr:uid="{389F7498-A5CD-40B4-A60F-A1E4B4A70A1A}"/>
    <cellStyle name="20% - Accent5 2 3 6 4" xfId="24281" xr:uid="{D124C667-EBEB-4E4D-8FEE-4773E0805EB9}"/>
    <cellStyle name="20% - Accent5 2 3 6 5" xfId="10820" xr:uid="{572A41A1-2166-4AFD-A54D-2D14EB042567}"/>
    <cellStyle name="20% - Accent5 2 3 7" xfId="4543" xr:uid="{00000000-0005-0000-0000-0000BE020000}"/>
    <cellStyle name="20% - Accent5 2 3 7 2" xfId="17176" xr:uid="{BADC12D2-B062-4F17-91AB-65552AC4607E}"/>
    <cellStyle name="20% - Accent5 2 3 8" xfId="21387" xr:uid="{B03F86C7-A266-4362-839B-768DFB72F801}"/>
    <cellStyle name="20% - Accent5 2 3 9" xfId="12965" xr:uid="{E1B1FE23-66B6-4CE0-9A0F-FF6283A97331}"/>
    <cellStyle name="20% - Accent5 2 4" xfId="604" xr:uid="{00000000-0005-0000-0000-0000BF020000}"/>
    <cellStyle name="20% - Accent5 2 4 2" xfId="2875" xr:uid="{00000000-0005-0000-0000-0000C0020000}"/>
    <cellStyle name="20% - Accent5 2 4 2 2" xfId="7099" xr:uid="{00000000-0005-0000-0000-0000C1020000}"/>
    <cellStyle name="20% - Accent5 2 4 2 2 2" xfId="19732" xr:uid="{FE666560-1145-4846-A104-278982ACEE79}"/>
    <cellStyle name="20% - Accent5 2 4 2 3" xfId="15521" xr:uid="{B1F3F040-236D-487C-A979-34E6F4EFDFD2}"/>
    <cellStyle name="20% - Accent5 2 4 2 4" xfId="24771" xr:uid="{A323C387-CD60-4B8B-A02C-36B79A169D8E}"/>
    <cellStyle name="20% - Accent5 2 4 2 5" xfId="11310" xr:uid="{B0E8A86D-DCF2-4045-A7F7-6B8533BB40CF}"/>
    <cellStyle name="20% - Accent5 2 4 3" xfId="4954" xr:uid="{00000000-0005-0000-0000-0000C2020000}"/>
    <cellStyle name="20% - Accent5 2 4 3 2" xfId="17587" xr:uid="{45C75127-2148-47A1-9513-8ABF626DEDE4}"/>
    <cellStyle name="20% - Accent5 2 4 4" xfId="21797" xr:uid="{0CD2437A-13FA-48C5-A0D8-4D8817D908B7}"/>
    <cellStyle name="20% - Accent5 2 4 5" xfId="13376" xr:uid="{C1A93465-244B-4B86-BE6C-1783C23033DD}"/>
    <cellStyle name="20% - Accent5 2 4 6" xfId="22626" xr:uid="{9D10CAF6-89C1-4422-BE1E-23CA27F94C66}"/>
    <cellStyle name="20% - Accent5 2 4 7" xfId="9165" xr:uid="{FC14694D-FD47-4395-937D-33F5B7659AEC}"/>
    <cellStyle name="20% - Accent5 2 5" xfId="1057" xr:uid="{00000000-0005-0000-0000-0000C3020000}"/>
    <cellStyle name="20% - Accent5 2 5 2" xfId="3288" xr:uid="{00000000-0005-0000-0000-0000C4020000}"/>
    <cellStyle name="20% - Accent5 2 5 2 2" xfId="7512" xr:uid="{00000000-0005-0000-0000-0000C5020000}"/>
    <cellStyle name="20% - Accent5 2 5 2 2 2" xfId="20145" xr:uid="{047F8948-F954-49D3-83B5-78E915A69D76}"/>
    <cellStyle name="20% - Accent5 2 5 2 3" xfId="15934" xr:uid="{3B425F09-6787-4CDE-943D-45CD1078A304}"/>
    <cellStyle name="20% - Accent5 2 5 2 4" xfId="25184" xr:uid="{A456595B-FF83-4C0B-AA56-BDC5B1A8C280}"/>
    <cellStyle name="20% - Accent5 2 5 2 5" xfId="11723" xr:uid="{88300F6B-E86E-4D73-90F6-B1A116392161}"/>
    <cellStyle name="20% - Accent5 2 5 3" xfId="5367" xr:uid="{00000000-0005-0000-0000-0000C6020000}"/>
    <cellStyle name="20% - Accent5 2 5 3 2" xfId="18000" xr:uid="{8F94309D-6178-4B35-849E-EFD87F73963F}"/>
    <cellStyle name="20% - Accent5 2 5 4" xfId="13789" xr:uid="{C225B162-70C8-43ED-BFB4-B9669EAC3DAB}"/>
    <cellStyle name="20% - Accent5 2 5 5" xfId="23039" xr:uid="{2CD0A400-2AA9-45DF-841C-D3A3E5A740B9}"/>
    <cellStyle name="20% - Accent5 2 5 6" xfId="9578" xr:uid="{64893CEA-3917-4061-884C-F35851F00983}"/>
    <cellStyle name="20% - Accent5 2 6" xfId="1471" xr:uid="{00000000-0005-0000-0000-0000C7020000}"/>
    <cellStyle name="20% - Accent5 2 6 2" xfId="3701" xr:uid="{00000000-0005-0000-0000-0000C8020000}"/>
    <cellStyle name="20% - Accent5 2 6 2 2" xfId="7925" xr:uid="{00000000-0005-0000-0000-0000C9020000}"/>
    <cellStyle name="20% - Accent5 2 6 2 2 2" xfId="20558" xr:uid="{8917B814-7392-4892-B486-3DE6437F1F25}"/>
    <cellStyle name="20% - Accent5 2 6 2 3" xfId="16347" xr:uid="{E9866330-7F6D-483E-9B63-995ED9430687}"/>
    <cellStyle name="20% - Accent5 2 6 2 4" xfId="25597" xr:uid="{21CD5275-C485-4E11-89EA-09B1AE2F8960}"/>
    <cellStyle name="20% - Accent5 2 6 2 5" xfId="12136" xr:uid="{55CDBEC5-83DB-43FE-866A-F1ADD196FFC1}"/>
    <cellStyle name="20% - Accent5 2 6 3" xfId="5780" xr:uid="{00000000-0005-0000-0000-0000CA020000}"/>
    <cellStyle name="20% - Accent5 2 6 3 2" xfId="18413" xr:uid="{AD59EF30-109F-4D01-BDC4-6B126B9782D5}"/>
    <cellStyle name="20% - Accent5 2 6 4" xfId="14202" xr:uid="{92438D78-D14A-4C0B-B09C-CAD098CA2ECC}"/>
    <cellStyle name="20% - Accent5 2 6 5" xfId="23452" xr:uid="{697E6C56-63C4-4607-9977-FA2832816F2A}"/>
    <cellStyle name="20% - Accent5 2 6 6" xfId="9991" xr:uid="{5F139637-C90D-4B1E-907C-BEAB8CA96CB3}"/>
    <cellStyle name="20% - Accent5 2 7" xfId="1885" xr:uid="{00000000-0005-0000-0000-0000CB020000}"/>
    <cellStyle name="20% - Accent5 2 7 2" xfId="4114" xr:uid="{00000000-0005-0000-0000-0000CC020000}"/>
    <cellStyle name="20% - Accent5 2 7 2 2" xfId="8338" xr:uid="{00000000-0005-0000-0000-0000CD020000}"/>
    <cellStyle name="20% - Accent5 2 7 2 2 2" xfId="20971" xr:uid="{673C712C-73AB-4DD2-B118-775CA57B5448}"/>
    <cellStyle name="20% - Accent5 2 7 2 3" xfId="16760" xr:uid="{6BE45FDA-32C3-4A45-B042-1CD9DAF6F191}"/>
    <cellStyle name="20% - Accent5 2 7 2 4" xfId="26010" xr:uid="{C99DE716-E79C-45BC-8F22-4AC50ED1312B}"/>
    <cellStyle name="20% - Accent5 2 7 2 5" xfId="12549" xr:uid="{CD35A84B-0D8D-4DCB-9A2A-8D19250888FE}"/>
    <cellStyle name="20% - Accent5 2 7 3" xfId="6193" xr:uid="{00000000-0005-0000-0000-0000CE020000}"/>
    <cellStyle name="20% - Accent5 2 7 3 2" xfId="18826" xr:uid="{F5CD7E0D-B023-4EA5-9D3A-90C4CE1A6AA6}"/>
    <cellStyle name="20% - Accent5 2 7 4" xfId="14615" xr:uid="{B27C12EF-F45A-45EC-84AA-7CCFF857063A}"/>
    <cellStyle name="20% - Accent5 2 7 5" xfId="23865" xr:uid="{5B2442B5-6475-422D-832F-E516ABC50C7F}"/>
    <cellStyle name="20% - Accent5 2 7 6" xfId="10404" xr:uid="{440F96E3-3CF4-4E5D-B747-60C750DD62DC}"/>
    <cellStyle name="20% - Accent5 2 8" xfId="2298" xr:uid="{00000000-0005-0000-0000-0000CF020000}"/>
    <cellStyle name="20% - Accent5 2 8 2" xfId="6606" xr:uid="{00000000-0005-0000-0000-0000D0020000}"/>
    <cellStyle name="20% - Accent5 2 8 2 2" xfId="19239" xr:uid="{7629B6A8-6A3C-44D7-843A-7ADCE045C77E}"/>
    <cellStyle name="20% - Accent5 2 8 3" xfId="15028" xr:uid="{C4EC48AC-E209-49E2-88AA-2BD0DE4CA30D}"/>
    <cellStyle name="20% - Accent5 2 8 4" xfId="24278" xr:uid="{461D81F5-0697-4B01-8922-D54F351E5D00}"/>
    <cellStyle name="20% - Accent5 2 8 5" xfId="10817" xr:uid="{C3681736-3CEB-41E5-A73F-E0A0AA22131D}"/>
    <cellStyle name="20% - Accent5 2 9" xfId="4540" xr:uid="{00000000-0005-0000-0000-0000D1020000}"/>
    <cellStyle name="20% - Accent5 2 9 2" xfId="17173" xr:uid="{F98DE99E-EED2-482F-A0DC-EFF7D09A4683}"/>
    <cellStyle name="20% - Accent5 3" xfId="38" xr:uid="{00000000-0005-0000-0000-0000D2020000}"/>
    <cellStyle name="20% - Accent5 3 10" xfId="12966" xr:uid="{B8DB5F1C-167F-441A-BACB-085BE3B27D29}"/>
    <cellStyle name="20% - Accent5 3 11" xfId="22216" xr:uid="{A790CA69-A751-4A82-A650-0EB34AC39E82}"/>
    <cellStyle name="20% - Accent5 3 12" xfId="8755" xr:uid="{5A32BF03-5D83-4C9A-847C-B97C01AD0460}"/>
    <cellStyle name="20% - Accent5 3 2" xfId="39" xr:uid="{00000000-0005-0000-0000-0000D3020000}"/>
    <cellStyle name="20% - Accent5 3 2 10" xfId="22217" xr:uid="{54388A08-CF8D-4367-8917-576027A68E6B}"/>
    <cellStyle name="20% - Accent5 3 2 11" xfId="8756" xr:uid="{4AB93289-3972-4933-95FC-9E88077ED76E}"/>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9737" xr:uid="{F820D3EE-9FD0-48BC-AF20-B85DF304FE5E}"/>
    <cellStyle name="20% - Accent5 3 2 2 2 3" xfId="15526" xr:uid="{0FAB983E-2124-4023-B5FE-6280CCECA2C3}"/>
    <cellStyle name="20% - Accent5 3 2 2 2 4" xfId="24776" xr:uid="{0964781F-1E1F-4D74-9FBD-5BB96BA7BDE6}"/>
    <cellStyle name="20% - Accent5 3 2 2 2 5" xfId="11315" xr:uid="{C6B6A2ED-EEF6-4D5A-9E4F-B3846FDCF133}"/>
    <cellStyle name="20% - Accent5 3 2 2 3" xfId="4959" xr:uid="{00000000-0005-0000-0000-0000D7020000}"/>
    <cellStyle name="20% - Accent5 3 2 2 3 2" xfId="17592" xr:uid="{4F25B00F-5AC4-410E-A75C-1F8ADBD68396}"/>
    <cellStyle name="20% - Accent5 3 2 2 4" xfId="21802" xr:uid="{47BA654D-5FA3-4A6D-88B5-83814CCE5446}"/>
    <cellStyle name="20% - Accent5 3 2 2 5" xfId="13381" xr:uid="{39558027-F198-4EF6-A15A-50F4051A81E9}"/>
    <cellStyle name="20% - Accent5 3 2 2 6" xfId="22631" xr:uid="{91F2170E-3737-4D3C-8F56-B6BD88B12C9E}"/>
    <cellStyle name="20% - Accent5 3 2 2 7" xfId="9170" xr:uid="{31CF83C4-0D38-48C5-B0B7-ACB50AA63E4A}"/>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20150" xr:uid="{D5C1AEF0-18AF-4092-96F8-F85A9C2E355B}"/>
    <cellStyle name="20% - Accent5 3 2 3 2 3" xfId="15939" xr:uid="{611A8972-0F94-40F6-B03D-C69EE7994948}"/>
    <cellStyle name="20% - Accent5 3 2 3 2 4" xfId="25189" xr:uid="{D6389DEF-4F1A-4C62-BD25-C7F1431ACC2D}"/>
    <cellStyle name="20% - Accent5 3 2 3 2 5" xfId="11728" xr:uid="{84F00549-C74F-4132-BFEA-94192527779A}"/>
    <cellStyle name="20% - Accent5 3 2 3 3" xfId="5372" xr:uid="{00000000-0005-0000-0000-0000DB020000}"/>
    <cellStyle name="20% - Accent5 3 2 3 3 2" xfId="18005" xr:uid="{42DFC68F-9FC1-45FA-8CDB-7EBEB17741FC}"/>
    <cellStyle name="20% - Accent5 3 2 3 4" xfId="13794" xr:uid="{B675DB79-1F87-4D38-8992-84C05E2F05B7}"/>
    <cellStyle name="20% - Accent5 3 2 3 5" xfId="23044" xr:uid="{D209CA4A-A1D6-404B-A260-2A39B64D3084}"/>
    <cellStyle name="20% - Accent5 3 2 3 6" xfId="9583" xr:uid="{8E2E68DB-A013-4D27-9BCE-26588AE9E9C6}"/>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20563" xr:uid="{528530C1-094A-4A6B-AA52-946D1F236400}"/>
    <cellStyle name="20% - Accent5 3 2 4 2 3" xfId="16352" xr:uid="{D6E21724-836A-41C1-883E-C6FB8F77FCAA}"/>
    <cellStyle name="20% - Accent5 3 2 4 2 4" xfId="25602" xr:uid="{3DCD3616-3335-4E46-B0B7-D3D073903A7D}"/>
    <cellStyle name="20% - Accent5 3 2 4 2 5" xfId="12141" xr:uid="{23295C92-2918-4B41-A5FE-3B3A89B63377}"/>
    <cellStyle name="20% - Accent5 3 2 4 3" xfId="5785" xr:uid="{00000000-0005-0000-0000-0000DF020000}"/>
    <cellStyle name="20% - Accent5 3 2 4 3 2" xfId="18418" xr:uid="{FD34539E-4B4F-4D0A-B9E2-06F9348F3ECE}"/>
    <cellStyle name="20% - Accent5 3 2 4 4" xfId="14207" xr:uid="{733E5A7C-7BFB-48FB-9CEC-0EA7704D7F71}"/>
    <cellStyle name="20% - Accent5 3 2 4 5" xfId="23457" xr:uid="{5A664072-5399-4A7D-A41C-9A4CD5149CCD}"/>
    <cellStyle name="20% - Accent5 3 2 4 6" xfId="9996" xr:uid="{5F6F2FD1-D093-45E8-B3D8-FD24C1962B80}"/>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20976" xr:uid="{1B0A0885-B36A-406D-BCD9-23AD8A0736E4}"/>
    <cellStyle name="20% - Accent5 3 2 5 2 3" xfId="16765" xr:uid="{B669F429-260F-4299-B5CD-953EEE2A53D5}"/>
    <cellStyle name="20% - Accent5 3 2 5 2 4" xfId="26015" xr:uid="{6CBF1AE2-EF8F-4F71-88B9-6CFD1E8D900E}"/>
    <cellStyle name="20% - Accent5 3 2 5 2 5" xfId="12554" xr:uid="{06612FF4-B846-4126-9BC8-55C6E0A191D0}"/>
    <cellStyle name="20% - Accent5 3 2 5 3" xfId="6198" xr:uid="{00000000-0005-0000-0000-0000E3020000}"/>
    <cellStyle name="20% - Accent5 3 2 5 3 2" xfId="18831" xr:uid="{B647D0AA-D184-4CD2-AB25-32826B4F446C}"/>
    <cellStyle name="20% - Accent5 3 2 5 4" xfId="14620" xr:uid="{BDAAFC0A-B4C8-4ABE-B97D-A32592B36A0D}"/>
    <cellStyle name="20% - Accent5 3 2 5 5" xfId="23870" xr:uid="{CE20931E-8B6D-44D7-B280-681B460DBE11}"/>
    <cellStyle name="20% - Accent5 3 2 5 6" xfId="10409" xr:uid="{58ED07B3-3ADE-4089-8871-3578BE9101C7}"/>
    <cellStyle name="20% - Accent5 3 2 6" xfId="2303" xr:uid="{00000000-0005-0000-0000-0000E4020000}"/>
    <cellStyle name="20% - Accent5 3 2 6 2" xfId="6611" xr:uid="{00000000-0005-0000-0000-0000E5020000}"/>
    <cellStyle name="20% - Accent5 3 2 6 2 2" xfId="19244" xr:uid="{5CE6687C-7453-438B-9E93-F3B38339C5E5}"/>
    <cellStyle name="20% - Accent5 3 2 6 3" xfId="15033" xr:uid="{96B4E7A6-578E-4BAB-A57B-C6EF14EB6638}"/>
    <cellStyle name="20% - Accent5 3 2 6 4" xfId="24283" xr:uid="{69DD9FB6-6691-454D-BF07-71588D2282FC}"/>
    <cellStyle name="20% - Accent5 3 2 6 5" xfId="10822" xr:uid="{17ED2FA3-1096-4A6D-A7DC-F5E48E5D70BF}"/>
    <cellStyle name="20% - Accent5 3 2 7" xfId="4545" xr:uid="{00000000-0005-0000-0000-0000E6020000}"/>
    <cellStyle name="20% - Accent5 3 2 7 2" xfId="17178" xr:uid="{F941425F-083D-4AF5-B7C5-921B305D2F80}"/>
    <cellStyle name="20% - Accent5 3 2 8" xfId="21389" xr:uid="{C6841D3C-BEC5-4BAA-8591-2D908D7B8704}"/>
    <cellStyle name="20% - Accent5 3 2 9" xfId="12967" xr:uid="{1F535477-4A71-4B65-A9DC-7DC32DDFE155}"/>
    <cellStyle name="20% - Accent5 3 3" xfId="608" xr:uid="{00000000-0005-0000-0000-0000E7020000}"/>
    <cellStyle name="20% - Accent5 3 3 2" xfId="2879" xr:uid="{00000000-0005-0000-0000-0000E8020000}"/>
    <cellStyle name="20% - Accent5 3 3 2 2" xfId="7103" xr:uid="{00000000-0005-0000-0000-0000E9020000}"/>
    <cellStyle name="20% - Accent5 3 3 2 2 2" xfId="19736" xr:uid="{AC089B4D-6D8F-436B-96AF-E013AD226969}"/>
    <cellStyle name="20% - Accent5 3 3 2 3" xfId="15525" xr:uid="{731B0814-FF8E-4824-B23C-E36278FC5BE9}"/>
    <cellStyle name="20% - Accent5 3 3 2 4" xfId="24775" xr:uid="{A0FD9351-444B-4E63-94BE-AD4AF2EE335D}"/>
    <cellStyle name="20% - Accent5 3 3 2 5" xfId="11314" xr:uid="{8204D330-6197-40EC-A922-F8EEDF1E9A55}"/>
    <cellStyle name="20% - Accent5 3 3 3" xfId="4958" xr:uid="{00000000-0005-0000-0000-0000EA020000}"/>
    <cellStyle name="20% - Accent5 3 3 3 2" xfId="17591" xr:uid="{9EC23BFC-6FA4-4DBC-8E0B-2A4B973C1E48}"/>
    <cellStyle name="20% - Accent5 3 3 4" xfId="21801" xr:uid="{C6121BD4-9AA1-46D6-B634-2FEAE97847F3}"/>
    <cellStyle name="20% - Accent5 3 3 5" xfId="13380" xr:uid="{304E8C51-FC85-4583-8F97-49F30C821DD3}"/>
    <cellStyle name="20% - Accent5 3 3 6" xfId="22630" xr:uid="{FADC5374-025F-4E5C-B30E-7F67A58E1E3C}"/>
    <cellStyle name="20% - Accent5 3 3 7" xfId="9169" xr:uid="{AE8304A5-E56C-4FE6-BCFB-9EA1EA214D70}"/>
    <cellStyle name="20% - Accent5 3 4" xfId="1061" xr:uid="{00000000-0005-0000-0000-0000EB020000}"/>
    <cellStyle name="20% - Accent5 3 4 2" xfId="3292" xr:uid="{00000000-0005-0000-0000-0000EC020000}"/>
    <cellStyle name="20% - Accent5 3 4 2 2" xfId="7516" xr:uid="{00000000-0005-0000-0000-0000ED020000}"/>
    <cellStyle name="20% - Accent5 3 4 2 2 2" xfId="20149" xr:uid="{D4BD1FC0-D27E-41DB-B6B7-B7F95E1146E6}"/>
    <cellStyle name="20% - Accent5 3 4 2 3" xfId="15938" xr:uid="{C2BAE60F-2557-4AC6-B56C-3196A4E6AD6E}"/>
    <cellStyle name="20% - Accent5 3 4 2 4" xfId="25188" xr:uid="{AE285951-4E11-4F8D-A080-EF27A56B5173}"/>
    <cellStyle name="20% - Accent5 3 4 2 5" xfId="11727" xr:uid="{84BEB74E-E3F4-42BA-B1F9-73396E81CB0F}"/>
    <cellStyle name="20% - Accent5 3 4 3" xfId="5371" xr:uid="{00000000-0005-0000-0000-0000EE020000}"/>
    <cellStyle name="20% - Accent5 3 4 3 2" xfId="18004" xr:uid="{58C5C8BC-151B-41C7-9158-5F2A3135F379}"/>
    <cellStyle name="20% - Accent5 3 4 4" xfId="13793" xr:uid="{3BC65A4B-3633-4173-8953-AC2528AB9A03}"/>
    <cellStyle name="20% - Accent5 3 4 5" xfId="23043" xr:uid="{ADCCA557-3313-4BF2-9D0E-C7578F35F405}"/>
    <cellStyle name="20% - Accent5 3 4 6" xfId="9582" xr:uid="{B4EAB4A4-D9EF-4665-92EC-02205BE30C08}"/>
    <cellStyle name="20% - Accent5 3 5" xfId="1475" xr:uid="{00000000-0005-0000-0000-0000EF020000}"/>
    <cellStyle name="20% - Accent5 3 5 2" xfId="3705" xr:uid="{00000000-0005-0000-0000-0000F0020000}"/>
    <cellStyle name="20% - Accent5 3 5 2 2" xfId="7929" xr:uid="{00000000-0005-0000-0000-0000F1020000}"/>
    <cellStyle name="20% - Accent5 3 5 2 2 2" xfId="20562" xr:uid="{ED62E5FB-D87A-4C73-80AE-5D6A7DAB38A3}"/>
    <cellStyle name="20% - Accent5 3 5 2 3" xfId="16351" xr:uid="{68EA92C0-9F63-4511-9A4F-0A3D4746A906}"/>
    <cellStyle name="20% - Accent5 3 5 2 4" xfId="25601" xr:uid="{C4AE46B4-1AAE-492F-9F29-DF4B077A6405}"/>
    <cellStyle name="20% - Accent5 3 5 2 5" xfId="12140" xr:uid="{23A6C258-9143-4C75-BA20-1A9970519BBF}"/>
    <cellStyle name="20% - Accent5 3 5 3" xfId="5784" xr:uid="{00000000-0005-0000-0000-0000F2020000}"/>
    <cellStyle name="20% - Accent5 3 5 3 2" xfId="18417" xr:uid="{B01A18B9-42C1-4720-A875-430A61970A82}"/>
    <cellStyle name="20% - Accent5 3 5 4" xfId="14206" xr:uid="{6A4C228B-35EF-4F7F-8B1B-1E79F44D0907}"/>
    <cellStyle name="20% - Accent5 3 5 5" xfId="23456" xr:uid="{0099D9A7-49FC-4CD6-8638-20091F2C10AA}"/>
    <cellStyle name="20% - Accent5 3 5 6" xfId="9995" xr:uid="{42C8CF7F-88BA-4A88-85AF-DB4D7E77D22D}"/>
    <cellStyle name="20% - Accent5 3 6" xfId="1889" xr:uid="{00000000-0005-0000-0000-0000F3020000}"/>
    <cellStyle name="20% - Accent5 3 6 2" xfId="4118" xr:uid="{00000000-0005-0000-0000-0000F4020000}"/>
    <cellStyle name="20% - Accent5 3 6 2 2" xfId="8342" xr:uid="{00000000-0005-0000-0000-0000F5020000}"/>
    <cellStyle name="20% - Accent5 3 6 2 2 2" xfId="20975" xr:uid="{D7CC0E6E-45EF-4BB3-9DB8-5CCEAEACC943}"/>
    <cellStyle name="20% - Accent5 3 6 2 3" xfId="16764" xr:uid="{706C88FE-52B9-48E4-BE46-3EE628B7B904}"/>
    <cellStyle name="20% - Accent5 3 6 2 4" xfId="26014" xr:uid="{B7EBF183-9D05-48C6-964A-DD406A9D7B67}"/>
    <cellStyle name="20% - Accent5 3 6 2 5" xfId="12553" xr:uid="{36B394DA-4898-4BD6-B112-538F4311B7BF}"/>
    <cellStyle name="20% - Accent5 3 6 3" xfId="6197" xr:uid="{00000000-0005-0000-0000-0000F6020000}"/>
    <cellStyle name="20% - Accent5 3 6 3 2" xfId="18830" xr:uid="{455C79A0-8CC3-4113-AD3C-F0A6A374A9D2}"/>
    <cellStyle name="20% - Accent5 3 6 4" xfId="14619" xr:uid="{21B53AD6-1879-4D4E-BEED-C26B39A0A248}"/>
    <cellStyle name="20% - Accent5 3 6 5" xfId="23869" xr:uid="{21F6FB99-CBDD-4A1E-8E50-0F3E98423C91}"/>
    <cellStyle name="20% - Accent5 3 6 6" xfId="10408" xr:uid="{DDC293C4-E187-4406-BC4D-AF01290710CB}"/>
    <cellStyle name="20% - Accent5 3 7" xfId="2302" xr:uid="{00000000-0005-0000-0000-0000F7020000}"/>
    <cellStyle name="20% - Accent5 3 7 2" xfId="6610" xr:uid="{00000000-0005-0000-0000-0000F8020000}"/>
    <cellStyle name="20% - Accent5 3 7 2 2" xfId="19243" xr:uid="{7C0A1664-1F72-4971-95A9-76A1C833783C}"/>
    <cellStyle name="20% - Accent5 3 7 3" xfId="15032" xr:uid="{CA67924B-D498-4CFE-823E-A23BB77B5085}"/>
    <cellStyle name="20% - Accent5 3 7 4" xfId="24282" xr:uid="{F70A0D39-D9C3-47E1-B891-B28E530B6DF1}"/>
    <cellStyle name="20% - Accent5 3 7 5" xfId="10821" xr:uid="{205D7629-86C9-4851-B9A0-02B84A6047FB}"/>
    <cellStyle name="20% - Accent5 3 8" xfId="4544" xr:uid="{00000000-0005-0000-0000-0000F9020000}"/>
    <cellStyle name="20% - Accent5 3 8 2" xfId="17177" xr:uid="{29074DFC-B110-4F7C-8632-75B446C270C7}"/>
    <cellStyle name="20% - Accent5 3 9" xfId="21388" xr:uid="{EF098221-05E6-4DB7-AF50-0FFB96B77297}"/>
    <cellStyle name="20% - Accent5 4" xfId="40" xr:uid="{00000000-0005-0000-0000-0000FA020000}"/>
    <cellStyle name="20% - Accent5 4 10" xfId="22218" xr:uid="{F1FCD027-F11E-4ADB-B725-048327466800}"/>
    <cellStyle name="20% - Accent5 4 11" xfId="8757" xr:uid="{F7C43415-F838-43EB-ADBC-EA0790A5D016}"/>
    <cellStyle name="20% - Accent5 4 2" xfId="610" xr:uid="{00000000-0005-0000-0000-0000FB020000}"/>
    <cellStyle name="20% - Accent5 4 2 2" xfId="2881" xr:uid="{00000000-0005-0000-0000-0000FC020000}"/>
    <cellStyle name="20% - Accent5 4 2 2 2" xfId="7105" xr:uid="{00000000-0005-0000-0000-0000FD020000}"/>
    <cellStyle name="20% - Accent5 4 2 2 2 2" xfId="19738" xr:uid="{70D35430-0D7F-470D-ADC1-D78C871CFAC5}"/>
    <cellStyle name="20% - Accent5 4 2 2 3" xfId="15527" xr:uid="{BE561887-D25E-41BB-A17C-0B8B8BAF5BC9}"/>
    <cellStyle name="20% - Accent5 4 2 2 4" xfId="24777" xr:uid="{AF34BA8D-BE9F-4A22-B314-EB0759DBF39C}"/>
    <cellStyle name="20% - Accent5 4 2 2 5" xfId="11316" xr:uid="{E5F25F03-FF42-4E81-83E6-1C99D007A946}"/>
    <cellStyle name="20% - Accent5 4 2 3" xfId="4960" xr:uid="{00000000-0005-0000-0000-0000FE020000}"/>
    <cellStyle name="20% - Accent5 4 2 3 2" xfId="17593" xr:uid="{6290F313-95DE-482B-955E-E1D132BE6E5D}"/>
    <cellStyle name="20% - Accent5 4 2 4" xfId="21803" xr:uid="{DA4047E9-576D-4A6D-9DE9-2893A5B4BA5B}"/>
    <cellStyle name="20% - Accent5 4 2 5" xfId="13382" xr:uid="{CCEAA007-5569-4231-926E-94EE6248AC92}"/>
    <cellStyle name="20% - Accent5 4 2 6" xfId="22632" xr:uid="{E5B541AE-68B2-4196-A6AF-5912D0EAA0E9}"/>
    <cellStyle name="20% - Accent5 4 2 7" xfId="9171" xr:uid="{902212FF-7C8A-4A03-B58B-701473459069}"/>
    <cellStyle name="20% - Accent5 4 3" xfId="1063" xr:uid="{00000000-0005-0000-0000-0000FF020000}"/>
    <cellStyle name="20% - Accent5 4 3 2" xfId="3294" xr:uid="{00000000-0005-0000-0000-000000030000}"/>
    <cellStyle name="20% - Accent5 4 3 2 2" xfId="7518" xr:uid="{00000000-0005-0000-0000-000001030000}"/>
    <cellStyle name="20% - Accent5 4 3 2 2 2" xfId="20151" xr:uid="{AEDD0EA6-9445-4109-AAF5-C4F8258CDDF6}"/>
    <cellStyle name="20% - Accent5 4 3 2 3" xfId="15940" xr:uid="{488FEC55-C24A-4C8C-8AB3-ABE839A4811C}"/>
    <cellStyle name="20% - Accent5 4 3 2 4" xfId="25190" xr:uid="{C82D26F3-F9C8-49AF-80D3-44B72BF33DF5}"/>
    <cellStyle name="20% - Accent5 4 3 2 5" xfId="11729" xr:uid="{CBDB3607-6B87-4898-8758-EE3082E13254}"/>
    <cellStyle name="20% - Accent5 4 3 3" xfId="5373" xr:uid="{00000000-0005-0000-0000-000002030000}"/>
    <cellStyle name="20% - Accent5 4 3 3 2" xfId="18006" xr:uid="{ECF2511A-796B-48E3-800E-B79944F18164}"/>
    <cellStyle name="20% - Accent5 4 3 4" xfId="13795" xr:uid="{D27BC60C-C9C3-4615-AAF7-6BCE14A1D7CA}"/>
    <cellStyle name="20% - Accent5 4 3 5" xfId="23045" xr:uid="{155C52DC-38E6-49CD-9982-5DB3D2E8AB3D}"/>
    <cellStyle name="20% - Accent5 4 3 6" xfId="9584" xr:uid="{A1FBC89C-486C-411F-8C44-B2396A231314}"/>
    <cellStyle name="20% - Accent5 4 4" xfId="1477" xr:uid="{00000000-0005-0000-0000-000003030000}"/>
    <cellStyle name="20% - Accent5 4 4 2" xfId="3707" xr:uid="{00000000-0005-0000-0000-000004030000}"/>
    <cellStyle name="20% - Accent5 4 4 2 2" xfId="7931" xr:uid="{00000000-0005-0000-0000-000005030000}"/>
    <cellStyle name="20% - Accent5 4 4 2 2 2" xfId="20564" xr:uid="{3B1236F3-6C36-4EE5-BCE2-9E4E3BDE5143}"/>
    <cellStyle name="20% - Accent5 4 4 2 3" xfId="16353" xr:uid="{238FACFC-1FD6-4AC7-A712-2AAF404FB3FC}"/>
    <cellStyle name="20% - Accent5 4 4 2 4" xfId="25603" xr:uid="{1701381F-C232-40EC-A983-3A88ECD47C4E}"/>
    <cellStyle name="20% - Accent5 4 4 2 5" xfId="12142" xr:uid="{DDC9CF08-1AE7-47A5-BA88-0F01F09C1EB8}"/>
    <cellStyle name="20% - Accent5 4 4 3" xfId="5786" xr:uid="{00000000-0005-0000-0000-000006030000}"/>
    <cellStyle name="20% - Accent5 4 4 3 2" xfId="18419" xr:uid="{D91CDB8D-7836-45AE-A59A-04FB06B09988}"/>
    <cellStyle name="20% - Accent5 4 4 4" xfId="14208" xr:uid="{E9B34933-26FF-43FE-AA7D-F3CEE245CC22}"/>
    <cellStyle name="20% - Accent5 4 4 5" xfId="23458" xr:uid="{0E0C4F05-C3D3-4280-91A5-06050D00E9AD}"/>
    <cellStyle name="20% - Accent5 4 4 6" xfId="9997" xr:uid="{6E115419-BE32-4CDC-9016-0DF0F17FD11E}"/>
    <cellStyle name="20% - Accent5 4 5" xfId="1891" xr:uid="{00000000-0005-0000-0000-000007030000}"/>
    <cellStyle name="20% - Accent5 4 5 2" xfId="4120" xr:uid="{00000000-0005-0000-0000-000008030000}"/>
    <cellStyle name="20% - Accent5 4 5 2 2" xfId="8344" xr:uid="{00000000-0005-0000-0000-000009030000}"/>
    <cellStyle name="20% - Accent5 4 5 2 2 2" xfId="20977" xr:uid="{364F2A48-C4A7-4962-9189-FF7A8A9D24C3}"/>
    <cellStyle name="20% - Accent5 4 5 2 3" xfId="16766" xr:uid="{67FE2148-409B-4216-B179-A6715B69132C}"/>
    <cellStyle name="20% - Accent5 4 5 2 4" xfId="26016" xr:uid="{EB6A35A8-1F51-4C1A-873E-350878E4427F}"/>
    <cellStyle name="20% - Accent5 4 5 2 5" xfId="12555" xr:uid="{69F56A3B-97E3-417C-89FB-D1CDBF0D283C}"/>
    <cellStyle name="20% - Accent5 4 5 3" xfId="6199" xr:uid="{00000000-0005-0000-0000-00000A030000}"/>
    <cellStyle name="20% - Accent5 4 5 3 2" xfId="18832" xr:uid="{C78D94AB-8C7D-4A43-AD12-F06C133196A0}"/>
    <cellStyle name="20% - Accent5 4 5 4" xfId="14621" xr:uid="{A6D0C730-F5D2-44D6-8F20-C5123C8B8F1F}"/>
    <cellStyle name="20% - Accent5 4 5 5" xfId="23871" xr:uid="{CC06C56B-28B9-41BB-A124-4D9222105A9F}"/>
    <cellStyle name="20% - Accent5 4 5 6" xfId="10410" xr:uid="{2B60AE86-DD12-4ADD-9A11-D2FF8F1DD229}"/>
    <cellStyle name="20% - Accent5 4 6" xfId="2304" xr:uid="{00000000-0005-0000-0000-00000B030000}"/>
    <cellStyle name="20% - Accent5 4 6 2" xfId="6612" xr:uid="{00000000-0005-0000-0000-00000C030000}"/>
    <cellStyle name="20% - Accent5 4 6 2 2" xfId="19245" xr:uid="{961A7EBD-CE76-4185-A657-7F01AB1EB03F}"/>
    <cellStyle name="20% - Accent5 4 6 3" xfId="15034" xr:uid="{64591171-2CC4-4B10-A4D0-A5D040590273}"/>
    <cellStyle name="20% - Accent5 4 6 4" xfId="24284" xr:uid="{A382ECF1-CD57-4943-8550-4E3AE8790D42}"/>
    <cellStyle name="20% - Accent5 4 6 5" xfId="10823" xr:uid="{10B6F0D8-1CBF-49BA-9EA1-1B2F6EB2A2AE}"/>
    <cellStyle name="20% - Accent5 4 7" xfId="4546" xr:uid="{00000000-0005-0000-0000-00000D030000}"/>
    <cellStyle name="20% - Accent5 4 7 2" xfId="17179" xr:uid="{40CE68B2-A90F-48EE-86CA-2D2879A8E863}"/>
    <cellStyle name="20% - Accent5 4 8" xfId="21390" xr:uid="{1A2211B8-B7C6-44EB-BF11-020B372CC25D}"/>
    <cellStyle name="20% - Accent5 4 9" xfId="12968" xr:uid="{45BB754E-823C-4405-842E-55FFFF57D150}"/>
    <cellStyle name="20% - Accent5 5" xfId="603" xr:uid="{00000000-0005-0000-0000-00000E030000}"/>
    <cellStyle name="20% - Accent5 5 2" xfId="2874" xr:uid="{00000000-0005-0000-0000-00000F030000}"/>
    <cellStyle name="20% - Accent5 5 2 2" xfId="7098" xr:uid="{00000000-0005-0000-0000-000010030000}"/>
    <cellStyle name="20% - Accent5 5 2 2 2" xfId="19731" xr:uid="{90AAF2D9-7F81-4A6F-8A7D-1B7CA2958A14}"/>
    <cellStyle name="20% - Accent5 5 2 3" xfId="15520" xr:uid="{02E3C698-9615-43FA-AD67-34F98A853D12}"/>
    <cellStyle name="20% - Accent5 5 2 4" xfId="24770" xr:uid="{8A779DF8-5080-4623-B1C0-075CA63E65C7}"/>
    <cellStyle name="20% - Accent5 5 2 5" xfId="11309" xr:uid="{909BE262-71D9-4F70-8B1B-911C534D2380}"/>
    <cellStyle name="20% - Accent5 5 3" xfId="4953" xr:uid="{00000000-0005-0000-0000-000011030000}"/>
    <cellStyle name="20% - Accent5 5 3 2" xfId="17586" xr:uid="{EB3E5077-17F0-4708-8918-AAB4C939CE71}"/>
    <cellStyle name="20% - Accent5 5 4" xfId="21796" xr:uid="{1C8D2EE7-AFEE-4CD9-8BD7-E68F66F3E62E}"/>
    <cellStyle name="20% - Accent5 5 5" xfId="13375" xr:uid="{9F276C58-3994-45A0-986E-937F4909AEE3}"/>
    <cellStyle name="20% - Accent5 5 6" xfId="22625" xr:uid="{5B140DD3-D6ED-4FDC-A378-5B543BD18246}"/>
    <cellStyle name="20% - Accent5 5 7" xfId="9164" xr:uid="{3701F7F6-9F69-4CEE-AA29-25F6024CC8F9}"/>
    <cellStyle name="20% - Accent5 6" xfId="1056" xr:uid="{00000000-0005-0000-0000-000012030000}"/>
    <cellStyle name="20% - Accent5 6 2" xfId="3287" xr:uid="{00000000-0005-0000-0000-000013030000}"/>
    <cellStyle name="20% - Accent5 6 2 2" xfId="7511" xr:uid="{00000000-0005-0000-0000-000014030000}"/>
    <cellStyle name="20% - Accent5 6 2 2 2" xfId="20144" xr:uid="{4BF51868-D80E-45F2-A981-1770368C9264}"/>
    <cellStyle name="20% - Accent5 6 2 3" xfId="15933" xr:uid="{67658D85-D095-4FA9-B12F-67A92C335225}"/>
    <cellStyle name="20% - Accent5 6 2 4" xfId="25183" xr:uid="{1275B28D-2AEF-469A-B496-1372A5F1A12A}"/>
    <cellStyle name="20% - Accent5 6 2 5" xfId="11722" xr:uid="{68F34D42-CCD8-4A44-A854-E4BDC3CA84E5}"/>
    <cellStyle name="20% - Accent5 6 3" xfId="5366" xr:uid="{00000000-0005-0000-0000-000015030000}"/>
    <cellStyle name="20% - Accent5 6 3 2" xfId="17999" xr:uid="{1989B2D0-8FA5-43ED-8B6E-A45CD9259166}"/>
    <cellStyle name="20% - Accent5 6 4" xfId="13788" xr:uid="{7E652488-226B-4E5A-B654-D9E0A6AF1635}"/>
    <cellStyle name="20% - Accent5 6 5" xfId="23038" xr:uid="{A4E52F42-6752-4B79-9311-0DA24DF6ADBA}"/>
    <cellStyle name="20% - Accent5 6 6" xfId="9577" xr:uid="{2528C3C5-38CD-46AB-B86A-C4534239991C}"/>
    <cellStyle name="20% - Accent5 7" xfId="1470" xr:uid="{00000000-0005-0000-0000-000016030000}"/>
    <cellStyle name="20% - Accent5 7 2" xfId="3700" xr:uid="{00000000-0005-0000-0000-000017030000}"/>
    <cellStyle name="20% - Accent5 7 2 2" xfId="7924" xr:uid="{00000000-0005-0000-0000-000018030000}"/>
    <cellStyle name="20% - Accent5 7 2 2 2" xfId="20557" xr:uid="{DA4AA232-B016-40BC-9AB5-A251D48538FE}"/>
    <cellStyle name="20% - Accent5 7 2 3" xfId="16346" xr:uid="{91A2507E-94E7-427C-B149-E72173CD11B4}"/>
    <cellStyle name="20% - Accent5 7 2 4" xfId="25596" xr:uid="{17718028-E5B5-4D42-B749-CA3829EF87E6}"/>
    <cellStyle name="20% - Accent5 7 2 5" xfId="12135" xr:uid="{F6030207-58F9-4F43-AB7C-CA3EC4288F7E}"/>
    <cellStyle name="20% - Accent5 7 3" xfId="5779" xr:uid="{00000000-0005-0000-0000-000019030000}"/>
    <cellStyle name="20% - Accent5 7 3 2" xfId="18412" xr:uid="{E59BCBFE-1BEA-4A47-B1CB-48DB1E5032A9}"/>
    <cellStyle name="20% - Accent5 7 4" xfId="14201" xr:uid="{B213C86C-0D95-4ABA-8817-E3414B49AA68}"/>
    <cellStyle name="20% - Accent5 7 5" xfId="23451" xr:uid="{EE07AB96-4DEA-485F-AF51-D8DEF33411AF}"/>
    <cellStyle name="20% - Accent5 7 6" xfId="9990" xr:uid="{5FE74473-67ED-4E59-B43E-076A958A2322}"/>
    <cellStyle name="20% - Accent5 8" xfId="1884" xr:uid="{00000000-0005-0000-0000-00001A030000}"/>
    <cellStyle name="20% - Accent5 8 2" xfId="4113" xr:uid="{00000000-0005-0000-0000-00001B030000}"/>
    <cellStyle name="20% - Accent5 8 2 2" xfId="8337" xr:uid="{00000000-0005-0000-0000-00001C030000}"/>
    <cellStyle name="20% - Accent5 8 2 2 2" xfId="20970" xr:uid="{3F8601C6-21F1-42C5-8C8F-ED8093B37222}"/>
    <cellStyle name="20% - Accent5 8 2 3" xfId="16759" xr:uid="{C40B0197-5BEA-4894-B0A8-C9C490F273DA}"/>
    <cellStyle name="20% - Accent5 8 2 4" xfId="26009" xr:uid="{6B0AD6A8-FCD3-407D-B147-D02D5589D428}"/>
    <cellStyle name="20% - Accent5 8 2 5" xfId="12548" xr:uid="{F97CFF6B-EEE8-4CF8-8254-833EB025E0E4}"/>
    <cellStyle name="20% - Accent5 8 3" xfId="6192" xr:uid="{00000000-0005-0000-0000-00001D030000}"/>
    <cellStyle name="20% - Accent5 8 3 2" xfId="18825" xr:uid="{C9FCAD75-2141-4631-8A3E-EBC5F81C191C}"/>
    <cellStyle name="20% - Accent5 8 4" xfId="14614" xr:uid="{B5F49E82-EAC0-4619-910B-C46CBFCCA940}"/>
    <cellStyle name="20% - Accent5 8 5" xfId="23864" xr:uid="{3E2EB53D-AC5A-49E1-AE9B-B2FC8EA9C8C2}"/>
    <cellStyle name="20% - Accent5 8 6" xfId="10403" xr:uid="{318FFF94-4B8C-4461-8277-A8BC57275434}"/>
    <cellStyle name="20% - Accent5 9" xfId="2297" xr:uid="{00000000-0005-0000-0000-00001E030000}"/>
    <cellStyle name="20% - Accent5 9 2" xfId="6605" xr:uid="{00000000-0005-0000-0000-00001F030000}"/>
    <cellStyle name="20% - Accent5 9 2 2" xfId="19238" xr:uid="{B1A92CC0-AA15-432D-A327-62C77C90A6C0}"/>
    <cellStyle name="20% - Accent5 9 3" xfId="15027" xr:uid="{7FEA95AC-AF19-4FBE-87F9-5E7200C8BB2F}"/>
    <cellStyle name="20% - Accent5 9 4" xfId="24277" xr:uid="{7317FA2F-C906-440F-925A-78897E6C5E68}"/>
    <cellStyle name="20% - Accent5 9 5" xfId="10816" xr:uid="{D13BC8C2-2FC2-4AE0-BA5C-FDADF300116A}"/>
    <cellStyle name="20% - Accent6" xfId="41" builtinId="50" customBuiltin="1"/>
    <cellStyle name="20% - Accent6 10" xfId="4547" xr:uid="{00000000-0005-0000-0000-000021030000}"/>
    <cellStyle name="20% - Accent6 10 2" xfId="17180" xr:uid="{65B0C2EA-6E50-4B65-9A21-67388DF7EA88}"/>
    <cellStyle name="20% - Accent6 11" xfId="21391" xr:uid="{D3929977-205A-4E5E-9EE0-61C34F2B1DA1}"/>
    <cellStyle name="20% - Accent6 12" xfId="12969" xr:uid="{B917918F-A803-48DA-B178-75E741BE2C12}"/>
    <cellStyle name="20% - Accent6 13" xfId="22219" xr:uid="{231B32C8-94B4-49C6-B776-1F9C69A4A4F0}"/>
    <cellStyle name="20% - Accent6 14" xfId="8758" xr:uid="{6CBE3DBA-C411-447D-925F-7A20795293EC}"/>
    <cellStyle name="20% - Accent6 2" xfId="42" xr:uid="{00000000-0005-0000-0000-000022030000}"/>
    <cellStyle name="20% - Accent6 2 10" xfId="21392" xr:uid="{2125D730-78B5-4680-B875-1E9DAC5B4555}"/>
    <cellStyle name="20% - Accent6 2 11" xfId="12970" xr:uid="{BB9E03AC-0A53-4E8C-B374-2FF6D44EFE51}"/>
    <cellStyle name="20% - Accent6 2 12" xfId="22220" xr:uid="{6EEE002C-13CC-4FF6-97F1-6306FA25B9BF}"/>
    <cellStyle name="20% - Accent6 2 13" xfId="8759" xr:uid="{495E2F44-3404-4E7F-849F-E3B461FCF3E1}"/>
    <cellStyle name="20% - Accent6 2 2" xfId="43" xr:uid="{00000000-0005-0000-0000-000023030000}"/>
    <cellStyle name="20% - Accent6 2 2 10" xfId="12971" xr:uid="{DF2B5BE2-4919-4188-AA98-F3963655A212}"/>
    <cellStyle name="20% - Accent6 2 2 11" xfId="22221" xr:uid="{3BB6715B-21C6-42B5-B9DD-A96256606508}"/>
    <cellStyle name="20% - Accent6 2 2 12" xfId="8760" xr:uid="{03317DC0-5C0C-42B3-832E-5D243727BC32}"/>
    <cellStyle name="20% - Accent6 2 2 2" xfId="44" xr:uid="{00000000-0005-0000-0000-000024030000}"/>
    <cellStyle name="20% - Accent6 2 2 2 10" xfId="22222" xr:uid="{19D3931E-02F7-433A-83D1-4662EA80672E}"/>
    <cellStyle name="20% - Accent6 2 2 2 11" xfId="8761" xr:uid="{5409AF2A-1DB1-4BD7-A656-A2421E6ED494}"/>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9742" xr:uid="{40FC4A1D-1714-48C1-BF20-0B6CD8D7807D}"/>
    <cellStyle name="20% - Accent6 2 2 2 2 2 3" xfId="15531" xr:uid="{D62A5439-C0D9-42C8-B9F9-17B4ADB3A006}"/>
    <cellStyle name="20% - Accent6 2 2 2 2 2 4" xfId="24781" xr:uid="{495A5E69-DF0B-4030-9950-AA6EA6AE7E85}"/>
    <cellStyle name="20% - Accent6 2 2 2 2 2 5" xfId="11320" xr:uid="{BA539FA4-D6A1-496E-89FF-2B4AFC17FDB0}"/>
    <cellStyle name="20% - Accent6 2 2 2 2 3" xfId="4964" xr:uid="{00000000-0005-0000-0000-000028030000}"/>
    <cellStyle name="20% - Accent6 2 2 2 2 3 2" xfId="17597" xr:uid="{77BC6BDB-79F5-430F-AECE-BF6813D22421}"/>
    <cellStyle name="20% - Accent6 2 2 2 2 4" xfId="21807" xr:uid="{4A7C1C46-4ECF-4210-BE14-62F614827F44}"/>
    <cellStyle name="20% - Accent6 2 2 2 2 5" xfId="13386" xr:uid="{A83954D0-9149-45FD-B04B-569A04571D6A}"/>
    <cellStyle name="20% - Accent6 2 2 2 2 6" xfId="22636" xr:uid="{5894D077-F359-4859-AE81-405269CEB3DF}"/>
    <cellStyle name="20% - Accent6 2 2 2 2 7" xfId="9175" xr:uid="{6AFD0800-E7F9-492B-B193-9A843332535D}"/>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20155" xr:uid="{69770D8C-A05C-45BB-A651-CAAEC8980854}"/>
    <cellStyle name="20% - Accent6 2 2 2 3 2 3" xfId="15944" xr:uid="{F7A184E5-3603-4137-8ECD-2EB97899F2AF}"/>
    <cellStyle name="20% - Accent6 2 2 2 3 2 4" xfId="25194" xr:uid="{12795881-167F-4F22-9FEE-BBBA74967984}"/>
    <cellStyle name="20% - Accent6 2 2 2 3 2 5" xfId="11733" xr:uid="{51E7335D-608F-42B9-85EA-87FFDDFB155D}"/>
    <cellStyle name="20% - Accent6 2 2 2 3 3" xfId="5377" xr:uid="{00000000-0005-0000-0000-00002C030000}"/>
    <cellStyle name="20% - Accent6 2 2 2 3 3 2" xfId="18010" xr:uid="{4A2B2529-B9A0-4520-A48A-61A2FD75BE0D}"/>
    <cellStyle name="20% - Accent6 2 2 2 3 4" xfId="13799" xr:uid="{F7528BA3-7152-439D-B299-77595CAAC838}"/>
    <cellStyle name="20% - Accent6 2 2 2 3 5" xfId="23049" xr:uid="{844CB1C5-DB71-474E-B6C1-B54CCD38CE72}"/>
    <cellStyle name="20% - Accent6 2 2 2 3 6" xfId="9588" xr:uid="{30E6D275-4A73-40DB-82B8-9B9B5E94CAE5}"/>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20568" xr:uid="{C3ABD48B-03AA-4523-8CCE-4F7F5E10709A}"/>
    <cellStyle name="20% - Accent6 2 2 2 4 2 3" xfId="16357" xr:uid="{AC5E4452-1A32-4F98-985C-99F3ADBD705E}"/>
    <cellStyle name="20% - Accent6 2 2 2 4 2 4" xfId="25607" xr:uid="{131A466E-E8C1-4DD3-BC06-863262EE470E}"/>
    <cellStyle name="20% - Accent6 2 2 2 4 2 5" xfId="12146" xr:uid="{C0299B4D-3FFB-4A30-91BB-3AC699BF4085}"/>
    <cellStyle name="20% - Accent6 2 2 2 4 3" xfId="5790" xr:uid="{00000000-0005-0000-0000-000030030000}"/>
    <cellStyle name="20% - Accent6 2 2 2 4 3 2" xfId="18423" xr:uid="{84E7D21A-C3E9-4507-8731-FB4E6C2FD274}"/>
    <cellStyle name="20% - Accent6 2 2 2 4 4" xfId="14212" xr:uid="{DD47E213-DCA9-4D87-816D-394EF26309F5}"/>
    <cellStyle name="20% - Accent6 2 2 2 4 5" xfId="23462" xr:uid="{2A175AB0-10BC-4320-BC54-9F67582FA54D}"/>
    <cellStyle name="20% - Accent6 2 2 2 4 6" xfId="10001" xr:uid="{D0B54C72-732E-4C3C-B46D-60F2EA21723A}"/>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20981" xr:uid="{A0858980-DF43-4195-90C1-463E19A30C9E}"/>
    <cellStyle name="20% - Accent6 2 2 2 5 2 3" xfId="16770" xr:uid="{27F2F93E-478F-443B-8EED-EB60F0337D2C}"/>
    <cellStyle name="20% - Accent6 2 2 2 5 2 4" xfId="26020" xr:uid="{7C294EE6-C7D6-4277-9E54-EBCD1D75845B}"/>
    <cellStyle name="20% - Accent6 2 2 2 5 2 5" xfId="12559" xr:uid="{DCC6C1A6-6D4D-44FC-B0A3-45A0484BBDE3}"/>
    <cellStyle name="20% - Accent6 2 2 2 5 3" xfId="6203" xr:uid="{00000000-0005-0000-0000-000034030000}"/>
    <cellStyle name="20% - Accent6 2 2 2 5 3 2" xfId="18836" xr:uid="{170C59B0-A2B3-4554-A7B7-032B3800D0CC}"/>
    <cellStyle name="20% - Accent6 2 2 2 5 4" xfId="14625" xr:uid="{13EEF671-7E7D-49DC-98CF-52462B6F6EDB}"/>
    <cellStyle name="20% - Accent6 2 2 2 5 5" xfId="23875" xr:uid="{47CF2B06-7928-4452-A4F5-1BA0845B4188}"/>
    <cellStyle name="20% - Accent6 2 2 2 5 6" xfId="10414" xr:uid="{33AFFCA7-0F00-44F5-8CA2-589F72351BBA}"/>
    <cellStyle name="20% - Accent6 2 2 2 6" xfId="2308" xr:uid="{00000000-0005-0000-0000-000035030000}"/>
    <cellStyle name="20% - Accent6 2 2 2 6 2" xfId="6616" xr:uid="{00000000-0005-0000-0000-000036030000}"/>
    <cellStyle name="20% - Accent6 2 2 2 6 2 2" xfId="19249" xr:uid="{4CC13209-18E6-4654-A2C2-FC0151891803}"/>
    <cellStyle name="20% - Accent6 2 2 2 6 3" xfId="15038" xr:uid="{CCB2D41F-DA03-4919-852B-F21287681677}"/>
    <cellStyle name="20% - Accent6 2 2 2 6 4" xfId="24288" xr:uid="{75F05B48-94DE-4A03-90DB-04826CC0E0CF}"/>
    <cellStyle name="20% - Accent6 2 2 2 6 5" xfId="10827" xr:uid="{84681DA2-C160-44B2-BB85-5C5F399E0D37}"/>
    <cellStyle name="20% - Accent6 2 2 2 7" xfId="4550" xr:uid="{00000000-0005-0000-0000-000037030000}"/>
    <cellStyle name="20% - Accent6 2 2 2 7 2" xfId="17183" xr:uid="{C45CD89C-E006-4133-84B0-28C7A4989ED5}"/>
    <cellStyle name="20% - Accent6 2 2 2 8" xfId="21394" xr:uid="{F6C39BA3-0892-41C9-8DA3-DFA6B8D1051A}"/>
    <cellStyle name="20% - Accent6 2 2 2 9" xfId="12972" xr:uid="{E63CE522-5839-4BEF-B2C3-C10F658189FD}"/>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9741" xr:uid="{26A1EFCE-B6CD-4E9E-8F76-6857974E5F1C}"/>
    <cellStyle name="20% - Accent6 2 2 3 2 3" xfId="15530" xr:uid="{EAB8CB65-2D3B-41F7-88C1-4BEDFE76657B}"/>
    <cellStyle name="20% - Accent6 2 2 3 2 4" xfId="24780" xr:uid="{BDBA53A1-6CF7-461D-A2D1-6062CA97F701}"/>
    <cellStyle name="20% - Accent6 2 2 3 2 5" xfId="11319" xr:uid="{21ED3458-69BF-4B48-88FF-DEE858FCE944}"/>
    <cellStyle name="20% - Accent6 2 2 3 3" xfId="4963" xr:uid="{00000000-0005-0000-0000-00003B030000}"/>
    <cellStyle name="20% - Accent6 2 2 3 3 2" xfId="17596" xr:uid="{3F31E71F-8593-41B1-9947-BF58ACEA3019}"/>
    <cellStyle name="20% - Accent6 2 2 3 4" xfId="21806" xr:uid="{C438FFC0-0619-4C7C-9FC0-2C623FDFF9D7}"/>
    <cellStyle name="20% - Accent6 2 2 3 5" xfId="13385" xr:uid="{491A9BA2-7775-4AAD-A870-C920B9587329}"/>
    <cellStyle name="20% - Accent6 2 2 3 6" xfId="22635" xr:uid="{D58B99FE-9216-4B4D-A8F5-36A0AD869CBF}"/>
    <cellStyle name="20% - Accent6 2 2 3 7" xfId="9174" xr:uid="{37E79E2B-C9C1-4814-BEC6-02DAD116D29B}"/>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20154" xr:uid="{33CB64E7-B93C-4587-B44C-3BC8D24F799D}"/>
    <cellStyle name="20% - Accent6 2 2 4 2 3" xfId="15943" xr:uid="{352CB5D8-0E39-47E6-893F-CD3FC322FBE3}"/>
    <cellStyle name="20% - Accent6 2 2 4 2 4" xfId="25193" xr:uid="{4946D620-A960-4237-BE90-3AF03F74928B}"/>
    <cellStyle name="20% - Accent6 2 2 4 2 5" xfId="11732" xr:uid="{31F7622E-9F5C-4911-A9D2-FA98BDDF1931}"/>
    <cellStyle name="20% - Accent6 2 2 4 3" xfId="5376" xr:uid="{00000000-0005-0000-0000-00003F030000}"/>
    <cellStyle name="20% - Accent6 2 2 4 3 2" xfId="18009" xr:uid="{1CD0609A-0BE8-44BE-A8C9-0C1E38175818}"/>
    <cellStyle name="20% - Accent6 2 2 4 4" xfId="13798" xr:uid="{59A0BBE3-0FD6-43B7-A976-56F0B5DC9D59}"/>
    <cellStyle name="20% - Accent6 2 2 4 5" xfId="23048" xr:uid="{85430402-43BD-496C-B879-EA2FBB8B6969}"/>
    <cellStyle name="20% - Accent6 2 2 4 6" xfId="9587" xr:uid="{7DA14CE4-D725-4901-9EFF-B9CECD391EC9}"/>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20567" xr:uid="{8816DEA3-2FB0-493C-BA70-016515294F7B}"/>
    <cellStyle name="20% - Accent6 2 2 5 2 3" xfId="16356" xr:uid="{3841860A-7C3E-4D7A-BF6A-5971A389EA72}"/>
    <cellStyle name="20% - Accent6 2 2 5 2 4" xfId="25606" xr:uid="{73BB75E5-B769-469F-8DE3-8B575158A58F}"/>
    <cellStyle name="20% - Accent6 2 2 5 2 5" xfId="12145" xr:uid="{F713D8E4-BA95-4A47-BD5F-EDC42AA85744}"/>
    <cellStyle name="20% - Accent6 2 2 5 3" xfId="5789" xr:uid="{00000000-0005-0000-0000-000043030000}"/>
    <cellStyle name="20% - Accent6 2 2 5 3 2" xfId="18422" xr:uid="{85A2CADC-4878-4D13-9F58-7F559B63770D}"/>
    <cellStyle name="20% - Accent6 2 2 5 4" xfId="14211" xr:uid="{8A90DEBD-050D-4C7A-86B6-D3B8CD08D0E7}"/>
    <cellStyle name="20% - Accent6 2 2 5 5" xfId="23461" xr:uid="{93B8CEFE-7969-4A5F-9D5A-8C4622565917}"/>
    <cellStyle name="20% - Accent6 2 2 5 6" xfId="10000" xr:uid="{4E329D3D-309B-4C7E-BE04-93085491F7F3}"/>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20980" xr:uid="{D211128C-AFD3-4C85-8A82-AD174F0EB123}"/>
    <cellStyle name="20% - Accent6 2 2 6 2 3" xfId="16769" xr:uid="{8FE06AE2-0120-445F-B31F-BC048E05641A}"/>
    <cellStyle name="20% - Accent6 2 2 6 2 4" xfId="26019" xr:uid="{A1A26FB5-486A-42D8-A65B-83ADB4D7A9E2}"/>
    <cellStyle name="20% - Accent6 2 2 6 2 5" xfId="12558" xr:uid="{25B7E5DF-B50B-45AD-A096-A8C3EAAE9DCA}"/>
    <cellStyle name="20% - Accent6 2 2 6 3" xfId="6202" xr:uid="{00000000-0005-0000-0000-000047030000}"/>
    <cellStyle name="20% - Accent6 2 2 6 3 2" xfId="18835" xr:uid="{A9EBAF95-0985-42C2-A457-9C20BA181329}"/>
    <cellStyle name="20% - Accent6 2 2 6 4" xfId="14624" xr:uid="{9AEEE73C-15A4-4AA6-A672-890B8A3ADB6C}"/>
    <cellStyle name="20% - Accent6 2 2 6 5" xfId="23874" xr:uid="{6D9F3E6F-8942-460B-8082-99C29B6743C1}"/>
    <cellStyle name="20% - Accent6 2 2 6 6" xfId="10413" xr:uid="{768D4504-5E22-46EB-8672-18E76325ADD6}"/>
    <cellStyle name="20% - Accent6 2 2 7" xfId="2307" xr:uid="{00000000-0005-0000-0000-000048030000}"/>
    <cellStyle name="20% - Accent6 2 2 7 2" xfId="6615" xr:uid="{00000000-0005-0000-0000-000049030000}"/>
    <cellStyle name="20% - Accent6 2 2 7 2 2" xfId="19248" xr:uid="{D8B056E7-BAB4-4FD6-AC8F-3942CCA7FD28}"/>
    <cellStyle name="20% - Accent6 2 2 7 3" xfId="15037" xr:uid="{EC02D996-A4B5-41A6-BC8A-9CF4131138FC}"/>
    <cellStyle name="20% - Accent6 2 2 7 4" xfId="24287" xr:uid="{4848672C-BDCE-435F-9D02-ADC468770646}"/>
    <cellStyle name="20% - Accent6 2 2 7 5" xfId="10826" xr:uid="{282B51C1-ED29-4D38-BF2A-0E929E603A6D}"/>
    <cellStyle name="20% - Accent6 2 2 8" xfId="4549" xr:uid="{00000000-0005-0000-0000-00004A030000}"/>
    <cellStyle name="20% - Accent6 2 2 8 2" xfId="17182" xr:uid="{6E7AA724-B2CE-4961-9131-6B2E0AA962F1}"/>
    <cellStyle name="20% - Accent6 2 2 9" xfId="21393" xr:uid="{1263D882-0088-42E1-A009-AC3463D07BC0}"/>
    <cellStyle name="20% - Accent6 2 3" xfId="45" xr:uid="{00000000-0005-0000-0000-00004B030000}"/>
    <cellStyle name="20% - Accent6 2 3 10" xfId="22223" xr:uid="{C67D6A7F-5EAA-4189-A06C-A2610602FE4A}"/>
    <cellStyle name="20% - Accent6 2 3 11" xfId="8762" xr:uid="{1E795645-CF04-485C-9731-BE66A897EB5F}"/>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9743" xr:uid="{5ED534C5-DEF4-4C5C-94FC-C16EEF67CA0D}"/>
    <cellStyle name="20% - Accent6 2 3 2 2 3" xfId="15532" xr:uid="{C0A6E159-8E01-482F-9F51-FF72693F31C4}"/>
    <cellStyle name="20% - Accent6 2 3 2 2 4" xfId="24782" xr:uid="{49373572-BAC1-4A87-B208-C55E7A39C480}"/>
    <cellStyle name="20% - Accent6 2 3 2 2 5" xfId="11321" xr:uid="{719CF309-DE65-4961-9B18-CF0F38839E3B}"/>
    <cellStyle name="20% - Accent6 2 3 2 3" xfId="4965" xr:uid="{00000000-0005-0000-0000-00004F030000}"/>
    <cellStyle name="20% - Accent6 2 3 2 3 2" xfId="17598" xr:uid="{958AE37A-38CB-4641-B82E-D20FF44E7431}"/>
    <cellStyle name="20% - Accent6 2 3 2 4" xfId="21808" xr:uid="{8C6B86B4-A1EE-4BBF-AE3A-80913120BC27}"/>
    <cellStyle name="20% - Accent6 2 3 2 5" xfId="13387" xr:uid="{E4B0F63D-7835-4C38-AB16-AC52666E63D3}"/>
    <cellStyle name="20% - Accent6 2 3 2 6" xfId="22637" xr:uid="{DE3935D3-0C14-4751-A5A2-78C3F12D45FD}"/>
    <cellStyle name="20% - Accent6 2 3 2 7" xfId="9176" xr:uid="{8CD76563-6AAD-4E1E-83FC-4C1C193B3408}"/>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20156" xr:uid="{1CAF4391-773E-4B9A-9251-9E10E58E83A7}"/>
    <cellStyle name="20% - Accent6 2 3 3 2 3" xfId="15945" xr:uid="{B950E732-2F22-40A5-BA2D-F353C7898249}"/>
    <cellStyle name="20% - Accent6 2 3 3 2 4" xfId="25195" xr:uid="{FBCFC8BF-97C1-469D-87D5-599A7272AE11}"/>
    <cellStyle name="20% - Accent6 2 3 3 2 5" xfId="11734" xr:uid="{DC03600E-5A05-4A2E-B87D-949BCC4DD771}"/>
    <cellStyle name="20% - Accent6 2 3 3 3" xfId="5378" xr:uid="{00000000-0005-0000-0000-000053030000}"/>
    <cellStyle name="20% - Accent6 2 3 3 3 2" xfId="18011" xr:uid="{1D02BC7D-0469-414B-893B-673BE1166687}"/>
    <cellStyle name="20% - Accent6 2 3 3 4" xfId="13800" xr:uid="{92115223-CEAD-43FC-B79E-FF5BDC3B98BC}"/>
    <cellStyle name="20% - Accent6 2 3 3 5" xfId="23050" xr:uid="{3C292036-0662-4035-88B9-9F723E49B0B5}"/>
    <cellStyle name="20% - Accent6 2 3 3 6" xfId="9589" xr:uid="{7CA14E39-889A-45B7-AC12-61BE8A93A9D3}"/>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20569" xr:uid="{98363061-2350-4A73-A99C-E6AFE58DA13B}"/>
    <cellStyle name="20% - Accent6 2 3 4 2 3" xfId="16358" xr:uid="{485BA876-9E97-4552-97E8-967FEC8A8387}"/>
    <cellStyle name="20% - Accent6 2 3 4 2 4" xfId="25608" xr:uid="{6B4EDA23-1A39-465B-9666-AF2D7AF2883D}"/>
    <cellStyle name="20% - Accent6 2 3 4 2 5" xfId="12147" xr:uid="{F06E1536-5C52-40CB-8F19-76EA7514E5B6}"/>
    <cellStyle name="20% - Accent6 2 3 4 3" xfId="5791" xr:uid="{00000000-0005-0000-0000-000057030000}"/>
    <cellStyle name="20% - Accent6 2 3 4 3 2" xfId="18424" xr:uid="{FEA3C6FC-2701-4E3E-BDFD-D27A1C2AEC97}"/>
    <cellStyle name="20% - Accent6 2 3 4 4" xfId="14213" xr:uid="{B8370FCF-2271-4C66-AB77-D62111D41946}"/>
    <cellStyle name="20% - Accent6 2 3 4 5" xfId="23463" xr:uid="{032E72AB-EFF2-4B60-8965-17557AA03EFE}"/>
    <cellStyle name="20% - Accent6 2 3 4 6" xfId="10002" xr:uid="{3534A87D-2CAC-4374-8178-14FC26419C5F}"/>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20982" xr:uid="{E405D2AA-7FB2-4A46-8105-04A28722B127}"/>
    <cellStyle name="20% - Accent6 2 3 5 2 3" xfId="16771" xr:uid="{BBCD45BD-EF48-4C90-9D19-C59CF43B70CB}"/>
    <cellStyle name="20% - Accent6 2 3 5 2 4" xfId="26021" xr:uid="{06738062-5FB4-4397-992C-1E4895C34944}"/>
    <cellStyle name="20% - Accent6 2 3 5 2 5" xfId="12560" xr:uid="{C5ED8C61-F1B8-42C3-85E3-CF9CFDED5F0A}"/>
    <cellStyle name="20% - Accent6 2 3 5 3" xfId="6204" xr:uid="{00000000-0005-0000-0000-00005B030000}"/>
    <cellStyle name="20% - Accent6 2 3 5 3 2" xfId="18837" xr:uid="{9D0D4663-AA4C-4809-8C9B-4EE39D13A607}"/>
    <cellStyle name="20% - Accent6 2 3 5 4" xfId="14626" xr:uid="{FBB115F3-A762-48DA-B894-4D834A6BC74E}"/>
    <cellStyle name="20% - Accent6 2 3 5 5" xfId="23876" xr:uid="{90160FBD-451C-4329-ADB8-DF1A26ACF98A}"/>
    <cellStyle name="20% - Accent6 2 3 5 6" xfId="10415" xr:uid="{9AC2404C-3C49-4C78-8F29-0AC58A54AAFB}"/>
    <cellStyle name="20% - Accent6 2 3 6" xfId="2309" xr:uid="{00000000-0005-0000-0000-00005C030000}"/>
    <cellStyle name="20% - Accent6 2 3 6 2" xfId="6617" xr:uid="{00000000-0005-0000-0000-00005D030000}"/>
    <cellStyle name="20% - Accent6 2 3 6 2 2" xfId="19250" xr:uid="{36CAA6F1-17B1-4A05-81C1-B3451D15CA17}"/>
    <cellStyle name="20% - Accent6 2 3 6 3" xfId="15039" xr:uid="{723962D5-C3EF-4D59-AC48-83A3666DE591}"/>
    <cellStyle name="20% - Accent6 2 3 6 4" xfId="24289" xr:uid="{733E2025-09C7-4AE5-B71C-6368D835689A}"/>
    <cellStyle name="20% - Accent6 2 3 6 5" xfId="10828" xr:uid="{D70593F9-10A0-4C4B-BE8D-0F64381C1A44}"/>
    <cellStyle name="20% - Accent6 2 3 7" xfId="4551" xr:uid="{00000000-0005-0000-0000-00005E030000}"/>
    <cellStyle name="20% - Accent6 2 3 7 2" xfId="17184" xr:uid="{EA07AD99-0375-4782-AEB0-FF3EB807319E}"/>
    <cellStyle name="20% - Accent6 2 3 8" xfId="21395" xr:uid="{C17E2BC1-33EC-4395-A424-62A672EBE263}"/>
    <cellStyle name="20% - Accent6 2 3 9" xfId="12973" xr:uid="{E2A0569C-28C0-40BD-9152-2B2BF49A8368}"/>
    <cellStyle name="20% - Accent6 2 4" xfId="612" xr:uid="{00000000-0005-0000-0000-00005F030000}"/>
    <cellStyle name="20% - Accent6 2 4 2" xfId="2883" xr:uid="{00000000-0005-0000-0000-000060030000}"/>
    <cellStyle name="20% - Accent6 2 4 2 2" xfId="7107" xr:uid="{00000000-0005-0000-0000-000061030000}"/>
    <cellStyle name="20% - Accent6 2 4 2 2 2" xfId="19740" xr:uid="{8B7EFBCA-751D-41D2-ADD5-22AC7C8F9589}"/>
    <cellStyle name="20% - Accent6 2 4 2 3" xfId="15529" xr:uid="{5D81CE83-405C-439E-999E-95DF952F53B3}"/>
    <cellStyle name="20% - Accent6 2 4 2 4" xfId="24779" xr:uid="{13E9B460-58D9-43F8-8F6B-685E571A48A5}"/>
    <cellStyle name="20% - Accent6 2 4 2 5" xfId="11318" xr:uid="{8CE0EE71-4A6B-40B6-B3D2-DB74847C9855}"/>
    <cellStyle name="20% - Accent6 2 4 3" xfId="4962" xr:uid="{00000000-0005-0000-0000-000062030000}"/>
    <cellStyle name="20% - Accent6 2 4 3 2" xfId="17595" xr:uid="{AF4CE791-3FD7-491B-93C0-6462A47AF755}"/>
    <cellStyle name="20% - Accent6 2 4 4" xfId="21805" xr:uid="{A2AC613D-E294-4678-AAEF-2EE2A6BF05A2}"/>
    <cellStyle name="20% - Accent6 2 4 5" xfId="13384" xr:uid="{C089A54A-F4A3-437C-87E6-D8F1ECBD4A03}"/>
    <cellStyle name="20% - Accent6 2 4 6" xfId="22634" xr:uid="{305D27F3-0158-4CDA-A4CF-68EB0585AE00}"/>
    <cellStyle name="20% - Accent6 2 4 7" xfId="9173" xr:uid="{9A92A7F6-8FE1-4CCA-8075-D1DDE85A4E72}"/>
    <cellStyle name="20% - Accent6 2 5" xfId="1065" xr:uid="{00000000-0005-0000-0000-000063030000}"/>
    <cellStyle name="20% - Accent6 2 5 2" xfId="3296" xr:uid="{00000000-0005-0000-0000-000064030000}"/>
    <cellStyle name="20% - Accent6 2 5 2 2" xfId="7520" xr:uid="{00000000-0005-0000-0000-000065030000}"/>
    <cellStyle name="20% - Accent6 2 5 2 2 2" xfId="20153" xr:uid="{80F57086-FB3E-4312-B770-21BE01CBC41B}"/>
    <cellStyle name="20% - Accent6 2 5 2 3" xfId="15942" xr:uid="{3A960B9B-1F59-45DE-9F33-EE22A0168E50}"/>
    <cellStyle name="20% - Accent6 2 5 2 4" xfId="25192" xr:uid="{1A49CEC7-C898-4011-A8FE-3B76ECA726F4}"/>
    <cellStyle name="20% - Accent6 2 5 2 5" xfId="11731" xr:uid="{6C9F95D6-BA97-483F-8C31-A78FAAF6D38F}"/>
    <cellStyle name="20% - Accent6 2 5 3" xfId="5375" xr:uid="{00000000-0005-0000-0000-000066030000}"/>
    <cellStyle name="20% - Accent6 2 5 3 2" xfId="18008" xr:uid="{2C492589-82CF-461D-B390-B58C00E941F4}"/>
    <cellStyle name="20% - Accent6 2 5 4" xfId="13797" xr:uid="{358C8F48-3895-4764-9C28-600DA06585C2}"/>
    <cellStyle name="20% - Accent6 2 5 5" xfId="23047" xr:uid="{1301D886-3B7E-464E-B8D7-323D204A6C53}"/>
    <cellStyle name="20% - Accent6 2 5 6" xfId="9586" xr:uid="{75FB4F78-09BD-41F6-BE11-F02AFF060C0F}"/>
    <cellStyle name="20% - Accent6 2 6" xfId="1479" xr:uid="{00000000-0005-0000-0000-000067030000}"/>
    <cellStyle name="20% - Accent6 2 6 2" xfId="3709" xr:uid="{00000000-0005-0000-0000-000068030000}"/>
    <cellStyle name="20% - Accent6 2 6 2 2" xfId="7933" xr:uid="{00000000-0005-0000-0000-000069030000}"/>
    <cellStyle name="20% - Accent6 2 6 2 2 2" xfId="20566" xr:uid="{3F01F9C1-001F-4376-9B55-632AAEE2E345}"/>
    <cellStyle name="20% - Accent6 2 6 2 3" xfId="16355" xr:uid="{F53E7C19-9C10-4791-8200-5DD5027AE93E}"/>
    <cellStyle name="20% - Accent6 2 6 2 4" xfId="25605" xr:uid="{74FA78EA-B90D-4A45-8F8C-791786939F06}"/>
    <cellStyle name="20% - Accent6 2 6 2 5" xfId="12144" xr:uid="{27FFD024-3720-4F15-992E-9247F2DFDF08}"/>
    <cellStyle name="20% - Accent6 2 6 3" xfId="5788" xr:uid="{00000000-0005-0000-0000-00006A030000}"/>
    <cellStyle name="20% - Accent6 2 6 3 2" xfId="18421" xr:uid="{74E31A1A-4C0C-4877-8FE7-DC6B3DB0026C}"/>
    <cellStyle name="20% - Accent6 2 6 4" xfId="14210" xr:uid="{376B13EA-2F22-4041-9D30-FAEAAF10CAC5}"/>
    <cellStyle name="20% - Accent6 2 6 5" xfId="23460" xr:uid="{778E9B0E-8828-45D3-9EEC-787928EE8B01}"/>
    <cellStyle name="20% - Accent6 2 6 6" xfId="9999" xr:uid="{C2098856-D91B-4506-B958-02F2E172979B}"/>
    <cellStyle name="20% - Accent6 2 7" xfId="1893" xr:uid="{00000000-0005-0000-0000-00006B030000}"/>
    <cellStyle name="20% - Accent6 2 7 2" xfId="4122" xr:uid="{00000000-0005-0000-0000-00006C030000}"/>
    <cellStyle name="20% - Accent6 2 7 2 2" xfId="8346" xr:uid="{00000000-0005-0000-0000-00006D030000}"/>
    <cellStyle name="20% - Accent6 2 7 2 2 2" xfId="20979" xr:uid="{DAA2858A-781A-4874-AAAC-4F6EDF7A104C}"/>
    <cellStyle name="20% - Accent6 2 7 2 3" xfId="16768" xr:uid="{D5E28D83-82A2-4B7A-95AB-362F1C9D1A81}"/>
    <cellStyle name="20% - Accent6 2 7 2 4" xfId="26018" xr:uid="{47A47B17-288B-4FBD-9623-B72262828066}"/>
    <cellStyle name="20% - Accent6 2 7 2 5" xfId="12557" xr:uid="{ECD672F2-3FF6-4A21-895F-8F8BE5F693B4}"/>
    <cellStyle name="20% - Accent6 2 7 3" xfId="6201" xr:uid="{00000000-0005-0000-0000-00006E030000}"/>
    <cellStyle name="20% - Accent6 2 7 3 2" xfId="18834" xr:uid="{DCAE8135-7FB4-411B-AE2A-B509A703D3C8}"/>
    <cellStyle name="20% - Accent6 2 7 4" xfId="14623" xr:uid="{83570E06-4F88-4775-B78F-16F2F53138C7}"/>
    <cellStyle name="20% - Accent6 2 7 5" xfId="23873" xr:uid="{5C6B1918-6C8F-4F52-80C8-64E7DFD702D9}"/>
    <cellStyle name="20% - Accent6 2 7 6" xfId="10412" xr:uid="{2D12E6B1-CCE7-4A09-A746-223BA3CB188F}"/>
    <cellStyle name="20% - Accent6 2 8" xfId="2306" xr:uid="{00000000-0005-0000-0000-00006F030000}"/>
    <cellStyle name="20% - Accent6 2 8 2" xfId="6614" xr:uid="{00000000-0005-0000-0000-000070030000}"/>
    <cellStyle name="20% - Accent6 2 8 2 2" xfId="19247" xr:uid="{2CD21BD0-B9A1-4126-9C57-5FDE0156D94B}"/>
    <cellStyle name="20% - Accent6 2 8 3" xfId="15036" xr:uid="{DBFA0B1B-976C-4C2C-8E21-98291C455478}"/>
    <cellStyle name="20% - Accent6 2 8 4" xfId="24286" xr:uid="{80A89849-B351-499B-BE3A-605C6BF077D3}"/>
    <cellStyle name="20% - Accent6 2 8 5" xfId="10825" xr:uid="{5BB2A59E-BB96-40F2-B723-F1E315B59FCF}"/>
    <cellStyle name="20% - Accent6 2 9" xfId="4548" xr:uid="{00000000-0005-0000-0000-000071030000}"/>
    <cellStyle name="20% - Accent6 2 9 2" xfId="17181" xr:uid="{A45E0606-08D6-49AB-A382-5E62434ADEC3}"/>
    <cellStyle name="20% - Accent6 3" xfId="46" xr:uid="{00000000-0005-0000-0000-000072030000}"/>
    <cellStyle name="20% - Accent6 3 10" xfId="12974" xr:uid="{6CCDEE9D-4BAB-4ADC-84C8-912CDAD47ED5}"/>
    <cellStyle name="20% - Accent6 3 11" xfId="22224" xr:uid="{05B525CD-74F1-4E41-B987-885B0C45C85B}"/>
    <cellStyle name="20% - Accent6 3 12" xfId="8763" xr:uid="{8AD8441A-3096-42D4-A5AD-49231E03DED2}"/>
    <cellStyle name="20% - Accent6 3 2" xfId="47" xr:uid="{00000000-0005-0000-0000-000073030000}"/>
    <cellStyle name="20% - Accent6 3 2 10" xfId="22225" xr:uid="{1E7BF675-EE30-4464-AC23-9617679EF4F8}"/>
    <cellStyle name="20% - Accent6 3 2 11" xfId="8764" xr:uid="{1ACBDD5E-B550-4457-96F5-D85132859E79}"/>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9745" xr:uid="{D56276A3-21B0-472B-B51F-67E85B4574AC}"/>
    <cellStyle name="20% - Accent6 3 2 2 2 3" xfId="15534" xr:uid="{40DFA5C2-7656-43A5-80EA-B6694BB79A9F}"/>
    <cellStyle name="20% - Accent6 3 2 2 2 4" xfId="24784" xr:uid="{F005192F-D3D6-4F83-B48F-FC4CD4D794D3}"/>
    <cellStyle name="20% - Accent6 3 2 2 2 5" xfId="11323" xr:uid="{4B81056D-C1B0-433E-A253-53F99E79F74B}"/>
    <cellStyle name="20% - Accent6 3 2 2 3" xfId="4967" xr:uid="{00000000-0005-0000-0000-000077030000}"/>
    <cellStyle name="20% - Accent6 3 2 2 3 2" xfId="17600" xr:uid="{596F9840-8A8C-4002-AAB3-5985A82A8C79}"/>
    <cellStyle name="20% - Accent6 3 2 2 4" xfId="21810" xr:uid="{185B5233-3C18-4D9E-BFAB-0B63E6AB3E92}"/>
    <cellStyle name="20% - Accent6 3 2 2 5" xfId="13389" xr:uid="{C7C74402-B11D-4F27-9481-DDF0AC513793}"/>
    <cellStyle name="20% - Accent6 3 2 2 6" xfId="22639" xr:uid="{3611A6BE-44BE-4477-9E74-2B3CDEAE9E9B}"/>
    <cellStyle name="20% - Accent6 3 2 2 7" xfId="9178" xr:uid="{3BC975C4-38A1-4A31-89E4-9353B13D2936}"/>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20158" xr:uid="{6CC5808C-9908-4F24-B25A-CE85DED9DD88}"/>
    <cellStyle name="20% - Accent6 3 2 3 2 3" xfId="15947" xr:uid="{F4EDD66F-2871-473B-B082-A3B1CE03823E}"/>
    <cellStyle name="20% - Accent6 3 2 3 2 4" xfId="25197" xr:uid="{2376633E-39DD-4E5C-9B57-D92B4269B05D}"/>
    <cellStyle name="20% - Accent6 3 2 3 2 5" xfId="11736" xr:uid="{0484B28F-5F4A-4FDD-9F71-E36DCDB6D8B3}"/>
    <cellStyle name="20% - Accent6 3 2 3 3" xfId="5380" xr:uid="{00000000-0005-0000-0000-00007B030000}"/>
    <cellStyle name="20% - Accent6 3 2 3 3 2" xfId="18013" xr:uid="{DBD3B57F-19C2-4602-B8C7-B2194F166A2F}"/>
    <cellStyle name="20% - Accent6 3 2 3 4" xfId="13802" xr:uid="{E2C71A7A-1DD5-4838-9078-995B3A046294}"/>
    <cellStyle name="20% - Accent6 3 2 3 5" xfId="23052" xr:uid="{4D0332D7-1AAA-4961-8F21-EA18064C4CA0}"/>
    <cellStyle name="20% - Accent6 3 2 3 6" xfId="9591" xr:uid="{55937419-6C0C-44CB-8D46-FA7B113DE033}"/>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20571" xr:uid="{D19854FC-B313-4E43-A9A9-D5C0BCE824F4}"/>
    <cellStyle name="20% - Accent6 3 2 4 2 3" xfId="16360" xr:uid="{2BEB87BF-EB91-4B78-8A26-1D14EAF3B942}"/>
    <cellStyle name="20% - Accent6 3 2 4 2 4" xfId="25610" xr:uid="{6276F787-FB2A-427F-85FB-904797D17890}"/>
    <cellStyle name="20% - Accent6 3 2 4 2 5" xfId="12149" xr:uid="{90EBA8A5-A9DD-455E-99C0-DC1B5BA0D613}"/>
    <cellStyle name="20% - Accent6 3 2 4 3" xfId="5793" xr:uid="{00000000-0005-0000-0000-00007F030000}"/>
    <cellStyle name="20% - Accent6 3 2 4 3 2" xfId="18426" xr:uid="{FC294030-06D2-4081-94A1-74F17BFCCD46}"/>
    <cellStyle name="20% - Accent6 3 2 4 4" xfId="14215" xr:uid="{A9690364-7093-432C-BF8A-DB9709CC90E2}"/>
    <cellStyle name="20% - Accent6 3 2 4 5" xfId="23465" xr:uid="{9792209E-4DFE-49ED-B75A-879CED6FF73A}"/>
    <cellStyle name="20% - Accent6 3 2 4 6" xfId="10004" xr:uid="{AB4A4A95-80EB-4779-873D-1880C24414F4}"/>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20984" xr:uid="{E8D1CDD0-3EA7-4C61-9F73-697992A3FC13}"/>
    <cellStyle name="20% - Accent6 3 2 5 2 3" xfId="16773" xr:uid="{24C22B86-CAF5-4A3D-994B-E3813E4348F8}"/>
    <cellStyle name="20% - Accent6 3 2 5 2 4" xfId="26023" xr:uid="{28860897-B289-48AC-B563-CD0438D0BD0C}"/>
    <cellStyle name="20% - Accent6 3 2 5 2 5" xfId="12562" xr:uid="{498D4F46-C758-49C2-99C1-3AA81EDA3EC7}"/>
    <cellStyle name="20% - Accent6 3 2 5 3" xfId="6206" xr:uid="{00000000-0005-0000-0000-000083030000}"/>
    <cellStyle name="20% - Accent6 3 2 5 3 2" xfId="18839" xr:uid="{D1090866-6865-4C6F-88B4-5227A535AE67}"/>
    <cellStyle name="20% - Accent6 3 2 5 4" xfId="14628" xr:uid="{E601E62F-15D8-4D29-A2A9-0F8DADDAD684}"/>
    <cellStyle name="20% - Accent6 3 2 5 5" xfId="23878" xr:uid="{5BAFC350-B129-4648-9DC5-94022B18765A}"/>
    <cellStyle name="20% - Accent6 3 2 5 6" xfId="10417" xr:uid="{E9FA3F26-EE2C-47A9-92DA-E749C1B20889}"/>
    <cellStyle name="20% - Accent6 3 2 6" xfId="2311" xr:uid="{00000000-0005-0000-0000-000084030000}"/>
    <cellStyle name="20% - Accent6 3 2 6 2" xfId="6619" xr:uid="{00000000-0005-0000-0000-000085030000}"/>
    <cellStyle name="20% - Accent6 3 2 6 2 2" xfId="19252" xr:uid="{6AA20A92-1D7B-4556-9110-CFC6DB6426C4}"/>
    <cellStyle name="20% - Accent6 3 2 6 3" xfId="15041" xr:uid="{7320F815-AC84-4845-A3C7-5B2D4F248385}"/>
    <cellStyle name="20% - Accent6 3 2 6 4" xfId="24291" xr:uid="{66DD3060-E8FF-49ED-BF0A-B32E5D70809A}"/>
    <cellStyle name="20% - Accent6 3 2 6 5" xfId="10830" xr:uid="{FE715636-1078-4E15-A7F2-E9A575D629EF}"/>
    <cellStyle name="20% - Accent6 3 2 7" xfId="4553" xr:uid="{00000000-0005-0000-0000-000086030000}"/>
    <cellStyle name="20% - Accent6 3 2 7 2" xfId="17186" xr:uid="{A6DB37B5-C20A-4BF4-9DBF-825AC6F1CB17}"/>
    <cellStyle name="20% - Accent6 3 2 8" xfId="21397" xr:uid="{46048F6B-E231-4E36-B8FA-5E76A7715E19}"/>
    <cellStyle name="20% - Accent6 3 2 9" xfId="12975" xr:uid="{CA7F2ADA-4D3B-4C5B-AA66-D242B699E30F}"/>
    <cellStyle name="20% - Accent6 3 3" xfId="616" xr:uid="{00000000-0005-0000-0000-000087030000}"/>
    <cellStyle name="20% - Accent6 3 3 2" xfId="2887" xr:uid="{00000000-0005-0000-0000-000088030000}"/>
    <cellStyle name="20% - Accent6 3 3 2 2" xfId="7111" xr:uid="{00000000-0005-0000-0000-000089030000}"/>
    <cellStyle name="20% - Accent6 3 3 2 2 2" xfId="19744" xr:uid="{58C058F6-5B25-4EB4-8CE8-AF1B06ACCC8D}"/>
    <cellStyle name="20% - Accent6 3 3 2 3" xfId="15533" xr:uid="{668BB077-6840-40EC-8983-DFB98130FEF7}"/>
    <cellStyle name="20% - Accent6 3 3 2 4" xfId="24783" xr:uid="{2FC6B5F9-33E9-443F-8EDE-46D63E150636}"/>
    <cellStyle name="20% - Accent6 3 3 2 5" xfId="11322" xr:uid="{62E50BDB-7631-4916-933D-50F0DEF954AF}"/>
    <cellStyle name="20% - Accent6 3 3 3" xfId="4966" xr:uid="{00000000-0005-0000-0000-00008A030000}"/>
    <cellStyle name="20% - Accent6 3 3 3 2" xfId="17599" xr:uid="{DF4CDC60-04FF-45D9-93EC-203FCE99FA62}"/>
    <cellStyle name="20% - Accent6 3 3 4" xfId="21809" xr:uid="{387C3BC5-8501-4773-AF1F-58A5D3F79A7E}"/>
    <cellStyle name="20% - Accent6 3 3 5" xfId="13388" xr:uid="{C18456D9-8B9C-4B1B-8D6D-53B58FDBABA4}"/>
    <cellStyle name="20% - Accent6 3 3 6" xfId="22638" xr:uid="{F5C374A1-E1A3-48FA-9EC0-E3132FDF2DC2}"/>
    <cellStyle name="20% - Accent6 3 3 7" xfId="9177" xr:uid="{D2B81C91-6F0E-495C-82C1-2DB70C483F1A}"/>
    <cellStyle name="20% - Accent6 3 4" xfId="1069" xr:uid="{00000000-0005-0000-0000-00008B030000}"/>
    <cellStyle name="20% - Accent6 3 4 2" xfId="3300" xr:uid="{00000000-0005-0000-0000-00008C030000}"/>
    <cellStyle name="20% - Accent6 3 4 2 2" xfId="7524" xr:uid="{00000000-0005-0000-0000-00008D030000}"/>
    <cellStyle name="20% - Accent6 3 4 2 2 2" xfId="20157" xr:uid="{5150899C-7843-44ED-8E09-31050D896F72}"/>
    <cellStyle name="20% - Accent6 3 4 2 3" xfId="15946" xr:uid="{0CDA987B-2143-4364-9A85-264A2914E67A}"/>
    <cellStyle name="20% - Accent6 3 4 2 4" xfId="25196" xr:uid="{C3FD279F-0B07-495C-8768-B5F72DBB1221}"/>
    <cellStyle name="20% - Accent6 3 4 2 5" xfId="11735" xr:uid="{415A424A-A737-4F44-9612-1BB1B584B226}"/>
    <cellStyle name="20% - Accent6 3 4 3" xfId="5379" xr:uid="{00000000-0005-0000-0000-00008E030000}"/>
    <cellStyle name="20% - Accent6 3 4 3 2" xfId="18012" xr:uid="{2F255E3C-E0E4-48C0-8924-9A32513BA5BF}"/>
    <cellStyle name="20% - Accent6 3 4 4" xfId="13801" xr:uid="{3BBEA4FF-3A75-4F3B-BB9F-634C97903E14}"/>
    <cellStyle name="20% - Accent6 3 4 5" xfId="23051" xr:uid="{B52F934F-BAC7-47DA-8837-7C434C96F551}"/>
    <cellStyle name="20% - Accent6 3 4 6" xfId="9590" xr:uid="{7155D0CE-FA99-4591-BD9D-AEA8A98865F6}"/>
    <cellStyle name="20% - Accent6 3 5" xfId="1483" xr:uid="{00000000-0005-0000-0000-00008F030000}"/>
    <cellStyle name="20% - Accent6 3 5 2" xfId="3713" xr:uid="{00000000-0005-0000-0000-000090030000}"/>
    <cellStyle name="20% - Accent6 3 5 2 2" xfId="7937" xr:uid="{00000000-0005-0000-0000-000091030000}"/>
    <cellStyle name="20% - Accent6 3 5 2 2 2" xfId="20570" xr:uid="{6684E97D-821C-404F-BE35-1613AB064723}"/>
    <cellStyle name="20% - Accent6 3 5 2 3" xfId="16359" xr:uid="{23881A49-31C7-48B0-A3AF-DFA6A7326FC4}"/>
    <cellStyle name="20% - Accent6 3 5 2 4" xfId="25609" xr:uid="{58DFE8DE-E005-45E8-8249-EC0FAA5E73AC}"/>
    <cellStyle name="20% - Accent6 3 5 2 5" xfId="12148" xr:uid="{0014AC63-3CB1-4B35-B212-074BB0A9FBB5}"/>
    <cellStyle name="20% - Accent6 3 5 3" xfId="5792" xr:uid="{00000000-0005-0000-0000-000092030000}"/>
    <cellStyle name="20% - Accent6 3 5 3 2" xfId="18425" xr:uid="{083FC29D-134B-4998-9A6B-9D2137E0FB3A}"/>
    <cellStyle name="20% - Accent6 3 5 4" xfId="14214" xr:uid="{2A0A8D9F-43D8-4F23-A17E-14157A1267E7}"/>
    <cellStyle name="20% - Accent6 3 5 5" xfId="23464" xr:uid="{09E4402B-1395-4EB3-8AF2-9F63ED81F283}"/>
    <cellStyle name="20% - Accent6 3 5 6" xfId="10003" xr:uid="{A18A5B95-8EFD-468F-B133-F462AD338CA6}"/>
    <cellStyle name="20% - Accent6 3 6" xfId="1897" xr:uid="{00000000-0005-0000-0000-000093030000}"/>
    <cellStyle name="20% - Accent6 3 6 2" xfId="4126" xr:uid="{00000000-0005-0000-0000-000094030000}"/>
    <cellStyle name="20% - Accent6 3 6 2 2" xfId="8350" xr:uid="{00000000-0005-0000-0000-000095030000}"/>
    <cellStyle name="20% - Accent6 3 6 2 2 2" xfId="20983" xr:uid="{DAE03635-63C7-4BCB-944B-AA813A2C4829}"/>
    <cellStyle name="20% - Accent6 3 6 2 3" xfId="16772" xr:uid="{51270070-E199-4AA3-9308-DA82AD8BA0CF}"/>
    <cellStyle name="20% - Accent6 3 6 2 4" xfId="26022" xr:uid="{7023A13D-F322-4638-A381-4F7D258721D0}"/>
    <cellStyle name="20% - Accent6 3 6 2 5" xfId="12561" xr:uid="{A7A7F146-005E-4A31-A461-3188D9D99F8B}"/>
    <cellStyle name="20% - Accent6 3 6 3" xfId="6205" xr:uid="{00000000-0005-0000-0000-000096030000}"/>
    <cellStyle name="20% - Accent6 3 6 3 2" xfId="18838" xr:uid="{F2A6100B-7DD2-4EE4-B3AF-37A20AA50769}"/>
    <cellStyle name="20% - Accent6 3 6 4" xfId="14627" xr:uid="{FEDE24F9-9327-468C-A996-41695C20825D}"/>
    <cellStyle name="20% - Accent6 3 6 5" xfId="23877" xr:uid="{AA35F4D2-11C3-4282-8CC5-14328DBF1EE4}"/>
    <cellStyle name="20% - Accent6 3 6 6" xfId="10416" xr:uid="{A5732CE5-5375-4115-BA4D-DB3297D6FAFF}"/>
    <cellStyle name="20% - Accent6 3 7" xfId="2310" xr:uid="{00000000-0005-0000-0000-000097030000}"/>
    <cellStyle name="20% - Accent6 3 7 2" xfId="6618" xr:uid="{00000000-0005-0000-0000-000098030000}"/>
    <cellStyle name="20% - Accent6 3 7 2 2" xfId="19251" xr:uid="{03D99953-B603-431B-8723-29B0B06EC871}"/>
    <cellStyle name="20% - Accent6 3 7 3" xfId="15040" xr:uid="{9D0B64B0-6D8A-4D2D-A800-4287B15AFC62}"/>
    <cellStyle name="20% - Accent6 3 7 4" xfId="24290" xr:uid="{D87899F9-C865-406F-8FB2-C1E4C2EF400E}"/>
    <cellStyle name="20% - Accent6 3 7 5" xfId="10829" xr:uid="{E19A1D02-DD7D-4072-BF99-F779E374F4D3}"/>
    <cellStyle name="20% - Accent6 3 8" xfId="4552" xr:uid="{00000000-0005-0000-0000-000099030000}"/>
    <cellStyle name="20% - Accent6 3 8 2" xfId="17185" xr:uid="{DA8DC67D-D009-478E-B42C-DCB53A827699}"/>
    <cellStyle name="20% - Accent6 3 9" xfId="21396" xr:uid="{D59102C1-9600-485F-94A2-5EB5F7C21983}"/>
    <cellStyle name="20% - Accent6 4" xfId="48" xr:uid="{00000000-0005-0000-0000-00009A030000}"/>
    <cellStyle name="20% - Accent6 4 10" xfId="22226" xr:uid="{C665381D-9F69-4AE6-8811-02683316367E}"/>
    <cellStyle name="20% - Accent6 4 11" xfId="8765" xr:uid="{EA6C64E7-687B-42AE-8091-FD90DC62786E}"/>
    <cellStyle name="20% - Accent6 4 2" xfId="618" xr:uid="{00000000-0005-0000-0000-00009B030000}"/>
    <cellStyle name="20% - Accent6 4 2 2" xfId="2889" xr:uid="{00000000-0005-0000-0000-00009C030000}"/>
    <cellStyle name="20% - Accent6 4 2 2 2" xfId="7113" xr:uid="{00000000-0005-0000-0000-00009D030000}"/>
    <cellStyle name="20% - Accent6 4 2 2 2 2" xfId="19746" xr:uid="{03D3F96E-A265-43B6-B98A-9D3B40DB1278}"/>
    <cellStyle name="20% - Accent6 4 2 2 3" xfId="15535" xr:uid="{22D9EEC2-015F-4593-8800-D498C05F2B2B}"/>
    <cellStyle name="20% - Accent6 4 2 2 4" xfId="24785" xr:uid="{1EEB6CE8-1FCE-418B-8448-26C66DC6F42F}"/>
    <cellStyle name="20% - Accent6 4 2 2 5" xfId="11324" xr:uid="{6DB8BDBC-4988-480A-8B19-CAC51492541B}"/>
    <cellStyle name="20% - Accent6 4 2 3" xfId="4968" xr:uid="{00000000-0005-0000-0000-00009E030000}"/>
    <cellStyle name="20% - Accent6 4 2 3 2" xfId="17601" xr:uid="{4C8B98E6-BD37-4F8E-B800-9E30533AC026}"/>
    <cellStyle name="20% - Accent6 4 2 4" xfId="21811" xr:uid="{4CEA8CBE-B5DA-4087-97B5-6A30D94F0DE9}"/>
    <cellStyle name="20% - Accent6 4 2 5" xfId="13390" xr:uid="{521FBBA7-9006-473B-87FD-154EFEC916BE}"/>
    <cellStyle name="20% - Accent6 4 2 6" xfId="22640" xr:uid="{6F89433B-4095-430B-8BF0-23E6D6045FC0}"/>
    <cellStyle name="20% - Accent6 4 2 7" xfId="9179" xr:uid="{B8DEEFC0-962E-44FE-A56C-3755E154DDA4}"/>
    <cellStyle name="20% - Accent6 4 3" xfId="1071" xr:uid="{00000000-0005-0000-0000-00009F030000}"/>
    <cellStyle name="20% - Accent6 4 3 2" xfId="3302" xr:uid="{00000000-0005-0000-0000-0000A0030000}"/>
    <cellStyle name="20% - Accent6 4 3 2 2" xfId="7526" xr:uid="{00000000-0005-0000-0000-0000A1030000}"/>
    <cellStyle name="20% - Accent6 4 3 2 2 2" xfId="20159" xr:uid="{E4A58025-6734-4E86-AD4B-504134169534}"/>
    <cellStyle name="20% - Accent6 4 3 2 3" xfId="15948" xr:uid="{C4E9AE99-76BA-4023-ABF2-E0792081E969}"/>
    <cellStyle name="20% - Accent6 4 3 2 4" xfId="25198" xr:uid="{3B1CE767-FA47-4A01-B718-B1017D130DAF}"/>
    <cellStyle name="20% - Accent6 4 3 2 5" xfId="11737" xr:uid="{246244E4-2714-4A4D-9E29-3E562EAD234E}"/>
    <cellStyle name="20% - Accent6 4 3 3" xfId="5381" xr:uid="{00000000-0005-0000-0000-0000A2030000}"/>
    <cellStyle name="20% - Accent6 4 3 3 2" xfId="18014" xr:uid="{E7758CB4-9645-4832-898F-8C2669E22DD3}"/>
    <cellStyle name="20% - Accent6 4 3 4" xfId="13803" xr:uid="{66D847E1-9C55-4737-8551-B8F3C9173F97}"/>
    <cellStyle name="20% - Accent6 4 3 5" xfId="23053" xr:uid="{643AF18A-731E-417E-95B5-8701366D3841}"/>
    <cellStyle name="20% - Accent6 4 3 6" xfId="9592" xr:uid="{217FCF72-9D00-4942-86CF-A3C8A67F8FA3}"/>
    <cellStyle name="20% - Accent6 4 4" xfId="1485" xr:uid="{00000000-0005-0000-0000-0000A3030000}"/>
    <cellStyle name="20% - Accent6 4 4 2" xfId="3715" xr:uid="{00000000-0005-0000-0000-0000A4030000}"/>
    <cellStyle name="20% - Accent6 4 4 2 2" xfId="7939" xr:uid="{00000000-0005-0000-0000-0000A5030000}"/>
    <cellStyle name="20% - Accent6 4 4 2 2 2" xfId="20572" xr:uid="{B4297A62-B2CD-4297-A1AC-7E7079341129}"/>
    <cellStyle name="20% - Accent6 4 4 2 3" xfId="16361" xr:uid="{FF138A64-7CBB-4622-8DEC-0BF3FB1560AE}"/>
    <cellStyle name="20% - Accent6 4 4 2 4" xfId="25611" xr:uid="{FB9EEC10-A343-4E0D-9858-D2C4BBBE5364}"/>
    <cellStyle name="20% - Accent6 4 4 2 5" xfId="12150" xr:uid="{04990518-D927-4ED1-88B1-4C5CEE8D48DF}"/>
    <cellStyle name="20% - Accent6 4 4 3" xfId="5794" xr:uid="{00000000-0005-0000-0000-0000A6030000}"/>
    <cellStyle name="20% - Accent6 4 4 3 2" xfId="18427" xr:uid="{DB5F97F9-5DD3-4501-B5C1-4DEBDDCC2773}"/>
    <cellStyle name="20% - Accent6 4 4 4" xfId="14216" xr:uid="{78893EB7-5884-44D9-A7F0-4987ECB33687}"/>
    <cellStyle name="20% - Accent6 4 4 5" xfId="23466" xr:uid="{76DA3BDB-C5FD-40EB-9F9B-A2319B8F9A6D}"/>
    <cellStyle name="20% - Accent6 4 4 6" xfId="10005" xr:uid="{17B43418-899E-4170-A0B1-58CC270CC7AD}"/>
    <cellStyle name="20% - Accent6 4 5" xfId="1899" xr:uid="{00000000-0005-0000-0000-0000A7030000}"/>
    <cellStyle name="20% - Accent6 4 5 2" xfId="4128" xr:uid="{00000000-0005-0000-0000-0000A8030000}"/>
    <cellStyle name="20% - Accent6 4 5 2 2" xfId="8352" xr:uid="{00000000-0005-0000-0000-0000A9030000}"/>
    <cellStyle name="20% - Accent6 4 5 2 2 2" xfId="20985" xr:uid="{C45674A6-7EFD-466C-BE19-047F9291E44F}"/>
    <cellStyle name="20% - Accent6 4 5 2 3" xfId="16774" xr:uid="{2E39C084-3590-4FA1-974F-A0B80BA705DB}"/>
    <cellStyle name="20% - Accent6 4 5 2 4" xfId="26024" xr:uid="{47E41FF5-2760-4317-97E2-5B860833B96D}"/>
    <cellStyle name="20% - Accent6 4 5 2 5" xfId="12563" xr:uid="{FEEAA87B-BCE3-428B-BF35-267313FBB565}"/>
    <cellStyle name="20% - Accent6 4 5 3" xfId="6207" xr:uid="{00000000-0005-0000-0000-0000AA030000}"/>
    <cellStyle name="20% - Accent6 4 5 3 2" xfId="18840" xr:uid="{68D685FB-2AFA-4C52-9795-B8E12246E0E1}"/>
    <cellStyle name="20% - Accent6 4 5 4" xfId="14629" xr:uid="{6448EB80-3D21-43A7-8F24-A8FC2AE9E37F}"/>
    <cellStyle name="20% - Accent6 4 5 5" xfId="23879" xr:uid="{018CE336-68DE-419B-A24A-CD6AC6A8F135}"/>
    <cellStyle name="20% - Accent6 4 5 6" xfId="10418" xr:uid="{5EA58D0E-722F-4C6A-BD2D-FD5ADFEA5F95}"/>
    <cellStyle name="20% - Accent6 4 6" xfId="2312" xr:uid="{00000000-0005-0000-0000-0000AB030000}"/>
    <cellStyle name="20% - Accent6 4 6 2" xfId="6620" xr:uid="{00000000-0005-0000-0000-0000AC030000}"/>
    <cellStyle name="20% - Accent6 4 6 2 2" xfId="19253" xr:uid="{8EC39DF7-CB76-4E3D-8CCB-897D61D0D344}"/>
    <cellStyle name="20% - Accent6 4 6 3" xfId="15042" xr:uid="{CA1B99E3-F765-49E4-B3F3-2BF76B6FE5E3}"/>
    <cellStyle name="20% - Accent6 4 6 4" xfId="24292" xr:uid="{F04BEB2A-3A68-4E80-BE50-4D52C0D2DEAF}"/>
    <cellStyle name="20% - Accent6 4 6 5" xfId="10831" xr:uid="{15DB8626-6F57-470F-A30F-5B0991853EEB}"/>
    <cellStyle name="20% - Accent6 4 7" xfId="4554" xr:uid="{00000000-0005-0000-0000-0000AD030000}"/>
    <cellStyle name="20% - Accent6 4 7 2" xfId="17187" xr:uid="{4DC602AC-A94D-4C9B-85A5-DB937566BB81}"/>
    <cellStyle name="20% - Accent6 4 8" xfId="21398" xr:uid="{BAE1C5B5-2372-4EC0-A4A6-A46D469831A2}"/>
    <cellStyle name="20% - Accent6 4 9" xfId="12976" xr:uid="{8064D7B4-F223-424D-B34E-0BFD5241A266}"/>
    <cellStyle name="20% - Accent6 5" xfId="611" xr:uid="{00000000-0005-0000-0000-0000AE030000}"/>
    <cellStyle name="20% - Accent6 5 2" xfId="2882" xr:uid="{00000000-0005-0000-0000-0000AF030000}"/>
    <cellStyle name="20% - Accent6 5 2 2" xfId="7106" xr:uid="{00000000-0005-0000-0000-0000B0030000}"/>
    <cellStyle name="20% - Accent6 5 2 2 2" xfId="19739" xr:uid="{B1E447E5-C890-43E4-9492-2C947F899FC4}"/>
    <cellStyle name="20% - Accent6 5 2 3" xfId="15528" xr:uid="{80D40C78-47B5-4C1A-A7B2-4DA5E7B41A14}"/>
    <cellStyle name="20% - Accent6 5 2 4" xfId="24778" xr:uid="{FA5F66AC-D82E-4B2A-AAE3-DA26973CCBC3}"/>
    <cellStyle name="20% - Accent6 5 2 5" xfId="11317" xr:uid="{BD565401-E02A-497E-BF67-163A278CD8DA}"/>
    <cellStyle name="20% - Accent6 5 3" xfId="4961" xr:uid="{00000000-0005-0000-0000-0000B1030000}"/>
    <cellStyle name="20% - Accent6 5 3 2" xfId="17594" xr:uid="{009E540B-D7CA-4539-B0FC-70790B102510}"/>
    <cellStyle name="20% - Accent6 5 4" xfId="21804" xr:uid="{47747015-BE87-4329-BA56-21A790908462}"/>
    <cellStyle name="20% - Accent6 5 5" xfId="13383" xr:uid="{7A7BFF67-93E5-48B2-9D60-8E9B0F80B159}"/>
    <cellStyle name="20% - Accent6 5 6" xfId="22633" xr:uid="{AE48AB41-22E7-422A-AFA3-1AF5130315B5}"/>
    <cellStyle name="20% - Accent6 5 7" xfId="9172" xr:uid="{516727F5-793D-4DC8-A1EB-FBB3BEC1F864}"/>
    <cellStyle name="20% - Accent6 6" xfId="1064" xr:uid="{00000000-0005-0000-0000-0000B2030000}"/>
    <cellStyle name="20% - Accent6 6 2" xfId="3295" xr:uid="{00000000-0005-0000-0000-0000B3030000}"/>
    <cellStyle name="20% - Accent6 6 2 2" xfId="7519" xr:uid="{00000000-0005-0000-0000-0000B4030000}"/>
    <cellStyle name="20% - Accent6 6 2 2 2" xfId="20152" xr:uid="{DEB4F121-AFBE-4400-97A3-564D79C9FBDC}"/>
    <cellStyle name="20% - Accent6 6 2 3" xfId="15941" xr:uid="{C740DC66-9D25-4522-8E72-B4040887DB36}"/>
    <cellStyle name="20% - Accent6 6 2 4" xfId="25191" xr:uid="{C6B854C5-5AE0-4BE6-91EB-0276D7E78B7E}"/>
    <cellStyle name="20% - Accent6 6 2 5" xfId="11730" xr:uid="{0D5B57D0-D0AB-4274-9015-3D8ED9DF398B}"/>
    <cellStyle name="20% - Accent6 6 3" xfId="5374" xr:uid="{00000000-0005-0000-0000-0000B5030000}"/>
    <cellStyle name="20% - Accent6 6 3 2" xfId="18007" xr:uid="{54910940-1E73-4DDA-8A39-8F04A427E12D}"/>
    <cellStyle name="20% - Accent6 6 4" xfId="13796" xr:uid="{AAB3CC24-44C5-487F-BBFB-7D3AA7435A5E}"/>
    <cellStyle name="20% - Accent6 6 5" xfId="23046" xr:uid="{47AC54B4-9FE4-45DF-A252-8B1D3DB9C31E}"/>
    <cellStyle name="20% - Accent6 6 6" xfId="9585" xr:uid="{1BAF81A1-3AC5-4A28-89ED-473779829C67}"/>
    <cellStyle name="20% - Accent6 7" xfId="1478" xr:uid="{00000000-0005-0000-0000-0000B6030000}"/>
    <cellStyle name="20% - Accent6 7 2" xfId="3708" xr:uid="{00000000-0005-0000-0000-0000B7030000}"/>
    <cellStyle name="20% - Accent6 7 2 2" xfId="7932" xr:uid="{00000000-0005-0000-0000-0000B8030000}"/>
    <cellStyle name="20% - Accent6 7 2 2 2" xfId="20565" xr:uid="{563E8C9A-76C1-46E9-8561-FED918EA8D6A}"/>
    <cellStyle name="20% - Accent6 7 2 3" xfId="16354" xr:uid="{AFF0FA81-2E1E-4BF4-8066-F38D7C35DC96}"/>
    <cellStyle name="20% - Accent6 7 2 4" xfId="25604" xr:uid="{67D45D16-87E4-4F16-9E81-EDF09CE8D8AD}"/>
    <cellStyle name="20% - Accent6 7 2 5" xfId="12143" xr:uid="{C94567D0-31E6-4B3F-A569-9552108E50B5}"/>
    <cellStyle name="20% - Accent6 7 3" xfId="5787" xr:uid="{00000000-0005-0000-0000-0000B9030000}"/>
    <cellStyle name="20% - Accent6 7 3 2" xfId="18420" xr:uid="{2FE5A03A-10FF-4BC7-AEE5-A4544AD7A834}"/>
    <cellStyle name="20% - Accent6 7 4" xfId="14209" xr:uid="{8B14CEC4-BFB6-493D-A709-DEE744DA559D}"/>
    <cellStyle name="20% - Accent6 7 5" xfId="23459" xr:uid="{2C8B3837-9801-4E96-A44F-C221C2D9F5F1}"/>
    <cellStyle name="20% - Accent6 7 6" xfId="9998" xr:uid="{BAA4EB17-500D-457D-B577-485964E6F42D}"/>
    <cellStyle name="20% - Accent6 8" xfId="1892" xr:uid="{00000000-0005-0000-0000-0000BA030000}"/>
    <cellStyle name="20% - Accent6 8 2" xfId="4121" xr:uid="{00000000-0005-0000-0000-0000BB030000}"/>
    <cellStyle name="20% - Accent6 8 2 2" xfId="8345" xr:uid="{00000000-0005-0000-0000-0000BC030000}"/>
    <cellStyle name="20% - Accent6 8 2 2 2" xfId="20978" xr:uid="{A4EF8D0B-3D76-478C-803A-90FC3DDE4305}"/>
    <cellStyle name="20% - Accent6 8 2 3" xfId="16767" xr:uid="{135EAECD-1C8A-4F02-B751-13E42AC35571}"/>
    <cellStyle name="20% - Accent6 8 2 4" xfId="26017" xr:uid="{5D077E28-F7ED-4C9D-AC11-AAFF9BEB8A5F}"/>
    <cellStyle name="20% - Accent6 8 2 5" xfId="12556" xr:uid="{2FCE9B5F-FAE5-4F88-B301-773609126E93}"/>
    <cellStyle name="20% - Accent6 8 3" xfId="6200" xr:uid="{00000000-0005-0000-0000-0000BD030000}"/>
    <cellStyle name="20% - Accent6 8 3 2" xfId="18833" xr:uid="{87719D75-9010-42A2-B26A-944AF68814E0}"/>
    <cellStyle name="20% - Accent6 8 4" xfId="14622" xr:uid="{9DF14056-5F79-4A0C-B2ED-87A01BF57B05}"/>
    <cellStyle name="20% - Accent6 8 5" xfId="23872" xr:uid="{C7591C46-F749-4621-828A-05EC1776C93F}"/>
    <cellStyle name="20% - Accent6 8 6" xfId="10411" xr:uid="{DA15FF76-59B1-42A6-A1BB-0934902F6094}"/>
    <cellStyle name="20% - Accent6 9" xfId="2305" xr:uid="{00000000-0005-0000-0000-0000BE030000}"/>
    <cellStyle name="20% - Accent6 9 2" xfId="6613" xr:uid="{00000000-0005-0000-0000-0000BF030000}"/>
    <cellStyle name="20% - Accent6 9 2 2" xfId="19246" xr:uid="{24C4E300-DE8A-493E-88EE-7E2EBFAE5B4E}"/>
    <cellStyle name="20% - Accent6 9 3" xfId="15035" xr:uid="{D1C11CAC-1727-46A1-AD2B-9B89FD648CFF}"/>
    <cellStyle name="20% - Accent6 9 4" xfId="24285" xr:uid="{11D272D6-F58B-41ED-A64A-79A3E4F69753}"/>
    <cellStyle name="20% - Accent6 9 5" xfId="10824" xr:uid="{11FA9AD9-4575-4425-9F57-931BC5808964}"/>
    <cellStyle name="40% - Accent1" xfId="49" builtinId="31" customBuiltin="1"/>
    <cellStyle name="40% - Accent1 10" xfId="4555" xr:uid="{00000000-0005-0000-0000-0000C1030000}"/>
    <cellStyle name="40% - Accent1 10 2" xfId="17188" xr:uid="{7349B36E-D6A7-4487-99E6-081D598CA15F}"/>
    <cellStyle name="40% - Accent1 11" xfId="21399" xr:uid="{BB8C70FD-7874-402C-82B0-4CE60B11786F}"/>
    <cellStyle name="40% - Accent1 12" xfId="12977" xr:uid="{7C3E023B-2614-44FC-8F00-1A98D83815D4}"/>
    <cellStyle name="40% - Accent1 13" xfId="22227" xr:uid="{54734AE4-EDF0-495D-9614-07A5E6E768FE}"/>
    <cellStyle name="40% - Accent1 14" xfId="8766" xr:uid="{5ABD175A-5854-4FCC-B299-2F81A2238AAE}"/>
    <cellStyle name="40% - Accent1 2" xfId="50" xr:uid="{00000000-0005-0000-0000-0000C2030000}"/>
    <cellStyle name="40% - Accent1 2 10" xfId="21400" xr:uid="{C8D73B27-B32A-4602-89D8-D723FBE143FD}"/>
    <cellStyle name="40% - Accent1 2 11" xfId="12978" xr:uid="{B415655B-5743-43D8-9DBA-ED0B4DB69383}"/>
    <cellStyle name="40% - Accent1 2 12" xfId="22228" xr:uid="{4524BB63-6D85-4242-B295-05F2EEE2C8E2}"/>
    <cellStyle name="40% - Accent1 2 13" xfId="8767" xr:uid="{C08B63E0-2335-4C76-910B-CB147105AB4F}"/>
    <cellStyle name="40% - Accent1 2 2" xfId="51" xr:uid="{00000000-0005-0000-0000-0000C3030000}"/>
    <cellStyle name="40% - Accent1 2 2 10" xfId="12979" xr:uid="{77A752BE-2E99-4D57-AAF6-2A033D4E44C1}"/>
    <cellStyle name="40% - Accent1 2 2 11" xfId="22229" xr:uid="{D764D3CD-CF95-41C8-B5CC-7F19DB6F98FC}"/>
    <cellStyle name="40% - Accent1 2 2 12" xfId="8768" xr:uid="{310A939E-A704-4E47-AC1E-1FE39F2AEC4A}"/>
    <cellStyle name="40% - Accent1 2 2 2" xfId="52" xr:uid="{00000000-0005-0000-0000-0000C4030000}"/>
    <cellStyle name="40% - Accent1 2 2 2 10" xfId="22230" xr:uid="{0BED866A-32F2-4B1D-87FB-715D3961FF3E}"/>
    <cellStyle name="40% - Accent1 2 2 2 11" xfId="8769" xr:uid="{FD4EA423-FEA5-41D4-912D-9CA158322CB6}"/>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9750" xr:uid="{A9303C23-B4C6-4D0C-98D4-8F71B25B3694}"/>
    <cellStyle name="40% - Accent1 2 2 2 2 2 3" xfId="15539" xr:uid="{8648BA98-DEE5-40D7-A5E6-510046D1147B}"/>
    <cellStyle name="40% - Accent1 2 2 2 2 2 4" xfId="24789" xr:uid="{3C668A07-F5FE-4E26-9326-B10CDB67E0C2}"/>
    <cellStyle name="40% - Accent1 2 2 2 2 2 5" xfId="11328" xr:uid="{BE87DBAF-619B-4E74-989B-10FF5FB0A08B}"/>
    <cellStyle name="40% - Accent1 2 2 2 2 3" xfId="4972" xr:uid="{00000000-0005-0000-0000-0000C8030000}"/>
    <cellStyle name="40% - Accent1 2 2 2 2 3 2" xfId="17605" xr:uid="{ECC6DB7A-2151-493B-96E2-A0456A4BD03A}"/>
    <cellStyle name="40% - Accent1 2 2 2 2 4" xfId="21815" xr:uid="{C09C5F97-8FAE-43B5-9DD7-D89653F72A70}"/>
    <cellStyle name="40% - Accent1 2 2 2 2 5" xfId="13394" xr:uid="{65E884E2-47E5-4B48-8630-A6592C072889}"/>
    <cellStyle name="40% - Accent1 2 2 2 2 6" xfId="22644" xr:uid="{1E89AEA0-52C9-41C5-BFDE-35DDF5E0710F}"/>
    <cellStyle name="40% - Accent1 2 2 2 2 7" xfId="9183" xr:uid="{D548340F-70D0-4781-BC1D-23710416283E}"/>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20163" xr:uid="{5F350073-F46F-47D2-B60E-D212E17DCD0A}"/>
    <cellStyle name="40% - Accent1 2 2 2 3 2 3" xfId="15952" xr:uid="{C700D092-3707-45BB-8966-523E84DF0C7C}"/>
    <cellStyle name="40% - Accent1 2 2 2 3 2 4" xfId="25202" xr:uid="{B16E020B-E73D-4CB7-9B8A-662140531178}"/>
    <cellStyle name="40% - Accent1 2 2 2 3 2 5" xfId="11741" xr:uid="{B9459F94-CFC7-47C0-AED0-E6BE01D14FAF}"/>
    <cellStyle name="40% - Accent1 2 2 2 3 3" xfId="5385" xr:uid="{00000000-0005-0000-0000-0000CC030000}"/>
    <cellStyle name="40% - Accent1 2 2 2 3 3 2" xfId="18018" xr:uid="{902C76A1-264D-4F8C-9978-EF718594B387}"/>
    <cellStyle name="40% - Accent1 2 2 2 3 4" xfId="13807" xr:uid="{DB4DAE0E-A061-47B7-9858-A58C7891B02C}"/>
    <cellStyle name="40% - Accent1 2 2 2 3 5" xfId="23057" xr:uid="{9FB1BCCF-FD0D-4C2E-A0B1-130E4E226AAB}"/>
    <cellStyle name="40% - Accent1 2 2 2 3 6" xfId="9596" xr:uid="{44627614-6D34-4C01-AA6A-CE5FD9E1C7AA}"/>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20576" xr:uid="{6D0F464D-0D3B-4E48-A31E-6B3171D9A151}"/>
    <cellStyle name="40% - Accent1 2 2 2 4 2 3" xfId="16365" xr:uid="{D5D5FBBB-50A9-4CDC-A2B7-F36CAA36EEDA}"/>
    <cellStyle name="40% - Accent1 2 2 2 4 2 4" xfId="25615" xr:uid="{8B79225A-3A06-4C97-B520-C5874F9DCC95}"/>
    <cellStyle name="40% - Accent1 2 2 2 4 2 5" xfId="12154" xr:uid="{19595462-D27F-41CF-892D-6CFEC405DF38}"/>
    <cellStyle name="40% - Accent1 2 2 2 4 3" xfId="5798" xr:uid="{00000000-0005-0000-0000-0000D0030000}"/>
    <cellStyle name="40% - Accent1 2 2 2 4 3 2" xfId="18431" xr:uid="{ED439266-F47C-4382-AAD3-1A5463096C81}"/>
    <cellStyle name="40% - Accent1 2 2 2 4 4" xfId="14220" xr:uid="{E90CAC11-4436-4FA5-9C86-4D6FA4151A9A}"/>
    <cellStyle name="40% - Accent1 2 2 2 4 5" xfId="23470" xr:uid="{8B8EE482-3AC5-4ABB-8EA9-FC5C0EF80998}"/>
    <cellStyle name="40% - Accent1 2 2 2 4 6" xfId="10009" xr:uid="{F5DA8AF4-171E-424B-8E31-E830E5657406}"/>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20989" xr:uid="{226D40B6-57CF-4F3D-AD16-72BCD4B4FEB7}"/>
    <cellStyle name="40% - Accent1 2 2 2 5 2 3" xfId="16778" xr:uid="{CAB13941-821E-4B67-9ADD-FC0B94B6BC9E}"/>
    <cellStyle name="40% - Accent1 2 2 2 5 2 4" xfId="26028" xr:uid="{F143B85F-54F6-4223-9B63-8446412B88F0}"/>
    <cellStyle name="40% - Accent1 2 2 2 5 2 5" xfId="12567" xr:uid="{09B9712C-EDB7-4D80-97F3-0E3A8B5C34B8}"/>
    <cellStyle name="40% - Accent1 2 2 2 5 3" xfId="6211" xr:uid="{00000000-0005-0000-0000-0000D4030000}"/>
    <cellStyle name="40% - Accent1 2 2 2 5 3 2" xfId="18844" xr:uid="{F24973F2-83C0-4EFB-A9F2-D819AA64B55F}"/>
    <cellStyle name="40% - Accent1 2 2 2 5 4" xfId="14633" xr:uid="{B2B6EBDB-56AE-4A25-99ED-CC2EA3E96F5B}"/>
    <cellStyle name="40% - Accent1 2 2 2 5 5" xfId="23883" xr:uid="{2C44B4AC-ED75-4536-89F3-B809AB5A17BE}"/>
    <cellStyle name="40% - Accent1 2 2 2 5 6" xfId="10422" xr:uid="{0A8D4B4D-716F-47CF-B4F0-DF3FB8D35497}"/>
    <cellStyle name="40% - Accent1 2 2 2 6" xfId="2316" xr:uid="{00000000-0005-0000-0000-0000D5030000}"/>
    <cellStyle name="40% - Accent1 2 2 2 6 2" xfId="6624" xr:uid="{00000000-0005-0000-0000-0000D6030000}"/>
    <cellStyle name="40% - Accent1 2 2 2 6 2 2" xfId="19257" xr:uid="{17505E2E-7810-4602-B783-2974C91C2DCD}"/>
    <cellStyle name="40% - Accent1 2 2 2 6 3" xfId="15046" xr:uid="{D8E0CF85-8C59-4383-B412-8BABA0DF0539}"/>
    <cellStyle name="40% - Accent1 2 2 2 6 4" xfId="24296" xr:uid="{C59E3F98-27EF-414B-AC54-25AB7DC13E94}"/>
    <cellStyle name="40% - Accent1 2 2 2 6 5" xfId="10835" xr:uid="{71C5998A-EBD6-4BF9-B019-A62151F62A79}"/>
    <cellStyle name="40% - Accent1 2 2 2 7" xfId="4558" xr:uid="{00000000-0005-0000-0000-0000D7030000}"/>
    <cellStyle name="40% - Accent1 2 2 2 7 2" xfId="17191" xr:uid="{B6011201-59A1-451B-90FF-DD03A40F7817}"/>
    <cellStyle name="40% - Accent1 2 2 2 8" xfId="21402" xr:uid="{9ACD57FB-B44C-4C14-8DC5-841B7F8B5483}"/>
    <cellStyle name="40% - Accent1 2 2 2 9" xfId="12980" xr:uid="{445457AD-213B-4296-B04A-BEEC34B77C87}"/>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9749" xr:uid="{4897F49E-37B9-495C-AE1D-4B29F005CBF1}"/>
    <cellStyle name="40% - Accent1 2 2 3 2 3" xfId="15538" xr:uid="{1CDB7579-2159-4AE7-B276-8D2934426847}"/>
    <cellStyle name="40% - Accent1 2 2 3 2 4" xfId="24788" xr:uid="{12E4269F-CE63-4177-B0AA-E3591F525A5D}"/>
    <cellStyle name="40% - Accent1 2 2 3 2 5" xfId="11327" xr:uid="{30596CD3-EDE1-4F12-8580-A20E2F203EA5}"/>
    <cellStyle name="40% - Accent1 2 2 3 3" xfId="4971" xr:uid="{00000000-0005-0000-0000-0000DB030000}"/>
    <cellStyle name="40% - Accent1 2 2 3 3 2" xfId="17604" xr:uid="{A61F0497-DBF8-464A-920C-568DCBF4AE5F}"/>
    <cellStyle name="40% - Accent1 2 2 3 4" xfId="21814" xr:uid="{F4C80234-7B64-4CEF-BECB-5AFB189169AC}"/>
    <cellStyle name="40% - Accent1 2 2 3 5" xfId="13393" xr:uid="{58578487-B97C-4F45-BB86-652C3BB50F6D}"/>
    <cellStyle name="40% - Accent1 2 2 3 6" xfId="22643" xr:uid="{6C905AC6-FBC1-4686-8C14-C9E3E135EB40}"/>
    <cellStyle name="40% - Accent1 2 2 3 7" xfId="9182" xr:uid="{BD87AC64-A774-4C07-8AA5-0408B550980E}"/>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20162" xr:uid="{87CE2EA0-3E63-49CE-A5AF-BCE50A71A8CB}"/>
    <cellStyle name="40% - Accent1 2 2 4 2 3" xfId="15951" xr:uid="{CC20F86A-E932-4359-92C7-F76985537088}"/>
    <cellStyle name="40% - Accent1 2 2 4 2 4" xfId="25201" xr:uid="{02AD0AD5-8A96-46BD-A9B1-72A212461978}"/>
    <cellStyle name="40% - Accent1 2 2 4 2 5" xfId="11740" xr:uid="{A86A4347-455D-4C30-924E-92A42671917A}"/>
    <cellStyle name="40% - Accent1 2 2 4 3" xfId="5384" xr:uid="{00000000-0005-0000-0000-0000DF030000}"/>
    <cellStyle name="40% - Accent1 2 2 4 3 2" xfId="18017" xr:uid="{943FE9E2-2E6A-4CFA-9F28-531F29D041B9}"/>
    <cellStyle name="40% - Accent1 2 2 4 4" xfId="13806" xr:uid="{7DBD65C3-E8EA-45DF-AA8E-8D2C991239DF}"/>
    <cellStyle name="40% - Accent1 2 2 4 5" xfId="23056" xr:uid="{4367B5BC-A946-48D9-A363-7F1DB3F9AA30}"/>
    <cellStyle name="40% - Accent1 2 2 4 6" xfId="9595" xr:uid="{E96F9EEF-B2BC-46BA-A07F-649934B0E389}"/>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20575" xr:uid="{519ED50A-3A63-4AA0-9DC2-AF7FDC54A434}"/>
    <cellStyle name="40% - Accent1 2 2 5 2 3" xfId="16364" xr:uid="{76EE9BB0-2D36-4DA3-AC97-FCEDD7FBB457}"/>
    <cellStyle name="40% - Accent1 2 2 5 2 4" xfId="25614" xr:uid="{CBEBB301-0FD4-4DC9-87EC-CDFF5ACFECA5}"/>
    <cellStyle name="40% - Accent1 2 2 5 2 5" xfId="12153" xr:uid="{80D65B1C-0A5D-4E32-A9BF-EB617887641C}"/>
    <cellStyle name="40% - Accent1 2 2 5 3" xfId="5797" xr:uid="{00000000-0005-0000-0000-0000E3030000}"/>
    <cellStyle name="40% - Accent1 2 2 5 3 2" xfId="18430" xr:uid="{720DB0C3-747F-4CDD-8D95-F2BFD956A65C}"/>
    <cellStyle name="40% - Accent1 2 2 5 4" xfId="14219" xr:uid="{24BB153A-7AB0-4B5D-9589-E57E1839BFC4}"/>
    <cellStyle name="40% - Accent1 2 2 5 5" xfId="23469" xr:uid="{765B5F7F-CBFB-477E-9010-75DF2C6D3E26}"/>
    <cellStyle name="40% - Accent1 2 2 5 6" xfId="10008" xr:uid="{9471D70C-5700-4717-A0EA-C6E0953BAFC2}"/>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20988" xr:uid="{0376A42D-8278-49EF-9359-B4DD50076CBE}"/>
    <cellStyle name="40% - Accent1 2 2 6 2 3" xfId="16777" xr:uid="{83E60473-6521-4A63-BF78-EFD1851AEF93}"/>
    <cellStyle name="40% - Accent1 2 2 6 2 4" xfId="26027" xr:uid="{77E320D2-1966-4CFD-8BE8-239D8BB857E5}"/>
    <cellStyle name="40% - Accent1 2 2 6 2 5" xfId="12566" xr:uid="{ED50C792-84E3-46D6-B0A5-405570370FE0}"/>
    <cellStyle name="40% - Accent1 2 2 6 3" xfId="6210" xr:uid="{00000000-0005-0000-0000-0000E7030000}"/>
    <cellStyle name="40% - Accent1 2 2 6 3 2" xfId="18843" xr:uid="{B9DA4F29-0FE2-4E6A-9974-0246CA917A77}"/>
    <cellStyle name="40% - Accent1 2 2 6 4" xfId="14632" xr:uid="{9FC7BEBB-32F0-40F1-84E4-8529163C6A8E}"/>
    <cellStyle name="40% - Accent1 2 2 6 5" xfId="23882" xr:uid="{E3F39FE8-3A98-49EE-8E83-5EDA8ADC4F0B}"/>
    <cellStyle name="40% - Accent1 2 2 6 6" xfId="10421" xr:uid="{1314B15F-B07B-427A-AC1D-D51439074BEF}"/>
    <cellStyle name="40% - Accent1 2 2 7" xfId="2315" xr:uid="{00000000-0005-0000-0000-0000E8030000}"/>
    <cellStyle name="40% - Accent1 2 2 7 2" xfId="6623" xr:uid="{00000000-0005-0000-0000-0000E9030000}"/>
    <cellStyle name="40% - Accent1 2 2 7 2 2" xfId="19256" xr:uid="{D739CAD4-D06B-42F7-9CA1-C58AA1417141}"/>
    <cellStyle name="40% - Accent1 2 2 7 3" xfId="15045" xr:uid="{19403980-C1F4-4266-9A9D-03445DBDF745}"/>
    <cellStyle name="40% - Accent1 2 2 7 4" xfId="24295" xr:uid="{505298A8-1CD5-494C-A6F5-E1CD352DD2CD}"/>
    <cellStyle name="40% - Accent1 2 2 7 5" xfId="10834" xr:uid="{B64666A9-4D4E-4A09-9EA4-3A21CA3367BB}"/>
    <cellStyle name="40% - Accent1 2 2 8" xfId="4557" xr:uid="{00000000-0005-0000-0000-0000EA030000}"/>
    <cellStyle name="40% - Accent1 2 2 8 2" xfId="17190" xr:uid="{111CF653-FA73-49DF-93D1-0DA3E166F220}"/>
    <cellStyle name="40% - Accent1 2 2 9" xfId="21401" xr:uid="{11D56538-345E-4A7B-B8EB-8F38083FF3CF}"/>
    <cellStyle name="40% - Accent1 2 3" xfId="53" xr:uid="{00000000-0005-0000-0000-0000EB030000}"/>
    <cellStyle name="40% - Accent1 2 3 10" xfId="22231" xr:uid="{0CA41F38-09CA-4862-942E-CC16F837593B}"/>
    <cellStyle name="40% - Accent1 2 3 11" xfId="8770" xr:uid="{2932A95B-1CBF-470D-BFE6-4EFEDCB8E392}"/>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9751" xr:uid="{5AB652AD-D5CB-4FCA-BD6F-7A4137734662}"/>
    <cellStyle name="40% - Accent1 2 3 2 2 3" xfId="15540" xr:uid="{07B354F2-8FEB-4272-BC01-95D64A6306FF}"/>
    <cellStyle name="40% - Accent1 2 3 2 2 4" xfId="24790" xr:uid="{561D28A6-B2D9-4018-8A10-9B3DFB1943BB}"/>
    <cellStyle name="40% - Accent1 2 3 2 2 5" xfId="11329" xr:uid="{049AA8A4-1476-4AFF-A662-B0296BA6A5A7}"/>
    <cellStyle name="40% - Accent1 2 3 2 3" xfId="4973" xr:uid="{00000000-0005-0000-0000-0000EF030000}"/>
    <cellStyle name="40% - Accent1 2 3 2 3 2" xfId="17606" xr:uid="{FC2EF194-C77D-4B53-9CC5-281EC83C9245}"/>
    <cellStyle name="40% - Accent1 2 3 2 4" xfId="21816" xr:uid="{089DDCFA-913A-4D40-B279-6EE702F52608}"/>
    <cellStyle name="40% - Accent1 2 3 2 5" xfId="13395" xr:uid="{9A1FF444-C50D-42D0-9129-BB3226E344AA}"/>
    <cellStyle name="40% - Accent1 2 3 2 6" xfId="22645" xr:uid="{C80ABCA4-626F-45A9-B8D7-22102207B71D}"/>
    <cellStyle name="40% - Accent1 2 3 2 7" xfId="9184" xr:uid="{DAB27073-B2AC-41F1-8392-2EDD64BBD4E4}"/>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20164" xr:uid="{D84CBCDF-66FE-405D-BCA8-E978AF9383CF}"/>
    <cellStyle name="40% - Accent1 2 3 3 2 3" xfId="15953" xr:uid="{6D79831D-4E46-44AB-869D-CB6AED629DBC}"/>
    <cellStyle name="40% - Accent1 2 3 3 2 4" xfId="25203" xr:uid="{3BB2EB04-B683-45F4-9582-08B1DADA9035}"/>
    <cellStyle name="40% - Accent1 2 3 3 2 5" xfId="11742" xr:uid="{738E56BD-81C2-4AB0-A049-51805D3E4E58}"/>
    <cellStyle name="40% - Accent1 2 3 3 3" xfId="5386" xr:uid="{00000000-0005-0000-0000-0000F3030000}"/>
    <cellStyle name="40% - Accent1 2 3 3 3 2" xfId="18019" xr:uid="{ACA0684B-5A6C-4A2F-873C-6311600692B0}"/>
    <cellStyle name="40% - Accent1 2 3 3 4" xfId="13808" xr:uid="{141B10C2-3D66-4048-90DB-A5E08A322A08}"/>
    <cellStyle name="40% - Accent1 2 3 3 5" xfId="23058" xr:uid="{29851B92-932F-4F9E-87CB-6746B025C8D9}"/>
    <cellStyle name="40% - Accent1 2 3 3 6" xfId="9597" xr:uid="{AD72C5C6-1A54-44D5-91A6-4A4A3A997770}"/>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20577" xr:uid="{C816DA04-899E-4801-90BD-6837D7522AD1}"/>
    <cellStyle name="40% - Accent1 2 3 4 2 3" xfId="16366" xr:uid="{8FC54143-0AE4-47B7-B450-BFA108029CE2}"/>
    <cellStyle name="40% - Accent1 2 3 4 2 4" xfId="25616" xr:uid="{F904A2B4-7B4C-4C23-90CA-AFA642359F86}"/>
    <cellStyle name="40% - Accent1 2 3 4 2 5" xfId="12155" xr:uid="{CEBF5BB8-B45F-495B-BD3D-8E3E9C1E6D9E}"/>
    <cellStyle name="40% - Accent1 2 3 4 3" xfId="5799" xr:uid="{00000000-0005-0000-0000-0000F7030000}"/>
    <cellStyle name="40% - Accent1 2 3 4 3 2" xfId="18432" xr:uid="{2E45A167-6B4C-4747-A9EC-8364EDAE3288}"/>
    <cellStyle name="40% - Accent1 2 3 4 4" xfId="14221" xr:uid="{8FDD56E5-83AA-4073-A41B-DB5F1C26584C}"/>
    <cellStyle name="40% - Accent1 2 3 4 5" xfId="23471" xr:uid="{10B9DE8C-EE33-4061-80A4-19080F3D5496}"/>
    <cellStyle name="40% - Accent1 2 3 4 6" xfId="10010" xr:uid="{77A18B7F-2E7F-4AE4-9D7A-E816C8DBA7E4}"/>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20990" xr:uid="{B789A447-0019-44BD-B26B-50318F350824}"/>
    <cellStyle name="40% - Accent1 2 3 5 2 3" xfId="16779" xr:uid="{975E3DD0-A9A9-4F3C-80FE-CF01BBE404A1}"/>
    <cellStyle name="40% - Accent1 2 3 5 2 4" xfId="26029" xr:uid="{2A6BC140-F27A-4564-A7B4-6D8D094BA12A}"/>
    <cellStyle name="40% - Accent1 2 3 5 2 5" xfId="12568" xr:uid="{4F6EDC58-A1F1-429F-A65E-B2BE37A643FB}"/>
    <cellStyle name="40% - Accent1 2 3 5 3" xfId="6212" xr:uid="{00000000-0005-0000-0000-0000FB030000}"/>
    <cellStyle name="40% - Accent1 2 3 5 3 2" xfId="18845" xr:uid="{7D02962E-1C81-45BA-8CF0-4C8FC553755D}"/>
    <cellStyle name="40% - Accent1 2 3 5 4" xfId="14634" xr:uid="{EE1E353F-FA69-40BF-99E7-21D97954A620}"/>
    <cellStyle name="40% - Accent1 2 3 5 5" xfId="23884" xr:uid="{B758325D-DF8B-4F02-9ADA-4A03A446887C}"/>
    <cellStyle name="40% - Accent1 2 3 5 6" xfId="10423" xr:uid="{08F6B7F2-ACD3-45B2-B171-545348774264}"/>
    <cellStyle name="40% - Accent1 2 3 6" xfId="2317" xr:uid="{00000000-0005-0000-0000-0000FC030000}"/>
    <cellStyle name="40% - Accent1 2 3 6 2" xfId="6625" xr:uid="{00000000-0005-0000-0000-0000FD030000}"/>
    <cellStyle name="40% - Accent1 2 3 6 2 2" xfId="19258" xr:uid="{4C6D9E87-435B-4C8E-A234-C8543B49B50C}"/>
    <cellStyle name="40% - Accent1 2 3 6 3" xfId="15047" xr:uid="{C31345FB-F951-44D8-9BB8-CF0BA08960E2}"/>
    <cellStyle name="40% - Accent1 2 3 6 4" xfId="24297" xr:uid="{3A8DFCD6-747E-476B-9FC5-4DCCD5B31799}"/>
    <cellStyle name="40% - Accent1 2 3 6 5" xfId="10836" xr:uid="{9AD0588D-2B8E-499B-99B0-0BDDB27470D4}"/>
    <cellStyle name="40% - Accent1 2 3 7" xfId="4559" xr:uid="{00000000-0005-0000-0000-0000FE030000}"/>
    <cellStyle name="40% - Accent1 2 3 7 2" xfId="17192" xr:uid="{289D6F9F-F826-411F-B1A3-BA232A866893}"/>
    <cellStyle name="40% - Accent1 2 3 8" xfId="21403" xr:uid="{AB745CB9-D20F-47F6-AD2A-0A1D9608E992}"/>
    <cellStyle name="40% - Accent1 2 3 9" xfId="12981" xr:uid="{6B30E52F-F579-4FDC-B26C-E92DA1904D27}"/>
    <cellStyle name="40% - Accent1 2 4" xfId="620" xr:uid="{00000000-0005-0000-0000-0000FF030000}"/>
    <cellStyle name="40% - Accent1 2 4 2" xfId="2891" xr:uid="{00000000-0005-0000-0000-000000040000}"/>
    <cellStyle name="40% - Accent1 2 4 2 2" xfId="7115" xr:uid="{00000000-0005-0000-0000-000001040000}"/>
    <cellStyle name="40% - Accent1 2 4 2 2 2" xfId="19748" xr:uid="{48F2C033-CF45-439E-8674-07B741C50C8F}"/>
    <cellStyle name="40% - Accent1 2 4 2 3" xfId="15537" xr:uid="{B990989D-F2C3-427B-89AC-DAFB4EF1647B}"/>
    <cellStyle name="40% - Accent1 2 4 2 4" xfId="24787" xr:uid="{25180BE5-CDAE-4BDE-A797-35284C04E1EE}"/>
    <cellStyle name="40% - Accent1 2 4 2 5" xfId="11326" xr:uid="{0AB0061A-495A-4D78-8CC5-9345E0073A09}"/>
    <cellStyle name="40% - Accent1 2 4 3" xfId="4970" xr:uid="{00000000-0005-0000-0000-000002040000}"/>
    <cellStyle name="40% - Accent1 2 4 3 2" xfId="17603" xr:uid="{0D9E76A2-8324-4C14-B9D8-FF7870CC796F}"/>
    <cellStyle name="40% - Accent1 2 4 4" xfId="21813" xr:uid="{BC093547-6564-4D38-85F8-D706548F8DFF}"/>
    <cellStyle name="40% - Accent1 2 4 5" xfId="13392" xr:uid="{5D99AE6A-9251-4AA6-B5B3-3BBB5D3943E6}"/>
    <cellStyle name="40% - Accent1 2 4 6" xfId="22642" xr:uid="{F4DB78D9-B178-408F-9307-402F25644282}"/>
    <cellStyle name="40% - Accent1 2 4 7" xfId="9181" xr:uid="{8FCD9AD5-26D3-43B5-89C5-EA39260FF764}"/>
    <cellStyle name="40% - Accent1 2 5" xfId="1073" xr:uid="{00000000-0005-0000-0000-000003040000}"/>
    <cellStyle name="40% - Accent1 2 5 2" xfId="3304" xr:uid="{00000000-0005-0000-0000-000004040000}"/>
    <cellStyle name="40% - Accent1 2 5 2 2" xfId="7528" xr:uid="{00000000-0005-0000-0000-000005040000}"/>
    <cellStyle name="40% - Accent1 2 5 2 2 2" xfId="20161" xr:uid="{9EE5CCE0-0599-468F-B5BE-4DA110E1BAED}"/>
    <cellStyle name="40% - Accent1 2 5 2 3" xfId="15950" xr:uid="{78889692-9D45-4E0B-8280-303A0DBD55CD}"/>
    <cellStyle name="40% - Accent1 2 5 2 4" xfId="25200" xr:uid="{34A38CFB-D2B4-47C7-A0CB-0193BC85FD4E}"/>
    <cellStyle name="40% - Accent1 2 5 2 5" xfId="11739" xr:uid="{4D95A4E6-2697-4DF6-84B8-A7E7DE418714}"/>
    <cellStyle name="40% - Accent1 2 5 3" xfId="5383" xr:uid="{00000000-0005-0000-0000-000006040000}"/>
    <cellStyle name="40% - Accent1 2 5 3 2" xfId="18016" xr:uid="{BC21C8B9-EE78-4F8A-8664-81D6E38FBBE6}"/>
    <cellStyle name="40% - Accent1 2 5 4" xfId="13805" xr:uid="{5BCABBAD-C974-4D58-8AF4-C4AF1ED9D48C}"/>
    <cellStyle name="40% - Accent1 2 5 5" xfId="23055" xr:uid="{35671701-C888-466F-A24F-909E30C88F0D}"/>
    <cellStyle name="40% - Accent1 2 5 6" xfId="9594" xr:uid="{5A915867-3565-4375-8BB3-CA6454B8FF46}"/>
    <cellStyle name="40% - Accent1 2 6" xfId="1487" xr:uid="{00000000-0005-0000-0000-000007040000}"/>
    <cellStyle name="40% - Accent1 2 6 2" xfId="3717" xr:uid="{00000000-0005-0000-0000-000008040000}"/>
    <cellStyle name="40% - Accent1 2 6 2 2" xfId="7941" xr:uid="{00000000-0005-0000-0000-000009040000}"/>
    <cellStyle name="40% - Accent1 2 6 2 2 2" xfId="20574" xr:uid="{7F687F28-C2FF-4719-B7F5-38C3BC3A64AA}"/>
    <cellStyle name="40% - Accent1 2 6 2 3" xfId="16363" xr:uid="{75F67037-C32E-4EA7-A2B3-086BC0D48DCE}"/>
    <cellStyle name="40% - Accent1 2 6 2 4" xfId="25613" xr:uid="{A4AA04D4-E569-4A07-B9E7-4C05DD1D5C72}"/>
    <cellStyle name="40% - Accent1 2 6 2 5" xfId="12152" xr:uid="{159F3EB3-0E7B-4FDE-A056-0C9D85D04C34}"/>
    <cellStyle name="40% - Accent1 2 6 3" xfId="5796" xr:uid="{00000000-0005-0000-0000-00000A040000}"/>
    <cellStyle name="40% - Accent1 2 6 3 2" xfId="18429" xr:uid="{89C491B6-E42B-4AE6-A587-F85980D45524}"/>
    <cellStyle name="40% - Accent1 2 6 4" xfId="14218" xr:uid="{A4ABEE4B-B806-4108-AF64-15B01CA09E26}"/>
    <cellStyle name="40% - Accent1 2 6 5" xfId="23468" xr:uid="{A5BF84A3-566E-479F-B3BF-B76A28BC26B4}"/>
    <cellStyle name="40% - Accent1 2 6 6" xfId="10007" xr:uid="{75D7569E-0FD4-4CB6-B652-1974E870492B}"/>
    <cellStyle name="40% - Accent1 2 7" xfId="1901" xr:uid="{00000000-0005-0000-0000-00000B040000}"/>
    <cellStyle name="40% - Accent1 2 7 2" xfId="4130" xr:uid="{00000000-0005-0000-0000-00000C040000}"/>
    <cellStyle name="40% - Accent1 2 7 2 2" xfId="8354" xr:uid="{00000000-0005-0000-0000-00000D040000}"/>
    <cellStyle name="40% - Accent1 2 7 2 2 2" xfId="20987" xr:uid="{C31A973A-9D75-4FCB-BBE2-21B63BD7471C}"/>
    <cellStyle name="40% - Accent1 2 7 2 3" xfId="16776" xr:uid="{451FD8EA-9D07-404C-B87E-375EC9B82155}"/>
    <cellStyle name="40% - Accent1 2 7 2 4" xfId="26026" xr:uid="{D7FCF982-83B7-453C-8409-8A7D6F420600}"/>
    <cellStyle name="40% - Accent1 2 7 2 5" xfId="12565" xr:uid="{4DBE0844-96F5-4F07-96BE-C4171238FF0F}"/>
    <cellStyle name="40% - Accent1 2 7 3" xfId="6209" xr:uid="{00000000-0005-0000-0000-00000E040000}"/>
    <cellStyle name="40% - Accent1 2 7 3 2" xfId="18842" xr:uid="{EF5DBE9C-0245-49CA-BB3D-CE071CCE2F27}"/>
    <cellStyle name="40% - Accent1 2 7 4" xfId="14631" xr:uid="{942152F8-F6E8-41EE-BA62-DD466F2AF35B}"/>
    <cellStyle name="40% - Accent1 2 7 5" xfId="23881" xr:uid="{E4AC6973-212A-4000-A291-D0E9DC18CA57}"/>
    <cellStyle name="40% - Accent1 2 7 6" xfId="10420" xr:uid="{CCF4662F-7633-42F8-9DBC-87E04A27F2D1}"/>
    <cellStyle name="40% - Accent1 2 8" xfId="2314" xr:uid="{00000000-0005-0000-0000-00000F040000}"/>
    <cellStyle name="40% - Accent1 2 8 2" xfId="6622" xr:uid="{00000000-0005-0000-0000-000010040000}"/>
    <cellStyle name="40% - Accent1 2 8 2 2" xfId="19255" xr:uid="{34003C4F-127D-46FF-BEEB-E9A85F1ED1FE}"/>
    <cellStyle name="40% - Accent1 2 8 3" xfId="15044" xr:uid="{5F1D04E4-91DB-4940-9418-E327C0A8C64D}"/>
    <cellStyle name="40% - Accent1 2 8 4" xfId="24294" xr:uid="{651F4C6E-D1E8-4BA5-B928-CAC5BADB1F04}"/>
    <cellStyle name="40% - Accent1 2 8 5" xfId="10833" xr:uid="{C3B4DBC4-0081-49D9-94C3-F5DEBA3E20BF}"/>
    <cellStyle name="40% - Accent1 2 9" xfId="4556" xr:uid="{00000000-0005-0000-0000-000011040000}"/>
    <cellStyle name="40% - Accent1 2 9 2" xfId="17189" xr:uid="{2F11532B-8B8D-43A4-9FBA-DA4A9684BB9E}"/>
    <cellStyle name="40% - Accent1 3" xfId="54" xr:uid="{00000000-0005-0000-0000-000012040000}"/>
    <cellStyle name="40% - Accent1 3 10" xfId="12982" xr:uid="{05094CF2-7AF0-4D0F-94C5-C9F720ABF182}"/>
    <cellStyle name="40% - Accent1 3 11" xfId="22232" xr:uid="{B933DEBF-2C77-49AE-BCCE-02BB6C05A29B}"/>
    <cellStyle name="40% - Accent1 3 12" xfId="8771" xr:uid="{A468B1BB-B7A1-4B6D-A2AA-DF13B8ADECF4}"/>
    <cellStyle name="40% - Accent1 3 2" xfId="55" xr:uid="{00000000-0005-0000-0000-000013040000}"/>
    <cellStyle name="40% - Accent1 3 2 10" xfId="22233" xr:uid="{950A516C-AC79-41A6-AA7C-867BF334D096}"/>
    <cellStyle name="40% - Accent1 3 2 11" xfId="8772" xr:uid="{9CA90E3A-8A55-408E-BD9D-62D0A57E2E6E}"/>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9753" xr:uid="{3421046E-9704-4993-88A8-7752E2364D8A}"/>
    <cellStyle name="40% - Accent1 3 2 2 2 3" xfId="15542" xr:uid="{6F4A906B-017A-4BC2-84A1-32B54BDB2DA9}"/>
    <cellStyle name="40% - Accent1 3 2 2 2 4" xfId="24792" xr:uid="{081ECEB0-037F-401C-99FC-AD4CB970F4BA}"/>
    <cellStyle name="40% - Accent1 3 2 2 2 5" xfId="11331" xr:uid="{F9DD30B2-2144-4023-A19B-EF8A405AA2E0}"/>
    <cellStyle name="40% - Accent1 3 2 2 3" xfId="4975" xr:uid="{00000000-0005-0000-0000-000017040000}"/>
    <cellStyle name="40% - Accent1 3 2 2 3 2" xfId="17608" xr:uid="{49D8102B-C2D4-4D7C-A119-ED24630DB6F5}"/>
    <cellStyle name="40% - Accent1 3 2 2 4" xfId="21818" xr:uid="{40D63FEA-4D56-4A99-88CB-2B3219C7B941}"/>
    <cellStyle name="40% - Accent1 3 2 2 5" xfId="13397" xr:uid="{6C47F57D-F77C-40FC-9F20-2B92322D4259}"/>
    <cellStyle name="40% - Accent1 3 2 2 6" xfId="22647" xr:uid="{A6C9E818-01A6-4502-9519-198B0559940C}"/>
    <cellStyle name="40% - Accent1 3 2 2 7" xfId="9186" xr:uid="{C756AEA6-53FE-433E-837C-9BA1CB2A1316}"/>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20166" xr:uid="{73F6F4B3-032C-40CF-99B7-7BB5799C43BC}"/>
    <cellStyle name="40% - Accent1 3 2 3 2 3" xfId="15955" xr:uid="{518A943A-1770-4972-A4BB-3997D94F0BE4}"/>
    <cellStyle name="40% - Accent1 3 2 3 2 4" xfId="25205" xr:uid="{CF52BA4B-215B-4B39-9175-CF477AB40173}"/>
    <cellStyle name="40% - Accent1 3 2 3 2 5" xfId="11744" xr:uid="{FF780D3A-E5F0-4530-9EB4-4BF3367958B8}"/>
    <cellStyle name="40% - Accent1 3 2 3 3" xfId="5388" xr:uid="{00000000-0005-0000-0000-00001B040000}"/>
    <cellStyle name="40% - Accent1 3 2 3 3 2" xfId="18021" xr:uid="{5B3458ED-6462-4CB7-9981-547FC8F018DE}"/>
    <cellStyle name="40% - Accent1 3 2 3 4" xfId="13810" xr:uid="{2AA23129-9367-47BA-82A5-C1EB0EF78416}"/>
    <cellStyle name="40% - Accent1 3 2 3 5" xfId="23060" xr:uid="{A068F399-B8E8-4204-B4F4-D15EAE695FC1}"/>
    <cellStyle name="40% - Accent1 3 2 3 6" xfId="9599" xr:uid="{5DD9218B-B71A-4D20-A65B-B5F904F8E019}"/>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20579" xr:uid="{F4A8561C-E647-4613-A547-E088233E28F8}"/>
    <cellStyle name="40% - Accent1 3 2 4 2 3" xfId="16368" xr:uid="{FB6D5228-F60B-48B3-A123-B7C1A37B81D5}"/>
    <cellStyle name="40% - Accent1 3 2 4 2 4" xfId="25618" xr:uid="{2E82AE99-9075-4C69-B1AF-4FB8278E57A4}"/>
    <cellStyle name="40% - Accent1 3 2 4 2 5" xfId="12157" xr:uid="{0F43EFDD-B9C4-4738-8FC2-B51FF75DB0D6}"/>
    <cellStyle name="40% - Accent1 3 2 4 3" xfId="5801" xr:uid="{00000000-0005-0000-0000-00001F040000}"/>
    <cellStyle name="40% - Accent1 3 2 4 3 2" xfId="18434" xr:uid="{50AAE397-A95F-4DBC-8B8A-BDD000A23C59}"/>
    <cellStyle name="40% - Accent1 3 2 4 4" xfId="14223" xr:uid="{5FF96AE9-DE50-4CF3-9452-650F96132E9D}"/>
    <cellStyle name="40% - Accent1 3 2 4 5" xfId="23473" xr:uid="{7BAA32AC-4393-4CCD-8DC4-6D909323ED0E}"/>
    <cellStyle name="40% - Accent1 3 2 4 6" xfId="10012" xr:uid="{D9151E11-C78C-440A-B038-6CAE0429DEC7}"/>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20992" xr:uid="{FB1ADE2C-19D6-42E2-B61C-67923C2D50EC}"/>
    <cellStyle name="40% - Accent1 3 2 5 2 3" xfId="16781" xr:uid="{94A5002A-8DDB-4063-A103-A50DB1041EF5}"/>
    <cellStyle name="40% - Accent1 3 2 5 2 4" xfId="26031" xr:uid="{3FEF2AB0-0BAE-4ED3-8E9C-78456E81A5E3}"/>
    <cellStyle name="40% - Accent1 3 2 5 2 5" xfId="12570" xr:uid="{5CBD35ED-D7E3-4B2A-849C-2E088568B3A1}"/>
    <cellStyle name="40% - Accent1 3 2 5 3" xfId="6214" xr:uid="{00000000-0005-0000-0000-000023040000}"/>
    <cellStyle name="40% - Accent1 3 2 5 3 2" xfId="18847" xr:uid="{68077E4C-9284-4B63-B7A0-47D6C644D8C0}"/>
    <cellStyle name="40% - Accent1 3 2 5 4" xfId="14636" xr:uid="{2904FD8D-752F-472D-8380-1C5FC844E276}"/>
    <cellStyle name="40% - Accent1 3 2 5 5" xfId="23886" xr:uid="{DF90DE5F-7AD3-4F39-8150-DEC6C21AEB3A}"/>
    <cellStyle name="40% - Accent1 3 2 5 6" xfId="10425" xr:uid="{C3DD6022-71F3-4BCB-8D74-CDB38DC0171E}"/>
    <cellStyle name="40% - Accent1 3 2 6" xfId="2319" xr:uid="{00000000-0005-0000-0000-000024040000}"/>
    <cellStyle name="40% - Accent1 3 2 6 2" xfId="6627" xr:uid="{00000000-0005-0000-0000-000025040000}"/>
    <cellStyle name="40% - Accent1 3 2 6 2 2" xfId="19260" xr:uid="{B374D711-7C2B-4C91-947F-665A989F8222}"/>
    <cellStyle name="40% - Accent1 3 2 6 3" xfId="15049" xr:uid="{1AC28DEE-046E-4255-B343-2F4EC2D54EBD}"/>
    <cellStyle name="40% - Accent1 3 2 6 4" xfId="24299" xr:uid="{029E3F31-5CB6-4311-8318-F4D70B2A55AF}"/>
    <cellStyle name="40% - Accent1 3 2 6 5" xfId="10838" xr:uid="{32F6D75A-EB7B-4DED-AD4A-EF14342FAAAE}"/>
    <cellStyle name="40% - Accent1 3 2 7" xfId="4561" xr:uid="{00000000-0005-0000-0000-000026040000}"/>
    <cellStyle name="40% - Accent1 3 2 7 2" xfId="17194" xr:uid="{B7A38B67-4FC9-47D7-B2FA-BC012A7E5403}"/>
    <cellStyle name="40% - Accent1 3 2 8" xfId="21405" xr:uid="{AF71F114-0E20-4C9B-B2F9-351B622D1B53}"/>
    <cellStyle name="40% - Accent1 3 2 9" xfId="12983" xr:uid="{AB550C9D-756D-4D5B-9016-8F9115F719D4}"/>
    <cellStyle name="40% - Accent1 3 3" xfId="624" xr:uid="{00000000-0005-0000-0000-000027040000}"/>
    <cellStyle name="40% - Accent1 3 3 2" xfId="2895" xr:uid="{00000000-0005-0000-0000-000028040000}"/>
    <cellStyle name="40% - Accent1 3 3 2 2" xfId="7119" xr:uid="{00000000-0005-0000-0000-000029040000}"/>
    <cellStyle name="40% - Accent1 3 3 2 2 2" xfId="19752" xr:uid="{EDA4DE5C-9B91-4BED-A9B5-B2DB411E1EFC}"/>
    <cellStyle name="40% - Accent1 3 3 2 3" xfId="15541" xr:uid="{E3C522EB-DC5D-48B4-B49B-7EF18E8D10A7}"/>
    <cellStyle name="40% - Accent1 3 3 2 4" xfId="24791" xr:uid="{A4C91851-8FC5-4BD3-951C-6BD22FA569CF}"/>
    <cellStyle name="40% - Accent1 3 3 2 5" xfId="11330" xr:uid="{4002C6CD-C35B-4FF0-9F99-D0E8AA85E6F6}"/>
    <cellStyle name="40% - Accent1 3 3 3" xfId="4974" xr:uid="{00000000-0005-0000-0000-00002A040000}"/>
    <cellStyle name="40% - Accent1 3 3 3 2" xfId="17607" xr:uid="{76345BDA-8026-4E44-974A-3AD04C16180A}"/>
    <cellStyle name="40% - Accent1 3 3 4" xfId="21817" xr:uid="{2AC4B834-FCFA-4D5A-9FEF-164FDFB44AA0}"/>
    <cellStyle name="40% - Accent1 3 3 5" xfId="13396" xr:uid="{61F2FD44-4607-4DB9-8498-FF77A495CF6E}"/>
    <cellStyle name="40% - Accent1 3 3 6" xfId="22646" xr:uid="{DFFC9295-FAC3-465D-997D-7D3DD6F11989}"/>
    <cellStyle name="40% - Accent1 3 3 7" xfId="9185" xr:uid="{05E89173-543F-4FE8-8929-D42D1C9FD182}"/>
    <cellStyle name="40% - Accent1 3 4" xfId="1077" xr:uid="{00000000-0005-0000-0000-00002B040000}"/>
    <cellStyle name="40% - Accent1 3 4 2" xfId="3308" xr:uid="{00000000-0005-0000-0000-00002C040000}"/>
    <cellStyle name="40% - Accent1 3 4 2 2" xfId="7532" xr:uid="{00000000-0005-0000-0000-00002D040000}"/>
    <cellStyle name="40% - Accent1 3 4 2 2 2" xfId="20165" xr:uid="{C030B396-A89A-4741-B1CD-B1E0E9E8406E}"/>
    <cellStyle name="40% - Accent1 3 4 2 3" xfId="15954" xr:uid="{4E5F1631-99E4-4A5E-997F-403213449338}"/>
    <cellStyle name="40% - Accent1 3 4 2 4" xfId="25204" xr:uid="{560CBC7E-B8AD-443D-B6A1-6CD83D086695}"/>
    <cellStyle name="40% - Accent1 3 4 2 5" xfId="11743" xr:uid="{9547A71C-645A-474E-A8A1-4AF3597A858C}"/>
    <cellStyle name="40% - Accent1 3 4 3" xfId="5387" xr:uid="{00000000-0005-0000-0000-00002E040000}"/>
    <cellStyle name="40% - Accent1 3 4 3 2" xfId="18020" xr:uid="{91F14CC1-6BE6-45A5-ABA5-24CF1081336C}"/>
    <cellStyle name="40% - Accent1 3 4 4" xfId="13809" xr:uid="{18E507A6-CCB5-4FA0-879B-6C4FA5013B26}"/>
    <cellStyle name="40% - Accent1 3 4 5" xfId="23059" xr:uid="{64AF98B7-7F39-48F2-9488-8B0674F17716}"/>
    <cellStyle name="40% - Accent1 3 4 6" xfId="9598" xr:uid="{36A3AA48-6483-4878-8E4A-62C5DDD5D695}"/>
    <cellStyle name="40% - Accent1 3 5" xfId="1491" xr:uid="{00000000-0005-0000-0000-00002F040000}"/>
    <cellStyle name="40% - Accent1 3 5 2" xfId="3721" xr:uid="{00000000-0005-0000-0000-000030040000}"/>
    <cellStyle name="40% - Accent1 3 5 2 2" xfId="7945" xr:uid="{00000000-0005-0000-0000-000031040000}"/>
    <cellStyle name="40% - Accent1 3 5 2 2 2" xfId="20578" xr:uid="{7D80C675-BFDF-45C3-93C2-50C136D4E6DE}"/>
    <cellStyle name="40% - Accent1 3 5 2 3" xfId="16367" xr:uid="{E52EEB2B-488D-4363-B470-CEC61E0C4EE6}"/>
    <cellStyle name="40% - Accent1 3 5 2 4" xfId="25617" xr:uid="{F69A4D0A-D0EB-4AE3-A1EF-452C4AB087F1}"/>
    <cellStyle name="40% - Accent1 3 5 2 5" xfId="12156" xr:uid="{2B0B1E48-3615-4ACA-B4B5-DF15FE04CC1B}"/>
    <cellStyle name="40% - Accent1 3 5 3" xfId="5800" xr:uid="{00000000-0005-0000-0000-000032040000}"/>
    <cellStyle name="40% - Accent1 3 5 3 2" xfId="18433" xr:uid="{364D4DDD-42B8-4FCA-BA42-BDC67BE16C92}"/>
    <cellStyle name="40% - Accent1 3 5 4" xfId="14222" xr:uid="{58436A21-E871-493C-96BD-8D62B11CE133}"/>
    <cellStyle name="40% - Accent1 3 5 5" xfId="23472" xr:uid="{10CFD2DA-76BB-4FE0-9658-6A09E581E454}"/>
    <cellStyle name="40% - Accent1 3 5 6" xfId="10011" xr:uid="{13A842AA-28D1-4351-807D-D12821A739BA}"/>
    <cellStyle name="40% - Accent1 3 6" xfId="1905" xr:uid="{00000000-0005-0000-0000-000033040000}"/>
    <cellStyle name="40% - Accent1 3 6 2" xfId="4134" xr:uid="{00000000-0005-0000-0000-000034040000}"/>
    <cellStyle name="40% - Accent1 3 6 2 2" xfId="8358" xr:uid="{00000000-0005-0000-0000-000035040000}"/>
    <cellStyle name="40% - Accent1 3 6 2 2 2" xfId="20991" xr:uid="{307863DF-9177-49C3-8C3D-5DB909DA1DF4}"/>
    <cellStyle name="40% - Accent1 3 6 2 3" xfId="16780" xr:uid="{8E5255C6-FA7C-4C69-9B6E-60BFDF6BAAC3}"/>
    <cellStyle name="40% - Accent1 3 6 2 4" xfId="26030" xr:uid="{4D033CA3-4902-49D1-8E10-7C7C41933B16}"/>
    <cellStyle name="40% - Accent1 3 6 2 5" xfId="12569" xr:uid="{F1B563CC-5F34-4E16-96D5-DEEBFFC042AB}"/>
    <cellStyle name="40% - Accent1 3 6 3" xfId="6213" xr:uid="{00000000-0005-0000-0000-000036040000}"/>
    <cellStyle name="40% - Accent1 3 6 3 2" xfId="18846" xr:uid="{FC1A239B-2E73-4C7F-BC2B-289E6D6A01D7}"/>
    <cellStyle name="40% - Accent1 3 6 4" xfId="14635" xr:uid="{A4457AE6-86E7-49E7-9D0E-F88E6E1F871B}"/>
    <cellStyle name="40% - Accent1 3 6 5" xfId="23885" xr:uid="{4E8417C2-8A2B-4C04-BC3D-9837619A2763}"/>
    <cellStyle name="40% - Accent1 3 6 6" xfId="10424" xr:uid="{D7CBC348-5C32-4098-BA62-AC1D251C8F8C}"/>
    <cellStyle name="40% - Accent1 3 7" xfId="2318" xr:uid="{00000000-0005-0000-0000-000037040000}"/>
    <cellStyle name="40% - Accent1 3 7 2" xfId="6626" xr:uid="{00000000-0005-0000-0000-000038040000}"/>
    <cellStyle name="40% - Accent1 3 7 2 2" xfId="19259" xr:uid="{583A7B39-E15D-47F9-82CA-3B0B50BB6494}"/>
    <cellStyle name="40% - Accent1 3 7 3" xfId="15048" xr:uid="{5AB19203-9081-43F5-A652-69D92E1B257B}"/>
    <cellStyle name="40% - Accent1 3 7 4" xfId="24298" xr:uid="{DF7A1CC2-27BE-45FA-BF8D-74CC1BEBADCC}"/>
    <cellStyle name="40% - Accent1 3 7 5" xfId="10837" xr:uid="{1462CB56-D5E5-4EAF-AFA1-F77883636F44}"/>
    <cellStyle name="40% - Accent1 3 8" xfId="4560" xr:uid="{00000000-0005-0000-0000-000039040000}"/>
    <cellStyle name="40% - Accent1 3 8 2" xfId="17193" xr:uid="{D41CDD78-C44A-40DC-A15E-63E56D2EE63E}"/>
    <cellStyle name="40% - Accent1 3 9" xfId="21404" xr:uid="{70DA3CE6-B725-47DD-807F-9B087C91CC07}"/>
    <cellStyle name="40% - Accent1 4" xfId="56" xr:uid="{00000000-0005-0000-0000-00003A040000}"/>
    <cellStyle name="40% - Accent1 4 10" xfId="22234" xr:uid="{8E0B3CE7-9AFC-4DC8-BB13-170BAF6F902F}"/>
    <cellStyle name="40% - Accent1 4 11" xfId="8773" xr:uid="{ED2273D4-3F46-4F0E-B335-302DE842869C}"/>
    <cellStyle name="40% - Accent1 4 2" xfId="626" xr:uid="{00000000-0005-0000-0000-00003B040000}"/>
    <cellStyle name="40% - Accent1 4 2 2" xfId="2897" xr:uid="{00000000-0005-0000-0000-00003C040000}"/>
    <cellStyle name="40% - Accent1 4 2 2 2" xfId="7121" xr:uid="{00000000-0005-0000-0000-00003D040000}"/>
    <cellStyle name="40% - Accent1 4 2 2 2 2" xfId="19754" xr:uid="{D2FF932A-2EFD-4BC2-AB2D-7046B2D2CEFD}"/>
    <cellStyle name="40% - Accent1 4 2 2 3" xfId="15543" xr:uid="{E9A38492-D329-4B8F-BDFF-E625DD9EA0CF}"/>
    <cellStyle name="40% - Accent1 4 2 2 4" xfId="24793" xr:uid="{5FADF045-26FC-400A-801F-E0D4FA4B2BAC}"/>
    <cellStyle name="40% - Accent1 4 2 2 5" xfId="11332" xr:uid="{1EB15891-7830-4C54-ABD0-BC014309AB3B}"/>
    <cellStyle name="40% - Accent1 4 2 3" xfId="4976" xr:uid="{00000000-0005-0000-0000-00003E040000}"/>
    <cellStyle name="40% - Accent1 4 2 3 2" xfId="17609" xr:uid="{9C64C728-0353-4E9D-B0B8-14FB66D28AA5}"/>
    <cellStyle name="40% - Accent1 4 2 4" xfId="21819" xr:uid="{95B5C52B-8BD1-4107-99E6-2AE20AFCA51E}"/>
    <cellStyle name="40% - Accent1 4 2 5" xfId="13398" xr:uid="{EC8DDE8D-F0A6-4F89-BD4C-F2691FB251BF}"/>
    <cellStyle name="40% - Accent1 4 2 6" xfId="22648" xr:uid="{89BCFF7D-AF61-4FE9-BA67-EB4773527990}"/>
    <cellStyle name="40% - Accent1 4 2 7" xfId="9187" xr:uid="{56A776E9-2414-4B59-810B-0D49BB998847}"/>
    <cellStyle name="40% - Accent1 4 3" xfId="1079" xr:uid="{00000000-0005-0000-0000-00003F040000}"/>
    <cellStyle name="40% - Accent1 4 3 2" xfId="3310" xr:uid="{00000000-0005-0000-0000-000040040000}"/>
    <cellStyle name="40% - Accent1 4 3 2 2" xfId="7534" xr:uid="{00000000-0005-0000-0000-000041040000}"/>
    <cellStyle name="40% - Accent1 4 3 2 2 2" xfId="20167" xr:uid="{D8B24DD4-3E7C-41DA-BE5E-9EAA9D00789D}"/>
    <cellStyle name="40% - Accent1 4 3 2 3" xfId="15956" xr:uid="{CC34F981-3AE9-46F8-B676-23C57B741D7E}"/>
    <cellStyle name="40% - Accent1 4 3 2 4" xfId="25206" xr:uid="{A36AB6CE-8499-4A77-9738-BBBA7A39E68B}"/>
    <cellStyle name="40% - Accent1 4 3 2 5" xfId="11745" xr:uid="{AF891920-6805-4037-94F5-A819ECCE40FE}"/>
    <cellStyle name="40% - Accent1 4 3 3" xfId="5389" xr:uid="{00000000-0005-0000-0000-000042040000}"/>
    <cellStyle name="40% - Accent1 4 3 3 2" xfId="18022" xr:uid="{4040DFAA-DCCF-4278-B865-67A2437CDF5E}"/>
    <cellStyle name="40% - Accent1 4 3 4" xfId="13811" xr:uid="{627EC3C9-D401-4A1C-A5B9-473FAFB28C77}"/>
    <cellStyle name="40% - Accent1 4 3 5" xfId="23061" xr:uid="{000327BE-4E6F-4B03-9332-F7BB0508734F}"/>
    <cellStyle name="40% - Accent1 4 3 6" xfId="9600" xr:uid="{53DE3163-F397-4F15-AC1E-8F976756F719}"/>
    <cellStyle name="40% - Accent1 4 4" xfId="1493" xr:uid="{00000000-0005-0000-0000-000043040000}"/>
    <cellStyle name="40% - Accent1 4 4 2" xfId="3723" xr:uid="{00000000-0005-0000-0000-000044040000}"/>
    <cellStyle name="40% - Accent1 4 4 2 2" xfId="7947" xr:uid="{00000000-0005-0000-0000-000045040000}"/>
    <cellStyle name="40% - Accent1 4 4 2 2 2" xfId="20580" xr:uid="{B5B08440-B386-4D70-8DD8-A7D6B9D4F846}"/>
    <cellStyle name="40% - Accent1 4 4 2 3" xfId="16369" xr:uid="{01C686BA-8EFB-4EE1-B70D-106387920C02}"/>
    <cellStyle name="40% - Accent1 4 4 2 4" xfId="25619" xr:uid="{54D986F2-9F91-4610-8D01-685C8E188974}"/>
    <cellStyle name="40% - Accent1 4 4 2 5" xfId="12158" xr:uid="{5C0B0C91-63BF-4569-B018-C9FBF9C2F585}"/>
    <cellStyle name="40% - Accent1 4 4 3" xfId="5802" xr:uid="{00000000-0005-0000-0000-000046040000}"/>
    <cellStyle name="40% - Accent1 4 4 3 2" xfId="18435" xr:uid="{E4020619-2D7B-41C5-B00A-4A54E2661BD3}"/>
    <cellStyle name="40% - Accent1 4 4 4" xfId="14224" xr:uid="{946FDEC0-A640-4E9B-A997-058EFC4F08B8}"/>
    <cellStyle name="40% - Accent1 4 4 5" xfId="23474" xr:uid="{2DFFD162-2722-4EF2-B159-EBC583ED272C}"/>
    <cellStyle name="40% - Accent1 4 4 6" xfId="10013" xr:uid="{10C89255-E49C-4F07-9101-2276C2165D2B}"/>
    <cellStyle name="40% - Accent1 4 5" xfId="1907" xr:uid="{00000000-0005-0000-0000-000047040000}"/>
    <cellStyle name="40% - Accent1 4 5 2" xfId="4136" xr:uid="{00000000-0005-0000-0000-000048040000}"/>
    <cellStyle name="40% - Accent1 4 5 2 2" xfId="8360" xr:uid="{00000000-0005-0000-0000-000049040000}"/>
    <cellStyle name="40% - Accent1 4 5 2 2 2" xfId="20993" xr:uid="{879B5754-39C6-4FA6-B7E8-68703B54A3CF}"/>
    <cellStyle name="40% - Accent1 4 5 2 3" xfId="16782" xr:uid="{8540999A-7137-4F6E-9247-2F3A5D819C2F}"/>
    <cellStyle name="40% - Accent1 4 5 2 4" xfId="26032" xr:uid="{E5491515-FA83-4975-A0E7-38FEABE4B785}"/>
    <cellStyle name="40% - Accent1 4 5 2 5" xfId="12571" xr:uid="{EB7AF0F6-5D82-4E7C-9566-7D19FFA2E47D}"/>
    <cellStyle name="40% - Accent1 4 5 3" xfId="6215" xr:uid="{00000000-0005-0000-0000-00004A040000}"/>
    <cellStyle name="40% - Accent1 4 5 3 2" xfId="18848" xr:uid="{7133C4F2-4771-4107-8C36-203777FBF8C3}"/>
    <cellStyle name="40% - Accent1 4 5 4" xfId="14637" xr:uid="{E4996A8A-F1C3-4C79-8F85-89399D45E847}"/>
    <cellStyle name="40% - Accent1 4 5 5" xfId="23887" xr:uid="{6C36E280-F416-4586-A175-90BEF803E575}"/>
    <cellStyle name="40% - Accent1 4 5 6" xfId="10426" xr:uid="{21F620AC-64C6-4C39-B651-E78C2470EDFA}"/>
    <cellStyle name="40% - Accent1 4 6" xfId="2320" xr:uid="{00000000-0005-0000-0000-00004B040000}"/>
    <cellStyle name="40% - Accent1 4 6 2" xfId="6628" xr:uid="{00000000-0005-0000-0000-00004C040000}"/>
    <cellStyle name="40% - Accent1 4 6 2 2" xfId="19261" xr:uid="{A68204BB-4287-4086-AE27-063BD38F0146}"/>
    <cellStyle name="40% - Accent1 4 6 3" xfId="15050" xr:uid="{0B18D246-045D-4E35-97CA-426BA4F4E5BC}"/>
    <cellStyle name="40% - Accent1 4 6 4" xfId="24300" xr:uid="{3AE73FE5-802A-4699-B445-2379FE7F1B87}"/>
    <cellStyle name="40% - Accent1 4 6 5" xfId="10839" xr:uid="{79DD2553-7CE4-44C0-90FC-7AEA7AAB0368}"/>
    <cellStyle name="40% - Accent1 4 7" xfId="4562" xr:uid="{00000000-0005-0000-0000-00004D040000}"/>
    <cellStyle name="40% - Accent1 4 7 2" xfId="17195" xr:uid="{58752D75-0767-4A87-B413-F4AC19075CAB}"/>
    <cellStyle name="40% - Accent1 4 8" xfId="21406" xr:uid="{DF7B5915-1A1F-442E-8B13-3F124243B670}"/>
    <cellStyle name="40% - Accent1 4 9" xfId="12984" xr:uid="{BF59A456-0BC0-470E-B6B7-EE5B4B94144C}"/>
    <cellStyle name="40% - Accent1 5" xfId="619" xr:uid="{00000000-0005-0000-0000-00004E040000}"/>
    <cellStyle name="40% - Accent1 5 2" xfId="2890" xr:uid="{00000000-0005-0000-0000-00004F040000}"/>
    <cellStyle name="40% - Accent1 5 2 2" xfId="7114" xr:uid="{00000000-0005-0000-0000-000050040000}"/>
    <cellStyle name="40% - Accent1 5 2 2 2" xfId="19747" xr:uid="{72BD7ABE-DF9E-47E9-BCC0-5A2DAFC7C031}"/>
    <cellStyle name="40% - Accent1 5 2 3" xfId="15536" xr:uid="{DEB05913-B636-46D7-949C-CCF67EF6152D}"/>
    <cellStyle name="40% - Accent1 5 2 4" xfId="24786" xr:uid="{9A38E32B-674E-4D10-8476-F5B573C35D9E}"/>
    <cellStyle name="40% - Accent1 5 2 5" xfId="11325" xr:uid="{A79FFDE6-3A91-4D9E-A6E8-F23025153AD5}"/>
    <cellStyle name="40% - Accent1 5 3" xfId="4969" xr:uid="{00000000-0005-0000-0000-000051040000}"/>
    <cellStyle name="40% - Accent1 5 3 2" xfId="17602" xr:uid="{F2C925DD-FFC3-4A36-8779-5DFFE9683D1C}"/>
    <cellStyle name="40% - Accent1 5 4" xfId="21812" xr:uid="{4DCFD389-10BB-4CF2-B170-3B562740A802}"/>
    <cellStyle name="40% - Accent1 5 5" xfId="13391" xr:uid="{90A9B4AC-5446-425F-B46E-CB0B750645D5}"/>
    <cellStyle name="40% - Accent1 5 6" xfId="22641" xr:uid="{370E26C1-61D4-4291-A235-A1FE029DE2E4}"/>
    <cellStyle name="40% - Accent1 5 7" xfId="9180" xr:uid="{3BE3C59E-1985-4679-BA53-911A105A6E25}"/>
    <cellStyle name="40% - Accent1 6" xfId="1072" xr:uid="{00000000-0005-0000-0000-000052040000}"/>
    <cellStyle name="40% - Accent1 6 2" xfId="3303" xr:uid="{00000000-0005-0000-0000-000053040000}"/>
    <cellStyle name="40% - Accent1 6 2 2" xfId="7527" xr:uid="{00000000-0005-0000-0000-000054040000}"/>
    <cellStyle name="40% - Accent1 6 2 2 2" xfId="20160" xr:uid="{1708AB0E-1934-4A12-A829-F1C6932268F5}"/>
    <cellStyle name="40% - Accent1 6 2 3" xfId="15949" xr:uid="{845AC3FE-6946-41AD-AFDD-06F9B5710E93}"/>
    <cellStyle name="40% - Accent1 6 2 4" xfId="25199" xr:uid="{F4949A94-B48E-4A45-A33D-641005DE8319}"/>
    <cellStyle name="40% - Accent1 6 2 5" xfId="11738" xr:uid="{16D0666D-CFEA-4387-9111-4374399A5380}"/>
    <cellStyle name="40% - Accent1 6 3" xfId="5382" xr:uid="{00000000-0005-0000-0000-000055040000}"/>
    <cellStyle name="40% - Accent1 6 3 2" xfId="18015" xr:uid="{137CC42E-309B-44FA-A451-D1BC4DE28C47}"/>
    <cellStyle name="40% - Accent1 6 4" xfId="13804" xr:uid="{3FF2C0B9-F318-450B-9012-ABF8F69AC840}"/>
    <cellStyle name="40% - Accent1 6 5" xfId="23054" xr:uid="{541EAE3E-B348-42FD-B135-4D29039DF003}"/>
    <cellStyle name="40% - Accent1 6 6" xfId="9593" xr:uid="{E9EDA383-5A70-4745-B936-B7D2182D514C}"/>
    <cellStyle name="40% - Accent1 7" xfId="1486" xr:uid="{00000000-0005-0000-0000-000056040000}"/>
    <cellStyle name="40% - Accent1 7 2" xfId="3716" xr:uid="{00000000-0005-0000-0000-000057040000}"/>
    <cellStyle name="40% - Accent1 7 2 2" xfId="7940" xr:uid="{00000000-0005-0000-0000-000058040000}"/>
    <cellStyle name="40% - Accent1 7 2 2 2" xfId="20573" xr:uid="{9CA587FA-3736-4A06-BD45-B5FB13CBA4BE}"/>
    <cellStyle name="40% - Accent1 7 2 3" xfId="16362" xr:uid="{2B5BE7FC-420A-4BD0-8E4E-10926A4FD250}"/>
    <cellStyle name="40% - Accent1 7 2 4" xfId="25612" xr:uid="{9C21E217-7F28-49C6-87C7-92CB10D1BFAF}"/>
    <cellStyle name="40% - Accent1 7 2 5" xfId="12151" xr:uid="{CEAB8356-E862-47E6-AC5B-EE86C4C49060}"/>
    <cellStyle name="40% - Accent1 7 3" xfId="5795" xr:uid="{00000000-0005-0000-0000-000059040000}"/>
    <cellStyle name="40% - Accent1 7 3 2" xfId="18428" xr:uid="{323D5C43-249C-43D5-A70B-6366708CC8F0}"/>
    <cellStyle name="40% - Accent1 7 4" xfId="14217" xr:uid="{68AC2271-DE09-4FFC-8909-0AEDD7D30FB7}"/>
    <cellStyle name="40% - Accent1 7 5" xfId="23467" xr:uid="{DE980D5E-F6C3-491A-AE02-1CE10239B3BA}"/>
    <cellStyle name="40% - Accent1 7 6" xfId="10006" xr:uid="{C167A4FD-5AB7-45BF-8366-B22923D67A34}"/>
    <cellStyle name="40% - Accent1 8" xfId="1900" xr:uid="{00000000-0005-0000-0000-00005A040000}"/>
    <cellStyle name="40% - Accent1 8 2" xfId="4129" xr:uid="{00000000-0005-0000-0000-00005B040000}"/>
    <cellStyle name="40% - Accent1 8 2 2" xfId="8353" xr:uid="{00000000-0005-0000-0000-00005C040000}"/>
    <cellStyle name="40% - Accent1 8 2 2 2" xfId="20986" xr:uid="{1A7D2873-9B60-49AA-952D-05619CB7E611}"/>
    <cellStyle name="40% - Accent1 8 2 3" xfId="16775" xr:uid="{BB1C1350-B754-4E16-8679-C217D568449D}"/>
    <cellStyle name="40% - Accent1 8 2 4" xfId="26025" xr:uid="{23C3F257-B0C0-481F-95A6-89A91188656A}"/>
    <cellStyle name="40% - Accent1 8 2 5" xfId="12564" xr:uid="{B627DEDE-7C81-436A-A452-D77A3AF8E441}"/>
    <cellStyle name="40% - Accent1 8 3" xfId="6208" xr:uid="{00000000-0005-0000-0000-00005D040000}"/>
    <cellStyle name="40% - Accent1 8 3 2" xfId="18841" xr:uid="{A7D2184D-E32F-48ED-97CB-AB1F18E6EEBC}"/>
    <cellStyle name="40% - Accent1 8 4" xfId="14630" xr:uid="{87B15BEB-F740-4719-96B7-EC68B7DA8E08}"/>
    <cellStyle name="40% - Accent1 8 5" xfId="23880" xr:uid="{F9CCF2D3-B984-47F2-9309-70D0F31A8E1D}"/>
    <cellStyle name="40% - Accent1 8 6" xfId="10419" xr:uid="{AD736F68-874A-41CB-8951-53D3A1CD6009}"/>
    <cellStyle name="40% - Accent1 9" xfId="2313" xr:uid="{00000000-0005-0000-0000-00005E040000}"/>
    <cellStyle name="40% - Accent1 9 2" xfId="6621" xr:uid="{00000000-0005-0000-0000-00005F040000}"/>
    <cellStyle name="40% - Accent1 9 2 2" xfId="19254" xr:uid="{7A5FA3E0-1B2A-412A-9B13-1143D01BEAEE}"/>
    <cellStyle name="40% - Accent1 9 3" xfId="15043" xr:uid="{687AEFD4-9DB6-46A0-8B04-6A9EFF26A9F9}"/>
    <cellStyle name="40% - Accent1 9 4" xfId="24293" xr:uid="{23BEF309-B3BC-44D0-8033-23777007A6B3}"/>
    <cellStyle name="40% - Accent1 9 5" xfId="10832" xr:uid="{774CA736-F575-4F0A-975A-A37CCB2A8B4E}"/>
    <cellStyle name="40% - Accent2" xfId="57" builtinId="35" customBuiltin="1"/>
    <cellStyle name="40% - Accent2 10" xfId="4563" xr:uid="{00000000-0005-0000-0000-000061040000}"/>
    <cellStyle name="40% - Accent2 10 2" xfId="17196" xr:uid="{247C853D-0B21-4796-953D-39C1C30013A0}"/>
    <cellStyle name="40% - Accent2 11" xfId="21407" xr:uid="{BEEAD8C9-9039-4040-AC92-2B5D8B1B9B32}"/>
    <cellStyle name="40% - Accent2 12" xfId="12985" xr:uid="{96C0C5B9-DF3D-4924-9BBD-6EBD605B92F4}"/>
    <cellStyle name="40% - Accent2 13" xfId="22235" xr:uid="{6BF3F530-17A1-4751-A850-63B3EC3D1693}"/>
    <cellStyle name="40% - Accent2 14" xfId="8774" xr:uid="{E0D19C80-319D-416D-947D-33A483023078}"/>
    <cellStyle name="40% - Accent2 2" xfId="58" xr:uid="{00000000-0005-0000-0000-000062040000}"/>
    <cellStyle name="40% - Accent2 2 10" xfId="21408" xr:uid="{C893F1D8-44D5-42DC-ADB1-95977481D38E}"/>
    <cellStyle name="40% - Accent2 2 11" xfId="12986" xr:uid="{D317663E-76F6-49B4-BA1A-3915D896BCD4}"/>
    <cellStyle name="40% - Accent2 2 12" xfId="22236" xr:uid="{A4A22CE1-1A8F-403B-9A5B-CF2E0B5B3699}"/>
    <cellStyle name="40% - Accent2 2 13" xfId="8775" xr:uid="{B3805283-0D77-4341-BA30-A1122BE44396}"/>
    <cellStyle name="40% - Accent2 2 2" xfId="59" xr:uid="{00000000-0005-0000-0000-000063040000}"/>
    <cellStyle name="40% - Accent2 2 2 10" xfId="12987" xr:uid="{1C4BAAE5-E4DD-4FA7-8485-B0E8023D3422}"/>
    <cellStyle name="40% - Accent2 2 2 11" xfId="22237" xr:uid="{A4E9248E-9ED2-44A8-AF32-7F4DB4EEF7B0}"/>
    <cellStyle name="40% - Accent2 2 2 12" xfId="8776" xr:uid="{D96B1413-0255-49BC-B47B-4BEEA70C09B4}"/>
    <cellStyle name="40% - Accent2 2 2 2" xfId="60" xr:uid="{00000000-0005-0000-0000-000064040000}"/>
    <cellStyle name="40% - Accent2 2 2 2 10" xfId="22238" xr:uid="{B4E0179F-BB2A-4CCB-A092-894EECA84DA3}"/>
    <cellStyle name="40% - Accent2 2 2 2 11" xfId="8777" xr:uid="{14669CBD-05D6-4329-B0AB-F8BADDBA9658}"/>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9758" xr:uid="{70B85572-209F-4A9E-A331-4E0AAC4506C9}"/>
    <cellStyle name="40% - Accent2 2 2 2 2 2 3" xfId="15547" xr:uid="{928E7B61-D62C-421C-A19C-80779978ED8F}"/>
    <cellStyle name="40% - Accent2 2 2 2 2 2 4" xfId="24797" xr:uid="{2C0736DE-D166-4009-B255-238AFCCFA1EF}"/>
    <cellStyle name="40% - Accent2 2 2 2 2 2 5" xfId="11336" xr:uid="{DA6CA32E-35AA-4C57-B576-BEF3280388E5}"/>
    <cellStyle name="40% - Accent2 2 2 2 2 3" xfId="4980" xr:uid="{00000000-0005-0000-0000-000068040000}"/>
    <cellStyle name="40% - Accent2 2 2 2 2 3 2" xfId="17613" xr:uid="{90BEEBA0-BCDE-47AB-A480-BD3D5A691D67}"/>
    <cellStyle name="40% - Accent2 2 2 2 2 4" xfId="21823" xr:uid="{A404B069-952D-4DDA-8B74-BD2A17FAF4C9}"/>
    <cellStyle name="40% - Accent2 2 2 2 2 5" xfId="13402" xr:uid="{8574B079-C6CD-4BA0-A672-071AA51EA910}"/>
    <cellStyle name="40% - Accent2 2 2 2 2 6" xfId="22652" xr:uid="{69F48C70-D7B2-47A7-9B0E-00F490782CAB}"/>
    <cellStyle name="40% - Accent2 2 2 2 2 7" xfId="9191" xr:uid="{B2A1AAE4-2653-4446-8EC8-30B129340A6C}"/>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20171" xr:uid="{185EE254-3FD4-453F-B1C7-C51735F7F753}"/>
    <cellStyle name="40% - Accent2 2 2 2 3 2 3" xfId="15960" xr:uid="{011CD4BB-1BB8-4F8E-9F33-4A1BCC3F217B}"/>
    <cellStyle name="40% - Accent2 2 2 2 3 2 4" xfId="25210" xr:uid="{E12F992E-17B1-41C0-A651-29EFFE5F9AF3}"/>
    <cellStyle name="40% - Accent2 2 2 2 3 2 5" xfId="11749" xr:uid="{5AFA3EDC-1DCE-42DA-9291-3DDFEBFCA7CF}"/>
    <cellStyle name="40% - Accent2 2 2 2 3 3" xfId="5393" xr:uid="{00000000-0005-0000-0000-00006C040000}"/>
    <cellStyle name="40% - Accent2 2 2 2 3 3 2" xfId="18026" xr:uid="{4FC4057B-0037-46DA-A5CC-9C4A41AE9EAE}"/>
    <cellStyle name="40% - Accent2 2 2 2 3 4" xfId="13815" xr:uid="{FC85C4C9-6956-457F-8B8D-3920D9BFC92F}"/>
    <cellStyle name="40% - Accent2 2 2 2 3 5" xfId="23065" xr:uid="{4C300D89-13F5-4C95-A9B7-8A0A030995F9}"/>
    <cellStyle name="40% - Accent2 2 2 2 3 6" xfId="9604" xr:uid="{8D220E86-CA63-4718-B195-CDB9C48F91DE}"/>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20584" xr:uid="{67324345-BA0C-4D6D-96AB-57CA4C2DF1BC}"/>
    <cellStyle name="40% - Accent2 2 2 2 4 2 3" xfId="16373" xr:uid="{5CA272CC-3592-4FBB-90EA-CCB62682DB3F}"/>
    <cellStyle name="40% - Accent2 2 2 2 4 2 4" xfId="25623" xr:uid="{BE7426A5-BDFE-4BAF-89D1-7C3CB6B2B3D2}"/>
    <cellStyle name="40% - Accent2 2 2 2 4 2 5" xfId="12162" xr:uid="{403AFD5A-EDE4-488F-BCB1-6DE19E6217EC}"/>
    <cellStyle name="40% - Accent2 2 2 2 4 3" xfId="5806" xr:uid="{00000000-0005-0000-0000-000070040000}"/>
    <cellStyle name="40% - Accent2 2 2 2 4 3 2" xfId="18439" xr:uid="{62F68B1A-3519-4753-B20E-F77E5E85FCAC}"/>
    <cellStyle name="40% - Accent2 2 2 2 4 4" xfId="14228" xr:uid="{2F8CB840-DEAB-44CF-BCAA-2F3C1296D4B7}"/>
    <cellStyle name="40% - Accent2 2 2 2 4 5" xfId="23478" xr:uid="{10BA092A-756F-4F01-B113-0B700FB0B159}"/>
    <cellStyle name="40% - Accent2 2 2 2 4 6" xfId="10017" xr:uid="{DFEE5243-B645-484A-8215-07520DC3098A}"/>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20997" xr:uid="{C2CC4A66-1420-4D92-AD11-D4CE159252CC}"/>
    <cellStyle name="40% - Accent2 2 2 2 5 2 3" xfId="16786" xr:uid="{36DB21D1-2FAD-490E-9552-E650C732F8E8}"/>
    <cellStyle name="40% - Accent2 2 2 2 5 2 4" xfId="26036" xr:uid="{300F47E9-D8ED-41A5-BCEA-9D64A4CFE771}"/>
    <cellStyle name="40% - Accent2 2 2 2 5 2 5" xfId="12575" xr:uid="{5E0B6B60-47D6-497C-A93F-BD35E1F83AD5}"/>
    <cellStyle name="40% - Accent2 2 2 2 5 3" xfId="6219" xr:uid="{00000000-0005-0000-0000-000074040000}"/>
    <cellStyle name="40% - Accent2 2 2 2 5 3 2" xfId="18852" xr:uid="{7F2CBA27-02F0-48EB-AE18-FA559119B7D3}"/>
    <cellStyle name="40% - Accent2 2 2 2 5 4" xfId="14641" xr:uid="{5CB7CB4A-46D8-44C6-B9D9-868CE050FFC8}"/>
    <cellStyle name="40% - Accent2 2 2 2 5 5" xfId="23891" xr:uid="{CD2E2288-9ACC-407D-ADC6-7EDA39F3434C}"/>
    <cellStyle name="40% - Accent2 2 2 2 5 6" xfId="10430" xr:uid="{A9732F44-DAEA-427C-ACAB-596A532BC8EF}"/>
    <cellStyle name="40% - Accent2 2 2 2 6" xfId="2324" xr:uid="{00000000-0005-0000-0000-000075040000}"/>
    <cellStyle name="40% - Accent2 2 2 2 6 2" xfId="6632" xr:uid="{00000000-0005-0000-0000-000076040000}"/>
    <cellStyle name="40% - Accent2 2 2 2 6 2 2" xfId="19265" xr:uid="{B0E778FB-B099-4F78-A068-FD3BF736EF7D}"/>
    <cellStyle name="40% - Accent2 2 2 2 6 3" xfId="15054" xr:uid="{B3586B72-169A-43C7-B09B-915BA6810A10}"/>
    <cellStyle name="40% - Accent2 2 2 2 6 4" xfId="24304" xr:uid="{57EDC268-DD32-41B0-B54D-88CDAC4E43B2}"/>
    <cellStyle name="40% - Accent2 2 2 2 6 5" xfId="10843" xr:uid="{1232108A-C81D-40B0-9724-407F579B5760}"/>
    <cellStyle name="40% - Accent2 2 2 2 7" xfId="4566" xr:uid="{00000000-0005-0000-0000-000077040000}"/>
    <cellStyle name="40% - Accent2 2 2 2 7 2" xfId="17199" xr:uid="{7C7D02F4-AF0C-4EFC-8E45-D506152F58A9}"/>
    <cellStyle name="40% - Accent2 2 2 2 8" xfId="21410" xr:uid="{2ACC44E3-AEEF-49EC-8EDB-284F093FFC43}"/>
    <cellStyle name="40% - Accent2 2 2 2 9" xfId="12988" xr:uid="{E1B57D65-53BC-469F-84CD-C4C29D058AC9}"/>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9757" xr:uid="{B5CB8441-3C68-4E45-9B0F-B3FC786B0AF7}"/>
    <cellStyle name="40% - Accent2 2 2 3 2 3" xfId="15546" xr:uid="{6FA494F8-BD85-426A-9120-8946A3AFD148}"/>
    <cellStyle name="40% - Accent2 2 2 3 2 4" xfId="24796" xr:uid="{BAA320B7-49AD-476B-8777-6705621A8DA7}"/>
    <cellStyle name="40% - Accent2 2 2 3 2 5" xfId="11335" xr:uid="{38133E98-A0A5-4024-BD52-D4AC4473FC7F}"/>
    <cellStyle name="40% - Accent2 2 2 3 3" xfId="4979" xr:uid="{00000000-0005-0000-0000-00007B040000}"/>
    <cellStyle name="40% - Accent2 2 2 3 3 2" xfId="17612" xr:uid="{00548950-37E1-4715-B472-FDE2EFE0871F}"/>
    <cellStyle name="40% - Accent2 2 2 3 4" xfId="21822" xr:uid="{4F2B46B4-3983-4EE2-B622-51CB014EFF06}"/>
    <cellStyle name="40% - Accent2 2 2 3 5" xfId="13401" xr:uid="{41EECFA1-395B-4B59-92A9-A7B49EED68C3}"/>
    <cellStyle name="40% - Accent2 2 2 3 6" xfId="22651" xr:uid="{1353A7B5-A073-481E-ADC2-F3518CE636CB}"/>
    <cellStyle name="40% - Accent2 2 2 3 7" xfId="9190" xr:uid="{3368ECA5-8BAA-47B9-9A8A-235681D707EB}"/>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20170" xr:uid="{C6E0AAD2-E87B-4959-AAB1-BB31D8DEF2BA}"/>
    <cellStyle name="40% - Accent2 2 2 4 2 3" xfId="15959" xr:uid="{23B93870-FB29-47F2-AD82-37A387767E3B}"/>
    <cellStyle name="40% - Accent2 2 2 4 2 4" xfId="25209" xr:uid="{C42A4A32-E312-4AFE-BADA-1F4E5E6B6E58}"/>
    <cellStyle name="40% - Accent2 2 2 4 2 5" xfId="11748" xr:uid="{FF20F7CF-57D6-4C34-A091-A25BE1883D7A}"/>
    <cellStyle name="40% - Accent2 2 2 4 3" xfId="5392" xr:uid="{00000000-0005-0000-0000-00007F040000}"/>
    <cellStyle name="40% - Accent2 2 2 4 3 2" xfId="18025" xr:uid="{D7FB68BA-2DD4-4E62-A430-568DA6D34F14}"/>
    <cellStyle name="40% - Accent2 2 2 4 4" xfId="13814" xr:uid="{A82C0171-2E0A-4BC1-9634-B6DFC46D9DBA}"/>
    <cellStyle name="40% - Accent2 2 2 4 5" xfId="23064" xr:uid="{FED3198D-6E19-4AFF-82DA-D7E4E5ED2F62}"/>
    <cellStyle name="40% - Accent2 2 2 4 6" xfId="9603" xr:uid="{48FAF791-5069-4D6D-A8F4-9BB22DF85764}"/>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20583" xr:uid="{20D58068-984B-4458-8F7C-4640E91541B2}"/>
    <cellStyle name="40% - Accent2 2 2 5 2 3" xfId="16372" xr:uid="{5D9F3653-6233-49DC-A474-179106126AF0}"/>
    <cellStyle name="40% - Accent2 2 2 5 2 4" xfId="25622" xr:uid="{05F91E98-20E0-49E7-909F-1EED1804F21C}"/>
    <cellStyle name="40% - Accent2 2 2 5 2 5" xfId="12161" xr:uid="{E63C72AD-5802-477A-A00C-AFAED449FC3A}"/>
    <cellStyle name="40% - Accent2 2 2 5 3" xfId="5805" xr:uid="{00000000-0005-0000-0000-000083040000}"/>
    <cellStyle name="40% - Accent2 2 2 5 3 2" xfId="18438" xr:uid="{106EAF34-FA15-4AF4-930C-4944110F471E}"/>
    <cellStyle name="40% - Accent2 2 2 5 4" xfId="14227" xr:uid="{A3ED31EF-A1C8-4B79-A6E7-D6C879B6B758}"/>
    <cellStyle name="40% - Accent2 2 2 5 5" xfId="23477" xr:uid="{B4966A9C-9FB6-4A8A-8779-D2B77E97B173}"/>
    <cellStyle name="40% - Accent2 2 2 5 6" xfId="10016" xr:uid="{3C6E68DB-44BD-4A77-AAD4-313844CD66F0}"/>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20996" xr:uid="{548E8F3F-085E-418F-9D7D-C0302CAD74E1}"/>
    <cellStyle name="40% - Accent2 2 2 6 2 3" xfId="16785" xr:uid="{214C1D32-8DD1-4760-B90C-43FD57BA62FC}"/>
    <cellStyle name="40% - Accent2 2 2 6 2 4" xfId="26035" xr:uid="{359E5F3C-B9C3-4DAF-B7A7-C19E87E584D3}"/>
    <cellStyle name="40% - Accent2 2 2 6 2 5" xfId="12574" xr:uid="{D29DCF59-5AFA-4EE3-9BBB-9BB8E8D9753F}"/>
    <cellStyle name="40% - Accent2 2 2 6 3" xfId="6218" xr:uid="{00000000-0005-0000-0000-000087040000}"/>
    <cellStyle name="40% - Accent2 2 2 6 3 2" xfId="18851" xr:uid="{66D96400-7D8E-40A0-9D45-DE70E386345C}"/>
    <cellStyle name="40% - Accent2 2 2 6 4" xfId="14640" xr:uid="{FD3F46FD-331D-49F5-B528-4E418943EB47}"/>
    <cellStyle name="40% - Accent2 2 2 6 5" xfId="23890" xr:uid="{64180EC6-56DE-4940-92F8-61A077A6C805}"/>
    <cellStyle name="40% - Accent2 2 2 6 6" xfId="10429" xr:uid="{AA7AF3F8-A714-4F2A-9378-1F91D38E7B49}"/>
    <cellStyle name="40% - Accent2 2 2 7" xfId="2323" xr:uid="{00000000-0005-0000-0000-000088040000}"/>
    <cellStyle name="40% - Accent2 2 2 7 2" xfId="6631" xr:uid="{00000000-0005-0000-0000-000089040000}"/>
    <cellStyle name="40% - Accent2 2 2 7 2 2" xfId="19264" xr:uid="{6CDCCAFC-025D-40DD-8C2D-20686949BF16}"/>
    <cellStyle name="40% - Accent2 2 2 7 3" xfId="15053" xr:uid="{A3C28EBD-A2B1-4BFC-9B5C-857F941D293A}"/>
    <cellStyle name="40% - Accent2 2 2 7 4" xfId="24303" xr:uid="{608EA90F-EB8E-4605-B138-0D095F844D66}"/>
    <cellStyle name="40% - Accent2 2 2 7 5" xfId="10842" xr:uid="{4328C06F-7E2E-47B8-BC96-84CF38C566DF}"/>
    <cellStyle name="40% - Accent2 2 2 8" xfId="4565" xr:uid="{00000000-0005-0000-0000-00008A040000}"/>
    <cellStyle name="40% - Accent2 2 2 8 2" xfId="17198" xr:uid="{EF1A0A2D-80C7-4E7E-A6F9-6CB1C98E62CD}"/>
    <cellStyle name="40% - Accent2 2 2 9" xfId="21409" xr:uid="{43A00FEF-B311-4036-B50A-101578AC8422}"/>
    <cellStyle name="40% - Accent2 2 3" xfId="61" xr:uid="{00000000-0005-0000-0000-00008B040000}"/>
    <cellStyle name="40% - Accent2 2 3 10" xfId="22239" xr:uid="{F3D59E69-5ABF-451B-A91C-D886633AAA19}"/>
    <cellStyle name="40% - Accent2 2 3 11" xfId="8778" xr:uid="{D50A8C35-AFDE-4C07-ADCC-54FF461E8D23}"/>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9759" xr:uid="{8CECD61D-76CA-44EB-AC7B-3E5C49DCEFD2}"/>
    <cellStyle name="40% - Accent2 2 3 2 2 3" xfId="15548" xr:uid="{CFAC4FC6-E701-412E-844C-C91BA01404D0}"/>
    <cellStyle name="40% - Accent2 2 3 2 2 4" xfId="24798" xr:uid="{75066208-8D89-46B2-BD48-32D08B4E9A2C}"/>
    <cellStyle name="40% - Accent2 2 3 2 2 5" xfId="11337" xr:uid="{EC66EBFB-C7D5-4B34-B5E8-7D3AFBE8D2D9}"/>
    <cellStyle name="40% - Accent2 2 3 2 3" xfId="4981" xr:uid="{00000000-0005-0000-0000-00008F040000}"/>
    <cellStyle name="40% - Accent2 2 3 2 3 2" xfId="17614" xr:uid="{055B0EDC-672B-4C6C-9E17-2F4DA1D9C441}"/>
    <cellStyle name="40% - Accent2 2 3 2 4" xfId="21824" xr:uid="{B84E5A0E-CE8E-49A5-B422-81A1FE4E277B}"/>
    <cellStyle name="40% - Accent2 2 3 2 5" xfId="13403" xr:uid="{F1308021-A729-4B44-ACFD-FF4E866150CB}"/>
    <cellStyle name="40% - Accent2 2 3 2 6" xfId="22653" xr:uid="{579DBADD-AEB8-4652-9841-503A42CBBCF4}"/>
    <cellStyle name="40% - Accent2 2 3 2 7" xfId="9192" xr:uid="{5BA69CB3-CC52-439A-B692-81CB0DC95B95}"/>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20172" xr:uid="{2256A0E1-A66B-4370-8FCF-1220C145C1E8}"/>
    <cellStyle name="40% - Accent2 2 3 3 2 3" xfId="15961" xr:uid="{67C55606-DF72-4D19-A5AE-C985897F9E94}"/>
    <cellStyle name="40% - Accent2 2 3 3 2 4" xfId="25211" xr:uid="{D17F5CF2-B379-473F-89F2-2E7C6F08D071}"/>
    <cellStyle name="40% - Accent2 2 3 3 2 5" xfId="11750" xr:uid="{B2CC743B-6780-42BF-9CDB-83CA69E4951D}"/>
    <cellStyle name="40% - Accent2 2 3 3 3" xfId="5394" xr:uid="{00000000-0005-0000-0000-000093040000}"/>
    <cellStyle name="40% - Accent2 2 3 3 3 2" xfId="18027" xr:uid="{DF2E404D-DC5C-48B9-8D5F-A462B271E984}"/>
    <cellStyle name="40% - Accent2 2 3 3 4" xfId="13816" xr:uid="{EC28C648-C2B6-48ED-9E88-D6711291D9A3}"/>
    <cellStyle name="40% - Accent2 2 3 3 5" xfId="23066" xr:uid="{50737377-8208-4E4C-9B6B-25BB97E1487B}"/>
    <cellStyle name="40% - Accent2 2 3 3 6" xfId="9605" xr:uid="{8B3BEDA8-EEE4-4EE6-BD91-31BB3C29E23D}"/>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20585" xr:uid="{FD2B3252-8C4D-4502-B2D0-B597D8A48DD2}"/>
    <cellStyle name="40% - Accent2 2 3 4 2 3" xfId="16374" xr:uid="{151E17AC-3407-4407-AFCF-29330A437CDB}"/>
    <cellStyle name="40% - Accent2 2 3 4 2 4" xfId="25624" xr:uid="{6BA84554-B4FD-4C0A-A2DB-D2D7C4FA0B46}"/>
    <cellStyle name="40% - Accent2 2 3 4 2 5" xfId="12163" xr:uid="{2FCD8456-3E00-4309-A60E-5E0D3FFF5E32}"/>
    <cellStyle name="40% - Accent2 2 3 4 3" xfId="5807" xr:uid="{00000000-0005-0000-0000-000097040000}"/>
    <cellStyle name="40% - Accent2 2 3 4 3 2" xfId="18440" xr:uid="{961ECAA8-A72C-4203-8005-EC36B37CAEF1}"/>
    <cellStyle name="40% - Accent2 2 3 4 4" xfId="14229" xr:uid="{4FCD717D-CE49-4BCF-8A9A-9E3FD9ABF4C9}"/>
    <cellStyle name="40% - Accent2 2 3 4 5" xfId="23479" xr:uid="{88E7FD3C-1E71-4A42-8037-9207E877637C}"/>
    <cellStyle name="40% - Accent2 2 3 4 6" xfId="10018" xr:uid="{3A8E1BBF-731F-4B02-92B7-A0C09AD1F961}"/>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20998" xr:uid="{309DF89B-2E9A-46BC-8050-D84514ADD9E6}"/>
    <cellStyle name="40% - Accent2 2 3 5 2 3" xfId="16787" xr:uid="{B7EF5477-5DA4-4F7B-B5A9-A492DF8C8E7D}"/>
    <cellStyle name="40% - Accent2 2 3 5 2 4" xfId="26037" xr:uid="{DDD0754E-36B6-4623-A487-C80AF1E2CDC9}"/>
    <cellStyle name="40% - Accent2 2 3 5 2 5" xfId="12576" xr:uid="{857C6089-6745-4044-A5CA-4E87691EB8E2}"/>
    <cellStyle name="40% - Accent2 2 3 5 3" xfId="6220" xr:uid="{00000000-0005-0000-0000-00009B040000}"/>
    <cellStyle name="40% - Accent2 2 3 5 3 2" xfId="18853" xr:uid="{8574012F-7945-46B0-85AA-4C39CE9FBFFD}"/>
    <cellStyle name="40% - Accent2 2 3 5 4" xfId="14642" xr:uid="{CBA08144-583E-4601-A31D-CFB829EBA16C}"/>
    <cellStyle name="40% - Accent2 2 3 5 5" xfId="23892" xr:uid="{5E5728C9-1432-4F5B-9962-2F6AC18B1C0B}"/>
    <cellStyle name="40% - Accent2 2 3 5 6" xfId="10431" xr:uid="{4BACF72C-5689-472C-A2FA-2BDAE7C75128}"/>
    <cellStyle name="40% - Accent2 2 3 6" xfId="2325" xr:uid="{00000000-0005-0000-0000-00009C040000}"/>
    <cellStyle name="40% - Accent2 2 3 6 2" xfId="6633" xr:uid="{00000000-0005-0000-0000-00009D040000}"/>
    <cellStyle name="40% - Accent2 2 3 6 2 2" xfId="19266" xr:uid="{AAD7742B-3C58-4F42-8BB0-C115768CBB5A}"/>
    <cellStyle name="40% - Accent2 2 3 6 3" xfId="15055" xr:uid="{CF5AAA88-77CD-477E-9798-EBAC78130FE9}"/>
    <cellStyle name="40% - Accent2 2 3 6 4" xfId="24305" xr:uid="{349E00FD-C8C2-4A7D-A4F6-463ECA100CBD}"/>
    <cellStyle name="40% - Accent2 2 3 6 5" xfId="10844" xr:uid="{C2A3F83C-7DB6-4C67-92A0-98BC79DFE391}"/>
    <cellStyle name="40% - Accent2 2 3 7" xfId="4567" xr:uid="{00000000-0005-0000-0000-00009E040000}"/>
    <cellStyle name="40% - Accent2 2 3 7 2" xfId="17200" xr:uid="{15D9728D-C47A-4628-AD89-E6A4CCBB1C16}"/>
    <cellStyle name="40% - Accent2 2 3 8" xfId="21411" xr:uid="{88DF57A9-2BAE-4B81-BE7C-AA94D1A481D6}"/>
    <cellStyle name="40% - Accent2 2 3 9" xfId="12989" xr:uid="{9A816320-3876-4CCA-8552-4EB4801BB6C1}"/>
    <cellStyle name="40% - Accent2 2 4" xfId="628" xr:uid="{00000000-0005-0000-0000-00009F040000}"/>
    <cellStyle name="40% - Accent2 2 4 2" xfId="2899" xr:uid="{00000000-0005-0000-0000-0000A0040000}"/>
    <cellStyle name="40% - Accent2 2 4 2 2" xfId="7123" xr:uid="{00000000-0005-0000-0000-0000A1040000}"/>
    <cellStyle name="40% - Accent2 2 4 2 2 2" xfId="19756" xr:uid="{DC3BE58D-2E48-41C6-A861-3C6BF79A2703}"/>
    <cellStyle name="40% - Accent2 2 4 2 3" xfId="15545" xr:uid="{73C6AE53-48CF-4C71-B117-99FD36EE02DC}"/>
    <cellStyle name="40% - Accent2 2 4 2 4" xfId="24795" xr:uid="{BF005322-2982-4D38-A1FA-3571A2609727}"/>
    <cellStyle name="40% - Accent2 2 4 2 5" xfId="11334" xr:uid="{9B139E36-D9C2-4EAE-9BDC-9F413F2511C2}"/>
    <cellStyle name="40% - Accent2 2 4 3" xfId="4978" xr:uid="{00000000-0005-0000-0000-0000A2040000}"/>
    <cellStyle name="40% - Accent2 2 4 3 2" xfId="17611" xr:uid="{C77A105B-F00F-48AE-99F1-A887A13DBCFD}"/>
    <cellStyle name="40% - Accent2 2 4 4" xfId="21821" xr:uid="{DA6B7229-79C8-4A07-B8EC-EFC19AF6BF95}"/>
    <cellStyle name="40% - Accent2 2 4 5" xfId="13400" xr:uid="{8678B7D6-D449-462F-A7E4-0FBD15C3076B}"/>
    <cellStyle name="40% - Accent2 2 4 6" xfId="22650" xr:uid="{5990FC20-86E7-42E7-B5A6-91555FA94C90}"/>
    <cellStyle name="40% - Accent2 2 4 7" xfId="9189" xr:uid="{1830DAD2-A6CF-4313-9450-ED5BD8D85D41}"/>
    <cellStyle name="40% - Accent2 2 5" xfId="1081" xr:uid="{00000000-0005-0000-0000-0000A3040000}"/>
    <cellStyle name="40% - Accent2 2 5 2" xfId="3312" xr:uid="{00000000-0005-0000-0000-0000A4040000}"/>
    <cellStyle name="40% - Accent2 2 5 2 2" xfId="7536" xr:uid="{00000000-0005-0000-0000-0000A5040000}"/>
    <cellStyle name="40% - Accent2 2 5 2 2 2" xfId="20169" xr:uid="{17781C77-F840-462C-BF01-8C069F575217}"/>
    <cellStyle name="40% - Accent2 2 5 2 3" xfId="15958" xr:uid="{1D751983-9002-489B-8C35-A8AA69FFC1BA}"/>
    <cellStyle name="40% - Accent2 2 5 2 4" xfId="25208" xr:uid="{A764AF5F-A916-425D-B3F4-EC94E54731D4}"/>
    <cellStyle name="40% - Accent2 2 5 2 5" xfId="11747" xr:uid="{496F7598-28CD-4396-ADD0-10A6F08D3C24}"/>
    <cellStyle name="40% - Accent2 2 5 3" xfId="5391" xr:uid="{00000000-0005-0000-0000-0000A6040000}"/>
    <cellStyle name="40% - Accent2 2 5 3 2" xfId="18024" xr:uid="{E9311E68-CAA4-46F9-8DD6-6F9706573D46}"/>
    <cellStyle name="40% - Accent2 2 5 4" xfId="13813" xr:uid="{4EEC3D8B-B7FC-4891-979F-7DD4A2AF6C86}"/>
    <cellStyle name="40% - Accent2 2 5 5" xfId="23063" xr:uid="{706748F9-3979-4801-BF1C-3E426213B5F1}"/>
    <cellStyle name="40% - Accent2 2 5 6" xfId="9602" xr:uid="{85594B10-8CA0-4619-8F21-AA70649ED602}"/>
    <cellStyle name="40% - Accent2 2 6" xfId="1495" xr:uid="{00000000-0005-0000-0000-0000A7040000}"/>
    <cellStyle name="40% - Accent2 2 6 2" xfId="3725" xr:uid="{00000000-0005-0000-0000-0000A8040000}"/>
    <cellStyle name="40% - Accent2 2 6 2 2" xfId="7949" xr:uid="{00000000-0005-0000-0000-0000A9040000}"/>
    <cellStyle name="40% - Accent2 2 6 2 2 2" xfId="20582" xr:uid="{894D0AF6-573A-4358-BBF7-0BD13986BA5A}"/>
    <cellStyle name="40% - Accent2 2 6 2 3" xfId="16371" xr:uid="{F1FD26A3-B78B-44E1-8901-EFE4DE93328E}"/>
    <cellStyle name="40% - Accent2 2 6 2 4" xfId="25621" xr:uid="{07A124E1-14DF-4B51-A8B6-CB09ABB8D6DF}"/>
    <cellStyle name="40% - Accent2 2 6 2 5" xfId="12160" xr:uid="{A85FE9D4-612D-4753-A926-F9375133907C}"/>
    <cellStyle name="40% - Accent2 2 6 3" xfId="5804" xr:uid="{00000000-0005-0000-0000-0000AA040000}"/>
    <cellStyle name="40% - Accent2 2 6 3 2" xfId="18437" xr:uid="{340FF9E4-BA96-4AC4-8841-0010ACE43763}"/>
    <cellStyle name="40% - Accent2 2 6 4" xfId="14226" xr:uid="{E1CDC976-41CD-46CE-8EB8-0660E14AB978}"/>
    <cellStyle name="40% - Accent2 2 6 5" xfId="23476" xr:uid="{C258B17E-1311-46EA-BB21-A067117A628A}"/>
    <cellStyle name="40% - Accent2 2 6 6" xfId="10015" xr:uid="{699390F9-142F-4407-A3D5-A51701938333}"/>
    <cellStyle name="40% - Accent2 2 7" xfId="1909" xr:uid="{00000000-0005-0000-0000-0000AB040000}"/>
    <cellStyle name="40% - Accent2 2 7 2" xfId="4138" xr:uid="{00000000-0005-0000-0000-0000AC040000}"/>
    <cellStyle name="40% - Accent2 2 7 2 2" xfId="8362" xr:uid="{00000000-0005-0000-0000-0000AD040000}"/>
    <cellStyle name="40% - Accent2 2 7 2 2 2" xfId="20995" xr:uid="{EC2C803A-0F0C-4697-8109-33553CB6EE5F}"/>
    <cellStyle name="40% - Accent2 2 7 2 3" xfId="16784" xr:uid="{DFB8819F-DBEA-4FF9-8343-98698729F4B8}"/>
    <cellStyle name="40% - Accent2 2 7 2 4" xfId="26034" xr:uid="{7DABAA6A-DCEC-4495-881E-CD5D7738942D}"/>
    <cellStyle name="40% - Accent2 2 7 2 5" xfId="12573" xr:uid="{A80A5C5A-7F97-47BF-A04C-4324D59905D2}"/>
    <cellStyle name="40% - Accent2 2 7 3" xfId="6217" xr:uid="{00000000-0005-0000-0000-0000AE040000}"/>
    <cellStyle name="40% - Accent2 2 7 3 2" xfId="18850" xr:uid="{88F1CE3A-F21B-4676-9A98-5C6FC7014E8A}"/>
    <cellStyle name="40% - Accent2 2 7 4" xfId="14639" xr:uid="{7866EC3F-C5CB-43A4-B864-FA845D181783}"/>
    <cellStyle name="40% - Accent2 2 7 5" xfId="23889" xr:uid="{6BD03018-53C3-4F18-BDD4-1700557834AC}"/>
    <cellStyle name="40% - Accent2 2 7 6" xfId="10428" xr:uid="{44EBCDB1-2E47-435A-8147-5ACC6C34D8B5}"/>
    <cellStyle name="40% - Accent2 2 8" xfId="2322" xr:uid="{00000000-0005-0000-0000-0000AF040000}"/>
    <cellStyle name="40% - Accent2 2 8 2" xfId="6630" xr:uid="{00000000-0005-0000-0000-0000B0040000}"/>
    <cellStyle name="40% - Accent2 2 8 2 2" xfId="19263" xr:uid="{7AD4A105-CCC0-48F0-BAA6-9E32565E59F2}"/>
    <cellStyle name="40% - Accent2 2 8 3" xfId="15052" xr:uid="{F88095EF-273B-4613-A244-112974D9571F}"/>
    <cellStyle name="40% - Accent2 2 8 4" xfId="24302" xr:uid="{72F9FAB9-6E9A-42F2-89A3-A4A0695C4F04}"/>
    <cellStyle name="40% - Accent2 2 8 5" xfId="10841" xr:uid="{43C29CF1-7EA7-486D-8D8A-84913F2104DA}"/>
    <cellStyle name="40% - Accent2 2 9" xfId="4564" xr:uid="{00000000-0005-0000-0000-0000B1040000}"/>
    <cellStyle name="40% - Accent2 2 9 2" xfId="17197" xr:uid="{4CC17A30-2B73-4905-ABBB-7DE11E50E256}"/>
    <cellStyle name="40% - Accent2 3" xfId="62" xr:uid="{00000000-0005-0000-0000-0000B2040000}"/>
    <cellStyle name="40% - Accent2 3 10" xfId="12990" xr:uid="{FDD24DC0-20FC-40BF-BCBA-512A5D9AB148}"/>
    <cellStyle name="40% - Accent2 3 11" xfId="22240" xr:uid="{D6F6265C-4EF0-4973-A587-CD14D0612730}"/>
    <cellStyle name="40% - Accent2 3 12" xfId="8779" xr:uid="{8EBC2B00-7DF1-4EC9-9D5E-9BA1C77A669E}"/>
    <cellStyle name="40% - Accent2 3 2" xfId="63" xr:uid="{00000000-0005-0000-0000-0000B3040000}"/>
    <cellStyle name="40% - Accent2 3 2 10" xfId="22241" xr:uid="{25825CCE-85EC-443D-A902-8C8FAEBADBB6}"/>
    <cellStyle name="40% - Accent2 3 2 11" xfId="8780" xr:uid="{22C01360-3FCD-4925-ADDA-98BD54EE0B3C}"/>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9761" xr:uid="{5B9B66EB-DBD7-463F-B7F5-95A093D36228}"/>
    <cellStyle name="40% - Accent2 3 2 2 2 3" xfId="15550" xr:uid="{E37A43FA-3C92-4009-A5A5-72CBB5B9A167}"/>
    <cellStyle name="40% - Accent2 3 2 2 2 4" xfId="24800" xr:uid="{54FF0D83-E543-4449-BAAB-86E509AED380}"/>
    <cellStyle name="40% - Accent2 3 2 2 2 5" xfId="11339" xr:uid="{9EC46A91-6671-485B-81E8-06731D0F23BA}"/>
    <cellStyle name="40% - Accent2 3 2 2 3" xfId="4983" xr:uid="{00000000-0005-0000-0000-0000B7040000}"/>
    <cellStyle name="40% - Accent2 3 2 2 3 2" xfId="17616" xr:uid="{8F7B49BA-6BE5-4037-83A0-372B84062543}"/>
    <cellStyle name="40% - Accent2 3 2 2 4" xfId="21826" xr:uid="{C4825BA9-F95B-4355-B984-1BE237084BCC}"/>
    <cellStyle name="40% - Accent2 3 2 2 5" xfId="13405" xr:uid="{A69BD033-3FD0-4EFD-816E-94353AF2B4DF}"/>
    <cellStyle name="40% - Accent2 3 2 2 6" xfId="22655" xr:uid="{21123A93-EDFF-46D5-A396-29251CD7BD07}"/>
    <cellStyle name="40% - Accent2 3 2 2 7" xfId="9194" xr:uid="{F2B16156-1CF4-48AC-828B-0040D3486642}"/>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20174" xr:uid="{B66CADAE-B13A-444E-A612-604DA9A5C60C}"/>
    <cellStyle name="40% - Accent2 3 2 3 2 3" xfId="15963" xr:uid="{CA56E6C8-84B2-422D-B385-A15A22ADFBBD}"/>
    <cellStyle name="40% - Accent2 3 2 3 2 4" xfId="25213" xr:uid="{AEEF0F83-7360-45C6-AA7D-D710FC3A5021}"/>
    <cellStyle name="40% - Accent2 3 2 3 2 5" xfId="11752" xr:uid="{2F13961C-9A8D-4A2E-97F8-43624419EDD2}"/>
    <cellStyle name="40% - Accent2 3 2 3 3" xfId="5396" xr:uid="{00000000-0005-0000-0000-0000BB040000}"/>
    <cellStyle name="40% - Accent2 3 2 3 3 2" xfId="18029" xr:uid="{E0FCAD3B-158C-4BF4-B7B6-32ABCC1BFA73}"/>
    <cellStyle name="40% - Accent2 3 2 3 4" xfId="13818" xr:uid="{C560F585-9180-4DCD-919C-298FDD6CFC7D}"/>
    <cellStyle name="40% - Accent2 3 2 3 5" xfId="23068" xr:uid="{B4B41078-B2E6-4142-92BB-8EA0C11ED6D7}"/>
    <cellStyle name="40% - Accent2 3 2 3 6" xfId="9607" xr:uid="{1DC766ED-333A-46FC-B268-FDE2D3445742}"/>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20587" xr:uid="{6654E0A0-3D07-4CAF-A1A3-3E71AADE39A5}"/>
    <cellStyle name="40% - Accent2 3 2 4 2 3" xfId="16376" xr:uid="{F6D9DC66-4921-47EB-A7E8-AD2038139FEC}"/>
    <cellStyle name="40% - Accent2 3 2 4 2 4" xfId="25626" xr:uid="{6FF83DD8-7A9D-4149-AA38-8A8E76BE16C1}"/>
    <cellStyle name="40% - Accent2 3 2 4 2 5" xfId="12165" xr:uid="{9307B055-D6DB-48B7-AC70-188C2610724D}"/>
    <cellStyle name="40% - Accent2 3 2 4 3" xfId="5809" xr:uid="{00000000-0005-0000-0000-0000BF040000}"/>
    <cellStyle name="40% - Accent2 3 2 4 3 2" xfId="18442" xr:uid="{C6A5A7EE-0B35-4410-9A39-83D8AECA38F0}"/>
    <cellStyle name="40% - Accent2 3 2 4 4" xfId="14231" xr:uid="{04923CC5-46C7-4091-A09F-18F0FAEF2E62}"/>
    <cellStyle name="40% - Accent2 3 2 4 5" xfId="23481" xr:uid="{76F2623C-5964-434D-81CC-84C3F818A285}"/>
    <cellStyle name="40% - Accent2 3 2 4 6" xfId="10020" xr:uid="{4321290A-D41E-4BB3-B4D4-E870A7E27487}"/>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21000" xr:uid="{29244902-4299-4623-B319-D16C8F27E416}"/>
    <cellStyle name="40% - Accent2 3 2 5 2 3" xfId="16789" xr:uid="{834B3CFB-9F7C-4673-A4D0-4FD6E0644095}"/>
    <cellStyle name="40% - Accent2 3 2 5 2 4" xfId="26039" xr:uid="{5B8761EF-4265-4E71-ABC9-6754E82002FD}"/>
    <cellStyle name="40% - Accent2 3 2 5 2 5" xfId="12578" xr:uid="{FCB20AC6-32FF-4708-979B-5490D5501AA3}"/>
    <cellStyle name="40% - Accent2 3 2 5 3" xfId="6222" xr:uid="{00000000-0005-0000-0000-0000C3040000}"/>
    <cellStyle name="40% - Accent2 3 2 5 3 2" xfId="18855" xr:uid="{D36B5468-25AA-4BAC-A137-25B7416865B5}"/>
    <cellStyle name="40% - Accent2 3 2 5 4" xfId="14644" xr:uid="{66670CAB-E1C3-40D6-BC9D-E6B10C255A70}"/>
    <cellStyle name="40% - Accent2 3 2 5 5" xfId="23894" xr:uid="{AF8D86DC-4F5E-4483-BC79-F23204AF34DB}"/>
    <cellStyle name="40% - Accent2 3 2 5 6" xfId="10433" xr:uid="{B2835B7C-5004-4340-A871-9DC83223D17C}"/>
    <cellStyle name="40% - Accent2 3 2 6" xfId="2327" xr:uid="{00000000-0005-0000-0000-0000C4040000}"/>
    <cellStyle name="40% - Accent2 3 2 6 2" xfId="6635" xr:uid="{00000000-0005-0000-0000-0000C5040000}"/>
    <cellStyle name="40% - Accent2 3 2 6 2 2" xfId="19268" xr:uid="{21D913B2-01C7-4B68-AF0C-24F155A84683}"/>
    <cellStyle name="40% - Accent2 3 2 6 3" xfId="15057" xr:uid="{CF011774-E7CC-439F-BD5A-B9DDC26ED90F}"/>
    <cellStyle name="40% - Accent2 3 2 6 4" xfId="24307" xr:uid="{AF516EBA-2D2D-4A49-9C34-166132729972}"/>
    <cellStyle name="40% - Accent2 3 2 6 5" xfId="10846" xr:uid="{35E087A4-0C7E-4B58-9ADD-4897F9FE9578}"/>
    <cellStyle name="40% - Accent2 3 2 7" xfId="4569" xr:uid="{00000000-0005-0000-0000-0000C6040000}"/>
    <cellStyle name="40% - Accent2 3 2 7 2" xfId="17202" xr:uid="{AA208170-6E89-4016-BDF1-656A76C026C2}"/>
    <cellStyle name="40% - Accent2 3 2 8" xfId="21413" xr:uid="{2B75FD96-9F1D-48FD-9CCA-6A770A4D3304}"/>
    <cellStyle name="40% - Accent2 3 2 9" xfId="12991" xr:uid="{17572D10-ACBC-4C13-BBCF-EEAE61107AD5}"/>
    <cellStyle name="40% - Accent2 3 3" xfId="632" xr:uid="{00000000-0005-0000-0000-0000C7040000}"/>
    <cellStyle name="40% - Accent2 3 3 2" xfId="2903" xr:uid="{00000000-0005-0000-0000-0000C8040000}"/>
    <cellStyle name="40% - Accent2 3 3 2 2" xfId="7127" xr:uid="{00000000-0005-0000-0000-0000C9040000}"/>
    <cellStyle name="40% - Accent2 3 3 2 2 2" xfId="19760" xr:uid="{DB4E6F86-1D93-4E32-B875-0ACF2C7764DE}"/>
    <cellStyle name="40% - Accent2 3 3 2 3" xfId="15549" xr:uid="{CAC045A0-DFFD-4603-A782-43043518A854}"/>
    <cellStyle name="40% - Accent2 3 3 2 4" xfId="24799" xr:uid="{C0A90119-C816-4474-8C46-2A460AAECE36}"/>
    <cellStyle name="40% - Accent2 3 3 2 5" xfId="11338" xr:uid="{F8BCC462-1614-460D-9734-86E59E0E6709}"/>
    <cellStyle name="40% - Accent2 3 3 3" xfId="4982" xr:uid="{00000000-0005-0000-0000-0000CA040000}"/>
    <cellStyle name="40% - Accent2 3 3 3 2" xfId="17615" xr:uid="{8CD52C77-B54F-4488-B2E2-B17EB71B1697}"/>
    <cellStyle name="40% - Accent2 3 3 4" xfId="21825" xr:uid="{406A2537-5CD5-49CC-AADE-A2A51B10E380}"/>
    <cellStyle name="40% - Accent2 3 3 5" xfId="13404" xr:uid="{AEE814E5-8AD8-48DA-96C0-CFA5C7A3ECAA}"/>
    <cellStyle name="40% - Accent2 3 3 6" xfId="22654" xr:uid="{37417554-7D10-4D8E-85A1-F6B233F477B8}"/>
    <cellStyle name="40% - Accent2 3 3 7" xfId="9193" xr:uid="{B2AA62D8-2E90-4D72-A82A-580D7A69F909}"/>
    <cellStyle name="40% - Accent2 3 4" xfId="1085" xr:uid="{00000000-0005-0000-0000-0000CB040000}"/>
    <cellStyle name="40% - Accent2 3 4 2" xfId="3316" xr:uid="{00000000-0005-0000-0000-0000CC040000}"/>
    <cellStyle name="40% - Accent2 3 4 2 2" xfId="7540" xr:uid="{00000000-0005-0000-0000-0000CD040000}"/>
    <cellStyle name="40% - Accent2 3 4 2 2 2" xfId="20173" xr:uid="{893BA71C-CE4C-40C7-B15D-527EB570A8C4}"/>
    <cellStyle name="40% - Accent2 3 4 2 3" xfId="15962" xr:uid="{C989424C-2B4C-493C-A502-9B77BA74B0D6}"/>
    <cellStyle name="40% - Accent2 3 4 2 4" xfId="25212" xr:uid="{66618A0A-A80F-4A40-B3D4-51FA2FF4EC39}"/>
    <cellStyle name="40% - Accent2 3 4 2 5" xfId="11751" xr:uid="{D05EE17A-9E4B-4C61-9F62-AE4E68C832B0}"/>
    <cellStyle name="40% - Accent2 3 4 3" xfId="5395" xr:uid="{00000000-0005-0000-0000-0000CE040000}"/>
    <cellStyle name="40% - Accent2 3 4 3 2" xfId="18028" xr:uid="{CE19B710-68E2-4BF4-AABA-8F53FFE53F41}"/>
    <cellStyle name="40% - Accent2 3 4 4" xfId="13817" xr:uid="{556A0215-962F-4CD2-AF19-6AD8A66D3053}"/>
    <cellStyle name="40% - Accent2 3 4 5" xfId="23067" xr:uid="{86BD6223-796B-4674-95C3-E67003BC4C76}"/>
    <cellStyle name="40% - Accent2 3 4 6" xfId="9606" xr:uid="{5B28BC35-88B5-48A6-A88E-609E2753E2B1}"/>
    <cellStyle name="40% - Accent2 3 5" xfId="1499" xr:uid="{00000000-0005-0000-0000-0000CF040000}"/>
    <cellStyle name="40% - Accent2 3 5 2" xfId="3729" xr:uid="{00000000-0005-0000-0000-0000D0040000}"/>
    <cellStyle name="40% - Accent2 3 5 2 2" xfId="7953" xr:uid="{00000000-0005-0000-0000-0000D1040000}"/>
    <cellStyle name="40% - Accent2 3 5 2 2 2" xfId="20586" xr:uid="{02E8F7A9-ED46-49B8-B7F8-A6CDCDEAE223}"/>
    <cellStyle name="40% - Accent2 3 5 2 3" xfId="16375" xr:uid="{EB48C772-6A5F-45BE-9AD9-3433DF1EB83A}"/>
    <cellStyle name="40% - Accent2 3 5 2 4" xfId="25625" xr:uid="{72CA20B2-6FBB-4F15-9C0F-7202C4E3717F}"/>
    <cellStyle name="40% - Accent2 3 5 2 5" xfId="12164" xr:uid="{3FCF186A-D7C3-4671-A967-1002B2A9212A}"/>
    <cellStyle name="40% - Accent2 3 5 3" xfId="5808" xr:uid="{00000000-0005-0000-0000-0000D2040000}"/>
    <cellStyle name="40% - Accent2 3 5 3 2" xfId="18441" xr:uid="{3B68B753-6C1F-4C62-96EE-19CA36EBB25D}"/>
    <cellStyle name="40% - Accent2 3 5 4" xfId="14230" xr:uid="{085F4588-2C8B-4527-829F-56DDACB24FD7}"/>
    <cellStyle name="40% - Accent2 3 5 5" xfId="23480" xr:uid="{031898B2-249F-446E-9EFB-E603F7CE7369}"/>
    <cellStyle name="40% - Accent2 3 5 6" xfId="10019" xr:uid="{C0ACE386-C775-41E3-9884-B87AF52E4882}"/>
    <cellStyle name="40% - Accent2 3 6" xfId="1913" xr:uid="{00000000-0005-0000-0000-0000D3040000}"/>
    <cellStyle name="40% - Accent2 3 6 2" xfId="4142" xr:uid="{00000000-0005-0000-0000-0000D4040000}"/>
    <cellStyle name="40% - Accent2 3 6 2 2" xfId="8366" xr:uid="{00000000-0005-0000-0000-0000D5040000}"/>
    <cellStyle name="40% - Accent2 3 6 2 2 2" xfId="20999" xr:uid="{4941D0A5-E58B-4CF9-8464-66B94508E132}"/>
    <cellStyle name="40% - Accent2 3 6 2 3" xfId="16788" xr:uid="{0B4ECBBC-F4A5-44C9-A5F2-333D6220ED90}"/>
    <cellStyle name="40% - Accent2 3 6 2 4" xfId="26038" xr:uid="{F8261D30-F110-45BB-893A-77A82649CB96}"/>
    <cellStyle name="40% - Accent2 3 6 2 5" xfId="12577" xr:uid="{74397EF1-403F-4080-BC77-2D8C9EACE83E}"/>
    <cellStyle name="40% - Accent2 3 6 3" xfId="6221" xr:uid="{00000000-0005-0000-0000-0000D6040000}"/>
    <cellStyle name="40% - Accent2 3 6 3 2" xfId="18854" xr:uid="{F7E786FD-8D34-4BC6-94C9-09DCAF8AEC3A}"/>
    <cellStyle name="40% - Accent2 3 6 4" xfId="14643" xr:uid="{4E4E23A7-2277-4749-BE1D-1D642ED6D67F}"/>
    <cellStyle name="40% - Accent2 3 6 5" xfId="23893" xr:uid="{7315041D-7F99-495A-A87D-17C96C1BFC30}"/>
    <cellStyle name="40% - Accent2 3 6 6" xfId="10432" xr:uid="{78C5B118-4482-4DA9-A2A0-1257D392F8AE}"/>
    <cellStyle name="40% - Accent2 3 7" xfId="2326" xr:uid="{00000000-0005-0000-0000-0000D7040000}"/>
    <cellStyle name="40% - Accent2 3 7 2" xfId="6634" xr:uid="{00000000-0005-0000-0000-0000D8040000}"/>
    <cellStyle name="40% - Accent2 3 7 2 2" xfId="19267" xr:uid="{DBF997A7-31E1-4D13-98E7-394620E75C5F}"/>
    <cellStyle name="40% - Accent2 3 7 3" xfId="15056" xr:uid="{340C2142-57A5-4B52-97C9-F66E6352D5E6}"/>
    <cellStyle name="40% - Accent2 3 7 4" xfId="24306" xr:uid="{62A55907-A6DB-4E49-BB47-E7F8C48934E1}"/>
    <cellStyle name="40% - Accent2 3 7 5" xfId="10845" xr:uid="{9DD539FF-0682-4BFD-B6E9-2F0730A47DAC}"/>
    <cellStyle name="40% - Accent2 3 8" xfId="4568" xr:uid="{00000000-0005-0000-0000-0000D9040000}"/>
    <cellStyle name="40% - Accent2 3 8 2" xfId="17201" xr:uid="{699CDE1C-EC9B-498D-80D1-7D84F2FCC13E}"/>
    <cellStyle name="40% - Accent2 3 9" xfId="21412" xr:uid="{F1FB1334-BE11-47A1-B2D3-55A896666E38}"/>
    <cellStyle name="40% - Accent2 4" xfId="64" xr:uid="{00000000-0005-0000-0000-0000DA040000}"/>
    <cellStyle name="40% - Accent2 4 10" xfId="22242" xr:uid="{B38CA9F4-D741-4645-8922-383DDCB8D461}"/>
    <cellStyle name="40% - Accent2 4 11" xfId="8781" xr:uid="{A00D1260-AD0E-48DE-A654-0CA646FD720C}"/>
    <cellStyle name="40% - Accent2 4 2" xfId="634" xr:uid="{00000000-0005-0000-0000-0000DB040000}"/>
    <cellStyle name="40% - Accent2 4 2 2" xfId="2905" xr:uid="{00000000-0005-0000-0000-0000DC040000}"/>
    <cellStyle name="40% - Accent2 4 2 2 2" xfId="7129" xr:uid="{00000000-0005-0000-0000-0000DD040000}"/>
    <cellStyle name="40% - Accent2 4 2 2 2 2" xfId="19762" xr:uid="{97A49D76-129C-4D5B-B1CA-AF8918A65568}"/>
    <cellStyle name="40% - Accent2 4 2 2 3" xfId="15551" xr:uid="{8D02BA1E-9CD6-416C-94E7-13DCCF065FC7}"/>
    <cellStyle name="40% - Accent2 4 2 2 4" xfId="24801" xr:uid="{9F8DFA23-22BA-4A21-AB00-8C0D8E459B10}"/>
    <cellStyle name="40% - Accent2 4 2 2 5" xfId="11340" xr:uid="{DB74EA99-130B-4051-8838-2097FE40146D}"/>
    <cellStyle name="40% - Accent2 4 2 3" xfId="4984" xr:uid="{00000000-0005-0000-0000-0000DE040000}"/>
    <cellStyle name="40% - Accent2 4 2 3 2" xfId="17617" xr:uid="{BD18B0F5-D52D-4012-90DE-8BCE2FB728F1}"/>
    <cellStyle name="40% - Accent2 4 2 4" xfId="21827" xr:uid="{190E500E-BA4E-498E-8C14-F14C1C7A2455}"/>
    <cellStyle name="40% - Accent2 4 2 5" xfId="13406" xr:uid="{3B15309A-89C3-4BE2-89C0-9CF14CB918E6}"/>
    <cellStyle name="40% - Accent2 4 2 6" xfId="22656" xr:uid="{81A2A944-7AA4-46CC-BC68-2D83FF1B485F}"/>
    <cellStyle name="40% - Accent2 4 2 7" xfId="9195" xr:uid="{76FEC7A6-676D-4213-AF0B-5D1D8A2A3FBC}"/>
    <cellStyle name="40% - Accent2 4 3" xfId="1087" xr:uid="{00000000-0005-0000-0000-0000DF040000}"/>
    <cellStyle name="40% - Accent2 4 3 2" xfId="3318" xr:uid="{00000000-0005-0000-0000-0000E0040000}"/>
    <cellStyle name="40% - Accent2 4 3 2 2" xfId="7542" xr:uid="{00000000-0005-0000-0000-0000E1040000}"/>
    <cellStyle name="40% - Accent2 4 3 2 2 2" xfId="20175" xr:uid="{9AE34ABA-3B65-46A1-80E2-73BCC1947409}"/>
    <cellStyle name="40% - Accent2 4 3 2 3" xfId="15964" xr:uid="{5197C1E5-43C9-42E8-A1E2-FDFB3DCCEDFF}"/>
    <cellStyle name="40% - Accent2 4 3 2 4" xfId="25214" xr:uid="{7618995C-5BC9-422B-B46E-D47B4D81B967}"/>
    <cellStyle name="40% - Accent2 4 3 2 5" xfId="11753" xr:uid="{5D5C52AE-486B-4E3F-80FC-04CC014914E0}"/>
    <cellStyle name="40% - Accent2 4 3 3" xfId="5397" xr:uid="{00000000-0005-0000-0000-0000E2040000}"/>
    <cellStyle name="40% - Accent2 4 3 3 2" xfId="18030" xr:uid="{05E83BE2-BE9C-41B0-8DE6-D1A03E370D5F}"/>
    <cellStyle name="40% - Accent2 4 3 4" xfId="13819" xr:uid="{147AB9E5-BD7B-4684-A697-98E091AAD928}"/>
    <cellStyle name="40% - Accent2 4 3 5" xfId="23069" xr:uid="{F4CFEA28-6762-4079-A46C-E4B4B48ABC46}"/>
    <cellStyle name="40% - Accent2 4 3 6" xfId="9608" xr:uid="{265BC92E-339B-4A53-BCD5-774E48F818B5}"/>
    <cellStyle name="40% - Accent2 4 4" xfId="1501" xr:uid="{00000000-0005-0000-0000-0000E3040000}"/>
    <cellStyle name="40% - Accent2 4 4 2" xfId="3731" xr:uid="{00000000-0005-0000-0000-0000E4040000}"/>
    <cellStyle name="40% - Accent2 4 4 2 2" xfId="7955" xr:uid="{00000000-0005-0000-0000-0000E5040000}"/>
    <cellStyle name="40% - Accent2 4 4 2 2 2" xfId="20588" xr:uid="{91051DD7-6275-4632-8AEC-05AAB1F5F3C5}"/>
    <cellStyle name="40% - Accent2 4 4 2 3" xfId="16377" xr:uid="{E828CCE6-24CE-4CED-950A-5CDA697A7B78}"/>
    <cellStyle name="40% - Accent2 4 4 2 4" xfId="25627" xr:uid="{D0662D7F-78F9-4110-87F6-B6BD9C5D290E}"/>
    <cellStyle name="40% - Accent2 4 4 2 5" xfId="12166" xr:uid="{6C49A471-2EF2-42FF-90C6-828532B15AF8}"/>
    <cellStyle name="40% - Accent2 4 4 3" xfId="5810" xr:uid="{00000000-0005-0000-0000-0000E6040000}"/>
    <cellStyle name="40% - Accent2 4 4 3 2" xfId="18443" xr:uid="{D19D6293-7239-4015-BA3F-88C8FF1D8091}"/>
    <cellStyle name="40% - Accent2 4 4 4" xfId="14232" xr:uid="{F87B6205-F9C6-4B29-8230-34F60E17CF46}"/>
    <cellStyle name="40% - Accent2 4 4 5" xfId="23482" xr:uid="{9504156C-6F53-42FC-A0D6-5EBA3B8E9FD1}"/>
    <cellStyle name="40% - Accent2 4 4 6" xfId="10021" xr:uid="{E02091E2-F225-4291-83CA-B37705176DC8}"/>
    <cellStyle name="40% - Accent2 4 5" xfId="1915" xr:uid="{00000000-0005-0000-0000-0000E7040000}"/>
    <cellStyle name="40% - Accent2 4 5 2" xfId="4144" xr:uid="{00000000-0005-0000-0000-0000E8040000}"/>
    <cellStyle name="40% - Accent2 4 5 2 2" xfId="8368" xr:uid="{00000000-0005-0000-0000-0000E9040000}"/>
    <cellStyle name="40% - Accent2 4 5 2 2 2" xfId="21001" xr:uid="{8FB689A2-68F4-4B88-BB1A-6B20CA8A31E5}"/>
    <cellStyle name="40% - Accent2 4 5 2 3" xfId="16790" xr:uid="{6EBFEE55-D655-49E8-8860-26AC8659044F}"/>
    <cellStyle name="40% - Accent2 4 5 2 4" xfId="26040" xr:uid="{FFD2AFF6-6A28-499C-8A55-A35752703C0F}"/>
    <cellStyle name="40% - Accent2 4 5 2 5" xfId="12579" xr:uid="{D6AEE925-27D4-449E-BA52-B47A4E3AA8F8}"/>
    <cellStyle name="40% - Accent2 4 5 3" xfId="6223" xr:uid="{00000000-0005-0000-0000-0000EA040000}"/>
    <cellStyle name="40% - Accent2 4 5 3 2" xfId="18856" xr:uid="{4782CF38-155D-4C79-8115-094C0A77BE59}"/>
    <cellStyle name="40% - Accent2 4 5 4" xfId="14645" xr:uid="{9E60C0FA-9FC0-4421-9CF8-60799750568C}"/>
    <cellStyle name="40% - Accent2 4 5 5" xfId="23895" xr:uid="{99E32355-BEF2-42D4-9153-2A6982B641CA}"/>
    <cellStyle name="40% - Accent2 4 5 6" xfId="10434" xr:uid="{F9D0F3F4-A9AE-4EF1-9C11-8732923EA1B4}"/>
    <cellStyle name="40% - Accent2 4 6" xfId="2328" xr:uid="{00000000-0005-0000-0000-0000EB040000}"/>
    <cellStyle name="40% - Accent2 4 6 2" xfId="6636" xr:uid="{00000000-0005-0000-0000-0000EC040000}"/>
    <cellStyle name="40% - Accent2 4 6 2 2" xfId="19269" xr:uid="{8076E21B-A77B-41F8-93A3-582FEC7A606C}"/>
    <cellStyle name="40% - Accent2 4 6 3" xfId="15058" xr:uid="{B24A656F-6A82-4443-928E-2A6852C7E9CC}"/>
    <cellStyle name="40% - Accent2 4 6 4" xfId="24308" xr:uid="{409360B3-1EC2-4614-BD79-6CC3080CF499}"/>
    <cellStyle name="40% - Accent2 4 6 5" xfId="10847" xr:uid="{FC4C6AAD-8453-44D1-BEFB-24D73EF8F14D}"/>
    <cellStyle name="40% - Accent2 4 7" xfId="4570" xr:uid="{00000000-0005-0000-0000-0000ED040000}"/>
    <cellStyle name="40% - Accent2 4 7 2" xfId="17203" xr:uid="{AE928AA7-33C3-4C4A-909D-D200D3706A3B}"/>
    <cellStyle name="40% - Accent2 4 8" xfId="21414" xr:uid="{79E992B2-344C-411A-9C9A-4C9F947C647D}"/>
    <cellStyle name="40% - Accent2 4 9" xfId="12992" xr:uid="{FF211080-7D66-422F-935E-5A8A7E909A0F}"/>
    <cellStyle name="40% - Accent2 5" xfId="627" xr:uid="{00000000-0005-0000-0000-0000EE040000}"/>
    <cellStyle name="40% - Accent2 5 2" xfId="2898" xr:uid="{00000000-0005-0000-0000-0000EF040000}"/>
    <cellStyle name="40% - Accent2 5 2 2" xfId="7122" xr:uid="{00000000-0005-0000-0000-0000F0040000}"/>
    <cellStyle name="40% - Accent2 5 2 2 2" xfId="19755" xr:uid="{C53610AC-4AAE-4932-B70A-2D6EE99FD7B3}"/>
    <cellStyle name="40% - Accent2 5 2 3" xfId="15544" xr:uid="{81E3BA93-42F7-4459-9E5F-A7C8549E323D}"/>
    <cellStyle name="40% - Accent2 5 2 4" xfId="24794" xr:uid="{199699FA-9AF9-44EB-9981-AC19F642A03C}"/>
    <cellStyle name="40% - Accent2 5 2 5" xfId="11333" xr:uid="{F089B283-D6B9-429D-875C-ECA8FFA83794}"/>
    <cellStyle name="40% - Accent2 5 3" xfId="4977" xr:uid="{00000000-0005-0000-0000-0000F1040000}"/>
    <cellStyle name="40% - Accent2 5 3 2" xfId="17610" xr:uid="{BC8044EF-16D7-4665-9128-13B63F1BC5F6}"/>
    <cellStyle name="40% - Accent2 5 4" xfId="21820" xr:uid="{904955EC-4E16-4145-B37D-B1FC590F4BB3}"/>
    <cellStyle name="40% - Accent2 5 5" xfId="13399" xr:uid="{D1E91FC6-0BB8-41BE-A728-DBC61BE16AE3}"/>
    <cellStyle name="40% - Accent2 5 6" xfId="22649" xr:uid="{E12F2A74-E9DF-4E16-9F2A-9F5D94FD182A}"/>
    <cellStyle name="40% - Accent2 5 7" xfId="9188" xr:uid="{1FDE1A02-1D8F-4871-B53E-8BF070B0F363}"/>
    <cellStyle name="40% - Accent2 6" xfId="1080" xr:uid="{00000000-0005-0000-0000-0000F2040000}"/>
    <cellStyle name="40% - Accent2 6 2" xfId="3311" xr:uid="{00000000-0005-0000-0000-0000F3040000}"/>
    <cellStyle name="40% - Accent2 6 2 2" xfId="7535" xr:uid="{00000000-0005-0000-0000-0000F4040000}"/>
    <cellStyle name="40% - Accent2 6 2 2 2" xfId="20168" xr:uid="{2224F9DB-DA03-416D-80E2-003910543A85}"/>
    <cellStyle name="40% - Accent2 6 2 3" xfId="15957" xr:uid="{5FF028F3-29A2-4FE4-BCD3-7A8406AC6564}"/>
    <cellStyle name="40% - Accent2 6 2 4" xfId="25207" xr:uid="{834DD304-6ED0-4C38-813B-D2F51CDE5798}"/>
    <cellStyle name="40% - Accent2 6 2 5" xfId="11746" xr:uid="{464EDC2A-5A12-40BE-B5E1-088E73783F9F}"/>
    <cellStyle name="40% - Accent2 6 3" xfId="5390" xr:uid="{00000000-0005-0000-0000-0000F5040000}"/>
    <cellStyle name="40% - Accent2 6 3 2" xfId="18023" xr:uid="{B010E4D1-D3E8-4E5C-A1E9-C4B1324B94A7}"/>
    <cellStyle name="40% - Accent2 6 4" xfId="13812" xr:uid="{C36BA07B-2B57-4F2C-A129-6457A98DFEED}"/>
    <cellStyle name="40% - Accent2 6 5" xfId="23062" xr:uid="{737BB089-873A-474A-B0A0-7B5194295B11}"/>
    <cellStyle name="40% - Accent2 6 6" xfId="9601" xr:uid="{092967B8-F89F-4077-AD75-614228BF9CD0}"/>
    <cellStyle name="40% - Accent2 7" xfId="1494" xr:uid="{00000000-0005-0000-0000-0000F6040000}"/>
    <cellStyle name="40% - Accent2 7 2" xfId="3724" xr:uid="{00000000-0005-0000-0000-0000F7040000}"/>
    <cellStyle name="40% - Accent2 7 2 2" xfId="7948" xr:uid="{00000000-0005-0000-0000-0000F8040000}"/>
    <cellStyle name="40% - Accent2 7 2 2 2" xfId="20581" xr:uid="{9E45D0FE-298D-4509-85E4-92EE69FCB4AF}"/>
    <cellStyle name="40% - Accent2 7 2 3" xfId="16370" xr:uid="{5EB55EAA-EF19-4B94-BB55-0CFDE59A57B0}"/>
    <cellStyle name="40% - Accent2 7 2 4" xfId="25620" xr:uid="{84E8EBE5-69DA-4478-BA5C-14138E1AA33C}"/>
    <cellStyle name="40% - Accent2 7 2 5" xfId="12159" xr:uid="{190BD314-2B2C-48D6-A38C-9CB61C80FE3C}"/>
    <cellStyle name="40% - Accent2 7 3" xfId="5803" xr:uid="{00000000-0005-0000-0000-0000F9040000}"/>
    <cellStyle name="40% - Accent2 7 3 2" xfId="18436" xr:uid="{C689F9A3-6434-4694-A165-88F2A1FBFCE8}"/>
    <cellStyle name="40% - Accent2 7 4" xfId="14225" xr:uid="{FCD3AEF0-4B52-4665-B615-F7EEBEAA38A6}"/>
    <cellStyle name="40% - Accent2 7 5" xfId="23475" xr:uid="{439D1793-B6A6-4971-8B59-30D29C7D228D}"/>
    <cellStyle name="40% - Accent2 7 6" xfId="10014" xr:uid="{40647ACF-5FB2-438F-9C8F-9100CB2B1B58}"/>
    <cellStyle name="40% - Accent2 8" xfId="1908" xr:uid="{00000000-0005-0000-0000-0000FA040000}"/>
    <cellStyle name="40% - Accent2 8 2" xfId="4137" xr:uid="{00000000-0005-0000-0000-0000FB040000}"/>
    <cellStyle name="40% - Accent2 8 2 2" xfId="8361" xr:uid="{00000000-0005-0000-0000-0000FC040000}"/>
    <cellStyle name="40% - Accent2 8 2 2 2" xfId="20994" xr:uid="{027B9D91-3CBB-4AA4-8050-94ECF2933C3F}"/>
    <cellStyle name="40% - Accent2 8 2 3" xfId="16783" xr:uid="{3436D816-DD9F-4F80-AB05-AE52426EC071}"/>
    <cellStyle name="40% - Accent2 8 2 4" xfId="26033" xr:uid="{BE5996E3-F132-468C-A35A-1D274DD39944}"/>
    <cellStyle name="40% - Accent2 8 2 5" xfId="12572" xr:uid="{28B5561D-EBAF-4EED-9B5D-13483BC43163}"/>
    <cellStyle name="40% - Accent2 8 3" xfId="6216" xr:uid="{00000000-0005-0000-0000-0000FD040000}"/>
    <cellStyle name="40% - Accent2 8 3 2" xfId="18849" xr:uid="{C5145E54-B81E-4852-8219-11FC22FFA186}"/>
    <cellStyle name="40% - Accent2 8 4" xfId="14638" xr:uid="{13154073-6577-4CA8-873C-274AE08BF5B9}"/>
    <cellStyle name="40% - Accent2 8 5" xfId="23888" xr:uid="{CCF67CF8-86C7-4C30-A6AD-66D245CB2637}"/>
    <cellStyle name="40% - Accent2 8 6" xfId="10427" xr:uid="{D3BE4C25-23CD-456E-BB92-6C25F5A079D6}"/>
    <cellStyle name="40% - Accent2 9" xfId="2321" xr:uid="{00000000-0005-0000-0000-0000FE040000}"/>
    <cellStyle name="40% - Accent2 9 2" xfId="6629" xr:uid="{00000000-0005-0000-0000-0000FF040000}"/>
    <cellStyle name="40% - Accent2 9 2 2" xfId="19262" xr:uid="{0A2C16EE-DFF8-46D1-BAFB-23142F923A08}"/>
    <cellStyle name="40% - Accent2 9 3" xfId="15051" xr:uid="{8ED3090C-0917-4A91-9845-9B44A3D94F8B}"/>
    <cellStyle name="40% - Accent2 9 4" xfId="24301" xr:uid="{CD5763F5-E72E-43F6-BAA9-4C714D5781FF}"/>
    <cellStyle name="40% - Accent2 9 5" xfId="10840" xr:uid="{264C47E7-B578-487A-9F5F-0367C77F7B77}"/>
    <cellStyle name="40% - Accent3" xfId="65" builtinId="39" customBuiltin="1"/>
    <cellStyle name="40% - Accent3 10" xfId="4571" xr:uid="{00000000-0005-0000-0000-000001050000}"/>
    <cellStyle name="40% - Accent3 10 2" xfId="17204" xr:uid="{611F32C6-1BE3-45BB-9CF1-17224236FBCA}"/>
    <cellStyle name="40% - Accent3 11" xfId="21415" xr:uid="{451B4C38-F71D-4F43-9CED-ED17113B9E47}"/>
    <cellStyle name="40% - Accent3 12" xfId="12993" xr:uid="{74D033AD-BC66-412A-9EC7-A0D8408B75A2}"/>
    <cellStyle name="40% - Accent3 13" xfId="22243" xr:uid="{B2CA5FB4-16CC-4244-8389-F225FFF7ACFD}"/>
    <cellStyle name="40% - Accent3 14" xfId="8782" xr:uid="{A9263245-17E9-4961-9034-3AA11762D7AD}"/>
    <cellStyle name="40% - Accent3 2" xfId="66" xr:uid="{00000000-0005-0000-0000-000002050000}"/>
    <cellStyle name="40% - Accent3 2 10" xfId="21416" xr:uid="{D38A91E0-A382-48C1-91EF-4E73BB4C75C8}"/>
    <cellStyle name="40% - Accent3 2 11" xfId="12994" xr:uid="{9D66BE4B-0632-4B59-A7C4-25F0232D7249}"/>
    <cellStyle name="40% - Accent3 2 12" xfId="22244" xr:uid="{C5C35E70-601C-423F-B861-C028AC5701E7}"/>
    <cellStyle name="40% - Accent3 2 13" xfId="8783" xr:uid="{D571271C-BA5A-4FD9-A5E7-4F9BDCE328BC}"/>
    <cellStyle name="40% - Accent3 2 2" xfId="67" xr:uid="{00000000-0005-0000-0000-000003050000}"/>
    <cellStyle name="40% - Accent3 2 2 10" xfId="12995" xr:uid="{FBAAB72E-292A-4668-BEC3-18ECEA67690A}"/>
    <cellStyle name="40% - Accent3 2 2 11" xfId="22245" xr:uid="{D0D9AB08-CC44-4501-9CE4-87B5E97AD583}"/>
    <cellStyle name="40% - Accent3 2 2 12" xfId="8784" xr:uid="{F1FF5016-4DC8-4FE3-A5A2-909F773A943A}"/>
    <cellStyle name="40% - Accent3 2 2 2" xfId="68" xr:uid="{00000000-0005-0000-0000-000004050000}"/>
    <cellStyle name="40% - Accent3 2 2 2 10" xfId="22246" xr:uid="{E34F06A0-781B-4B5E-8C66-861C8AE298B1}"/>
    <cellStyle name="40% - Accent3 2 2 2 11" xfId="8785" xr:uid="{B3451C9B-2FF5-4C09-A66D-46C7D45286F1}"/>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9766" xr:uid="{E7B684EA-753B-4481-8E16-843E47BCCF44}"/>
    <cellStyle name="40% - Accent3 2 2 2 2 2 3" xfId="15555" xr:uid="{ED601A89-AE38-442D-AE76-D11D7CE1751A}"/>
    <cellStyle name="40% - Accent3 2 2 2 2 2 4" xfId="24805" xr:uid="{E323E1F7-3D25-4545-8749-6462CD84FD4A}"/>
    <cellStyle name="40% - Accent3 2 2 2 2 2 5" xfId="11344" xr:uid="{B577E220-7C13-4260-A5E0-C7218DD6B3D8}"/>
    <cellStyle name="40% - Accent3 2 2 2 2 3" xfId="4988" xr:uid="{00000000-0005-0000-0000-000008050000}"/>
    <cellStyle name="40% - Accent3 2 2 2 2 3 2" xfId="17621" xr:uid="{A0961798-7434-4A30-B09F-7B5B584459A0}"/>
    <cellStyle name="40% - Accent3 2 2 2 2 4" xfId="21831" xr:uid="{62553787-6483-4DE2-AF39-E31AE7992677}"/>
    <cellStyle name="40% - Accent3 2 2 2 2 5" xfId="13410" xr:uid="{1B04FD3E-7161-4178-A4D2-1A92083054BB}"/>
    <cellStyle name="40% - Accent3 2 2 2 2 6" xfId="22660" xr:uid="{8064248E-CAD7-440D-857D-0F1E4978A671}"/>
    <cellStyle name="40% - Accent3 2 2 2 2 7" xfId="9199" xr:uid="{BE6BE19C-9C67-4C9C-A2AC-DF9B021D0139}"/>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20179" xr:uid="{ED758520-AD7B-44F4-BB63-4C663D2D85EE}"/>
    <cellStyle name="40% - Accent3 2 2 2 3 2 3" xfId="15968" xr:uid="{F6B119F4-CA24-4C2F-861B-A4CFAC402DBF}"/>
    <cellStyle name="40% - Accent3 2 2 2 3 2 4" xfId="25218" xr:uid="{DDCE9C04-EC73-4466-AD85-F42457DF3C01}"/>
    <cellStyle name="40% - Accent3 2 2 2 3 2 5" xfId="11757" xr:uid="{64077145-E2A9-4C61-AABA-A483B41513B7}"/>
    <cellStyle name="40% - Accent3 2 2 2 3 3" xfId="5401" xr:uid="{00000000-0005-0000-0000-00000C050000}"/>
    <cellStyle name="40% - Accent3 2 2 2 3 3 2" xfId="18034" xr:uid="{590FBB4E-436F-4D5E-8992-FC6FC31BB56F}"/>
    <cellStyle name="40% - Accent3 2 2 2 3 4" xfId="13823" xr:uid="{6E8F709E-DF1E-4A9C-8B1C-637392C78D31}"/>
    <cellStyle name="40% - Accent3 2 2 2 3 5" xfId="23073" xr:uid="{B0012758-F526-4CE7-8888-756634357B8F}"/>
    <cellStyle name="40% - Accent3 2 2 2 3 6" xfId="9612" xr:uid="{595D6023-43A7-4086-B620-F5C5B2583491}"/>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20592" xr:uid="{CF766107-5716-4542-999F-2D218C49AA7D}"/>
    <cellStyle name="40% - Accent3 2 2 2 4 2 3" xfId="16381" xr:uid="{5F8A5D5B-2594-4598-8F67-D0AFAAEA61F8}"/>
    <cellStyle name="40% - Accent3 2 2 2 4 2 4" xfId="25631" xr:uid="{6D6DBFC8-4E7B-4E59-9EA8-2C8B4282C0ED}"/>
    <cellStyle name="40% - Accent3 2 2 2 4 2 5" xfId="12170" xr:uid="{89950799-04B2-410E-9BB5-05065D4CC5E0}"/>
    <cellStyle name="40% - Accent3 2 2 2 4 3" xfId="5814" xr:uid="{00000000-0005-0000-0000-000010050000}"/>
    <cellStyle name="40% - Accent3 2 2 2 4 3 2" xfId="18447" xr:uid="{368343FC-46C1-4D35-BD0D-713B8514D951}"/>
    <cellStyle name="40% - Accent3 2 2 2 4 4" xfId="14236" xr:uid="{9918DDDF-23B8-4F67-88BE-FBF8720FE1C9}"/>
    <cellStyle name="40% - Accent3 2 2 2 4 5" xfId="23486" xr:uid="{08056DA9-49E9-42D6-AC6F-82B2351E6BEC}"/>
    <cellStyle name="40% - Accent3 2 2 2 4 6" xfId="10025" xr:uid="{E3B3FA2E-2DF5-4164-9963-C7DC094AC435}"/>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21005" xr:uid="{09AC41EF-6EC5-414B-9B60-64129335FF43}"/>
    <cellStyle name="40% - Accent3 2 2 2 5 2 3" xfId="16794" xr:uid="{03997FC9-20D9-4BD7-AAD6-0D92546841FF}"/>
    <cellStyle name="40% - Accent3 2 2 2 5 2 4" xfId="26044" xr:uid="{374F2B26-111F-446D-91AE-34355D2F04F9}"/>
    <cellStyle name="40% - Accent3 2 2 2 5 2 5" xfId="12583" xr:uid="{CABE2D1A-71EC-4DB6-9109-A076E1BDB777}"/>
    <cellStyle name="40% - Accent3 2 2 2 5 3" xfId="6227" xr:uid="{00000000-0005-0000-0000-000014050000}"/>
    <cellStyle name="40% - Accent3 2 2 2 5 3 2" xfId="18860" xr:uid="{3F5FD735-F74F-4194-B324-D4249C90A605}"/>
    <cellStyle name="40% - Accent3 2 2 2 5 4" xfId="14649" xr:uid="{F5EE218D-8465-4208-A7BE-828EFE6D1526}"/>
    <cellStyle name="40% - Accent3 2 2 2 5 5" xfId="23899" xr:uid="{E4CF1A71-1B12-4DBD-A69F-7F4223CE39F2}"/>
    <cellStyle name="40% - Accent3 2 2 2 5 6" xfId="10438" xr:uid="{1DF8528B-77E0-4C81-B152-7F7CE19050B7}"/>
    <cellStyle name="40% - Accent3 2 2 2 6" xfId="2332" xr:uid="{00000000-0005-0000-0000-000015050000}"/>
    <cellStyle name="40% - Accent3 2 2 2 6 2" xfId="6640" xr:uid="{00000000-0005-0000-0000-000016050000}"/>
    <cellStyle name="40% - Accent3 2 2 2 6 2 2" xfId="19273" xr:uid="{87DFA23D-0F4D-4F58-B1C7-BA531BA67BF2}"/>
    <cellStyle name="40% - Accent3 2 2 2 6 3" xfId="15062" xr:uid="{E4DFA9F1-36FE-41EE-AE48-3D26EFD8FFC5}"/>
    <cellStyle name="40% - Accent3 2 2 2 6 4" xfId="24312" xr:uid="{0CD01D10-3F7E-4106-A8E9-FECADAD92851}"/>
    <cellStyle name="40% - Accent3 2 2 2 6 5" xfId="10851" xr:uid="{992F6EBF-85F0-4297-98D0-D25EAA6F58D3}"/>
    <cellStyle name="40% - Accent3 2 2 2 7" xfId="4574" xr:uid="{00000000-0005-0000-0000-000017050000}"/>
    <cellStyle name="40% - Accent3 2 2 2 7 2" xfId="17207" xr:uid="{778FA349-CF78-4136-89C0-C332C5665238}"/>
    <cellStyle name="40% - Accent3 2 2 2 8" xfId="21418" xr:uid="{ACD1A982-F7CF-4631-9FDB-EA92D3BAA68D}"/>
    <cellStyle name="40% - Accent3 2 2 2 9" xfId="12996" xr:uid="{9F2C2C6A-068A-4580-8D51-1F64D21BD162}"/>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9765" xr:uid="{499A89A7-7CB0-40C8-AF52-94E6A39E0984}"/>
    <cellStyle name="40% - Accent3 2 2 3 2 3" xfId="15554" xr:uid="{528CE2E8-A9B8-4807-B3C0-F8BCB14B8294}"/>
    <cellStyle name="40% - Accent3 2 2 3 2 4" xfId="24804" xr:uid="{2F39F011-02DE-4139-9DC2-2DBFBB288D49}"/>
    <cellStyle name="40% - Accent3 2 2 3 2 5" xfId="11343" xr:uid="{C04477F9-BBC1-482B-84BD-1BC21BF1DEBA}"/>
    <cellStyle name="40% - Accent3 2 2 3 3" xfId="4987" xr:uid="{00000000-0005-0000-0000-00001B050000}"/>
    <cellStyle name="40% - Accent3 2 2 3 3 2" xfId="17620" xr:uid="{C7F97B29-E0B4-46D2-A762-73DEB3D81D1F}"/>
    <cellStyle name="40% - Accent3 2 2 3 4" xfId="21830" xr:uid="{F8F14699-F38E-427D-A37D-10812446EDB0}"/>
    <cellStyle name="40% - Accent3 2 2 3 5" xfId="13409" xr:uid="{259F2B40-7D30-44C4-A7E5-B6098F86B263}"/>
    <cellStyle name="40% - Accent3 2 2 3 6" xfId="22659" xr:uid="{520EA616-6C46-434A-9541-13BAB4CDACF4}"/>
    <cellStyle name="40% - Accent3 2 2 3 7" xfId="9198" xr:uid="{864298AB-A329-41FC-8675-F3930CF9A60A}"/>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20178" xr:uid="{D40CEBC3-AC88-4449-B849-A1E27A2CF582}"/>
    <cellStyle name="40% - Accent3 2 2 4 2 3" xfId="15967" xr:uid="{A44B98B4-D74A-4C16-A5F0-DFF0664F79FA}"/>
    <cellStyle name="40% - Accent3 2 2 4 2 4" xfId="25217" xr:uid="{252632EF-A3F5-4075-BAEC-0B26A5473013}"/>
    <cellStyle name="40% - Accent3 2 2 4 2 5" xfId="11756" xr:uid="{DBC4CF7F-97AC-4262-B91D-88E260C7049A}"/>
    <cellStyle name="40% - Accent3 2 2 4 3" xfId="5400" xr:uid="{00000000-0005-0000-0000-00001F050000}"/>
    <cellStyle name="40% - Accent3 2 2 4 3 2" xfId="18033" xr:uid="{241F1EEA-9CBF-4AA4-8E5C-6A7C9340EDCF}"/>
    <cellStyle name="40% - Accent3 2 2 4 4" xfId="13822" xr:uid="{C4E39773-36E1-4B82-BF5E-FE0ED10C3CF7}"/>
    <cellStyle name="40% - Accent3 2 2 4 5" xfId="23072" xr:uid="{4D52BABC-7D58-4855-9C3B-621680B49D61}"/>
    <cellStyle name="40% - Accent3 2 2 4 6" xfId="9611" xr:uid="{E93DD9EE-8CDF-4825-B954-8A6D59F0CCC6}"/>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20591" xr:uid="{62B0D74C-3B4C-4F5E-9F6E-0F22924B3BF1}"/>
    <cellStyle name="40% - Accent3 2 2 5 2 3" xfId="16380" xr:uid="{277DCA5A-7DA0-47BA-80C7-84A3CD046B8C}"/>
    <cellStyle name="40% - Accent3 2 2 5 2 4" xfId="25630" xr:uid="{0982503E-049F-4AA4-8B86-40101C0F899E}"/>
    <cellStyle name="40% - Accent3 2 2 5 2 5" xfId="12169" xr:uid="{4ED95294-E255-4610-9BBF-08F0DCA66361}"/>
    <cellStyle name="40% - Accent3 2 2 5 3" xfId="5813" xr:uid="{00000000-0005-0000-0000-000023050000}"/>
    <cellStyle name="40% - Accent3 2 2 5 3 2" xfId="18446" xr:uid="{16F7CA5D-4B08-4C6D-B3CA-ECDCC4996BF1}"/>
    <cellStyle name="40% - Accent3 2 2 5 4" xfId="14235" xr:uid="{E0F43AFB-8160-4D5D-B4F4-8216CF6DABF1}"/>
    <cellStyle name="40% - Accent3 2 2 5 5" xfId="23485" xr:uid="{5A84A5BE-1638-4293-97A1-B28E06006A97}"/>
    <cellStyle name="40% - Accent3 2 2 5 6" xfId="10024" xr:uid="{EF4E28C9-48BD-4CA5-996D-BF2C172AED8B}"/>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21004" xr:uid="{EC79225A-0F86-4210-B364-C4C47698342F}"/>
    <cellStyle name="40% - Accent3 2 2 6 2 3" xfId="16793" xr:uid="{2DF3828A-0B35-4480-88FF-A82C1797BDD1}"/>
    <cellStyle name="40% - Accent3 2 2 6 2 4" xfId="26043" xr:uid="{F7E4F080-AD40-4B04-944C-20BA48CFE574}"/>
    <cellStyle name="40% - Accent3 2 2 6 2 5" xfId="12582" xr:uid="{126701CB-6BBD-4415-8F7C-B4A9222C9A9F}"/>
    <cellStyle name="40% - Accent3 2 2 6 3" xfId="6226" xr:uid="{00000000-0005-0000-0000-000027050000}"/>
    <cellStyle name="40% - Accent3 2 2 6 3 2" xfId="18859" xr:uid="{D5483EB9-FBC6-406B-8DAB-5CD10B14CBD3}"/>
    <cellStyle name="40% - Accent3 2 2 6 4" xfId="14648" xr:uid="{E14F8AF1-EEEC-469A-8C46-DAF4F22AFBD4}"/>
    <cellStyle name="40% - Accent3 2 2 6 5" xfId="23898" xr:uid="{89520D8C-9623-4E1E-A48C-FBD3FBF00BA5}"/>
    <cellStyle name="40% - Accent3 2 2 6 6" xfId="10437" xr:uid="{C7EEA683-B238-4FEB-A9C5-9B235D89A184}"/>
    <cellStyle name="40% - Accent3 2 2 7" xfId="2331" xr:uid="{00000000-0005-0000-0000-000028050000}"/>
    <cellStyle name="40% - Accent3 2 2 7 2" xfId="6639" xr:uid="{00000000-0005-0000-0000-000029050000}"/>
    <cellStyle name="40% - Accent3 2 2 7 2 2" xfId="19272" xr:uid="{EE1E3689-4563-4403-8419-3D75751F9301}"/>
    <cellStyle name="40% - Accent3 2 2 7 3" xfId="15061" xr:uid="{9B4F722A-D2AA-400A-9957-2302854D6E4E}"/>
    <cellStyle name="40% - Accent3 2 2 7 4" xfId="24311" xr:uid="{5FF020A3-E8DB-4489-ABD0-A0FE815466B7}"/>
    <cellStyle name="40% - Accent3 2 2 7 5" xfId="10850" xr:uid="{70803364-7C7B-40BB-89B5-5FA4057A4201}"/>
    <cellStyle name="40% - Accent3 2 2 8" xfId="4573" xr:uid="{00000000-0005-0000-0000-00002A050000}"/>
    <cellStyle name="40% - Accent3 2 2 8 2" xfId="17206" xr:uid="{25763D00-3A17-4245-BBC1-C562B915624E}"/>
    <cellStyle name="40% - Accent3 2 2 9" xfId="21417" xr:uid="{CE2935A9-2BDF-463C-A6E2-91A74254A75E}"/>
    <cellStyle name="40% - Accent3 2 3" xfId="69" xr:uid="{00000000-0005-0000-0000-00002B050000}"/>
    <cellStyle name="40% - Accent3 2 3 10" xfId="22247" xr:uid="{1136D9DC-3882-43F8-A019-3C3D11FEEB9A}"/>
    <cellStyle name="40% - Accent3 2 3 11" xfId="8786" xr:uid="{590AC69B-876E-457A-97AF-58E182E20DA1}"/>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9767" xr:uid="{90A276EC-1AF2-4DCB-AC67-495C2A411CE0}"/>
    <cellStyle name="40% - Accent3 2 3 2 2 3" xfId="15556" xr:uid="{8DD2F510-4AAD-4858-BE00-D183DE342E77}"/>
    <cellStyle name="40% - Accent3 2 3 2 2 4" xfId="24806" xr:uid="{29FB0E62-AF40-4969-BD53-851F8F67FD74}"/>
    <cellStyle name="40% - Accent3 2 3 2 2 5" xfId="11345" xr:uid="{BB5BD214-EE10-4B35-A3E7-9A4D77DB6F8B}"/>
    <cellStyle name="40% - Accent3 2 3 2 3" xfId="4989" xr:uid="{00000000-0005-0000-0000-00002F050000}"/>
    <cellStyle name="40% - Accent3 2 3 2 3 2" xfId="17622" xr:uid="{83FCAC07-6CF8-4D52-A87E-52B921A0DE72}"/>
    <cellStyle name="40% - Accent3 2 3 2 4" xfId="21832" xr:uid="{ABB1ADDC-8159-4A22-9F59-CD79AF96925F}"/>
    <cellStyle name="40% - Accent3 2 3 2 5" xfId="13411" xr:uid="{BEAEBDB7-2298-43B7-B553-F89EF969046D}"/>
    <cellStyle name="40% - Accent3 2 3 2 6" xfId="22661" xr:uid="{72CEA4D8-CDE6-4FB2-A9F0-C2EF7B228AD6}"/>
    <cellStyle name="40% - Accent3 2 3 2 7" xfId="9200" xr:uid="{0C2004A6-3CB0-4ECA-9BF1-8C84028E1D5C}"/>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20180" xr:uid="{5CD86D33-F8E4-4E73-B741-9958D21E056B}"/>
    <cellStyle name="40% - Accent3 2 3 3 2 3" xfId="15969" xr:uid="{880B40EB-BBD9-4386-BE02-03A94C8E67EA}"/>
    <cellStyle name="40% - Accent3 2 3 3 2 4" xfId="25219" xr:uid="{5741CFFB-A9B9-4B42-8D6B-FAC087095DDE}"/>
    <cellStyle name="40% - Accent3 2 3 3 2 5" xfId="11758" xr:uid="{D3AF7104-0819-4A49-AE71-1FD11E6817FB}"/>
    <cellStyle name="40% - Accent3 2 3 3 3" xfId="5402" xr:uid="{00000000-0005-0000-0000-000033050000}"/>
    <cellStyle name="40% - Accent3 2 3 3 3 2" xfId="18035" xr:uid="{C7CB2750-6656-4AB3-9C57-5336637F073E}"/>
    <cellStyle name="40% - Accent3 2 3 3 4" xfId="13824" xr:uid="{36D795C9-1988-46B7-A519-1B82C41F56A3}"/>
    <cellStyle name="40% - Accent3 2 3 3 5" xfId="23074" xr:uid="{9A0BC647-3209-43F2-8ADB-82B9DFD83127}"/>
    <cellStyle name="40% - Accent3 2 3 3 6" xfId="9613" xr:uid="{1AAA9684-2273-49E3-98EC-42CEA12E31F6}"/>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20593" xr:uid="{67DED507-23AA-423E-AB0F-43F3EF821488}"/>
    <cellStyle name="40% - Accent3 2 3 4 2 3" xfId="16382" xr:uid="{82E1F15F-E7BD-452A-854B-CC7A8FF710CC}"/>
    <cellStyle name="40% - Accent3 2 3 4 2 4" xfId="25632" xr:uid="{24A95710-8DD9-4737-BBE4-4CBA76ABB364}"/>
    <cellStyle name="40% - Accent3 2 3 4 2 5" xfId="12171" xr:uid="{8CE9EEAD-0D35-4AA7-A9A5-34F4C0C0AD7F}"/>
    <cellStyle name="40% - Accent3 2 3 4 3" xfId="5815" xr:uid="{00000000-0005-0000-0000-000037050000}"/>
    <cellStyle name="40% - Accent3 2 3 4 3 2" xfId="18448" xr:uid="{6D38122B-8C29-4186-9FE9-E85F27180DEB}"/>
    <cellStyle name="40% - Accent3 2 3 4 4" xfId="14237" xr:uid="{733898E3-5A4D-452F-9791-06D0296D4DDF}"/>
    <cellStyle name="40% - Accent3 2 3 4 5" xfId="23487" xr:uid="{F3FDB19B-C091-4D93-9850-64B818341807}"/>
    <cellStyle name="40% - Accent3 2 3 4 6" xfId="10026" xr:uid="{7A802354-0965-47BD-9A62-84D9B343F47A}"/>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21006" xr:uid="{335B5788-156D-48D8-9A64-7D7038E94DFA}"/>
    <cellStyle name="40% - Accent3 2 3 5 2 3" xfId="16795" xr:uid="{D82A6CED-4FCC-4C13-99B1-CECEE5D57C89}"/>
    <cellStyle name="40% - Accent3 2 3 5 2 4" xfId="26045" xr:uid="{3A5A0AFE-555B-45A3-A5AE-B4E265E51C19}"/>
    <cellStyle name="40% - Accent3 2 3 5 2 5" xfId="12584" xr:uid="{22B80AC4-55F0-4040-8212-0E18114B8C7D}"/>
    <cellStyle name="40% - Accent3 2 3 5 3" xfId="6228" xr:uid="{00000000-0005-0000-0000-00003B050000}"/>
    <cellStyle name="40% - Accent3 2 3 5 3 2" xfId="18861" xr:uid="{92D37338-24F7-4B0B-96EC-C1714E98591A}"/>
    <cellStyle name="40% - Accent3 2 3 5 4" xfId="14650" xr:uid="{D3B9CADB-4EE9-42D5-9AC3-8BEB776FB4A5}"/>
    <cellStyle name="40% - Accent3 2 3 5 5" xfId="23900" xr:uid="{111487CB-5BEB-4E37-AB93-A655C531F38C}"/>
    <cellStyle name="40% - Accent3 2 3 5 6" xfId="10439" xr:uid="{E3C08F04-38C6-41EB-99FE-B10A292A768C}"/>
    <cellStyle name="40% - Accent3 2 3 6" xfId="2333" xr:uid="{00000000-0005-0000-0000-00003C050000}"/>
    <cellStyle name="40% - Accent3 2 3 6 2" xfId="6641" xr:uid="{00000000-0005-0000-0000-00003D050000}"/>
    <cellStyle name="40% - Accent3 2 3 6 2 2" xfId="19274" xr:uid="{7109BAE6-D553-49C9-93ED-4472397DAC96}"/>
    <cellStyle name="40% - Accent3 2 3 6 3" xfId="15063" xr:uid="{758CC67F-82DB-411B-B749-BF5E2154B68F}"/>
    <cellStyle name="40% - Accent3 2 3 6 4" xfId="24313" xr:uid="{23E070EE-2926-4CCA-BB51-FBA66BA36DD7}"/>
    <cellStyle name="40% - Accent3 2 3 6 5" xfId="10852" xr:uid="{D6EAC29D-DA74-4519-B6E4-19182FC1E67F}"/>
    <cellStyle name="40% - Accent3 2 3 7" xfId="4575" xr:uid="{00000000-0005-0000-0000-00003E050000}"/>
    <cellStyle name="40% - Accent3 2 3 7 2" xfId="17208" xr:uid="{265DDD5C-7371-4DF8-AA04-E4FC79E9AEA8}"/>
    <cellStyle name="40% - Accent3 2 3 8" xfId="21419" xr:uid="{BC4997DB-2802-424D-903D-783DC8DBC2D6}"/>
    <cellStyle name="40% - Accent3 2 3 9" xfId="12997" xr:uid="{FF5F8CA3-5F10-4CEA-A4CA-77611705D438}"/>
    <cellStyle name="40% - Accent3 2 4" xfId="636" xr:uid="{00000000-0005-0000-0000-00003F050000}"/>
    <cellStyle name="40% - Accent3 2 4 2" xfId="2907" xr:uid="{00000000-0005-0000-0000-000040050000}"/>
    <cellStyle name="40% - Accent3 2 4 2 2" xfId="7131" xr:uid="{00000000-0005-0000-0000-000041050000}"/>
    <cellStyle name="40% - Accent3 2 4 2 2 2" xfId="19764" xr:uid="{03F85FE0-F243-45E7-BECA-000401A4AC39}"/>
    <cellStyle name="40% - Accent3 2 4 2 3" xfId="15553" xr:uid="{7881AE67-CB1E-481F-B0BF-81956E483E32}"/>
    <cellStyle name="40% - Accent3 2 4 2 4" xfId="24803" xr:uid="{A55FCEBC-78E8-40A2-8116-1ACE74F53820}"/>
    <cellStyle name="40% - Accent3 2 4 2 5" xfId="11342" xr:uid="{CFE02175-D257-4130-9C33-F1624D6D1F68}"/>
    <cellStyle name="40% - Accent3 2 4 3" xfId="4986" xr:uid="{00000000-0005-0000-0000-000042050000}"/>
    <cellStyle name="40% - Accent3 2 4 3 2" xfId="17619" xr:uid="{C8E9E0B1-0C69-4A06-B304-5EE3CDA3B38A}"/>
    <cellStyle name="40% - Accent3 2 4 4" xfId="21829" xr:uid="{75F61F0A-3B58-4876-BD34-D5D9EDCA4B99}"/>
    <cellStyle name="40% - Accent3 2 4 5" xfId="13408" xr:uid="{4DE65263-781E-4B49-A0BD-1F772C5CB3E6}"/>
    <cellStyle name="40% - Accent3 2 4 6" xfId="22658" xr:uid="{1FA10CDA-50A1-40D7-BF73-5AE237DF79B2}"/>
    <cellStyle name="40% - Accent3 2 4 7" xfId="9197" xr:uid="{E74EF6CD-BB44-40C1-89D7-AD3B84F4FDF5}"/>
    <cellStyle name="40% - Accent3 2 5" xfId="1089" xr:uid="{00000000-0005-0000-0000-000043050000}"/>
    <cellStyle name="40% - Accent3 2 5 2" xfId="3320" xr:uid="{00000000-0005-0000-0000-000044050000}"/>
    <cellStyle name="40% - Accent3 2 5 2 2" xfId="7544" xr:uid="{00000000-0005-0000-0000-000045050000}"/>
    <cellStyle name="40% - Accent3 2 5 2 2 2" xfId="20177" xr:uid="{3C0F2188-3332-4CBF-8F2F-D6632E0EF693}"/>
    <cellStyle name="40% - Accent3 2 5 2 3" xfId="15966" xr:uid="{D1D7CBBF-E82D-411B-BB1F-34DCE10A0A54}"/>
    <cellStyle name="40% - Accent3 2 5 2 4" xfId="25216" xr:uid="{345850C1-1FF4-4755-845B-DACC8643995F}"/>
    <cellStyle name="40% - Accent3 2 5 2 5" xfId="11755" xr:uid="{7181C1A4-218B-4D64-AAC6-C5F7BB3E2558}"/>
    <cellStyle name="40% - Accent3 2 5 3" xfId="5399" xr:uid="{00000000-0005-0000-0000-000046050000}"/>
    <cellStyle name="40% - Accent3 2 5 3 2" xfId="18032" xr:uid="{5E571D79-A69D-499D-84D3-E8329BD18FBA}"/>
    <cellStyle name="40% - Accent3 2 5 4" xfId="13821" xr:uid="{ED020D55-F76B-465A-9BBF-45608F1076AD}"/>
    <cellStyle name="40% - Accent3 2 5 5" xfId="23071" xr:uid="{64D3F399-1E90-45C7-8A27-5755B097B597}"/>
    <cellStyle name="40% - Accent3 2 5 6" xfId="9610" xr:uid="{179B9DD0-0606-4C09-B679-D5659E1BE93A}"/>
    <cellStyle name="40% - Accent3 2 6" xfId="1503" xr:uid="{00000000-0005-0000-0000-000047050000}"/>
    <cellStyle name="40% - Accent3 2 6 2" xfId="3733" xr:uid="{00000000-0005-0000-0000-000048050000}"/>
    <cellStyle name="40% - Accent3 2 6 2 2" xfId="7957" xr:uid="{00000000-0005-0000-0000-000049050000}"/>
    <cellStyle name="40% - Accent3 2 6 2 2 2" xfId="20590" xr:uid="{427BDCD2-8236-40A3-B1BB-4C967FCA7DF7}"/>
    <cellStyle name="40% - Accent3 2 6 2 3" xfId="16379" xr:uid="{85F61FF1-6F5D-4E7D-8432-F0D852D292D0}"/>
    <cellStyle name="40% - Accent3 2 6 2 4" xfId="25629" xr:uid="{DD7417B2-F071-4747-BDFC-51D7F803938B}"/>
    <cellStyle name="40% - Accent3 2 6 2 5" xfId="12168" xr:uid="{849DBBFB-D3D0-4E39-AABD-CD3A8A2AA08D}"/>
    <cellStyle name="40% - Accent3 2 6 3" xfId="5812" xr:uid="{00000000-0005-0000-0000-00004A050000}"/>
    <cellStyle name="40% - Accent3 2 6 3 2" xfId="18445" xr:uid="{B52ABC18-1A00-445F-B3A0-85DA9349E75D}"/>
    <cellStyle name="40% - Accent3 2 6 4" xfId="14234" xr:uid="{3944F109-4DC6-42E7-8096-CE74A339E983}"/>
    <cellStyle name="40% - Accent3 2 6 5" xfId="23484" xr:uid="{56ADC30C-0FC3-4D71-8410-125A1EE2CB74}"/>
    <cellStyle name="40% - Accent3 2 6 6" xfId="10023" xr:uid="{53E2E330-8B5C-4A23-9C9B-A7EF395FF155}"/>
    <cellStyle name="40% - Accent3 2 7" xfId="1917" xr:uid="{00000000-0005-0000-0000-00004B050000}"/>
    <cellStyle name="40% - Accent3 2 7 2" xfId="4146" xr:uid="{00000000-0005-0000-0000-00004C050000}"/>
    <cellStyle name="40% - Accent3 2 7 2 2" xfId="8370" xr:uid="{00000000-0005-0000-0000-00004D050000}"/>
    <cellStyle name="40% - Accent3 2 7 2 2 2" xfId="21003" xr:uid="{471F4B7D-50A9-41F5-B27C-E44708D60122}"/>
    <cellStyle name="40% - Accent3 2 7 2 3" xfId="16792" xr:uid="{27EA8F10-6CD8-4A73-844F-A9490550CA35}"/>
    <cellStyle name="40% - Accent3 2 7 2 4" xfId="26042" xr:uid="{89C14D0B-4798-446E-A795-6A1DA60D043D}"/>
    <cellStyle name="40% - Accent3 2 7 2 5" xfId="12581" xr:uid="{2F874909-D74C-450A-80AB-868E719D1C19}"/>
    <cellStyle name="40% - Accent3 2 7 3" xfId="6225" xr:uid="{00000000-0005-0000-0000-00004E050000}"/>
    <cellStyle name="40% - Accent3 2 7 3 2" xfId="18858" xr:uid="{A507426E-9F0A-419E-A1CC-CD244C663A09}"/>
    <cellStyle name="40% - Accent3 2 7 4" xfId="14647" xr:uid="{02284EBA-0CE0-4FE1-811C-A53314207989}"/>
    <cellStyle name="40% - Accent3 2 7 5" xfId="23897" xr:uid="{8C05F4F4-071B-4C66-A6C8-420619B3062D}"/>
    <cellStyle name="40% - Accent3 2 7 6" xfId="10436" xr:uid="{F2CC5C86-E77B-48E6-98BF-834B4111793A}"/>
    <cellStyle name="40% - Accent3 2 8" xfId="2330" xr:uid="{00000000-0005-0000-0000-00004F050000}"/>
    <cellStyle name="40% - Accent3 2 8 2" xfId="6638" xr:uid="{00000000-0005-0000-0000-000050050000}"/>
    <cellStyle name="40% - Accent3 2 8 2 2" xfId="19271" xr:uid="{41CA90EE-57E9-445B-B423-C9A5FAE932F6}"/>
    <cellStyle name="40% - Accent3 2 8 3" xfId="15060" xr:uid="{25179698-BAC9-4249-BB02-1BD6C39E6621}"/>
    <cellStyle name="40% - Accent3 2 8 4" xfId="24310" xr:uid="{BF07967D-C8A0-4B2F-A663-AE21BB29158F}"/>
    <cellStyle name="40% - Accent3 2 8 5" xfId="10849" xr:uid="{27C4E12C-3507-4E74-BC65-08319E5B24DC}"/>
    <cellStyle name="40% - Accent3 2 9" xfId="4572" xr:uid="{00000000-0005-0000-0000-000051050000}"/>
    <cellStyle name="40% - Accent3 2 9 2" xfId="17205" xr:uid="{4E44CE18-884C-4E89-B7DB-12BF7AD37E45}"/>
    <cellStyle name="40% - Accent3 3" xfId="70" xr:uid="{00000000-0005-0000-0000-000052050000}"/>
    <cellStyle name="40% - Accent3 3 10" xfId="12998" xr:uid="{2AEC4EF8-F545-435A-A84B-224069A4398A}"/>
    <cellStyle name="40% - Accent3 3 11" xfId="22248" xr:uid="{1909DEC7-10AA-463A-BC3F-6428FBADED41}"/>
    <cellStyle name="40% - Accent3 3 12" xfId="8787" xr:uid="{D2607D09-B470-4917-A196-5D78A7B63965}"/>
    <cellStyle name="40% - Accent3 3 2" xfId="71" xr:uid="{00000000-0005-0000-0000-000053050000}"/>
    <cellStyle name="40% - Accent3 3 2 10" xfId="22249" xr:uid="{49AF7011-968C-4A2B-97D0-EA8FE2BD2473}"/>
    <cellStyle name="40% - Accent3 3 2 11" xfId="8788" xr:uid="{C5D3A8C9-9236-4148-99B5-20399888F92E}"/>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9769" xr:uid="{4D13F406-A41C-4D4A-8C2F-CD61CDE8E5F6}"/>
    <cellStyle name="40% - Accent3 3 2 2 2 3" xfId="15558" xr:uid="{9A7E3B04-7333-4C41-A62B-8FFA62EB1CFE}"/>
    <cellStyle name="40% - Accent3 3 2 2 2 4" xfId="24808" xr:uid="{AC67C16F-5DCA-43A8-B613-69FF26A24F37}"/>
    <cellStyle name="40% - Accent3 3 2 2 2 5" xfId="11347" xr:uid="{883496A0-D520-4C81-BF32-383CBEF6C994}"/>
    <cellStyle name="40% - Accent3 3 2 2 3" xfId="4991" xr:uid="{00000000-0005-0000-0000-000057050000}"/>
    <cellStyle name="40% - Accent3 3 2 2 3 2" xfId="17624" xr:uid="{9F7A7EBC-BD30-4035-B070-9F096EC90027}"/>
    <cellStyle name="40% - Accent3 3 2 2 4" xfId="21834" xr:uid="{DE2AF3AF-D8C2-458E-8BAA-1C374F3C3539}"/>
    <cellStyle name="40% - Accent3 3 2 2 5" xfId="13413" xr:uid="{B6D1834A-BA13-4419-A586-E56725181EF7}"/>
    <cellStyle name="40% - Accent3 3 2 2 6" xfId="22663" xr:uid="{8CA05C9C-B257-4088-BADB-10D6B43E58C4}"/>
    <cellStyle name="40% - Accent3 3 2 2 7" xfId="9202" xr:uid="{51037A25-F933-4CBB-87B3-D0D60A3201C6}"/>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20182" xr:uid="{A3670755-DCC4-4699-A19D-14D7D4C64F36}"/>
    <cellStyle name="40% - Accent3 3 2 3 2 3" xfId="15971" xr:uid="{B1880171-39CA-488D-9635-D486EF61EBAD}"/>
    <cellStyle name="40% - Accent3 3 2 3 2 4" xfId="25221" xr:uid="{13A66950-C335-4AC2-BCEA-0B672C4233AE}"/>
    <cellStyle name="40% - Accent3 3 2 3 2 5" xfId="11760" xr:uid="{D76A58E3-8372-435A-9F5A-3BE1C013F21C}"/>
    <cellStyle name="40% - Accent3 3 2 3 3" xfId="5404" xr:uid="{00000000-0005-0000-0000-00005B050000}"/>
    <cellStyle name="40% - Accent3 3 2 3 3 2" xfId="18037" xr:uid="{A0F400B5-C9EF-4925-825B-7FCF74F473D4}"/>
    <cellStyle name="40% - Accent3 3 2 3 4" xfId="13826" xr:uid="{2A771451-E729-480E-92E7-D39F2ABEAA91}"/>
    <cellStyle name="40% - Accent3 3 2 3 5" xfId="23076" xr:uid="{7E24DDD1-1219-4D5E-B71B-D4B9B7A99FB7}"/>
    <cellStyle name="40% - Accent3 3 2 3 6" xfId="9615" xr:uid="{2285910B-1E17-440D-948C-7CD15D779F57}"/>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20595" xr:uid="{54C9FC14-0EB1-41CB-A2F6-11ECCA4EF7E1}"/>
    <cellStyle name="40% - Accent3 3 2 4 2 3" xfId="16384" xr:uid="{E0A149E7-DB17-487A-96E2-6A1984506C00}"/>
    <cellStyle name="40% - Accent3 3 2 4 2 4" xfId="25634" xr:uid="{EA950DE6-DD25-43F9-84ED-D2DFCFBEF121}"/>
    <cellStyle name="40% - Accent3 3 2 4 2 5" xfId="12173" xr:uid="{7DFCD76B-9EE3-4BEE-9FDB-509529FC6F53}"/>
    <cellStyle name="40% - Accent3 3 2 4 3" xfId="5817" xr:uid="{00000000-0005-0000-0000-00005F050000}"/>
    <cellStyle name="40% - Accent3 3 2 4 3 2" xfId="18450" xr:uid="{B8EA5D56-F64F-4216-A374-3D9DC64F08E0}"/>
    <cellStyle name="40% - Accent3 3 2 4 4" xfId="14239" xr:uid="{AF86650A-8C45-4A87-BDBF-370F3162A2EE}"/>
    <cellStyle name="40% - Accent3 3 2 4 5" xfId="23489" xr:uid="{CDE38D5A-D0B5-4831-983F-4FF4C98601B6}"/>
    <cellStyle name="40% - Accent3 3 2 4 6" xfId="10028" xr:uid="{01158E4F-13DC-415E-BEF1-58E786DF488C}"/>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21008" xr:uid="{C7AE814D-C462-4498-B420-2548ADE91A66}"/>
    <cellStyle name="40% - Accent3 3 2 5 2 3" xfId="16797" xr:uid="{F57ACD0A-BF82-4D04-990D-2C9C0AD11AF9}"/>
    <cellStyle name="40% - Accent3 3 2 5 2 4" xfId="26047" xr:uid="{F8D50672-2C70-4942-ACF2-2409BB6E69B9}"/>
    <cellStyle name="40% - Accent3 3 2 5 2 5" xfId="12586" xr:uid="{990C397A-EE6E-4760-A79D-428E8D80826D}"/>
    <cellStyle name="40% - Accent3 3 2 5 3" xfId="6230" xr:uid="{00000000-0005-0000-0000-000063050000}"/>
    <cellStyle name="40% - Accent3 3 2 5 3 2" xfId="18863" xr:uid="{C8C86C4C-C563-4B34-91C1-DEB6AA9A3DB6}"/>
    <cellStyle name="40% - Accent3 3 2 5 4" xfId="14652" xr:uid="{B5C7BD2E-1803-4470-BB0F-F934C2933E97}"/>
    <cellStyle name="40% - Accent3 3 2 5 5" xfId="23902" xr:uid="{8F1C47FF-A3C8-4400-AED8-2E71D3BA06E7}"/>
    <cellStyle name="40% - Accent3 3 2 5 6" xfId="10441" xr:uid="{7FA90B8B-3339-4A5C-A0AB-DCD1359D9F94}"/>
    <cellStyle name="40% - Accent3 3 2 6" xfId="2335" xr:uid="{00000000-0005-0000-0000-000064050000}"/>
    <cellStyle name="40% - Accent3 3 2 6 2" xfId="6643" xr:uid="{00000000-0005-0000-0000-000065050000}"/>
    <cellStyle name="40% - Accent3 3 2 6 2 2" xfId="19276" xr:uid="{C0BACF0E-B633-41E9-A6E1-D539C19AD979}"/>
    <cellStyle name="40% - Accent3 3 2 6 3" xfId="15065" xr:uid="{EFC7E140-B1D2-463E-B8FC-17472BE41CC2}"/>
    <cellStyle name="40% - Accent3 3 2 6 4" xfId="24315" xr:uid="{89B6102B-B711-4A70-8888-385C8E22A639}"/>
    <cellStyle name="40% - Accent3 3 2 6 5" xfId="10854" xr:uid="{1D51BD11-F035-4D20-AF3A-C06AAEB7D852}"/>
    <cellStyle name="40% - Accent3 3 2 7" xfId="4577" xr:uid="{00000000-0005-0000-0000-000066050000}"/>
    <cellStyle name="40% - Accent3 3 2 7 2" xfId="17210" xr:uid="{C23F945B-5BF0-4E03-A3D6-FC828BAF1C77}"/>
    <cellStyle name="40% - Accent3 3 2 8" xfId="21421" xr:uid="{6279983E-9486-4D80-9EB3-010F65F7B79E}"/>
    <cellStyle name="40% - Accent3 3 2 9" xfId="12999" xr:uid="{46AE5B9C-C1A0-48AA-84D5-5C3A4A2EE198}"/>
    <cellStyle name="40% - Accent3 3 3" xfId="640" xr:uid="{00000000-0005-0000-0000-000067050000}"/>
    <cellStyle name="40% - Accent3 3 3 2" xfId="2911" xr:uid="{00000000-0005-0000-0000-000068050000}"/>
    <cellStyle name="40% - Accent3 3 3 2 2" xfId="7135" xr:uid="{00000000-0005-0000-0000-000069050000}"/>
    <cellStyle name="40% - Accent3 3 3 2 2 2" xfId="19768" xr:uid="{B86C52BC-4381-49C4-8EDE-075162B4B0EC}"/>
    <cellStyle name="40% - Accent3 3 3 2 3" xfId="15557" xr:uid="{2003CB91-81CE-4923-978E-BEAFA67A59F2}"/>
    <cellStyle name="40% - Accent3 3 3 2 4" xfId="24807" xr:uid="{D921E82A-D7B2-4DCA-896A-8D4D56DB4ADC}"/>
    <cellStyle name="40% - Accent3 3 3 2 5" xfId="11346" xr:uid="{4A7F7AE1-2F72-4BD2-85A8-981716D20C69}"/>
    <cellStyle name="40% - Accent3 3 3 3" xfId="4990" xr:uid="{00000000-0005-0000-0000-00006A050000}"/>
    <cellStyle name="40% - Accent3 3 3 3 2" xfId="17623" xr:uid="{6366ACCE-51C2-4669-BBF2-251F189BD368}"/>
    <cellStyle name="40% - Accent3 3 3 4" xfId="21833" xr:uid="{5FB41CDA-A13B-4344-9427-E571FB312692}"/>
    <cellStyle name="40% - Accent3 3 3 5" xfId="13412" xr:uid="{B9DFB511-8E2A-4986-99FF-B8761844BB69}"/>
    <cellStyle name="40% - Accent3 3 3 6" xfId="22662" xr:uid="{9923B92C-9DF4-41B3-90B2-7AA43129579C}"/>
    <cellStyle name="40% - Accent3 3 3 7" xfId="9201" xr:uid="{6EEC5259-7947-428E-8A33-CCDA98324D2C}"/>
    <cellStyle name="40% - Accent3 3 4" xfId="1093" xr:uid="{00000000-0005-0000-0000-00006B050000}"/>
    <cellStyle name="40% - Accent3 3 4 2" xfId="3324" xr:uid="{00000000-0005-0000-0000-00006C050000}"/>
    <cellStyle name="40% - Accent3 3 4 2 2" xfId="7548" xr:uid="{00000000-0005-0000-0000-00006D050000}"/>
    <cellStyle name="40% - Accent3 3 4 2 2 2" xfId="20181" xr:uid="{91310DFE-B9EA-4293-A7D0-ACC924529B54}"/>
    <cellStyle name="40% - Accent3 3 4 2 3" xfId="15970" xr:uid="{ACBEF00C-362C-4A51-92BE-4588BE7403B0}"/>
    <cellStyle name="40% - Accent3 3 4 2 4" xfId="25220" xr:uid="{4F80EEFC-C5A2-44E5-B633-4DC511B9ABB3}"/>
    <cellStyle name="40% - Accent3 3 4 2 5" xfId="11759" xr:uid="{E8D89BA7-84C8-4CB3-9421-BDCF35B2CD80}"/>
    <cellStyle name="40% - Accent3 3 4 3" xfId="5403" xr:uid="{00000000-0005-0000-0000-00006E050000}"/>
    <cellStyle name="40% - Accent3 3 4 3 2" xfId="18036" xr:uid="{B269A8DD-E3E6-483A-AD73-571082A91E1F}"/>
    <cellStyle name="40% - Accent3 3 4 4" xfId="13825" xr:uid="{DF95B6B0-C3F8-4DF6-83C2-D5870DADA3C2}"/>
    <cellStyle name="40% - Accent3 3 4 5" xfId="23075" xr:uid="{CC2A6104-4B4E-42D8-83B4-EF0217398E0F}"/>
    <cellStyle name="40% - Accent3 3 4 6" xfId="9614" xr:uid="{E0C3C394-09DA-4A05-B3EB-382E4E80B3C7}"/>
    <cellStyle name="40% - Accent3 3 5" xfId="1507" xr:uid="{00000000-0005-0000-0000-00006F050000}"/>
    <cellStyle name="40% - Accent3 3 5 2" xfId="3737" xr:uid="{00000000-0005-0000-0000-000070050000}"/>
    <cellStyle name="40% - Accent3 3 5 2 2" xfId="7961" xr:uid="{00000000-0005-0000-0000-000071050000}"/>
    <cellStyle name="40% - Accent3 3 5 2 2 2" xfId="20594" xr:uid="{098F69EC-1331-4EFE-B8D0-77CFA8FFBBC0}"/>
    <cellStyle name="40% - Accent3 3 5 2 3" xfId="16383" xr:uid="{7E68F2D0-8D83-4EB2-933B-C12F5D58214D}"/>
    <cellStyle name="40% - Accent3 3 5 2 4" xfId="25633" xr:uid="{9856B741-96DB-4E62-B90D-7A2E655E71C2}"/>
    <cellStyle name="40% - Accent3 3 5 2 5" xfId="12172" xr:uid="{0FBEE5F6-8A71-4E2A-BD5A-C724E785D8F0}"/>
    <cellStyle name="40% - Accent3 3 5 3" xfId="5816" xr:uid="{00000000-0005-0000-0000-000072050000}"/>
    <cellStyle name="40% - Accent3 3 5 3 2" xfId="18449" xr:uid="{75820FBD-60F4-4A08-A405-B7CE96035029}"/>
    <cellStyle name="40% - Accent3 3 5 4" xfId="14238" xr:uid="{630DB6F0-72C5-4AB7-9187-B353A0B98CC8}"/>
    <cellStyle name="40% - Accent3 3 5 5" xfId="23488" xr:uid="{B5B6C616-5095-49CF-BF64-FDDCC3559296}"/>
    <cellStyle name="40% - Accent3 3 5 6" xfId="10027" xr:uid="{4701D5F0-5FD7-443B-8B39-06237D004FA8}"/>
    <cellStyle name="40% - Accent3 3 6" xfId="1921" xr:uid="{00000000-0005-0000-0000-000073050000}"/>
    <cellStyle name="40% - Accent3 3 6 2" xfId="4150" xr:uid="{00000000-0005-0000-0000-000074050000}"/>
    <cellStyle name="40% - Accent3 3 6 2 2" xfId="8374" xr:uid="{00000000-0005-0000-0000-000075050000}"/>
    <cellStyle name="40% - Accent3 3 6 2 2 2" xfId="21007" xr:uid="{6C7E9C93-F2A7-474B-B690-F6DABA161845}"/>
    <cellStyle name="40% - Accent3 3 6 2 3" xfId="16796" xr:uid="{C75133F5-C541-4A4C-90F4-3ABEE64BF722}"/>
    <cellStyle name="40% - Accent3 3 6 2 4" xfId="26046" xr:uid="{6F7475CC-4E89-4961-9F96-03419BFBC375}"/>
    <cellStyle name="40% - Accent3 3 6 2 5" xfId="12585" xr:uid="{9E51490C-58EA-4F98-9A67-5AA4C6B5454F}"/>
    <cellStyle name="40% - Accent3 3 6 3" xfId="6229" xr:uid="{00000000-0005-0000-0000-000076050000}"/>
    <cellStyle name="40% - Accent3 3 6 3 2" xfId="18862" xr:uid="{76F7CA76-D07B-435E-9109-C7C64610C6AC}"/>
    <cellStyle name="40% - Accent3 3 6 4" xfId="14651" xr:uid="{11327FA8-A2DE-44B1-B31A-3DF54B9C1A47}"/>
    <cellStyle name="40% - Accent3 3 6 5" xfId="23901" xr:uid="{B18CEE8C-B8F5-4788-9F80-18A6067AC5AC}"/>
    <cellStyle name="40% - Accent3 3 6 6" xfId="10440" xr:uid="{34E83629-DE0C-4A02-AED2-5A5B0B221ACC}"/>
    <cellStyle name="40% - Accent3 3 7" xfId="2334" xr:uid="{00000000-0005-0000-0000-000077050000}"/>
    <cellStyle name="40% - Accent3 3 7 2" xfId="6642" xr:uid="{00000000-0005-0000-0000-000078050000}"/>
    <cellStyle name="40% - Accent3 3 7 2 2" xfId="19275" xr:uid="{450C429C-FB31-4E80-8089-762F6A2CC4EE}"/>
    <cellStyle name="40% - Accent3 3 7 3" xfId="15064" xr:uid="{D3F2AD8D-311B-49A2-95A2-81176D8C9932}"/>
    <cellStyle name="40% - Accent3 3 7 4" xfId="24314" xr:uid="{ABC7CC38-8E81-43C1-A3D3-44DB5E1EC8BD}"/>
    <cellStyle name="40% - Accent3 3 7 5" xfId="10853" xr:uid="{1878951B-E3A1-4714-A852-601FD7180B1D}"/>
    <cellStyle name="40% - Accent3 3 8" xfId="4576" xr:uid="{00000000-0005-0000-0000-000079050000}"/>
    <cellStyle name="40% - Accent3 3 8 2" xfId="17209" xr:uid="{9CF3CAD3-9220-4AA1-8D79-4FF65B8023D6}"/>
    <cellStyle name="40% - Accent3 3 9" xfId="21420" xr:uid="{A54BCBE8-D9CC-48B9-AB29-4BA3F0E169C5}"/>
    <cellStyle name="40% - Accent3 4" xfId="72" xr:uid="{00000000-0005-0000-0000-00007A050000}"/>
    <cellStyle name="40% - Accent3 4 10" xfId="22250" xr:uid="{101A2B54-93D7-4041-83C4-A0C18FF4C513}"/>
    <cellStyle name="40% - Accent3 4 11" xfId="8789" xr:uid="{C0505FDD-D649-4C33-8D69-BAF9358B5240}"/>
    <cellStyle name="40% - Accent3 4 2" xfId="642" xr:uid="{00000000-0005-0000-0000-00007B050000}"/>
    <cellStyle name="40% - Accent3 4 2 2" xfId="2913" xr:uid="{00000000-0005-0000-0000-00007C050000}"/>
    <cellStyle name="40% - Accent3 4 2 2 2" xfId="7137" xr:uid="{00000000-0005-0000-0000-00007D050000}"/>
    <cellStyle name="40% - Accent3 4 2 2 2 2" xfId="19770" xr:uid="{307FFBC8-3FB3-4965-9D6B-3F84CEFF7B06}"/>
    <cellStyle name="40% - Accent3 4 2 2 3" xfId="15559" xr:uid="{6F310791-9C25-4F7A-98B0-4BBD08E98C5D}"/>
    <cellStyle name="40% - Accent3 4 2 2 4" xfId="24809" xr:uid="{82A50ACC-5E6C-4E54-AA48-53077EE050D1}"/>
    <cellStyle name="40% - Accent3 4 2 2 5" xfId="11348" xr:uid="{61A0B733-282A-4ECD-9D00-598C2C099157}"/>
    <cellStyle name="40% - Accent3 4 2 3" xfId="4992" xr:uid="{00000000-0005-0000-0000-00007E050000}"/>
    <cellStyle name="40% - Accent3 4 2 3 2" xfId="17625" xr:uid="{053FCCAD-ACAE-4E6C-A469-CBEFB3A3AB57}"/>
    <cellStyle name="40% - Accent3 4 2 4" xfId="21835" xr:uid="{229B02ED-7C54-4C1A-8CF4-23B786B56114}"/>
    <cellStyle name="40% - Accent3 4 2 5" xfId="13414" xr:uid="{8D3532AD-FC85-48F2-8FAF-2B099F8F711D}"/>
    <cellStyle name="40% - Accent3 4 2 6" xfId="22664" xr:uid="{ED2DED25-3C76-4ECF-992C-E31831D70102}"/>
    <cellStyle name="40% - Accent3 4 2 7" xfId="9203" xr:uid="{85317CB9-E309-48F9-B0C6-7BF6E99903F6}"/>
    <cellStyle name="40% - Accent3 4 3" xfId="1095" xr:uid="{00000000-0005-0000-0000-00007F050000}"/>
    <cellStyle name="40% - Accent3 4 3 2" xfId="3326" xr:uid="{00000000-0005-0000-0000-000080050000}"/>
    <cellStyle name="40% - Accent3 4 3 2 2" xfId="7550" xr:uid="{00000000-0005-0000-0000-000081050000}"/>
    <cellStyle name="40% - Accent3 4 3 2 2 2" xfId="20183" xr:uid="{7BD7C96F-B588-4621-99EC-632CA535CE7F}"/>
    <cellStyle name="40% - Accent3 4 3 2 3" xfId="15972" xr:uid="{02D26B95-94C1-4B13-915E-2E55E52F90E4}"/>
    <cellStyle name="40% - Accent3 4 3 2 4" xfId="25222" xr:uid="{A8866668-0A60-4978-BD4C-9D9461D0B234}"/>
    <cellStyle name="40% - Accent3 4 3 2 5" xfId="11761" xr:uid="{2AE889FD-B56E-41E0-A0F5-2E6ADDF39439}"/>
    <cellStyle name="40% - Accent3 4 3 3" xfId="5405" xr:uid="{00000000-0005-0000-0000-000082050000}"/>
    <cellStyle name="40% - Accent3 4 3 3 2" xfId="18038" xr:uid="{B00DBAEF-0829-4837-96A9-B74488A9C355}"/>
    <cellStyle name="40% - Accent3 4 3 4" xfId="13827" xr:uid="{A93BDAC0-5D42-4EB1-AF30-45E490F8169F}"/>
    <cellStyle name="40% - Accent3 4 3 5" xfId="23077" xr:uid="{14FD68B2-7DE2-491B-B1F5-205F1DCAA897}"/>
    <cellStyle name="40% - Accent3 4 3 6" xfId="9616" xr:uid="{9899CCD7-0D15-4B79-AE48-77C5BB4310CC}"/>
    <cellStyle name="40% - Accent3 4 4" xfId="1509" xr:uid="{00000000-0005-0000-0000-000083050000}"/>
    <cellStyle name="40% - Accent3 4 4 2" xfId="3739" xr:uid="{00000000-0005-0000-0000-000084050000}"/>
    <cellStyle name="40% - Accent3 4 4 2 2" xfId="7963" xr:uid="{00000000-0005-0000-0000-000085050000}"/>
    <cellStyle name="40% - Accent3 4 4 2 2 2" xfId="20596" xr:uid="{83A6EE88-6A82-4E89-B081-BEBCE8081077}"/>
    <cellStyle name="40% - Accent3 4 4 2 3" xfId="16385" xr:uid="{83E7CD05-01C6-4B33-A602-371B16730EF2}"/>
    <cellStyle name="40% - Accent3 4 4 2 4" xfId="25635" xr:uid="{188DE5A5-D47D-4E65-9C65-F6B362BF2539}"/>
    <cellStyle name="40% - Accent3 4 4 2 5" xfId="12174" xr:uid="{91585C5A-A10C-4652-8D80-4938261F8045}"/>
    <cellStyle name="40% - Accent3 4 4 3" xfId="5818" xr:uid="{00000000-0005-0000-0000-000086050000}"/>
    <cellStyle name="40% - Accent3 4 4 3 2" xfId="18451" xr:uid="{CE5776D8-3125-4B5E-B75B-3DBE99A69FCC}"/>
    <cellStyle name="40% - Accent3 4 4 4" xfId="14240" xr:uid="{D2A570E7-A01B-407A-AC91-225F4E258972}"/>
    <cellStyle name="40% - Accent3 4 4 5" xfId="23490" xr:uid="{7B53652B-2B4E-4949-BF34-641DF6DF8233}"/>
    <cellStyle name="40% - Accent3 4 4 6" xfId="10029" xr:uid="{4333DD58-FF5D-4B2C-A110-B4DC47F98F6A}"/>
    <cellStyle name="40% - Accent3 4 5" xfId="1923" xr:uid="{00000000-0005-0000-0000-000087050000}"/>
    <cellStyle name="40% - Accent3 4 5 2" xfId="4152" xr:uid="{00000000-0005-0000-0000-000088050000}"/>
    <cellStyle name="40% - Accent3 4 5 2 2" xfId="8376" xr:uid="{00000000-0005-0000-0000-000089050000}"/>
    <cellStyle name="40% - Accent3 4 5 2 2 2" xfId="21009" xr:uid="{2728F46F-4E27-4864-8D3D-E54C480D8F64}"/>
    <cellStyle name="40% - Accent3 4 5 2 3" xfId="16798" xr:uid="{81A673FC-3C2E-4A83-922F-DAC071450F56}"/>
    <cellStyle name="40% - Accent3 4 5 2 4" xfId="26048" xr:uid="{FC658692-42FE-48E8-9312-30C8CDB5B9B3}"/>
    <cellStyle name="40% - Accent3 4 5 2 5" xfId="12587" xr:uid="{BE0CFBF7-A1A2-41DD-9C46-C8FB396D918F}"/>
    <cellStyle name="40% - Accent3 4 5 3" xfId="6231" xr:uid="{00000000-0005-0000-0000-00008A050000}"/>
    <cellStyle name="40% - Accent3 4 5 3 2" xfId="18864" xr:uid="{0D024CA9-103F-42D2-8F97-F0D7E6C66660}"/>
    <cellStyle name="40% - Accent3 4 5 4" xfId="14653" xr:uid="{4326B9A5-41B4-41DA-82AD-760146F58F91}"/>
    <cellStyle name="40% - Accent3 4 5 5" xfId="23903" xr:uid="{2415B7D9-8270-4F66-8A9A-4E2BE1A9F5D2}"/>
    <cellStyle name="40% - Accent3 4 5 6" xfId="10442" xr:uid="{BC702756-201E-4D47-91E1-E00A8BAB50C3}"/>
    <cellStyle name="40% - Accent3 4 6" xfId="2336" xr:uid="{00000000-0005-0000-0000-00008B050000}"/>
    <cellStyle name="40% - Accent3 4 6 2" xfId="6644" xr:uid="{00000000-0005-0000-0000-00008C050000}"/>
    <cellStyle name="40% - Accent3 4 6 2 2" xfId="19277" xr:uid="{DE2A4B60-E0F2-45AA-AFFA-C88BE7B26147}"/>
    <cellStyle name="40% - Accent3 4 6 3" xfId="15066" xr:uid="{99FA5826-EBE2-4FBE-A051-CE767553A81C}"/>
    <cellStyle name="40% - Accent3 4 6 4" xfId="24316" xr:uid="{B5B92329-AAAD-41E9-B9AE-92A180821CA3}"/>
    <cellStyle name="40% - Accent3 4 6 5" xfId="10855" xr:uid="{F5F7CA15-6173-4782-9A9F-DE8D5A8494AF}"/>
    <cellStyle name="40% - Accent3 4 7" xfId="4578" xr:uid="{00000000-0005-0000-0000-00008D050000}"/>
    <cellStyle name="40% - Accent3 4 7 2" xfId="17211" xr:uid="{5D4C444E-11D4-48AA-A674-5072ADC5D6F4}"/>
    <cellStyle name="40% - Accent3 4 8" xfId="21422" xr:uid="{60D7B379-2E43-4D45-8866-F0092777F99E}"/>
    <cellStyle name="40% - Accent3 4 9" xfId="13000" xr:uid="{8A9BECCF-3363-4730-AF08-71C42D865A36}"/>
    <cellStyle name="40% - Accent3 5" xfId="635" xr:uid="{00000000-0005-0000-0000-00008E050000}"/>
    <cellStyle name="40% - Accent3 5 2" xfId="2906" xr:uid="{00000000-0005-0000-0000-00008F050000}"/>
    <cellStyle name="40% - Accent3 5 2 2" xfId="7130" xr:uid="{00000000-0005-0000-0000-000090050000}"/>
    <cellStyle name="40% - Accent3 5 2 2 2" xfId="19763" xr:uid="{7E03D955-E0A9-45FC-AD50-2AB85D091F83}"/>
    <cellStyle name="40% - Accent3 5 2 3" xfId="15552" xr:uid="{19050AA2-1D21-4502-AB4A-FAAEA7427C89}"/>
    <cellStyle name="40% - Accent3 5 2 4" xfId="24802" xr:uid="{85712F8A-AA5E-44DA-AB94-CFC93F8476B2}"/>
    <cellStyle name="40% - Accent3 5 2 5" xfId="11341" xr:uid="{5968D0C2-3BB5-4001-AB49-356CFEAEE0A9}"/>
    <cellStyle name="40% - Accent3 5 3" xfId="4985" xr:uid="{00000000-0005-0000-0000-000091050000}"/>
    <cellStyle name="40% - Accent3 5 3 2" xfId="17618" xr:uid="{8F91BBD6-A5F7-42FB-995A-9D59AA4C3AB2}"/>
    <cellStyle name="40% - Accent3 5 4" xfId="21828" xr:uid="{C2C92683-31C0-4196-8DB3-5693E93ABC8D}"/>
    <cellStyle name="40% - Accent3 5 5" xfId="13407" xr:uid="{CEF347FB-4828-4BF4-ABBB-4D3443762534}"/>
    <cellStyle name="40% - Accent3 5 6" xfId="22657" xr:uid="{DD03FA9D-FB0C-4208-B14E-6732DD7751A4}"/>
    <cellStyle name="40% - Accent3 5 7" xfId="9196" xr:uid="{B4DE26C5-FD75-45FB-9B87-A7F08CB2D7D7}"/>
    <cellStyle name="40% - Accent3 6" xfId="1088" xr:uid="{00000000-0005-0000-0000-000092050000}"/>
    <cellStyle name="40% - Accent3 6 2" xfId="3319" xr:uid="{00000000-0005-0000-0000-000093050000}"/>
    <cellStyle name="40% - Accent3 6 2 2" xfId="7543" xr:uid="{00000000-0005-0000-0000-000094050000}"/>
    <cellStyle name="40% - Accent3 6 2 2 2" xfId="20176" xr:uid="{4F6BFE43-ECD5-4CC4-8AE2-CC7F988B5B53}"/>
    <cellStyle name="40% - Accent3 6 2 3" xfId="15965" xr:uid="{36E0285F-0010-4E3B-B07F-1A4DCF9DB900}"/>
    <cellStyle name="40% - Accent3 6 2 4" xfId="25215" xr:uid="{B579B390-C5AB-47D1-9C23-E959DCC503D7}"/>
    <cellStyle name="40% - Accent3 6 2 5" xfId="11754" xr:uid="{D9E065FF-88F6-4377-9C7C-B3544AECAD5B}"/>
    <cellStyle name="40% - Accent3 6 3" xfId="5398" xr:uid="{00000000-0005-0000-0000-000095050000}"/>
    <cellStyle name="40% - Accent3 6 3 2" xfId="18031" xr:uid="{C030EF23-3F9E-4C0B-A11D-6319FCBEC8D9}"/>
    <cellStyle name="40% - Accent3 6 4" xfId="13820" xr:uid="{60ABB254-B1FE-4461-A9D6-8270CC5FA4D4}"/>
    <cellStyle name="40% - Accent3 6 5" xfId="23070" xr:uid="{7318F7EC-E423-4426-8B83-C39CAA1E86AF}"/>
    <cellStyle name="40% - Accent3 6 6" xfId="9609" xr:uid="{0D5A4CBF-4C20-4E0A-95E6-6AFBBE864973}"/>
    <cellStyle name="40% - Accent3 7" xfId="1502" xr:uid="{00000000-0005-0000-0000-000096050000}"/>
    <cellStyle name="40% - Accent3 7 2" xfId="3732" xr:uid="{00000000-0005-0000-0000-000097050000}"/>
    <cellStyle name="40% - Accent3 7 2 2" xfId="7956" xr:uid="{00000000-0005-0000-0000-000098050000}"/>
    <cellStyle name="40% - Accent3 7 2 2 2" xfId="20589" xr:uid="{B7FE240E-6A11-4BEC-B39D-819BCBC7C833}"/>
    <cellStyle name="40% - Accent3 7 2 3" xfId="16378" xr:uid="{99046F19-FA94-41E1-8B28-8DD72C671F5D}"/>
    <cellStyle name="40% - Accent3 7 2 4" xfId="25628" xr:uid="{2D9A2154-FEDE-4B18-A54B-B1FF086F7F68}"/>
    <cellStyle name="40% - Accent3 7 2 5" xfId="12167" xr:uid="{00FF173E-8ECA-4F2C-913E-170482BF1E26}"/>
    <cellStyle name="40% - Accent3 7 3" xfId="5811" xr:uid="{00000000-0005-0000-0000-000099050000}"/>
    <cellStyle name="40% - Accent3 7 3 2" xfId="18444" xr:uid="{42FD2D5A-BC11-49EE-A7E3-916FA8DAE9E6}"/>
    <cellStyle name="40% - Accent3 7 4" xfId="14233" xr:uid="{501E3108-F49D-4294-8F3F-78ED29EB2855}"/>
    <cellStyle name="40% - Accent3 7 5" xfId="23483" xr:uid="{0C575137-5035-4BFC-BBA1-7661BD631F0E}"/>
    <cellStyle name="40% - Accent3 7 6" xfId="10022" xr:uid="{8D8B9888-969E-46EE-9699-1094E1FAEBE6}"/>
    <cellStyle name="40% - Accent3 8" xfId="1916" xr:uid="{00000000-0005-0000-0000-00009A050000}"/>
    <cellStyle name="40% - Accent3 8 2" xfId="4145" xr:uid="{00000000-0005-0000-0000-00009B050000}"/>
    <cellStyle name="40% - Accent3 8 2 2" xfId="8369" xr:uid="{00000000-0005-0000-0000-00009C050000}"/>
    <cellStyle name="40% - Accent3 8 2 2 2" xfId="21002" xr:uid="{80359BEB-8D7A-4799-B5AF-11B665B33FA8}"/>
    <cellStyle name="40% - Accent3 8 2 3" xfId="16791" xr:uid="{32CC6DC0-D55F-451B-B0CC-542DCAC455D0}"/>
    <cellStyle name="40% - Accent3 8 2 4" xfId="26041" xr:uid="{8BD69D8A-E2CB-4086-8F49-732D56AA1E05}"/>
    <cellStyle name="40% - Accent3 8 2 5" xfId="12580" xr:uid="{69A83423-FB5D-40D7-9F3F-8A278A146DAA}"/>
    <cellStyle name="40% - Accent3 8 3" xfId="6224" xr:uid="{00000000-0005-0000-0000-00009D050000}"/>
    <cellStyle name="40% - Accent3 8 3 2" xfId="18857" xr:uid="{3B07D534-ACA3-43D5-B35D-F8707D01BD31}"/>
    <cellStyle name="40% - Accent3 8 4" xfId="14646" xr:uid="{E83395EE-E753-4C6A-8252-A40F7C6D3A12}"/>
    <cellStyle name="40% - Accent3 8 5" xfId="23896" xr:uid="{ACC67CF1-BA20-4EFA-A295-AAE51D420901}"/>
    <cellStyle name="40% - Accent3 8 6" xfId="10435" xr:uid="{61D56387-73DB-4D08-BA19-901CE3450A00}"/>
    <cellStyle name="40% - Accent3 9" xfId="2329" xr:uid="{00000000-0005-0000-0000-00009E050000}"/>
    <cellStyle name="40% - Accent3 9 2" xfId="6637" xr:uid="{00000000-0005-0000-0000-00009F050000}"/>
    <cellStyle name="40% - Accent3 9 2 2" xfId="19270" xr:uid="{935EF296-AD49-4984-ACB2-7BBEF87C9A24}"/>
    <cellStyle name="40% - Accent3 9 3" xfId="15059" xr:uid="{5116A52C-091E-48EF-9206-66E722ACD984}"/>
    <cellStyle name="40% - Accent3 9 4" xfId="24309" xr:uid="{01B494E0-2590-41D8-8EC8-C998C1976A2B}"/>
    <cellStyle name="40% - Accent3 9 5" xfId="10848" xr:uid="{C23491DE-E05A-437D-B434-9B69B5D2FD2D}"/>
    <cellStyle name="40% - Accent4" xfId="73" builtinId="43" customBuiltin="1"/>
    <cellStyle name="40% - Accent4 10" xfId="4579" xr:uid="{00000000-0005-0000-0000-0000A1050000}"/>
    <cellStyle name="40% - Accent4 10 2" xfId="17212" xr:uid="{A6C611B0-A609-403E-8CB7-8AD759F55724}"/>
    <cellStyle name="40% - Accent4 11" xfId="21423" xr:uid="{FFE51691-163A-4B41-A769-C673792808EB}"/>
    <cellStyle name="40% - Accent4 12" xfId="13001" xr:uid="{A3D286A4-B064-44E5-95EC-9319EA988F61}"/>
    <cellStyle name="40% - Accent4 13" xfId="22251" xr:uid="{4ADECFEC-E8D7-43F1-ACF7-37F7A2AD1B1D}"/>
    <cellStyle name="40% - Accent4 14" xfId="8790" xr:uid="{41C9AF8B-3294-45D2-B27E-26A8C459AE11}"/>
    <cellStyle name="40% - Accent4 2" xfId="74" xr:uid="{00000000-0005-0000-0000-0000A2050000}"/>
    <cellStyle name="40% - Accent4 2 10" xfId="21424" xr:uid="{44614C61-66CA-4BC9-8FD6-8D21595154B8}"/>
    <cellStyle name="40% - Accent4 2 11" xfId="13002" xr:uid="{BFDEE103-CBE6-4D7F-9598-12646B987B98}"/>
    <cellStyle name="40% - Accent4 2 12" xfId="22252" xr:uid="{F09C42CC-86DD-4313-9963-325EDBE4EEC2}"/>
    <cellStyle name="40% - Accent4 2 13" xfId="8791" xr:uid="{0CC4F6FB-4975-4606-8575-C72672C6A528}"/>
    <cellStyle name="40% - Accent4 2 2" xfId="75" xr:uid="{00000000-0005-0000-0000-0000A3050000}"/>
    <cellStyle name="40% - Accent4 2 2 10" xfId="13003" xr:uid="{479633EE-00A2-4647-AFA9-1385367B31A3}"/>
    <cellStyle name="40% - Accent4 2 2 11" xfId="22253" xr:uid="{5E8F5C70-6499-4CD7-B4FE-F24D66BB0096}"/>
    <cellStyle name="40% - Accent4 2 2 12" xfId="8792" xr:uid="{D72EC3F4-7B24-4FC5-8332-AF643FA125A3}"/>
    <cellStyle name="40% - Accent4 2 2 2" xfId="76" xr:uid="{00000000-0005-0000-0000-0000A4050000}"/>
    <cellStyle name="40% - Accent4 2 2 2 10" xfId="22254" xr:uid="{F515A59E-ADA0-42C1-AD1A-B7A78131C7FC}"/>
    <cellStyle name="40% - Accent4 2 2 2 11" xfId="8793" xr:uid="{45B74A39-768C-41A6-9AE1-8E80FC8F76C3}"/>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9774" xr:uid="{D9E97751-30E3-44EA-A4DF-5A10AD9FAE56}"/>
    <cellStyle name="40% - Accent4 2 2 2 2 2 3" xfId="15563" xr:uid="{4646A731-FA55-47E7-A86C-6EFC672CFE03}"/>
    <cellStyle name="40% - Accent4 2 2 2 2 2 4" xfId="24813" xr:uid="{D987A4DB-6A45-4193-9942-5471F8DBC7CB}"/>
    <cellStyle name="40% - Accent4 2 2 2 2 2 5" xfId="11352" xr:uid="{87DBA389-E49D-4D49-89FA-C06355B5677D}"/>
    <cellStyle name="40% - Accent4 2 2 2 2 3" xfId="4996" xr:uid="{00000000-0005-0000-0000-0000A8050000}"/>
    <cellStyle name="40% - Accent4 2 2 2 2 3 2" xfId="17629" xr:uid="{80CB5AB2-F461-475B-9FEA-C0E150752664}"/>
    <cellStyle name="40% - Accent4 2 2 2 2 4" xfId="21839" xr:uid="{BF486C28-962D-4779-945F-CC416662B6C8}"/>
    <cellStyle name="40% - Accent4 2 2 2 2 5" xfId="13418" xr:uid="{7599DEDF-E836-4D78-B5E9-1BE9635144A7}"/>
    <cellStyle name="40% - Accent4 2 2 2 2 6" xfId="22668" xr:uid="{026CC577-F6DB-45ED-A6F4-6E0FE0FAF2E7}"/>
    <cellStyle name="40% - Accent4 2 2 2 2 7" xfId="9207" xr:uid="{F9F4022E-F65F-4664-9846-BADFE6C97E4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20187" xr:uid="{ECA3A762-373B-46D3-9300-CC0E73750BBE}"/>
    <cellStyle name="40% - Accent4 2 2 2 3 2 3" xfId="15976" xr:uid="{AC48311B-A160-40BC-97B0-8E962FAC9996}"/>
    <cellStyle name="40% - Accent4 2 2 2 3 2 4" xfId="25226" xr:uid="{D61E8668-3F5D-4622-B6A1-18BFD8966BA7}"/>
    <cellStyle name="40% - Accent4 2 2 2 3 2 5" xfId="11765" xr:uid="{98E2C36C-B450-4F37-9D29-0FE6F4F6194D}"/>
    <cellStyle name="40% - Accent4 2 2 2 3 3" xfId="5409" xr:uid="{00000000-0005-0000-0000-0000AC050000}"/>
    <cellStyle name="40% - Accent4 2 2 2 3 3 2" xfId="18042" xr:uid="{E86377EE-7914-42D6-9325-A2F5026D3936}"/>
    <cellStyle name="40% - Accent4 2 2 2 3 4" xfId="13831" xr:uid="{89AC0F39-FD5D-4DAF-83D9-89A84F9599F3}"/>
    <cellStyle name="40% - Accent4 2 2 2 3 5" xfId="23081" xr:uid="{B0D51320-C4FD-4FFF-9A35-EBEDF4723437}"/>
    <cellStyle name="40% - Accent4 2 2 2 3 6" xfId="9620" xr:uid="{4C99618B-884D-4435-BF1D-B61380987EEA}"/>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20600" xr:uid="{4A615839-DF94-402A-A3D8-E8511BF25413}"/>
    <cellStyle name="40% - Accent4 2 2 2 4 2 3" xfId="16389" xr:uid="{8AE2F02A-A9C8-4AE1-8671-432C6426F4A4}"/>
    <cellStyle name="40% - Accent4 2 2 2 4 2 4" xfId="25639" xr:uid="{79F9F9FC-93F0-44B1-B857-E8C5A852ECD0}"/>
    <cellStyle name="40% - Accent4 2 2 2 4 2 5" xfId="12178" xr:uid="{3C2D41AC-0CC1-436A-9C6C-99571A96AC0E}"/>
    <cellStyle name="40% - Accent4 2 2 2 4 3" xfId="5822" xr:uid="{00000000-0005-0000-0000-0000B0050000}"/>
    <cellStyle name="40% - Accent4 2 2 2 4 3 2" xfId="18455" xr:uid="{6ADA76D9-666E-4457-86C0-E8A5EB377CCA}"/>
    <cellStyle name="40% - Accent4 2 2 2 4 4" xfId="14244" xr:uid="{73AE176D-C68E-4362-A237-F198EFA368A7}"/>
    <cellStyle name="40% - Accent4 2 2 2 4 5" xfId="23494" xr:uid="{690F2682-C535-40F0-8836-F41DD7B5EE00}"/>
    <cellStyle name="40% - Accent4 2 2 2 4 6" xfId="10033" xr:uid="{579CCF58-FE1C-4B57-AAC8-8315F4EB894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21013" xr:uid="{F870F816-5944-40C5-A579-39CD68795FA4}"/>
    <cellStyle name="40% - Accent4 2 2 2 5 2 3" xfId="16802" xr:uid="{19F40BD0-7874-45D8-AE28-0439EF0C52A0}"/>
    <cellStyle name="40% - Accent4 2 2 2 5 2 4" xfId="26052" xr:uid="{205DCBA1-00F8-4A5F-A3E9-F85D3E6AA2F0}"/>
    <cellStyle name="40% - Accent4 2 2 2 5 2 5" xfId="12591" xr:uid="{63DA0513-E8F4-4907-AB62-29720C5B5DA9}"/>
    <cellStyle name="40% - Accent4 2 2 2 5 3" xfId="6235" xr:uid="{00000000-0005-0000-0000-0000B4050000}"/>
    <cellStyle name="40% - Accent4 2 2 2 5 3 2" xfId="18868" xr:uid="{1621487C-910C-455C-B3F7-E3D099BEF277}"/>
    <cellStyle name="40% - Accent4 2 2 2 5 4" xfId="14657" xr:uid="{91307364-DC7C-4517-86FA-59598B987822}"/>
    <cellStyle name="40% - Accent4 2 2 2 5 5" xfId="23907" xr:uid="{0F2C71A6-F38B-48AC-8D03-6DA8F256BDF6}"/>
    <cellStyle name="40% - Accent4 2 2 2 5 6" xfId="10446" xr:uid="{3D0FE67B-6512-4D81-8013-F8A769C25741}"/>
    <cellStyle name="40% - Accent4 2 2 2 6" xfId="2340" xr:uid="{00000000-0005-0000-0000-0000B5050000}"/>
    <cellStyle name="40% - Accent4 2 2 2 6 2" xfId="6648" xr:uid="{00000000-0005-0000-0000-0000B6050000}"/>
    <cellStyle name="40% - Accent4 2 2 2 6 2 2" xfId="19281" xr:uid="{FF4F4931-AB9B-4920-A461-7CAA66D67499}"/>
    <cellStyle name="40% - Accent4 2 2 2 6 3" xfId="15070" xr:uid="{DFE8B02F-F5EA-40FF-8ABF-BB9A808E48AA}"/>
    <cellStyle name="40% - Accent4 2 2 2 6 4" xfId="24320" xr:uid="{70230EEC-0FBD-4E00-B9D9-198BB9614159}"/>
    <cellStyle name="40% - Accent4 2 2 2 6 5" xfId="10859" xr:uid="{7479D88B-13D0-4927-955E-9A63BE08419D}"/>
    <cellStyle name="40% - Accent4 2 2 2 7" xfId="4582" xr:uid="{00000000-0005-0000-0000-0000B7050000}"/>
    <cellStyle name="40% - Accent4 2 2 2 7 2" xfId="17215" xr:uid="{0CE012C4-FC71-4679-B204-EA263C8AAD64}"/>
    <cellStyle name="40% - Accent4 2 2 2 8" xfId="21426" xr:uid="{1127E3BD-818B-4C51-A7E7-78D1C1234F07}"/>
    <cellStyle name="40% - Accent4 2 2 2 9" xfId="13004" xr:uid="{D2207DDD-8D17-4874-95B0-A9B670483F8A}"/>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9773" xr:uid="{261A23DA-1CCD-4976-9F6A-47B7078A0BAA}"/>
    <cellStyle name="40% - Accent4 2 2 3 2 3" xfId="15562" xr:uid="{BF39D52E-1866-4B9F-ABE8-1B6316AD0AB9}"/>
    <cellStyle name="40% - Accent4 2 2 3 2 4" xfId="24812" xr:uid="{1996B801-706D-4F8F-A86D-A1CED0D43402}"/>
    <cellStyle name="40% - Accent4 2 2 3 2 5" xfId="11351" xr:uid="{315AEE83-983B-4355-9035-D3EA34D68577}"/>
    <cellStyle name="40% - Accent4 2 2 3 3" xfId="4995" xr:uid="{00000000-0005-0000-0000-0000BB050000}"/>
    <cellStyle name="40% - Accent4 2 2 3 3 2" xfId="17628" xr:uid="{C4FB965E-677F-4EB2-A199-624EF05606DB}"/>
    <cellStyle name="40% - Accent4 2 2 3 4" xfId="21838" xr:uid="{4A6CD672-239D-4AF0-961D-0637C8E8C57F}"/>
    <cellStyle name="40% - Accent4 2 2 3 5" xfId="13417" xr:uid="{0022A929-EB49-44BE-B0C3-B764AD21A085}"/>
    <cellStyle name="40% - Accent4 2 2 3 6" xfId="22667" xr:uid="{CF620852-4A18-451B-A289-F7A72498914D}"/>
    <cellStyle name="40% - Accent4 2 2 3 7" xfId="9206" xr:uid="{10C7B712-30CE-41EB-9469-3FF3FAD01551}"/>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20186" xr:uid="{362908FF-AC6B-44A8-AF6A-4F0337FFA1F0}"/>
    <cellStyle name="40% - Accent4 2 2 4 2 3" xfId="15975" xr:uid="{0570743E-AF8F-48A3-A094-35A6936607BC}"/>
    <cellStyle name="40% - Accent4 2 2 4 2 4" xfId="25225" xr:uid="{17C36A46-8FFE-405D-9475-E4F960C04A15}"/>
    <cellStyle name="40% - Accent4 2 2 4 2 5" xfId="11764" xr:uid="{9EF9C9CE-F40E-466B-B5C4-606CA634466B}"/>
    <cellStyle name="40% - Accent4 2 2 4 3" xfId="5408" xr:uid="{00000000-0005-0000-0000-0000BF050000}"/>
    <cellStyle name="40% - Accent4 2 2 4 3 2" xfId="18041" xr:uid="{24850C49-29D4-422A-B6FE-EB628A1738D7}"/>
    <cellStyle name="40% - Accent4 2 2 4 4" xfId="13830" xr:uid="{4576B113-53CA-45C8-ABDE-321EBAF0AEB0}"/>
    <cellStyle name="40% - Accent4 2 2 4 5" xfId="23080" xr:uid="{2EC210D7-0A00-46EC-AD10-626BFF095048}"/>
    <cellStyle name="40% - Accent4 2 2 4 6" xfId="9619" xr:uid="{A20EAE0A-4678-4456-B866-7ADB71D13863}"/>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20599" xr:uid="{7A4CD97E-C1BC-4C0C-B03D-7912101F9952}"/>
    <cellStyle name="40% - Accent4 2 2 5 2 3" xfId="16388" xr:uid="{79C715AE-CA50-4A66-AC22-AD817F6E0B0E}"/>
    <cellStyle name="40% - Accent4 2 2 5 2 4" xfId="25638" xr:uid="{9DE4A896-550D-4C87-B649-3DCC5D1FEDBA}"/>
    <cellStyle name="40% - Accent4 2 2 5 2 5" xfId="12177" xr:uid="{43A51D17-DCBE-48AB-ACB4-29FC8E9027B3}"/>
    <cellStyle name="40% - Accent4 2 2 5 3" xfId="5821" xr:uid="{00000000-0005-0000-0000-0000C3050000}"/>
    <cellStyle name="40% - Accent4 2 2 5 3 2" xfId="18454" xr:uid="{875B9F35-5348-4F8E-93CE-7ED3089DDF87}"/>
    <cellStyle name="40% - Accent4 2 2 5 4" xfId="14243" xr:uid="{8C924B08-2646-490C-AA57-A68B487E8A7C}"/>
    <cellStyle name="40% - Accent4 2 2 5 5" xfId="23493" xr:uid="{48F4F931-5FA1-4745-B218-63C462349CD1}"/>
    <cellStyle name="40% - Accent4 2 2 5 6" xfId="10032" xr:uid="{B3F064D2-0F00-4D73-B15E-9EE66D90C745}"/>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21012" xr:uid="{ECC33611-875F-49B5-9850-DB604AE83802}"/>
    <cellStyle name="40% - Accent4 2 2 6 2 3" xfId="16801" xr:uid="{B56A4B4A-4768-40C2-8C65-8398DDD9D0D6}"/>
    <cellStyle name="40% - Accent4 2 2 6 2 4" xfId="26051" xr:uid="{A4B72267-FC68-4FDC-BAE8-250499DADB40}"/>
    <cellStyle name="40% - Accent4 2 2 6 2 5" xfId="12590" xr:uid="{AADD26AF-D9B1-44B1-BE9C-CB893382F214}"/>
    <cellStyle name="40% - Accent4 2 2 6 3" xfId="6234" xr:uid="{00000000-0005-0000-0000-0000C7050000}"/>
    <cellStyle name="40% - Accent4 2 2 6 3 2" xfId="18867" xr:uid="{89337D8E-B5C5-491D-9D96-CBA0ED4B1617}"/>
    <cellStyle name="40% - Accent4 2 2 6 4" xfId="14656" xr:uid="{FDB75176-3329-40A8-B53A-BBA23335ACC9}"/>
    <cellStyle name="40% - Accent4 2 2 6 5" xfId="23906" xr:uid="{46699ED1-37DE-4F18-B97D-94A7885C01F1}"/>
    <cellStyle name="40% - Accent4 2 2 6 6" xfId="10445" xr:uid="{A8E310B0-D240-497D-9995-758BB8B38A93}"/>
    <cellStyle name="40% - Accent4 2 2 7" xfId="2339" xr:uid="{00000000-0005-0000-0000-0000C8050000}"/>
    <cellStyle name="40% - Accent4 2 2 7 2" xfId="6647" xr:uid="{00000000-0005-0000-0000-0000C9050000}"/>
    <cellStyle name="40% - Accent4 2 2 7 2 2" xfId="19280" xr:uid="{362C9401-F8F8-4F81-9C40-B0C8DFB426B7}"/>
    <cellStyle name="40% - Accent4 2 2 7 3" xfId="15069" xr:uid="{BA44AE58-E323-48FA-BF84-88E8635BF792}"/>
    <cellStyle name="40% - Accent4 2 2 7 4" xfId="24319" xr:uid="{4FF9AE75-17EF-4E53-BF5C-7B6FD08D6E59}"/>
    <cellStyle name="40% - Accent4 2 2 7 5" xfId="10858" xr:uid="{DF1A4A97-9512-41DA-A38D-60D61A00E9A8}"/>
    <cellStyle name="40% - Accent4 2 2 8" xfId="4581" xr:uid="{00000000-0005-0000-0000-0000CA050000}"/>
    <cellStyle name="40% - Accent4 2 2 8 2" xfId="17214" xr:uid="{7F0BF319-135F-4165-A1E3-46FB03F8A193}"/>
    <cellStyle name="40% - Accent4 2 2 9" xfId="21425" xr:uid="{3FF8EB68-09F5-451B-A069-D6248FE0CA51}"/>
    <cellStyle name="40% - Accent4 2 3" xfId="77" xr:uid="{00000000-0005-0000-0000-0000CB050000}"/>
    <cellStyle name="40% - Accent4 2 3 10" xfId="22255" xr:uid="{0E3AF6AD-F5B8-492E-9408-A8ABB9AEF629}"/>
    <cellStyle name="40% - Accent4 2 3 11" xfId="8794" xr:uid="{F39E6FA3-F93B-44AD-A3D9-779439EA3B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9775" xr:uid="{159FD2A5-7A3A-41E5-989F-B41B07AF71E5}"/>
    <cellStyle name="40% - Accent4 2 3 2 2 3" xfId="15564" xr:uid="{5138AC3F-A944-4C1C-9D3B-21C49487D708}"/>
    <cellStyle name="40% - Accent4 2 3 2 2 4" xfId="24814" xr:uid="{5B7A1774-B245-4F00-9FE7-8A1F59D1AE93}"/>
    <cellStyle name="40% - Accent4 2 3 2 2 5" xfId="11353" xr:uid="{B0A8331F-6396-4502-AE1A-8806D91FC007}"/>
    <cellStyle name="40% - Accent4 2 3 2 3" xfId="4997" xr:uid="{00000000-0005-0000-0000-0000CF050000}"/>
    <cellStyle name="40% - Accent4 2 3 2 3 2" xfId="17630" xr:uid="{7B450558-1F67-4966-9916-F0BD6DBA7C72}"/>
    <cellStyle name="40% - Accent4 2 3 2 4" xfId="21840" xr:uid="{E7A32D3D-7F19-4DFD-931C-2105247F48C1}"/>
    <cellStyle name="40% - Accent4 2 3 2 5" xfId="13419" xr:uid="{24A22354-DB9D-458B-B508-50A40EB3F76F}"/>
    <cellStyle name="40% - Accent4 2 3 2 6" xfId="22669" xr:uid="{F77D80D7-3092-4E5B-B04A-175B1F72A7AB}"/>
    <cellStyle name="40% - Accent4 2 3 2 7" xfId="9208" xr:uid="{BF1AE17C-A81D-4049-AE71-0523FC1AD39E}"/>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20188" xr:uid="{44133FC8-3379-4211-942A-E49C52BEE362}"/>
    <cellStyle name="40% - Accent4 2 3 3 2 3" xfId="15977" xr:uid="{BB1E4A55-1BF8-4155-B643-F03729A91865}"/>
    <cellStyle name="40% - Accent4 2 3 3 2 4" xfId="25227" xr:uid="{FBBA5B69-BE58-415F-9D3A-8CA80E88A146}"/>
    <cellStyle name="40% - Accent4 2 3 3 2 5" xfId="11766" xr:uid="{76001E9E-3BD0-410D-ABCD-9A39069D645C}"/>
    <cellStyle name="40% - Accent4 2 3 3 3" xfId="5410" xr:uid="{00000000-0005-0000-0000-0000D3050000}"/>
    <cellStyle name="40% - Accent4 2 3 3 3 2" xfId="18043" xr:uid="{D1C47047-9D2D-4EC0-B3D7-C4B33D549272}"/>
    <cellStyle name="40% - Accent4 2 3 3 4" xfId="13832" xr:uid="{0E8C1389-AA57-4AB1-82CD-B9C1F9829308}"/>
    <cellStyle name="40% - Accent4 2 3 3 5" xfId="23082" xr:uid="{26A7847E-F3D1-4005-BB0C-9BA37C05610F}"/>
    <cellStyle name="40% - Accent4 2 3 3 6" xfId="9621" xr:uid="{B7752FB0-AFCC-4C03-BE6B-C7FB3052F313}"/>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20601" xr:uid="{F12D091B-FF04-410B-BE77-F5A74A6E4269}"/>
    <cellStyle name="40% - Accent4 2 3 4 2 3" xfId="16390" xr:uid="{C8769CF1-B3C3-4178-8911-C6524773AD20}"/>
    <cellStyle name="40% - Accent4 2 3 4 2 4" xfId="25640" xr:uid="{AAE00B5E-AE63-4DD2-97DE-C53197141002}"/>
    <cellStyle name="40% - Accent4 2 3 4 2 5" xfId="12179" xr:uid="{23C5D183-5AB0-4EF1-8CFC-783F09FFF792}"/>
    <cellStyle name="40% - Accent4 2 3 4 3" xfId="5823" xr:uid="{00000000-0005-0000-0000-0000D7050000}"/>
    <cellStyle name="40% - Accent4 2 3 4 3 2" xfId="18456" xr:uid="{493A59D2-C555-43D5-A6EC-CC52D5D7D39F}"/>
    <cellStyle name="40% - Accent4 2 3 4 4" xfId="14245" xr:uid="{920593AF-A30E-44FE-821C-447DBB63CEA0}"/>
    <cellStyle name="40% - Accent4 2 3 4 5" xfId="23495" xr:uid="{F0E577E1-DB28-4438-B732-7BC2494D0DFA}"/>
    <cellStyle name="40% - Accent4 2 3 4 6" xfId="10034" xr:uid="{B4BDFD2A-F815-413B-86E7-FFB46929BB8D}"/>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21014" xr:uid="{493095FF-7710-4BB0-9574-1671A4240F7D}"/>
    <cellStyle name="40% - Accent4 2 3 5 2 3" xfId="16803" xr:uid="{E4C3818F-0B4E-4C93-B017-A4EBDD645A70}"/>
    <cellStyle name="40% - Accent4 2 3 5 2 4" xfId="26053" xr:uid="{C6C0ED9D-CD4D-4C3C-A2CF-73CD7A08F6B2}"/>
    <cellStyle name="40% - Accent4 2 3 5 2 5" xfId="12592" xr:uid="{1CE22E59-0126-40C0-B0AB-34F37A4E593C}"/>
    <cellStyle name="40% - Accent4 2 3 5 3" xfId="6236" xr:uid="{00000000-0005-0000-0000-0000DB050000}"/>
    <cellStyle name="40% - Accent4 2 3 5 3 2" xfId="18869" xr:uid="{FECD6FBA-5052-4179-B38D-50D68006F72F}"/>
    <cellStyle name="40% - Accent4 2 3 5 4" xfId="14658" xr:uid="{1764C3A7-9A68-4E0B-9A30-5ACF5D18BB9A}"/>
    <cellStyle name="40% - Accent4 2 3 5 5" xfId="23908" xr:uid="{39DF8C6A-5C26-4DB2-9B6D-99F608BCABB6}"/>
    <cellStyle name="40% - Accent4 2 3 5 6" xfId="10447" xr:uid="{B458E1C0-1DCF-4D25-83F5-9D2341F281DF}"/>
    <cellStyle name="40% - Accent4 2 3 6" xfId="2341" xr:uid="{00000000-0005-0000-0000-0000DC050000}"/>
    <cellStyle name="40% - Accent4 2 3 6 2" xfId="6649" xr:uid="{00000000-0005-0000-0000-0000DD050000}"/>
    <cellStyle name="40% - Accent4 2 3 6 2 2" xfId="19282" xr:uid="{3898F27F-E661-4EE4-A156-8A0531F7E39D}"/>
    <cellStyle name="40% - Accent4 2 3 6 3" xfId="15071" xr:uid="{7FB22301-D692-45FD-8028-1CD2AE8D0610}"/>
    <cellStyle name="40% - Accent4 2 3 6 4" xfId="24321" xr:uid="{1C8B3B08-6CB4-4044-B719-282E631EC5C8}"/>
    <cellStyle name="40% - Accent4 2 3 6 5" xfId="10860" xr:uid="{DCDDBE52-CD2F-41F1-B920-12B1BEC3218E}"/>
    <cellStyle name="40% - Accent4 2 3 7" xfId="4583" xr:uid="{00000000-0005-0000-0000-0000DE050000}"/>
    <cellStyle name="40% - Accent4 2 3 7 2" xfId="17216" xr:uid="{524F45A8-6D0B-4D30-B8D2-2F827B90C38D}"/>
    <cellStyle name="40% - Accent4 2 3 8" xfId="21427" xr:uid="{67BE48CE-6C92-4F16-847B-7CC1518332A8}"/>
    <cellStyle name="40% - Accent4 2 3 9" xfId="13005" xr:uid="{3D9D84DE-8E8D-4752-8FA2-854A225B5DAF}"/>
    <cellStyle name="40% - Accent4 2 4" xfId="644" xr:uid="{00000000-0005-0000-0000-0000DF050000}"/>
    <cellStyle name="40% - Accent4 2 4 2" xfId="2915" xr:uid="{00000000-0005-0000-0000-0000E0050000}"/>
    <cellStyle name="40% - Accent4 2 4 2 2" xfId="7139" xr:uid="{00000000-0005-0000-0000-0000E1050000}"/>
    <cellStyle name="40% - Accent4 2 4 2 2 2" xfId="19772" xr:uid="{63D0B8B9-FDD8-47EE-AEE3-C249E078E77A}"/>
    <cellStyle name="40% - Accent4 2 4 2 3" xfId="15561" xr:uid="{6E5C4563-B71E-4FFF-824E-4F8349E463C0}"/>
    <cellStyle name="40% - Accent4 2 4 2 4" xfId="24811" xr:uid="{5B8E5905-773B-469A-8E0F-B6DA6E6512CA}"/>
    <cellStyle name="40% - Accent4 2 4 2 5" xfId="11350" xr:uid="{7C317EFB-A09C-436D-AB2A-EB029A3B357F}"/>
    <cellStyle name="40% - Accent4 2 4 3" xfId="4994" xr:uid="{00000000-0005-0000-0000-0000E2050000}"/>
    <cellStyle name="40% - Accent4 2 4 3 2" xfId="17627" xr:uid="{E6D2D4D2-6961-4BC2-90A0-8956FF065E69}"/>
    <cellStyle name="40% - Accent4 2 4 4" xfId="21837" xr:uid="{6091A8FD-9750-4C88-8FD5-92B036AABBA0}"/>
    <cellStyle name="40% - Accent4 2 4 5" xfId="13416" xr:uid="{1DB0F7F7-68B2-448D-B195-9DF5621134D5}"/>
    <cellStyle name="40% - Accent4 2 4 6" xfId="22666" xr:uid="{5EE348BA-2725-44AB-9788-CF1F3C6225CC}"/>
    <cellStyle name="40% - Accent4 2 4 7" xfId="9205" xr:uid="{A3521946-40DC-4D8B-B5A8-01C5EB087A33}"/>
    <cellStyle name="40% - Accent4 2 5" xfId="1097" xr:uid="{00000000-0005-0000-0000-0000E3050000}"/>
    <cellStyle name="40% - Accent4 2 5 2" xfId="3328" xr:uid="{00000000-0005-0000-0000-0000E4050000}"/>
    <cellStyle name="40% - Accent4 2 5 2 2" xfId="7552" xr:uid="{00000000-0005-0000-0000-0000E5050000}"/>
    <cellStyle name="40% - Accent4 2 5 2 2 2" xfId="20185" xr:uid="{06B70CD6-C8F4-4EA4-BC48-CA2E8DAF9E00}"/>
    <cellStyle name="40% - Accent4 2 5 2 3" xfId="15974" xr:uid="{990385A2-7FEE-4BAE-B940-C2B92E35C144}"/>
    <cellStyle name="40% - Accent4 2 5 2 4" xfId="25224" xr:uid="{230BAA90-8C8B-4383-A08F-7BE2B13336CB}"/>
    <cellStyle name="40% - Accent4 2 5 2 5" xfId="11763" xr:uid="{B985BDDA-9A40-4E7C-A129-CA6A9E9C8801}"/>
    <cellStyle name="40% - Accent4 2 5 3" xfId="5407" xr:uid="{00000000-0005-0000-0000-0000E6050000}"/>
    <cellStyle name="40% - Accent4 2 5 3 2" xfId="18040" xr:uid="{243109E8-F5A2-4C82-B336-1EF61422E692}"/>
    <cellStyle name="40% - Accent4 2 5 4" xfId="13829" xr:uid="{16C33324-ACCE-4BCD-9297-6F7EA88E3D10}"/>
    <cellStyle name="40% - Accent4 2 5 5" xfId="23079" xr:uid="{577EF369-43B0-4157-989A-E842DF9591E7}"/>
    <cellStyle name="40% - Accent4 2 5 6" xfId="9618" xr:uid="{25CBE2C1-C007-4272-9FCD-83F97DF22686}"/>
    <cellStyle name="40% - Accent4 2 6" xfId="1511" xr:uid="{00000000-0005-0000-0000-0000E7050000}"/>
    <cellStyle name="40% - Accent4 2 6 2" xfId="3741" xr:uid="{00000000-0005-0000-0000-0000E8050000}"/>
    <cellStyle name="40% - Accent4 2 6 2 2" xfId="7965" xr:uid="{00000000-0005-0000-0000-0000E9050000}"/>
    <cellStyle name="40% - Accent4 2 6 2 2 2" xfId="20598" xr:uid="{20E41CBD-F486-43D3-917E-9F41743BD234}"/>
    <cellStyle name="40% - Accent4 2 6 2 3" xfId="16387" xr:uid="{02943ED5-2B6D-43B7-8D6E-6B4AE5CD51B6}"/>
    <cellStyle name="40% - Accent4 2 6 2 4" xfId="25637" xr:uid="{28F366D2-7641-4E17-B3F0-9383BE4824AA}"/>
    <cellStyle name="40% - Accent4 2 6 2 5" xfId="12176" xr:uid="{1F0293EC-F9CC-48F5-839D-B4DBF32F43C6}"/>
    <cellStyle name="40% - Accent4 2 6 3" xfId="5820" xr:uid="{00000000-0005-0000-0000-0000EA050000}"/>
    <cellStyle name="40% - Accent4 2 6 3 2" xfId="18453" xr:uid="{71673265-0D5C-4CED-8961-275330092C88}"/>
    <cellStyle name="40% - Accent4 2 6 4" xfId="14242" xr:uid="{1020D2CC-038A-43DE-B3F1-1449A495BC4F}"/>
    <cellStyle name="40% - Accent4 2 6 5" xfId="23492" xr:uid="{CC2A5BE9-8B8D-42C4-A0AF-1F5048963295}"/>
    <cellStyle name="40% - Accent4 2 6 6" xfId="10031" xr:uid="{287E287D-0E58-4DC0-B146-E676B4F6547A}"/>
    <cellStyle name="40% - Accent4 2 7" xfId="1925" xr:uid="{00000000-0005-0000-0000-0000EB050000}"/>
    <cellStyle name="40% - Accent4 2 7 2" xfId="4154" xr:uid="{00000000-0005-0000-0000-0000EC050000}"/>
    <cellStyle name="40% - Accent4 2 7 2 2" xfId="8378" xr:uid="{00000000-0005-0000-0000-0000ED050000}"/>
    <cellStyle name="40% - Accent4 2 7 2 2 2" xfId="21011" xr:uid="{732CA949-00DD-41CD-8A32-99D6691BD864}"/>
    <cellStyle name="40% - Accent4 2 7 2 3" xfId="16800" xr:uid="{DB84335C-C867-49A5-B5C2-4A4C040D6BFC}"/>
    <cellStyle name="40% - Accent4 2 7 2 4" xfId="26050" xr:uid="{B0E466A5-A2B2-4F56-AB47-03DC62F5FAFA}"/>
    <cellStyle name="40% - Accent4 2 7 2 5" xfId="12589" xr:uid="{8C441366-9B40-474A-9099-D072466E97E2}"/>
    <cellStyle name="40% - Accent4 2 7 3" xfId="6233" xr:uid="{00000000-0005-0000-0000-0000EE050000}"/>
    <cellStyle name="40% - Accent4 2 7 3 2" xfId="18866" xr:uid="{90704AC0-EDF9-4937-8575-FE783CFE879F}"/>
    <cellStyle name="40% - Accent4 2 7 4" xfId="14655" xr:uid="{878E58FB-CF6C-4402-8583-86491AC1DBC7}"/>
    <cellStyle name="40% - Accent4 2 7 5" xfId="23905" xr:uid="{82CCAAA1-16CE-475C-A37B-C0A1A1DB4DCD}"/>
    <cellStyle name="40% - Accent4 2 7 6" xfId="10444" xr:uid="{DA0DBD80-A91B-43F6-A35E-CCA5E312CC48}"/>
    <cellStyle name="40% - Accent4 2 8" xfId="2338" xr:uid="{00000000-0005-0000-0000-0000EF050000}"/>
    <cellStyle name="40% - Accent4 2 8 2" xfId="6646" xr:uid="{00000000-0005-0000-0000-0000F0050000}"/>
    <cellStyle name="40% - Accent4 2 8 2 2" xfId="19279" xr:uid="{359EED89-5670-4D88-85E6-D1CA074CE85A}"/>
    <cellStyle name="40% - Accent4 2 8 3" xfId="15068" xr:uid="{3C90F899-040E-4206-B564-05708C031223}"/>
    <cellStyle name="40% - Accent4 2 8 4" xfId="24318" xr:uid="{FB64DADB-2532-41AE-951F-1381D72CE944}"/>
    <cellStyle name="40% - Accent4 2 8 5" xfId="10857" xr:uid="{690CB2B3-C7DA-49DB-97D4-EAB9817421F2}"/>
    <cellStyle name="40% - Accent4 2 9" xfId="4580" xr:uid="{00000000-0005-0000-0000-0000F1050000}"/>
    <cellStyle name="40% - Accent4 2 9 2" xfId="17213" xr:uid="{70D8B799-4E86-477A-811E-029D00916850}"/>
    <cellStyle name="40% - Accent4 3" xfId="78" xr:uid="{00000000-0005-0000-0000-0000F2050000}"/>
    <cellStyle name="40% - Accent4 3 10" xfId="13006" xr:uid="{7EFE34F5-B20B-4244-8112-914AABF2D384}"/>
    <cellStyle name="40% - Accent4 3 11" xfId="22256" xr:uid="{DB3C8B66-DFF5-44A5-9092-ED61B7D68047}"/>
    <cellStyle name="40% - Accent4 3 12" xfId="8795" xr:uid="{55804CA4-4C15-4978-A3CB-A659F7E15FB7}"/>
    <cellStyle name="40% - Accent4 3 2" xfId="79" xr:uid="{00000000-0005-0000-0000-0000F3050000}"/>
    <cellStyle name="40% - Accent4 3 2 10" xfId="22257" xr:uid="{6F68F86E-2DE5-4455-8B03-B85FF8C7C3CA}"/>
    <cellStyle name="40% - Accent4 3 2 11" xfId="8796" xr:uid="{F37ECDB2-6C81-4810-BF23-9B68FF8C941A}"/>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9777" xr:uid="{D892A4D2-050B-4162-899E-F49B59F082C3}"/>
    <cellStyle name="40% - Accent4 3 2 2 2 3" xfId="15566" xr:uid="{51EE7392-8803-424A-A923-7A969662DDC8}"/>
    <cellStyle name="40% - Accent4 3 2 2 2 4" xfId="24816" xr:uid="{6A1F2D23-9A3A-473C-A51D-6301433418C8}"/>
    <cellStyle name="40% - Accent4 3 2 2 2 5" xfId="11355" xr:uid="{7F8EE7E8-7D26-4D0B-993F-C6E2E5DD14ED}"/>
    <cellStyle name="40% - Accent4 3 2 2 3" xfId="4999" xr:uid="{00000000-0005-0000-0000-0000F7050000}"/>
    <cellStyle name="40% - Accent4 3 2 2 3 2" xfId="17632" xr:uid="{88A48541-493A-4482-AD88-C5677F526C5A}"/>
    <cellStyle name="40% - Accent4 3 2 2 4" xfId="21842" xr:uid="{56753381-AA7D-4E8E-84AA-695EC14F5116}"/>
    <cellStyle name="40% - Accent4 3 2 2 5" xfId="13421" xr:uid="{9ECBCFCC-9495-4DE0-A0E0-FBD9059BD6B6}"/>
    <cellStyle name="40% - Accent4 3 2 2 6" xfId="22671" xr:uid="{5B42891F-5443-4B56-A98A-AA8160FF22F7}"/>
    <cellStyle name="40% - Accent4 3 2 2 7" xfId="9210" xr:uid="{7BADFF4C-2218-4113-99DB-3C042B0191F5}"/>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20190" xr:uid="{26C9AABA-7892-4408-8CA6-3A63B953256A}"/>
    <cellStyle name="40% - Accent4 3 2 3 2 3" xfId="15979" xr:uid="{4FC490A8-3CBD-4946-B858-A4B2440DA190}"/>
    <cellStyle name="40% - Accent4 3 2 3 2 4" xfId="25229" xr:uid="{4EFC234B-76F5-4067-BFAE-A79E6CACC5C2}"/>
    <cellStyle name="40% - Accent4 3 2 3 2 5" xfId="11768" xr:uid="{6CAD74FF-185D-483D-9128-2154A1D7BB16}"/>
    <cellStyle name="40% - Accent4 3 2 3 3" xfId="5412" xr:uid="{00000000-0005-0000-0000-0000FB050000}"/>
    <cellStyle name="40% - Accent4 3 2 3 3 2" xfId="18045" xr:uid="{73773397-FCA2-4B4F-9D97-F04A355D5F98}"/>
    <cellStyle name="40% - Accent4 3 2 3 4" xfId="13834" xr:uid="{2461A957-7B3A-45EB-B316-0E135AD6514F}"/>
    <cellStyle name="40% - Accent4 3 2 3 5" xfId="23084" xr:uid="{42F772C6-C7DF-4EE9-A506-662A374CC2ED}"/>
    <cellStyle name="40% - Accent4 3 2 3 6" xfId="9623" xr:uid="{723CB21B-CD4F-4CBF-A5DD-AEEBE8E6893A}"/>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20603" xr:uid="{313516EA-8259-4082-B684-85E2DE0A48B2}"/>
    <cellStyle name="40% - Accent4 3 2 4 2 3" xfId="16392" xr:uid="{9817748D-2D0F-4A09-A3BE-3196626A00B0}"/>
    <cellStyle name="40% - Accent4 3 2 4 2 4" xfId="25642" xr:uid="{00F53758-7DA7-4C0E-AA76-2F7CF5763071}"/>
    <cellStyle name="40% - Accent4 3 2 4 2 5" xfId="12181" xr:uid="{4EC0435A-662A-43AB-9BE6-FA1610CE35EB}"/>
    <cellStyle name="40% - Accent4 3 2 4 3" xfId="5825" xr:uid="{00000000-0005-0000-0000-0000FF050000}"/>
    <cellStyle name="40% - Accent4 3 2 4 3 2" xfId="18458" xr:uid="{1DCEA296-FDC2-49FD-9BF3-7ADF2B3CD9BE}"/>
    <cellStyle name="40% - Accent4 3 2 4 4" xfId="14247" xr:uid="{FFFE7036-3800-4765-A8FF-43E6FE20A1B0}"/>
    <cellStyle name="40% - Accent4 3 2 4 5" xfId="23497" xr:uid="{DF9F41FF-F944-45B2-9CEA-599225AAB055}"/>
    <cellStyle name="40% - Accent4 3 2 4 6" xfId="10036" xr:uid="{2F9F4E5A-F48B-4568-9981-E85906C09CD2}"/>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21016" xr:uid="{78BF7C60-565D-4520-B6A5-9F733509D84A}"/>
    <cellStyle name="40% - Accent4 3 2 5 2 3" xfId="16805" xr:uid="{84ACF789-009C-4B53-998A-883431FF4C8E}"/>
    <cellStyle name="40% - Accent4 3 2 5 2 4" xfId="26055" xr:uid="{BA6380E7-BF73-4B68-A3BC-38C01359225D}"/>
    <cellStyle name="40% - Accent4 3 2 5 2 5" xfId="12594" xr:uid="{6CD9E41E-605B-40D1-A45D-0E3992F331E4}"/>
    <cellStyle name="40% - Accent4 3 2 5 3" xfId="6238" xr:uid="{00000000-0005-0000-0000-000003060000}"/>
    <cellStyle name="40% - Accent4 3 2 5 3 2" xfId="18871" xr:uid="{630B1E2D-79EB-4E5A-84C4-D939B4850FC6}"/>
    <cellStyle name="40% - Accent4 3 2 5 4" xfId="14660" xr:uid="{C416DC68-346C-4EC4-A930-9AA3907B48B2}"/>
    <cellStyle name="40% - Accent4 3 2 5 5" xfId="23910" xr:uid="{2AC7F697-CCFC-4CE8-B9D9-A5D310D17D2D}"/>
    <cellStyle name="40% - Accent4 3 2 5 6" xfId="10449" xr:uid="{6BB09530-5005-4359-AED2-1A17C02404A8}"/>
    <cellStyle name="40% - Accent4 3 2 6" xfId="2343" xr:uid="{00000000-0005-0000-0000-000004060000}"/>
    <cellStyle name="40% - Accent4 3 2 6 2" xfId="6651" xr:uid="{00000000-0005-0000-0000-000005060000}"/>
    <cellStyle name="40% - Accent4 3 2 6 2 2" xfId="19284" xr:uid="{34765CA8-1624-4274-8CE7-627386E61DDA}"/>
    <cellStyle name="40% - Accent4 3 2 6 3" xfId="15073" xr:uid="{3D765E42-9F65-4F6F-94E4-CE784110DBF6}"/>
    <cellStyle name="40% - Accent4 3 2 6 4" xfId="24323" xr:uid="{1567DE36-E89F-4CFA-B19B-432934DCC59D}"/>
    <cellStyle name="40% - Accent4 3 2 6 5" xfId="10862" xr:uid="{3F2BF9DB-7070-4074-A0C9-5B258C96E30D}"/>
    <cellStyle name="40% - Accent4 3 2 7" xfId="4585" xr:uid="{00000000-0005-0000-0000-000006060000}"/>
    <cellStyle name="40% - Accent4 3 2 7 2" xfId="17218" xr:uid="{E15B03EC-D2B1-4E38-92CF-33F20862A477}"/>
    <cellStyle name="40% - Accent4 3 2 8" xfId="21429" xr:uid="{6EE27D95-0DD4-4273-8A71-7C300FB766CB}"/>
    <cellStyle name="40% - Accent4 3 2 9" xfId="13007" xr:uid="{11D7F0A4-38CD-4436-81A2-B584C5E2955E}"/>
    <cellStyle name="40% - Accent4 3 3" xfId="648" xr:uid="{00000000-0005-0000-0000-000007060000}"/>
    <cellStyle name="40% - Accent4 3 3 2" xfId="2919" xr:uid="{00000000-0005-0000-0000-000008060000}"/>
    <cellStyle name="40% - Accent4 3 3 2 2" xfId="7143" xr:uid="{00000000-0005-0000-0000-000009060000}"/>
    <cellStyle name="40% - Accent4 3 3 2 2 2" xfId="19776" xr:uid="{DD3BDCCC-BE60-4FC7-A9A9-3A022985AEDA}"/>
    <cellStyle name="40% - Accent4 3 3 2 3" xfId="15565" xr:uid="{AACFD3E5-A25C-4A20-998D-2660F732BD2C}"/>
    <cellStyle name="40% - Accent4 3 3 2 4" xfId="24815" xr:uid="{90B1D866-8A9E-431B-906F-9233A84BE8FA}"/>
    <cellStyle name="40% - Accent4 3 3 2 5" xfId="11354" xr:uid="{4A4ED04F-9DEC-4050-A73D-5A1A0A86C07D}"/>
    <cellStyle name="40% - Accent4 3 3 3" xfId="4998" xr:uid="{00000000-0005-0000-0000-00000A060000}"/>
    <cellStyle name="40% - Accent4 3 3 3 2" xfId="17631" xr:uid="{D999EE4D-0A7D-462F-BC08-AF1E5238A02A}"/>
    <cellStyle name="40% - Accent4 3 3 4" xfId="21841" xr:uid="{E776835D-F159-4929-B14A-7BD2C8548514}"/>
    <cellStyle name="40% - Accent4 3 3 5" xfId="13420" xr:uid="{B84993DD-CB8A-475B-80F5-FEF27DFCBD4F}"/>
    <cellStyle name="40% - Accent4 3 3 6" xfId="22670" xr:uid="{2A9A5E99-6F7A-49E1-827C-A1D5EBF0E086}"/>
    <cellStyle name="40% - Accent4 3 3 7" xfId="9209" xr:uid="{F59BCF41-48F0-4BD5-8DE2-DC230991CE4A}"/>
    <cellStyle name="40% - Accent4 3 4" xfId="1101" xr:uid="{00000000-0005-0000-0000-00000B060000}"/>
    <cellStyle name="40% - Accent4 3 4 2" xfId="3332" xr:uid="{00000000-0005-0000-0000-00000C060000}"/>
    <cellStyle name="40% - Accent4 3 4 2 2" xfId="7556" xr:uid="{00000000-0005-0000-0000-00000D060000}"/>
    <cellStyle name="40% - Accent4 3 4 2 2 2" xfId="20189" xr:uid="{C7787D16-06FD-4EDE-A169-BE7703776BDA}"/>
    <cellStyle name="40% - Accent4 3 4 2 3" xfId="15978" xr:uid="{5CDA9322-E2DB-4EDE-9061-2C4FED1BD490}"/>
    <cellStyle name="40% - Accent4 3 4 2 4" xfId="25228" xr:uid="{07F1845A-292A-43DD-A2BA-6A6546BBEFCB}"/>
    <cellStyle name="40% - Accent4 3 4 2 5" xfId="11767" xr:uid="{120EC03A-B519-4304-B34A-CBBA9384C9D3}"/>
    <cellStyle name="40% - Accent4 3 4 3" xfId="5411" xr:uid="{00000000-0005-0000-0000-00000E060000}"/>
    <cellStyle name="40% - Accent4 3 4 3 2" xfId="18044" xr:uid="{1F0684FF-F2CB-4192-8FC4-C562A5FEDEB4}"/>
    <cellStyle name="40% - Accent4 3 4 4" xfId="13833" xr:uid="{B7462C28-9724-496A-8DDC-35B3E8D83B84}"/>
    <cellStyle name="40% - Accent4 3 4 5" xfId="23083" xr:uid="{1EBB22B6-B54E-41DC-8C5C-EE235A75E172}"/>
    <cellStyle name="40% - Accent4 3 4 6" xfId="9622" xr:uid="{344ECFC8-C922-4FEA-A6D2-F731292B2E47}"/>
    <cellStyle name="40% - Accent4 3 5" xfId="1515" xr:uid="{00000000-0005-0000-0000-00000F060000}"/>
    <cellStyle name="40% - Accent4 3 5 2" xfId="3745" xr:uid="{00000000-0005-0000-0000-000010060000}"/>
    <cellStyle name="40% - Accent4 3 5 2 2" xfId="7969" xr:uid="{00000000-0005-0000-0000-000011060000}"/>
    <cellStyle name="40% - Accent4 3 5 2 2 2" xfId="20602" xr:uid="{F0469065-7BCE-41B6-82AB-8C500EC11F89}"/>
    <cellStyle name="40% - Accent4 3 5 2 3" xfId="16391" xr:uid="{DB005E88-6AC1-46BA-8E7E-2497355DBD11}"/>
    <cellStyle name="40% - Accent4 3 5 2 4" xfId="25641" xr:uid="{1EFB2467-70C3-4FAB-B70D-05C5E3A66BC0}"/>
    <cellStyle name="40% - Accent4 3 5 2 5" xfId="12180" xr:uid="{D8BF54E3-86BB-4ADF-986E-8A972C73D608}"/>
    <cellStyle name="40% - Accent4 3 5 3" xfId="5824" xr:uid="{00000000-0005-0000-0000-000012060000}"/>
    <cellStyle name="40% - Accent4 3 5 3 2" xfId="18457" xr:uid="{C5FDEE64-A09D-4C32-BE60-CF2B4C5DC03B}"/>
    <cellStyle name="40% - Accent4 3 5 4" xfId="14246" xr:uid="{904C069C-1791-48A4-9365-AE3D7C7BEB9C}"/>
    <cellStyle name="40% - Accent4 3 5 5" xfId="23496" xr:uid="{6107F5BE-7B30-4AA6-BB71-0268540CE2FB}"/>
    <cellStyle name="40% - Accent4 3 5 6" xfId="10035" xr:uid="{8738D4B0-732A-42CD-9010-7249D832F1ED}"/>
    <cellStyle name="40% - Accent4 3 6" xfId="1929" xr:uid="{00000000-0005-0000-0000-000013060000}"/>
    <cellStyle name="40% - Accent4 3 6 2" xfId="4158" xr:uid="{00000000-0005-0000-0000-000014060000}"/>
    <cellStyle name="40% - Accent4 3 6 2 2" xfId="8382" xr:uid="{00000000-0005-0000-0000-000015060000}"/>
    <cellStyle name="40% - Accent4 3 6 2 2 2" xfId="21015" xr:uid="{DFB47319-FE91-4018-8629-D6B24E26DF29}"/>
    <cellStyle name="40% - Accent4 3 6 2 3" xfId="16804" xr:uid="{3ACE185B-4399-4598-BF13-687DFC07B14A}"/>
    <cellStyle name="40% - Accent4 3 6 2 4" xfId="26054" xr:uid="{8F6EC881-B078-4C83-B461-65E5BB2FC45D}"/>
    <cellStyle name="40% - Accent4 3 6 2 5" xfId="12593" xr:uid="{5364DE01-2CE0-43AC-9E76-80DC0DBAF560}"/>
    <cellStyle name="40% - Accent4 3 6 3" xfId="6237" xr:uid="{00000000-0005-0000-0000-000016060000}"/>
    <cellStyle name="40% - Accent4 3 6 3 2" xfId="18870" xr:uid="{4E132E84-0D45-4978-A79A-B023A4695E7C}"/>
    <cellStyle name="40% - Accent4 3 6 4" xfId="14659" xr:uid="{38B57EC3-C905-46D6-ABB9-EA3A92ED2515}"/>
    <cellStyle name="40% - Accent4 3 6 5" xfId="23909" xr:uid="{8DF58D4C-9D3C-4A14-915B-523FEDCCE1C0}"/>
    <cellStyle name="40% - Accent4 3 6 6" xfId="10448" xr:uid="{DDB49167-982A-478E-8CD2-F238C2A04EF4}"/>
    <cellStyle name="40% - Accent4 3 7" xfId="2342" xr:uid="{00000000-0005-0000-0000-000017060000}"/>
    <cellStyle name="40% - Accent4 3 7 2" xfId="6650" xr:uid="{00000000-0005-0000-0000-000018060000}"/>
    <cellStyle name="40% - Accent4 3 7 2 2" xfId="19283" xr:uid="{A3EAA8AA-5122-450C-9047-5F41BE5721EF}"/>
    <cellStyle name="40% - Accent4 3 7 3" xfId="15072" xr:uid="{540C355D-DA0A-47F5-9D2E-5C032D870008}"/>
    <cellStyle name="40% - Accent4 3 7 4" xfId="24322" xr:uid="{6969979D-A994-42B4-B9C0-DFC1BF4A26E8}"/>
    <cellStyle name="40% - Accent4 3 7 5" xfId="10861" xr:uid="{37FDEBE5-0E51-4F86-AC99-B69536A65993}"/>
    <cellStyle name="40% - Accent4 3 8" xfId="4584" xr:uid="{00000000-0005-0000-0000-000019060000}"/>
    <cellStyle name="40% - Accent4 3 8 2" xfId="17217" xr:uid="{F2B18A10-08C3-472B-89F2-2D34B114994C}"/>
    <cellStyle name="40% - Accent4 3 9" xfId="21428" xr:uid="{5C319BD2-F3B7-42DD-9892-86A12C8CCE6F}"/>
    <cellStyle name="40% - Accent4 4" xfId="80" xr:uid="{00000000-0005-0000-0000-00001A060000}"/>
    <cellStyle name="40% - Accent4 4 10" xfId="22258" xr:uid="{532CE652-5C92-4210-A3AF-BFA17BE30113}"/>
    <cellStyle name="40% - Accent4 4 11" xfId="8797" xr:uid="{E89FBC77-766C-4FED-9BEE-F5DD95F27004}"/>
    <cellStyle name="40% - Accent4 4 2" xfId="650" xr:uid="{00000000-0005-0000-0000-00001B060000}"/>
    <cellStyle name="40% - Accent4 4 2 2" xfId="2921" xr:uid="{00000000-0005-0000-0000-00001C060000}"/>
    <cellStyle name="40% - Accent4 4 2 2 2" xfId="7145" xr:uid="{00000000-0005-0000-0000-00001D060000}"/>
    <cellStyle name="40% - Accent4 4 2 2 2 2" xfId="19778" xr:uid="{0D950241-500E-4201-93B6-06728927BB70}"/>
    <cellStyle name="40% - Accent4 4 2 2 3" xfId="15567" xr:uid="{664F3123-4EFC-4E90-9854-7DFC7BC270AB}"/>
    <cellStyle name="40% - Accent4 4 2 2 4" xfId="24817" xr:uid="{3597AB75-4691-4B6D-9929-87930C21C5BB}"/>
    <cellStyle name="40% - Accent4 4 2 2 5" xfId="11356" xr:uid="{2490A30C-A37E-4657-9819-03C84767D65A}"/>
    <cellStyle name="40% - Accent4 4 2 3" xfId="5000" xr:uid="{00000000-0005-0000-0000-00001E060000}"/>
    <cellStyle name="40% - Accent4 4 2 3 2" xfId="17633" xr:uid="{924408E6-F204-46CA-91EB-D7AB21CA35D4}"/>
    <cellStyle name="40% - Accent4 4 2 4" xfId="21843" xr:uid="{7F6637E0-4474-4655-87E3-22A0AE98F433}"/>
    <cellStyle name="40% - Accent4 4 2 5" xfId="13422" xr:uid="{E8F6C01C-DDFD-4ECE-94ED-EBE501E1C007}"/>
    <cellStyle name="40% - Accent4 4 2 6" xfId="22672" xr:uid="{6B2DFF0B-9E1A-4EC0-B47F-6F92BAFBC1BE}"/>
    <cellStyle name="40% - Accent4 4 2 7" xfId="9211" xr:uid="{C21E89A1-16E8-4582-9460-93F6E4A0BE9C}"/>
    <cellStyle name="40% - Accent4 4 3" xfId="1103" xr:uid="{00000000-0005-0000-0000-00001F060000}"/>
    <cellStyle name="40% - Accent4 4 3 2" xfId="3334" xr:uid="{00000000-0005-0000-0000-000020060000}"/>
    <cellStyle name="40% - Accent4 4 3 2 2" xfId="7558" xr:uid="{00000000-0005-0000-0000-000021060000}"/>
    <cellStyle name="40% - Accent4 4 3 2 2 2" xfId="20191" xr:uid="{65F86636-B9CB-4980-8BA5-24C7CFDFB88B}"/>
    <cellStyle name="40% - Accent4 4 3 2 3" xfId="15980" xr:uid="{75020BFF-A557-4DDB-A65B-453EBA5025C3}"/>
    <cellStyle name="40% - Accent4 4 3 2 4" xfId="25230" xr:uid="{FF95618B-C7D8-47DC-A289-4D886E59F772}"/>
    <cellStyle name="40% - Accent4 4 3 2 5" xfId="11769" xr:uid="{AE810E73-26B7-45C1-85FF-5ED43C7D8367}"/>
    <cellStyle name="40% - Accent4 4 3 3" xfId="5413" xr:uid="{00000000-0005-0000-0000-000022060000}"/>
    <cellStyle name="40% - Accent4 4 3 3 2" xfId="18046" xr:uid="{8D261B0E-ED27-4AB7-BFFC-885A47921783}"/>
    <cellStyle name="40% - Accent4 4 3 4" xfId="13835" xr:uid="{370A0074-B6A7-4058-9D64-7B483DD58643}"/>
    <cellStyle name="40% - Accent4 4 3 5" xfId="23085" xr:uid="{8E8DEB42-FCED-4F6B-A55C-423754FB4EDB}"/>
    <cellStyle name="40% - Accent4 4 3 6" xfId="9624" xr:uid="{16297725-BA48-4A82-B24E-6D282B059A7E}"/>
    <cellStyle name="40% - Accent4 4 4" xfId="1517" xr:uid="{00000000-0005-0000-0000-000023060000}"/>
    <cellStyle name="40% - Accent4 4 4 2" xfId="3747" xr:uid="{00000000-0005-0000-0000-000024060000}"/>
    <cellStyle name="40% - Accent4 4 4 2 2" xfId="7971" xr:uid="{00000000-0005-0000-0000-000025060000}"/>
    <cellStyle name="40% - Accent4 4 4 2 2 2" xfId="20604" xr:uid="{12769C66-0ACB-4BE2-BFDF-2C546F49B5A4}"/>
    <cellStyle name="40% - Accent4 4 4 2 3" xfId="16393" xr:uid="{CB10C8D0-0E8B-488B-8F76-911DB2DCCF65}"/>
    <cellStyle name="40% - Accent4 4 4 2 4" xfId="25643" xr:uid="{3CF60B54-59B0-4A61-AE22-2003901502E6}"/>
    <cellStyle name="40% - Accent4 4 4 2 5" xfId="12182" xr:uid="{17B5FB20-5623-47E6-9A94-A585DF2C3B73}"/>
    <cellStyle name="40% - Accent4 4 4 3" xfId="5826" xr:uid="{00000000-0005-0000-0000-000026060000}"/>
    <cellStyle name="40% - Accent4 4 4 3 2" xfId="18459" xr:uid="{114F5CDC-58CC-46A4-9858-E1F0AAC27D30}"/>
    <cellStyle name="40% - Accent4 4 4 4" xfId="14248" xr:uid="{924AF147-D163-48D9-B860-5711B93D983C}"/>
    <cellStyle name="40% - Accent4 4 4 5" xfId="23498" xr:uid="{7E4AF6E5-EBD2-4A34-A938-B4673406A8E9}"/>
    <cellStyle name="40% - Accent4 4 4 6" xfId="10037" xr:uid="{F6FD5EBF-5131-40D6-A0B8-44A6223FBE0F}"/>
    <cellStyle name="40% - Accent4 4 5" xfId="1931" xr:uid="{00000000-0005-0000-0000-000027060000}"/>
    <cellStyle name="40% - Accent4 4 5 2" xfId="4160" xr:uid="{00000000-0005-0000-0000-000028060000}"/>
    <cellStyle name="40% - Accent4 4 5 2 2" xfId="8384" xr:uid="{00000000-0005-0000-0000-000029060000}"/>
    <cellStyle name="40% - Accent4 4 5 2 2 2" xfId="21017" xr:uid="{A3597BFB-3B88-47D5-843D-396340905372}"/>
    <cellStyle name="40% - Accent4 4 5 2 3" xfId="16806" xr:uid="{9F3A1401-AF96-491C-8382-2623D0F5D389}"/>
    <cellStyle name="40% - Accent4 4 5 2 4" xfId="26056" xr:uid="{DD4481C4-8B08-49F6-B483-54552520E5BE}"/>
    <cellStyle name="40% - Accent4 4 5 2 5" xfId="12595" xr:uid="{34FDCB0B-B4C6-4422-B569-C41EC34C3B02}"/>
    <cellStyle name="40% - Accent4 4 5 3" xfId="6239" xr:uid="{00000000-0005-0000-0000-00002A060000}"/>
    <cellStyle name="40% - Accent4 4 5 3 2" xfId="18872" xr:uid="{AC28D1BB-7982-4EE0-B73A-AD6B9F2F40D0}"/>
    <cellStyle name="40% - Accent4 4 5 4" xfId="14661" xr:uid="{8FE4136F-53AE-4560-8310-6681FBB05461}"/>
    <cellStyle name="40% - Accent4 4 5 5" xfId="23911" xr:uid="{01FB20C6-330E-4D59-B730-672E96722252}"/>
    <cellStyle name="40% - Accent4 4 5 6" xfId="10450" xr:uid="{78D26EBA-AD5B-4D41-9FEC-78729A7E4E92}"/>
    <cellStyle name="40% - Accent4 4 6" xfId="2344" xr:uid="{00000000-0005-0000-0000-00002B060000}"/>
    <cellStyle name="40% - Accent4 4 6 2" xfId="6652" xr:uid="{00000000-0005-0000-0000-00002C060000}"/>
    <cellStyle name="40% - Accent4 4 6 2 2" xfId="19285" xr:uid="{8AF184B6-99A6-422A-84B3-BB4EF9563578}"/>
    <cellStyle name="40% - Accent4 4 6 3" xfId="15074" xr:uid="{6290BB9E-87F5-4AE0-9B0B-ACBAD88ED3DE}"/>
    <cellStyle name="40% - Accent4 4 6 4" xfId="24324" xr:uid="{E0A9946D-2435-4D46-AD58-E65631C8E82D}"/>
    <cellStyle name="40% - Accent4 4 6 5" xfId="10863" xr:uid="{1D49700F-EB04-47D6-85EB-DED7B987E130}"/>
    <cellStyle name="40% - Accent4 4 7" xfId="4586" xr:uid="{00000000-0005-0000-0000-00002D060000}"/>
    <cellStyle name="40% - Accent4 4 7 2" xfId="17219" xr:uid="{D43BC11F-0993-4FE2-B37A-16BF90D0070B}"/>
    <cellStyle name="40% - Accent4 4 8" xfId="21430" xr:uid="{CF0A1573-7D9F-4951-BE7C-5E92BF452085}"/>
    <cellStyle name="40% - Accent4 4 9" xfId="13008" xr:uid="{080701D5-6186-42E1-A7E2-C36651E36AD6}"/>
    <cellStyle name="40% - Accent4 5" xfId="643" xr:uid="{00000000-0005-0000-0000-00002E060000}"/>
    <cellStyle name="40% - Accent4 5 2" xfId="2914" xr:uid="{00000000-0005-0000-0000-00002F060000}"/>
    <cellStyle name="40% - Accent4 5 2 2" xfId="7138" xr:uid="{00000000-0005-0000-0000-000030060000}"/>
    <cellStyle name="40% - Accent4 5 2 2 2" xfId="19771" xr:uid="{E871C716-569B-42A7-854A-E6F3A938E92D}"/>
    <cellStyle name="40% - Accent4 5 2 3" xfId="15560" xr:uid="{6DD7A5BA-174B-4EB2-83E8-05AAC316958B}"/>
    <cellStyle name="40% - Accent4 5 2 4" xfId="24810" xr:uid="{395B35EF-95C6-4FF8-8241-9A3F768BE56A}"/>
    <cellStyle name="40% - Accent4 5 2 5" xfId="11349" xr:uid="{2918456E-0FCF-4E3A-9CFA-BB3601C70E97}"/>
    <cellStyle name="40% - Accent4 5 3" xfId="4993" xr:uid="{00000000-0005-0000-0000-000031060000}"/>
    <cellStyle name="40% - Accent4 5 3 2" xfId="17626" xr:uid="{EF2F2062-E4DC-410D-A952-E748F9AB623B}"/>
    <cellStyle name="40% - Accent4 5 4" xfId="21836" xr:uid="{A844C1BF-8A0C-41AD-B88B-01EB52B78B2A}"/>
    <cellStyle name="40% - Accent4 5 5" xfId="13415" xr:uid="{AAE4FA36-2971-47E3-869F-15A17B1FEAFB}"/>
    <cellStyle name="40% - Accent4 5 6" xfId="22665" xr:uid="{3B161223-0080-4B04-876B-C8935AE047B4}"/>
    <cellStyle name="40% - Accent4 5 7" xfId="9204" xr:uid="{4AE6FE05-300B-4456-A3DB-7ED521947646}"/>
    <cellStyle name="40% - Accent4 6" xfId="1096" xr:uid="{00000000-0005-0000-0000-000032060000}"/>
    <cellStyle name="40% - Accent4 6 2" xfId="3327" xr:uid="{00000000-0005-0000-0000-000033060000}"/>
    <cellStyle name="40% - Accent4 6 2 2" xfId="7551" xr:uid="{00000000-0005-0000-0000-000034060000}"/>
    <cellStyle name="40% - Accent4 6 2 2 2" xfId="20184" xr:uid="{AF4B53DD-1C97-49F0-B557-881BC1DE83B8}"/>
    <cellStyle name="40% - Accent4 6 2 3" xfId="15973" xr:uid="{143E6AD6-6839-48B8-BCCC-AFD79FC55FCE}"/>
    <cellStyle name="40% - Accent4 6 2 4" xfId="25223" xr:uid="{3CB7C95D-7DBF-4777-91F7-6719C0D4E23D}"/>
    <cellStyle name="40% - Accent4 6 2 5" xfId="11762" xr:uid="{99C081BC-D0C7-40AD-A7DC-E736C1381185}"/>
    <cellStyle name="40% - Accent4 6 3" xfId="5406" xr:uid="{00000000-0005-0000-0000-000035060000}"/>
    <cellStyle name="40% - Accent4 6 3 2" xfId="18039" xr:uid="{DAF56A64-6ED4-4671-BAA9-B43EC6B8A76E}"/>
    <cellStyle name="40% - Accent4 6 4" xfId="13828" xr:uid="{307FC95D-CCF0-442E-B10B-FC7EFB6932C6}"/>
    <cellStyle name="40% - Accent4 6 5" xfId="23078" xr:uid="{11E878C8-1BE0-4B3F-90E1-6922CD30C72E}"/>
    <cellStyle name="40% - Accent4 6 6" xfId="9617" xr:uid="{E49C0461-6221-44B6-8287-007FD0181D03}"/>
    <cellStyle name="40% - Accent4 7" xfId="1510" xr:uid="{00000000-0005-0000-0000-000036060000}"/>
    <cellStyle name="40% - Accent4 7 2" xfId="3740" xr:uid="{00000000-0005-0000-0000-000037060000}"/>
    <cellStyle name="40% - Accent4 7 2 2" xfId="7964" xr:uid="{00000000-0005-0000-0000-000038060000}"/>
    <cellStyle name="40% - Accent4 7 2 2 2" xfId="20597" xr:uid="{0D59080B-B527-4256-A50C-632D07DD24B8}"/>
    <cellStyle name="40% - Accent4 7 2 3" xfId="16386" xr:uid="{73F2FBDF-53FF-4AF1-9F99-2922BBC745FE}"/>
    <cellStyle name="40% - Accent4 7 2 4" xfId="25636" xr:uid="{F8719C1D-AF3C-4C21-A6EC-0C361B4F65F3}"/>
    <cellStyle name="40% - Accent4 7 2 5" xfId="12175" xr:uid="{128DAB6A-1007-4DA2-B31A-83C144154ADB}"/>
    <cellStyle name="40% - Accent4 7 3" xfId="5819" xr:uid="{00000000-0005-0000-0000-000039060000}"/>
    <cellStyle name="40% - Accent4 7 3 2" xfId="18452" xr:uid="{B58E0368-8BEC-44A4-869F-FF7AE2F06895}"/>
    <cellStyle name="40% - Accent4 7 4" xfId="14241" xr:uid="{453A673F-D39F-4ED5-8E31-7FBC08B407B3}"/>
    <cellStyle name="40% - Accent4 7 5" xfId="23491" xr:uid="{EEC42255-6493-4C36-91A8-55F61BDB5639}"/>
    <cellStyle name="40% - Accent4 7 6" xfId="10030" xr:uid="{1A9DE647-E8C3-414C-8824-B47BB44FD851}"/>
    <cellStyle name="40% - Accent4 8" xfId="1924" xr:uid="{00000000-0005-0000-0000-00003A060000}"/>
    <cellStyle name="40% - Accent4 8 2" xfId="4153" xr:uid="{00000000-0005-0000-0000-00003B060000}"/>
    <cellStyle name="40% - Accent4 8 2 2" xfId="8377" xr:uid="{00000000-0005-0000-0000-00003C060000}"/>
    <cellStyle name="40% - Accent4 8 2 2 2" xfId="21010" xr:uid="{4DBB6760-DD7C-426D-B81D-2B5916D57D8A}"/>
    <cellStyle name="40% - Accent4 8 2 3" xfId="16799" xr:uid="{A3092259-4EFC-4A4A-A8C0-28EBEAD863A0}"/>
    <cellStyle name="40% - Accent4 8 2 4" xfId="26049" xr:uid="{FB63E68B-4513-476A-82D2-6272BEE3CA4F}"/>
    <cellStyle name="40% - Accent4 8 2 5" xfId="12588" xr:uid="{23059656-00DD-489F-B565-087A9CF80155}"/>
    <cellStyle name="40% - Accent4 8 3" xfId="6232" xr:uid="{00000000-0005-0000-0000-00003D060000}"/>
    <cellStyle name="40% - Accent4 8 3 2" xfId="18865" xr:uid="{8813EB14-F61E-4153-B78E-0F79568E6494}"/>
    <cellStyle name="40% - Accent4 8 4" xfId="14654" xr:uid="{7F0A7AB9-50A6-4474-A037-6DA108FD1798}"/>
    <cellStyle name="40% - Accent4 8 5" xfId="23904" xr:uid="{B5FDA261-041C-441D-ADD5-B460387D4A53}"/>
    <cellStyle name="40% - Accent4 8 6" xfId="10443" xr:uid="{AFB8A881-841F-4D21-9499-FBAF87FFD6A3}"/>
    <cellStyle name="40% - Accent4 9" xfId="2337" xr:uid="{00000000-0005-0000-0000-00003E060000}"/>
    <cellStyle name="40% - Accent4 9 2" xfId="6645" xr:uid="{00000000-0005-0000-0000-00003F060000}"/>
    <cellStyle name="40% - Accent4 9 2 2" xfId="19278" xr:uid="{A96A2FEF-B95B-4FA9-A45F-070F7510C52C}"/>
    <cellStyle name="40% - Accent4 9 3" xfId="15067" xr:uid="{5609430A-3CE7-488F-8298-8ED026504B6D}"/>
    <cellStyle name="40% - Accent4 9 4" xfId="24317" xr:uid="{F456CC7A-B006-40B4-B0AF-DC094E678F49}"/>
    <cellStyle name="40% - Accent4 9 5" xfId="10856" xr:uid="{B71603AA-AD3B-4740-A4BC-26D19C17EC45}"/>
    <cellStyle name="40% - Accent5" xfId="81" builtinId="47" customBuiltin="1"/>
    <cellStyle name="40% - Accent5 10" xfId="4587" xr:uid="{00000000-0005-0000-0000-000041060000}"/>
    <cellStyle name="40% - Accent5 10 2" xfId="17220" xr:uid="{5D8754F1-A233-4850-B743-B04D2D189876}"/>
    <cellStyle name="40% - Accent5 11" xfId="21431" xr:uid="{15EAEE12-5C74-48E5-9FED-AD6584D67DC6}"/>
    <cellStyle name="40% - Accent5 12" xfId="13009" xr:uid="{DAB1033B-B98E-4E19-B52C-C228B516E0A1}"/>
    <cellStyle name="40% - Accent5 13" xfId="22259" xr:uid="{CD2BFDE2-32CB-4E27-A77B-44AD24F425A7}"/>
    <cellStyle name="40% - Accent5 14" xfId="8798" xr:uid="{325F3382-F752-440E-81B2-3B90AA71AB4D}"/>
    <cellStyle name="40% - Accent5 2" xfId="82" xr:uid="{00000000-0005-0000-0000-000042060000}"/>
    <cellStyle name="40% - Accent5 2 10" xfId="21432" xr:uid="{C70B3C9F-003A-4105-92EF-2F3C5DE98F6B}"/>
    <cellStyle name="40% - Accent5 2 11" xfId="13010" xr:uid="{30FF786A-CD74-496A-A20D-6D93C97BC4D7}"/>
    <cellStyle name="40% - Accent5 2 12" xfId="22260" xr:uid="{37E9CD41-9264-42F6-B10A-120A3896F246}"/>
    <cellStyle name="40% - Accent5 2 13" xfId="8799" xr:uid="{9EB7924E-B775-486F-8AAA-6DAA4BFBA59B}"/>
    <cellStyle name="40% - Accent5 2 2" xfId="83" xr:uid="{00000000-0005-0000-0000-000043060000}"/>
    <cellStyle name="40% - Accent5 2 2 10" xfId="13011" xr:uid="{0850B69B-C421-4482-B996-1BA257F6B283}"/>
    <cellStyle name="40% - Accent5 2 2 11" xfId="22261" xr:uid="{17F5E2E4-361A-47B1-9407-8AF9A8A56768}"/>
    <cellStyle name="40% - Accent5 2 2 12" xfId="8800" xr:uid="{4E4C5245-9901-40BF-BF4F-F95D910AEADF}"/>
    <cellStyle name="40% - Accent5 2 2 2" xfId="84" xr:uid="{00000000-0005-0000-0000-000044060000}"/>
    <cellStyle name="40% - Accent5 2 2 2 10" xfId="22262" xr:uid="{097A7E85-63D3-460E-B13B-B81ACB4CF78C}"/>
    <cellStyle name="40% - Accent5 2 2 2 11" xfId="8801" xr:uid="{288DEDE8-6BD5-4EC6-A07C-C7ED44FB0861}"/>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9782" xr:uid="{AB9CACE7-2ACB-4A90-BC47-1C1ED4075D8B}"/>
    <cellStyle name="40% - Accent5 2 2 2 2 2 3" xfId="15571" xr:uid="{C02E2382-488C-4A6A-8100-AD8E83EEC2C7}"/>
    <cellStyle name="40% - Accent5 2 2 2 2 2 4" xfId="24821" xr:uid="{11F27139-CD92-45A4-AAF4-4099C84C4E25}"/>
    <cellStyle name="40% - Accent5 2 2 2 2 2 5" xfId="11360" xr:uid="{DE82B802-212E-440F-A4CE-99008501CB9E}"/>
    <cellStyle name="40% - Accent5 2 2 2 2 3" xfId="5004" xr:uid="{00000000-0005-0000-0000-000048060000}"/>
    <cellStyle name="40% - Accent5 2 2 2 2 3 2" xfId="17637" xr:uid="{295E2793-85E7-461B-99BC-988433D62DFC}"/>
    <cellStyle name="40% - Accent5 2 2 2 2 4" xfId="21847" xr:uid="{3F0F0408-3515-4EC8-B6DA-0198FC94B40D}"/>
    <cellStyle name="40% - Accent5 2 2 2 2 5" xfId="13426" xr:uid="{FE4B923E-814F-4437-AD33-A79B709BAEB7}"/>
    <cellStyle name="40% - Accent5 2 2 2 2 6" xfId="22676" xr:uid="{E5B144A1-E389-47DA-BA26-182F85D5706F}"/>
    <cellStyle name="40% - Accent5 2 2 2 2 7" xfId="9215" xr:uid="{0607BC86-CD35-4B10-9887-6AFB479B5C1A}"/>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20195" xr:uid="{A58A5BE0-7E0B-444D-BC12-F68EE152D784}"/>
    <cellStyle name="40% - Accent5 2 2 2 3 2 3" xfId="15984" xr:uid="{96C4E57B-1628-4F3D-A033-0B3CB070314A}"/>
    <cellStyle name="40% - Accent5 2 2 2 3 2 4" xfId="25234" xr:uid="{3A12BFC9-5AB4-4AFF-8F76-95499A113C75}"/>
    <cellStyle name="40% - Accent5 2 2 2 3 2 5" xfId="11773" xr:uid="{855C79BE-9900-4401-B4DA-424A8BB22DC7}"/>
    <cellStyle name="40% - Accent5 2 2 2 3 3" xfId="5417" xr:uid="{00000000-0005-0000-0000-00004C060000}"/>
    <cellStyle name="40% - Accent5 2 2 2 3 3 2" xfId="18050" xr:uid="{930DEFA9-CF89-483B-B8CF-8A612BB336BC}"/>
    <cellStyle name="40% - Accent5 2 2 2 3 4" xfId="13839" xr:uid="{824FB79F-66B5-40B8-9946-75DDE0583D41}"/>
    <cellStyle name="40% - Accent5 2 2 2 3 5" xfId="23089" xr:uid="{60F1FF03-8CE6-4CE0-9184-C7451245338F}"/>
    <cellStyle name="40% - Accent5 2 2 2 3 6" xfId="9628" xr:uid="{EEBA13F9-4061-46EE-BB08-DEBCDE953EBD}"/>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20608" xr:uid="{7A18862A-3F61-43C7-979F-70F431C3C4A6}"/>
    <cellStyle name="40% - Accent5 2 2 2 4 2 3" xfId="16397" xr:uid="{616C0BDF-353B-45BE-A048-8E3E34EC25FA}"/>
    <cellStyle name="40% - Accent5 2 2 2 4 2 4" xfId="25647" xr:uid="{AB29DB35-E039-4700-8B6D-340752411D69}"/>
    <cellStyle name="40% - Accent5 2 2 2 4 2 5" xfId="12186" xr:uid="{5DC462F2-53EA-443C-8D92-3641C3EFAF6A}"/>
    <cellStyle name="40% - Accent5 2 2 2 4 3" xfId="5830" xr:uid="{00000000-0005-0000-0000-000050060000}"/>
    <cellStyle name="40% - Accent5 2 2 2 4 3 2" xfId="18463" xr:uid="{6CF8AD5D-7EFC-47B7-B3FC-CD7260B63545}"/>
    <cellStyle name="40% - Accent5 2 2 2 4 4" xfId="14252" xr:uid="{A61BC9F2-0AC3-4F9A-B6B9-CACE8DF1BDF2}"/>
    <cellStyle name="40% - Accent5 2 2 2 4 5" xfId="23502" xr:uid="{8F90C000-9D04-4DA7-B054-8590A65C75D7}"/>
    <cellStyle name="40% - Accent5 2 2 2 4 6" xfId="10041" xr:uid="{99C6D794-57B3-40BB-AD51-78380838247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21021" xr:uid="{006C8291-CBB1-44E9-8C9B-6D0B86472F19}"/>
    <cellStyle name="40% - Accent5 2 2 2 5 2 3" xfId="16810" xr:uid="{3F00D2D0-AF80-48F9-A7E4-4C7727A9CE24}"/>
    <cellStyle name="40% - Accent5 2 2 2 5 2 4" xfId="26060" xr:uid="{0298BC16-89B1-4B35-A66D-3E1E86FB0FB8}"/>
    <cellStyle name="40% - Accent5 2 2 2 5 2 5" xfId="12599" xr:uid="{888A050F-AAA2-4360-A904-563C1A65E7AD}"/>
    <cellStyle name="40% - Accent5 2 2 2 5 3" xfId="6243" xr:uid="{00000000-0005-0000-0000-000054060000}"/>
    <cellStyle name="40% - Accent5 2 2 2 5 3 2" xfId="18876" xr:uid="{09AC8117-1FFA-42D9-9EBB-A93A67BECBED}"/>
    <cellStyle name="40% - Accent5 2 2 2 5 4" xfId="14665" xr:uid="{EABEF436-61C6-4789-BE71-2F94E248B190}"/>
    <cellStyle name="40% - Accent5 2 2 2 5 5" xfId="23915" xr:uid="{DBD9F13C-A02A-410E-8AC5-7290D7BFD811}"/>
    <cellStyle name="40% - Accent5 2 2 2 5 6" xfId="10454" xr:uid="{370D3E2C-BCBD-45CE-BA87-823210977015}"/>
    <cellStyle name="40% - Accent5 2 2 2 6" xfId="2348" xr:uid="{00000000-0005-0000-0000-000055060000}"/>
    <cellStyle name="40% - Accent5 2 2 2 6 2" xfId="6656" xr:uid="{00000000-0005-0000-0000-000056060000}"/>
    <cellStyle name="40% - Accent5 2 2 2 6 2 2" xfId="19289" xr:uid="{DFF93E9E-9D4F-42E0-9421-5A18D9A0EAB3}"/>
    <cellStyle name="40% - Accent5 2 2 2 6 3" xfId="15078" xr:uid="{4693BE76-21EC-4BC6-A7E8-3B068B1193D5}"/>
    <cellStyle name="40% - Accent5 2 2 2 6 4" xfId="24328" xr:uid="{2F74878B-3345-49CB-AADA-4CF59B4B527B}"/>
    <cellStyle name="40% - Accent5 2 2 2 6 5" xfId="10867" xr:uid="{A36C0D76-1EB0-45CF-90EB-8C795D44DA35}"/>
    <cellStyle name="40% - Accent5 2 2 2 7" xfId="4590" xr:uid="{00000000-0005-0000-0000-000057060000}"/>
    <cellStyle name="40% - Accent5 2 2 2 7 2" xfId="17223" xr:uid="{CB30B160-B749-4988-B64F-8588BC9C59EF}"/>
    <cellStyle name="40% - Accent5 2 2 2 8" xfId="21434" xr:uid="{4C863315-AE9D-44EC-909B-C0E5D3EF5F26}"/>
    <cellStyle name="40% - Accent5 2 2 2 9" xfId="13012" xr:uid="{2D8FCDE1-F024-4D44-A55E-AFCEAD892FAE}"/>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9781" xr:uid="{4FA7293E-974E-4EB2-A651-51E25D9BB948}"/>
    <cellStyle name="40% - Accent5 2 2 3 2 3" xfId="15570" xr:uid="{318693A2-E536-4CCF-AC47-A0DA81852905}"/>
    <cellStyle name="40% - Accent5 2 2 3 2 4" xfId="24820" xr:uid="{459B4A2C-A701-42D7-BE95-C1A0D8CD3361}"/>
    <cellStyle name="40% - Accent5 2 2 3 2 5" xfId="11359" xr:uid="{433EAB92-97A2-4C46-AF0C-C35FE8588685}"/>
    <cellStyle name="40% - Accent5 2 2 3 3" xfId="5003" xr:uid="{00000000-0005-0000-0000-00005B060000}"/>
    <cellStyle name="40% - Accent5 2 2 3 3 2" xfId="17636" xr:uid="{47710862-35E0-4450-B703-67AC5494C520}"/>
    <cellStyle name="40% - Accent5 2 2 3 4" xfId="21846" xr:uid="{2EA4B41B-3EB9-407C-AA85-E4A13C4C3C91}"/>
    <cellStyle name="40% - Accent5 2 2 3 5" xfId="13425" xr:uid="{8892D7E9-AE7A-46E5-9458-7D1C49237479}"/>
    <cellStyle name="40% - Accent5 2 2 3 6" xfId="22675" xr:uid="{105F957D-F0C4-4009-960A-4D4D0C557158}"/>
    <cellStyle name="40% - Accent5 2 2 3 7" xfId="9214" xr:uid="{06507938-01B4-4B5D-8912-AD77725F9E44}"/>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20194" xr:uid="{FA8AEA1B-C2BD-4EF2-94D8-33837BD6A0D7}"/>
    <cellStyle name="40% - Accent5 2 2 4 2 3" xfId="15983" xr:uid="{843F35A2-6DEF-4D12-BFA6-EF336D33EC6D}"/>
    <cellStyle name="40% - Accent5 2 2 4 2 4" xfId="25233" xr:uid="{9400C6CF-86F5-4462-AB66-6761B25DAA1B}"/>
    <cellStyle name="40% - Accent5 2 2 4 2 5" xfId="11772" xr:uid="{9EC268C3-3C0A-4FB9-8E1E-BC54FEB674C6}"/>
    <cellStyle name="40% - Accent5 2 2 4 3" xfId="5416" xr:uid="{00000000-0005-0000-0000-00005F060000}"/>
    <cellStyle name="40% - Accent5 2 2 4 3 2" xfId="18049" xr:uid="{0B80039C-F151-4CEA-8F44-F9F815F1FD6F}"/>
    <cellStyle name="40% - Accent5 2 2 4 4" xfId="13838" xr:uid="{893A0BBC-B5BA-49B3-9E2F-D216B86A594D}"/>
    <cellStyle name="40% - Accent5 2 2 4 5" xfId="23088" xr:uid="{98809ABE-89F6-4A9C-AE88-47F8E389DDCE}"/>
    <cellStyle name="40% - Accent5 2 2 4 6" xfId="9627" xr:uid="{F52BAB33-0EC9-42F0-991F-D14EE9552463}"/>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20607" xr:uid="{3652F5C2-F789-4525-B8D5-54162A2B94E8}"/>
    <cellStyle name="40% - Accent5 2 2 5 2 3" xfId="16396" xr:uid="{A1556F19-5996-4B81-BBDA-4AC021276E39}"/>
    <cellStyle name="40% - Accent5 2 2 5 2 4" xfId="25646" xr:uid="{2B32F63C-F7C9-43F4-B9D8-2CEF479B4466}"/>
    <cellStyle name="40% - Accent5 2 2 5 2 5" xfId="12185" xr:uid="{33C038C5-B7E0-4E62-8423-7189E8B70B9B}"/>
    <cellStyle name="40% - Accent5 2 2 5 3" xfId="5829" xr:uid="{00000000-0005-0000-0000-000063060000}"/>
    <cellStyle name="40% - Accent5 2 2 5 3 2" xfId="18462" xr:uid="{891FCD31-10A1-424B-B5FF-FB53259B9F2B}"/>
    <cellStyle name="40% - Accent5 2 2 5 4" xfId="14251" xr:uid="{6F3DC971-CCB4-461B-98F0-7ACA20FE7938}"/>
    <cellStyle name="40% - Accent5 2 2 5 5" xfId="23501" xr:uid="{7DA3ABEA-FE12-4EDA-89DE-5A927558CF6E}"/>
    <cellStyle name="40% - Accent5 2 2 5 6" xfId="10040" xr:uid="{8D6EFCE2-57D4-468C-9FEB-2F49A3B99A99}"/>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21020" xr:uid="{6398BFA3-21CE-4415-9505-26ABAD5516D0}"/>
    <cellStyle name="40% - Accent5 2 2 6 2 3" xfId="16809" xr:uid="{2C787631-6F91-4789-9CFF-285C9456D682}"/>
    <cellStyle name="40% - Accent5 2 2 6 2 4" xfId="26059" xr:uid="{5AB65127-0CA0-4617-9FAA-C40EE8C83FE1}"/>
    <cellStyle name="40% - Accent5 2 2 6 2 5" xfId="12598" xr:uid="{E88415AC-56C9-455D-A538-263743D2B761}"/>
    <cellStyle name="40% - Accent5 2 2 6 3" xfId="6242" xr:uid="{00000000-0005-0000-0000-000067060000}"/>
    <cellStyle name="40% - Accent5 2 2 6 3 2" xfId="18875" xr:uid="{7DE67A99-21AF-4882-92FA-C3EB296C9C37}"/>
    <cellStyle name="40% - Accent5 2 2 6 4" xfId="14664" xr:uid="{ED6F9079-D417-4D46-A499-A2E5E633B54C}"/>
    <cellStyle name="40% - Accent5 2 2 6 5" xfId="23914" xr:uid="{2E07F73C-66B5-44E3-9E8D-265478CDA15C}"/>
    <cellStyle name="40% - Accent5 2 2 6 6" xfId="10453" xr:uid="{862A428B-B12E-4D53-BA58-D456BBCB0BD2}"/>
    <cellStyle name="40% - Accent5 2 2 7" xfId="2347" xr:uid="{00000000-0005-0000-0000-000068060000}"/>
    <cellStyle name="40% - Accent5 2 2 7 2" xfId="6655" xr:uid="{00000000-0005-0000-0000-000069060000}"/>
    <cellStyle name="40% - Accent5 2 2 7 2 2" xfId="19288" xr:uid="{414F0DD5-C7C5-449A-BF85-CF9631116C09}"/>
    <cellStyle name="40% - Accent5 2 2 7 3" xfId="15077" xr:uid="{86F5DD0D-B204-405C-AA4A-BE5B3CDC2E21}"/>
    <cellStyle name="40% - Accent5 2 2 7 4" xfId="24327" xr:uid="{D0F5AF31-A0DF-47DA-9D8D-D314EAD82848}"/>
    <cellStyle name="40% - Accent5 2 2 7 5" xfId="10866" xr:uid="{41AD27F5-C0EA-4F11-820A-7C500EAD3F8A}"/>
    <cellStyle name="40% - Accent5 2 2 8" xfId="4589" xr:uid="{00000000-0005-0000-0000-00006A060000}"/>
    <cellStyle name="40% - Accent5 2 2 8 2" xfId="17222" xr:uid="{D2E6F0B8-4C48-4BCE-9FC2-7F8F0F22440D}"/>
    <cellStyle name="40% - Accent5 2 2 9" xfId="21433" xr:uid="{2724C21B-635E-4183-8E71-CA772E626113}"/>
    <cellStyle name="40% - Accent5 2 3" xfId="85" xr:uid="{00000000-0005-0000-0000-00006B060000}"/>
    <cellStyle name="40% - Accent5 2 3 10" xfId="22263" xr:uid="{EB814664-4C7A-4254-9A33-3FCD19C2B494}"/>
    <cellStyle name="40% - Accent5 2 3 11" xfId="8802" xr:uid="{BC09EE1B-ACE5-4B6D-9AFD-3FD342519F9E}"/>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9783" xr:uid="{D1E4396D-ACCB-476B-BE72-F76A2AA79714}"/>
    <cellStyle name="40% - Accent5 2 3 2 2 3" xfId="15572" xr:uid="{584600BD-0301-4D00-9B02-9F9533D63AF7}"/>
    <cellStyle name="40% - Accent5 2 3 2 2 4" xfId="24822" xr:uid="{050DDE0F-BFC3-483B-9FCF-D8EEB2B18457}"/>
    <cellStyle name="40% - Accent5 2 3 2 2 5" xfId="11361" xr:uid="{9CC4BB32-59A9-4296-B61C-6A1E579FF025}"/>
    <cellStyle name="40% - Accent5 2 3 2 3" xfId="5005" xr:uid="{00000000-0005-0000-0000-00006F060000}"/>
    <cellStyle name="40% - Accent5 2 3 2 3 2" xfId="17638" xr:uid="{9BBEE81B-7739-4B24-AA77-8B8D20D74554}"/>
    <cellStyle name="40% - Accent5 2 3 2 4" xfId="21848" xr:uid="{91B2F7ED-B2FD-44E6-B015-DE4D4FDB7CDB}"/>
    <cellStyle name="40% - Accent5 2 3 2 5" xfId="13427" xr:uid="{D4EBA7F1-7F90-4D77-ADB3-6B238589441D}"/>
    <cellStyle name="40% - Accent5 2 3 2 6" xfId="22677" xr:uid="{E1AE1341-ABA9-4BB7-8ABB-B37640E6F082}"/>
    <cellStyle name="40% - Accent5 2 3 2 7" xfId="9216" xr:uid="{B9E8FFB3-E689-4540-BC40-4BEE61B99AFE}"/>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20196" xr:uid="{6556EBFD-6816-48F5-AED6-11E676EE3F26}"/>
    <cellStyle name="40% - Accent5 2 3 3 2 3" xfId="15985" xr:uid="{7F6B6D7D-EC58-4A96-966D-469874404722}"/>
    <cellStyle name="40% - Accent5 2 3 3 2 4" xfId="25235" xr:uid="{A91FD5EB-2344-4613-A7C8-65E28718AA69}"/>
    <cellStyle name="40% - Accent5 2 3 3 2 5" xfId="11774" xr:uid="{2C309EC3-3A06-428C-82CA-2FDF2922D778}"/>
    <cellStyle name="40% - Accent5 2 3 3 3" xfId="5418" xr:uid="{00000000-0005-0000-0000-000073060000}"/>
    <cellStyle name="40% - Accent5 2 3 3 3 2" xfId="18051" xr:uid="{3DBDC91E-56F3-4B54-9F79-AA4A6B2F6785}"/>
    <cellStyle name="40% - Accent5 2 3 3 4" xfId="13840" xr:uid="{32453EB6-CAFE-4AF0-8BF8-601EE80C3FB7}"/>
    <cellStyle name="40% - Accent5 2 3 3 5" xfId="23090" xr:uid="{6B55C89B-ED1C-4EB0-96BA-8111690ACFA0}"/>
    <cellStyle name="40% - Accent5 2 3 3 6" xfId="9629" xr:uid="{ACCD2805-B7EA-4037-A078-C76706A41A0F}"/>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20609" xr:uid="{CAE17062-8F36-4CD4-9A83-1E374F3C111A}"/>
    <cellStyle name="40% - Accent5 2 3 4 2 3" xfId="16398" xr:uid="{DF717CAD-CD27-416E-AF6F-9416BA0BC44B}"/>
    <cellStyle name="40% - Accent5 2 3 4 2 4" xfId="25648" xr:uid="{50442B3C-9431-46AE-9434-2ADAEF95C390}"/>
    <cellStyle name="40% - Accent5 2 3 4 2 5" xfId="12187" xr:uid="{F0F84ABE-A663-4C8D-B36B-0A555EDA1053}"/>
    <cellStyle name="40% - Accent5 2 3 4 3" xfId="5831" xr:uid="{00000000-0005-0000-0000-000077060000}"/>
    <cellStyle name="40% - Accent5 2 3 4 3 2" xfId="18464" xr:uid="{D8D4D837-01D0-4F48-8689-21FD46B16C1D}"/>
    <cellStyle name="40% - Accent5 2 3 4 4" xfId="14253" xr:uid="{083099AA-F169-4867-9845-EB70500CF39E}"/>
    <cellStyle name="40% - Accent5 2 3 4 5" xfId="23503" xr:uid="{C5BF6998-0CF5-46AC-9EAE-40927E11D8D6}"/>
    <cellStyle name="40% - Accent5 2 3 4 6" xfId="10042" xr:uid="{6317C280-EED7-46DE-A5CF-CDB874B0ABB7}"/>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21022" xr:uid="{06A81C37-B566-4EA7-929D-EB15723B7E06}"/>
    <cellStyle name="40% - Accent5 2 3 5 2 3" xfId="16811" xr:uid="{6ADBAA51-B791-4EED-8711-60BF3AA85EA2}"/>
    <cellStyle name="40% - Accent5 2 3 5 2 4" xfId="26061" xr:uid="{ACA0E983-2187-470E-8F45-CFD1016514FC}"/>
    <cellStyle name="40% - Accent5 2 3 5 2 5" xfId="12600" xr:uid="{1F3264A5-452E-4297-A9A9-2C04FB5EC199}"/>
    <cellStyle name="40% - Accent5 2 3 5 3" xfId="6244" xr:uid="{00000000-0005-0000-0000-00007B060000}"/>
    <cellStyle name="40% - Accent5 2 3 5 3 2" xfId="18877" xr:uid="{C3FAB5B0-0656-407A-8E40-613CA8CFD4D9}"/>
    <cellStyle name="40% - Accent5 2 3 5 4" xfId="14666" xr:uid="{A2F681D2-C51A-4171-861F-4C98C3517A71}"/>
    <cellStyle name="40% - Accent5 2 3 5 5" xfId="23916" xr:uid="{31DD572A-0FD8-4C29-9436-554AB342ED77}"/>
    <cellStyle name="40% - Accent5 2 3 5 6" xfId="10455" xr:uid="{0A2DFA35-906B-4DF6-A148-15A4E252C617}"/>
    <cellStyle name="40% - Accent5 2 3 6" xfId="2349" xr:uid="{00000000-0005-0000-0000-00007C060000}"/>
    <cellStyle name="40% - Accent5 2 3 6 2" xfId="6657" xr:uid="{00000000-0005-0000-0000-00007D060000}"/>
    <cellStyle name="40% - Accent5 2 3 6 2 2" xfId="19290" xr:uid="{0271A9C8-947D-417F-B16B-3FBAE01E5A31}"/>
    <cellStyle name="40% - Accent5 2 3 6 3" xfId="15079" xr:uid="{1228C5F3-D1BE-447C-BC7C-B3CB7214050A}"/>
    <cellStyle name="40% - Accent5 2 3 6 4" xfId="24329" xr:uid="{F97B169A-92A8-41AC-93D9-9CD3A2E963A5}"/>
    <cellStyle name="40% - Accent5 2 3 6 5" xfId="10868" xr:uid="{05BF356E-F380-44E0-B756-6E194B735D59}"/>
    <cellStyle name="40% - Accent5 2 3 7" xfId="4591" xr:uid="{00000000-0005-0000-0000-00007E060000}"/>
    <cellStyle name="40% - Accent5 2 3 7 2" xfId="17224" xr:uid="{8821CC78-6D15-43F1-8CB6-C67641322C9D}"/>
    <cellStyle name="40% - Accent5 2 3 8" xfId="21435" xr:uid="{7ABDC8C2-3BF4-4151-99F4-F6D8F2609954}"/>
    <cellStyle name="40% - Accent5 2 3 9" xfId="13013" xr:uid="{3E617F8F-1DF7-4D33-83BC-32ED78ED8761}"/>
    <cellStyle name="40% - Accent5 2 4" xfId="652" xr:uid="{00000000-0005-0000-0000-00007F060000}"/>
    <cellStyle name="40% - Accent5 2 4 2" xfId="2923" xr:uid="{00000000-0005-0000-0000-000080060000}"/>
    <cellStyle name="40% - Accent5 2 4 2 2" xfId="7147" xr:uid="{00000000-0005-0000-0000-000081060000}"/>
    <cellStyle name="40% - Accent5 2 4 2 2 2" xfId="19780" xr:uid="{B25B9A20-9AE4-4047-884F-8E66DEF33556}"/>
    <cellStyle name="40% - Accent5 2 4 2 3" xfId="15569" xr:uid="{89001FD6-9C8F-4719-8270-A2CBC500F24B}"/>
    <cellStyle name="40% - Accent5 2 4 2 4" xfId="24819" xr:uid="{5CC8914E-F2F5-4564-B102-570AB439DBCE}"/>
    <cellStyle name="40% - Accent5 2 4 2 5" xfId="11358" xr:uid="{5556B1BB-07F7-4178-9F8F-8F6F17204FF5}"/>
    <cellStyle name="40% - Accent5 2 4 3" xfId="5002" xr:uid="{00000000-0005-0000-0000-000082060000}"/>
    <cellStyle name="40% - Accent5 2 4 3 2" xfId="17635" xr:uid="{8E21C955-ECFA-484C-896C-307AE20F856E}"/>
    <cellStyle name="40% - Accent5 2 4 4" xfId="21845" xr:uid="{EA874F21-2661-4745-8D13-33DD8DAF7438}"/>
    <cellStyle name="40% - Accent5 2 4 5" xfId="13424" xr:uid="{C7EB901E-0236-4A0E-980E-4C8A4D78FF2D}"/>
    <cellStyle name="40% - Accent5 2 4 6" xfId="22674" xr:uid="{8265A595-5E5D-459B-9363-8B82EE1A87EA}"/>
    <cellStyle name="40% - Accent5 2 4 7" xfId="9213" xr:uid="{C2DB9990-A965-45ED-9DAE-5DDD080AAA27}"/>
    <cellStyle name="40% - Accent5 2 5" xfId="1105" xr:uid="{00000000-0005-0000-0000-000083060000}"/>
    <cellStyle name="40% - Accent5 2 5 2" xfId="3336" xr:uid="{00000000-0005-0000-0000-000084060000}"/>
    <cellStyle name="40% - Accent5 2 5 2 2" xfId="7560" xr:uid="{00000000-0005-0000-0000-000085060000}"/>
    <cellStyle name="40% - Accent5 2 5 2 2 2" xfId="20193" xr:uid="{9B11F3CB-AE37-49F0-9799-4B7839D712B6}"/>
    <cellStyle name="40% - Accent5 2 5 2 3" xfId="15982" xr:uid="{80E23788-0489-477B-B2E5-11DDA018CB10}"/>
    <cellStyle name="40% - Accent5 2 5 2 4" xfId="25232" xr:uid="{BEE0B44B-83EE-4A7F-A22B-0EC5CEC98FC8}"/>
    <cellStyle name="40% - Accent5 2 5 2 5" xfId="11771" xr:uid="{657DD44C-AFEC-43B6-835A-17D4FC71697D}"/>
    <cellStyle name="40% - Accent5 2 5 3" xfId="5415" xr:uid="{00000000-0005-0000-0000-000086060000}"/>
    <cellStyle name="40% - Accent5 2 5 3 2" xfId="18048" xr:uid="{6A70AD87-662D-4AF0-B7C9-513D994A86EE}"/>
    <cellStyle name="40% - Accent5 2 5 4" xfId="13837" xr:uid="{15E1723E-89F4-42BD-93EA-C54842EC0D1D}"/>
    <cellStyle name="40% - Accent5 2 5 5" xfId="23087" xr:uid="{A54901FF-9A79-4997-84A4-549309EFCCC4}"/>
    <cellStyle name="40% - Accent5 2 5 6" xfId="9626" xr:uid="{3127A7CA-7FC9-464A-9EE2-A056BAE5F4A8}"/>
    <cellStyle name="40% - Accent5 2 6" xfId="1519" xr:uid="{00000000-0005-0000-0000-000087060000}"/>
    <cellStyle name="40% - Accent5 2 6 2" xfId="3749" xr:uid="{00000000-0005-0000-0000-000088060000}"/>
    <cellStyle name="40% - Accent5 2 6 2 2" xfId="7973" xr:uid="{00000000-0005-0000-0000-000089060000}"/>
    <cellStyle name="40% - Accent5 2 6 2 2 2" xfId="20606" xr:uid="{A89BB71E-9E47-4067-900C-0E7D7E8AF6E5}"/>
    <cellStyle name="40% - Accent5 2 6 2 3" xfId="16395" xr:uid="{6A33B674-5871-416D-B3F6-4B181ED03C8B}"/>
    <cellStyle name="40% - Accent5 2 6 2 4" xfId="25645" xr:uid="{687FC629-ADC5-4AAA-88F4-FE6F2B1F0E7A}"/>
    <cellStyle name="40% - Accent5 2 6 2 5" xfId="12184" xr:uid="{ED793BD3-43ED-486A-B2D4-5392D9D7BA25}"/>
    <cellStyle name="40% - Accent5 2 6 3" xfId="5828" xr:uid="{00000000-0005-0000-0000-00008A060000}"/>
    <cellStyle name="40% - Accent5 2 6 3 2" xfId="18461" xr:uid="{F941DF9F-AA43-4BB5-BE3B-766C9A767D6B}"/>
    <cellStyle name="40% - Accent5 2 6 4" xfId="14250" xr:uid="{38A3DD70-21BC-48EB-B75F-BAEF7484EF19}"/>
    <cellStyle name="40% - Accent5 2 6 5" xfId="23500" xr:uid="{EE816884-8C1F-4552-AA14-A8F8FE4D7462}"/>
    <cellStyle name="40% - Accent5 2 6 6" xfId="10039" xr:uid="{07BE2161-30A8-4C22-9775-C1E5C090F95D}"/>
    <cellStyle name="40% - Accent5 2 7" xfId="1933" xr:uid="{00000000-0005-0000-0000-00008B060000}"/>
    <cellStyle name="40% - Accent5 2 7 2" xfId="4162" xr:uid="{00000000-0005-0000-0000-00008C060000}"/>
    <cellStyle name="40% - Accent5 2 7 2 2" xfId="8386" xr:uid="{00000000-0005-0000-0000-00008D060000}"/>
    <cellStyle name="40% - Accent5 2 7 2 2 2" xfId="21019" xr:uid="{FABB5A38-B588-4E09-9037-7D4265D0DB96}"/>
    <cellStyle name="40% - Accent5 2 7 2 3" xfId="16808" xr:uid="{F2D582E2-30D2-4518-9FE8-71A9FE567738}"/>
    <cellStyle name="40% - Accent5 2 7 2 4" xfId="26058" xr:uid="{8547F959-BC22-405E-A06A-6BBE358C452A}"/>
    <cellStyle name="40% - Accent5 2 7 2 5" xfId="12597" xr:uid="{6183CA96-CF31-49A0-BB5E-8BB3ED3FCC64}"/>
    <cellStyle name="40% - Accent5 2 7 3" xfId="6241" xr:uid="{00000000-0005-0000-0000-00008E060000}"/>
    <cellStyle name="40% - Accent5 2 7 3 2" xfId="18874" xr:uid="{1E41A6D8-0A57-458B-A93D-12586564019A}"/>
    <cellStyle name="40% - Accent5 2 7 4" xfId="14663" xr:uid="{5CCABBAD-6039-4F88-9C01-EB65987B5097}"/>
    <cellStyle name="40% - Accent5 2 7 5" xfId="23913" xr:uid="{B45DB5DA-7D5B-46BF-A218-D988BF8BBEE3}"/>
    <cellStyle name="40% - Accent5 2 7 6" xfId="10452" xr:uid="{D55450CB-048A-4079-B1FA-2D1E0A241BCB}"/>
    <cellStyle name="40% - Accent5 2 8" xfId="2346" xr:uid="{00000000-0005-0000-0000-00008F060000}"/>
    <cellStyle name="40% - Accent5 2 8 2" xfId="6654" xr:uid="{00000000-0005-0000-0000-000090060000}"/>
    <cellStyle name="40% - Accent5 2 8 2 2" xfId="19287" xr:uid="{94CB9BF9-7DE5-4C17-8552-0B8638333B29}"/>
    <cellStyle name="40% - Accent5 2 8 3" xfId="15076" xr:uid="{ECBF0837-6282-441A-B5E9-3A10995F4FD7}"/>
    <cellStyle name="40% - Accent5 2 8 4" xfId="24326" xr:uid="{D748BF33-C59F-46F7-9249-7130D6AE7730}"/>
    <cellStyle name="40% - Accent5 2 8 5" xfId="10865" xr:uid="{375BB96B-B0A6-4C16-9C74-A25D1EEEFC78}"/>
    <cellStyle name="40% - Accent5 2 9" xfId="4588" xr:uid="{00000000-0005-0000-0000-000091060000}"/>
    <cellStyle name="40% - Accent5 2 9 2" xfId="17221" xr:uid="{345C8DC8-65ED-4D0C-817A-C535BD7C0877}"/>
    <cellStyle name="40% - Accent5 3" xfId="86" xr:uid="{00000000-0005-0000-0000-000092060000}"/>
    <cellStyle name="40% - Accent5 3 10" xfId="13014" xr:uid="{527821A9-49B0-46B8-A2D7-0342D54E1DC5}"/>
    <cellStyle name="40% - Accent5 3 11" xfId="22264" xr:uid="{ECC37254-4C41-48AD-AB8F-A0A18E3BFA63}"/>
    <cellStyle name="40% - Accent5 3 12" xfId="8803" xr:uid="{41B2530E-282A-4BF2-8EDE-D4F3E11026D5}"/>
    <cellStyle name="40% - Accent5 3 2" xfId="87" xr:uid="{00000000-0005-0000-0000-000093060000}"/>
    <cellStyle name="40% - Accent5 3 2 10" xfId="22265" xr:uid="{BF3386B8-15A8-4FA4-B9DB-19423B101B2D}"/>
    <cellStyle name="40% - Accent5 3 2 11" xfId="8804" xr:uid="{1B01E85B-B21B-4DF9-B8C9-4D1F13AC2624}"/>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9785" xr:uid="{59AC9D4C-148E-4525-98E6-FE4D5A6A9185}"/>
    <cellStyle name="40% - Accent5 3 2 2 2 3" xfId="15574" xr:uid="{C192C15B-1C80-407C-8EA2-CF9A22ABDBF6}"/>
    <cellStyle name="40% - Accent5 3 2 2 2 4" xfId="24824" xr:uid="{ECC2D260-F8B5-4144-92F0-D5A0D608B2D9}"/>
    <cellStyle name="40% - Accent5 3 2 2 2 5" xfId="11363" xr:uid="{D0E61C49-F033-452B-AAEF-9459AC60B973}"/>
    <cellStyle name="40% - Accent5 3 2 2 3" xfId="5007" xr:uid="{00000000-0005-0000-0000-000097060000}"/>
    <cellStyle name="40% - Accent5 3 2 2 3 2" xfId="17640" xr:uid="{F42B1309-FC3B-4261-AA1D-E17DC2525B17}"/>
    <cellStyle name="40% - Accent5 3 2 2 4" xfId="21850" xr:uid="{E2A2AF34-1D94-4C5C-B3E4-471492D41DCE}"/>
    <cellStyle name="40% - Accent5 3 2 2 5" xfId="13429" xr:uid="{E7B99E42-DAEE-496E-ACAC-7B18BDD38F85}"/>
    <cellStyle name="40% - Accent5 3 2 2 6" xfId="22679" xr:uid="{777BE7F4-0D1A-41FF-B5F9-1E7E31158404}"/>
    <cellStyle name="40% - Accent5 3 2 2 7" xfId="9218" xr:uid="{489EE876-4E9E-423F-A90F-B1A7AEFCDDFB}"/>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20198" xr:uid="{761121D5-3374-4F9C-BF12-9D111FC290C2}"/>
    <cellStyle name="40% - Accent5 3 2 3 2 3" xfId="15987" xr:uid="{17EE4A6D-91CD-41BB-A74F-1F66E0341BEE}"/>
    <cellStyle name="40% - Accent5 3 2 3 2 4" xfId="25237" xr:uid="{A2BE1ED6-3DDC-4CD3-8480-6F97F497AC2D}"/>
    <cellStyle name="40% - Accent5 3 2 3 2 5" xfId="11776" xr:uid="{027B171B-57BC-4123-9B03-3668A4A7D393}"/>
    <cellStyle name="40% - Accent5 3 2 3 3" xfId="5420" xr:uid="{00000000-0005-0000-0000-00009B060000}"/>
    <cellStyle name="40% - Accent5 3 2 3 3 2" xfId="18053" xr:uid="{845BE7D9-2703-45B7-9DB3-0DE2E649AE5E}"/>
    <cellStyle name="40% - Accent5 3 2 3 4" xfId="13842" xr:uid="{24636FB6-1B72-4395-803B-F57F3DFFFD7F}"/>
    <cellStyle name="40% - Accent5 3 2 3 5" xfId="23092" xr:uid="{99F48E1E-5444-4CCD-B815-63B76359EADF}"/>
    <cellStyle name="40% - Accent5 3 2 3 6" xfId="9631" xr:uid="{4C3B1B2D-48A7-4D1F-93F2-103843DBF6A9}"/>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20611" xr:uid="{9DCDFE93-3CE8-4179-B7D1-B28C8D811465}"/>
    <cellStyle name="40% - Accent5 3 2 4 2 3" xfId="16400" xr:uid="{5236166A-3D7C-42BE-B91A-4C3692CF1DC7}"/>
    <cellStyle name="40% - Accent5 3 2 4 2 4" xfId="25650" xr:uid="{89A5622F-044D-489D-AE1A-31D5FEDEA6F0}"/>
    <cellStyle name="40% - Accent5 3 2 4 2 5" xfId="12189" xr:uid="{51349ACB-7879-49A2-9277-2AFDF0DDE6E9}"/>
    <cellStyle name="40% - Accent5 3 2 4 3" xfId="5833" xr:uid="{00000000-0005-0000-0000-00009F060000}"/>
    <cellStyle name="40% - Accent5 3 2 4 3 2" xfId="18466" xr:uid="{1E29C998-8256-4E94-8230-7F7AB296CEFD}"/>
    <cellStyle name="40% - Accent5 3 2 4 4" xfId="14255" xr:uid="{22B74A21-3D9D-4B79-A5EB-FAE5779E6DEE}"/>
    <cellStyle name="40% - Accent5 3 2 4 5" xfId="23505" xr:uid="{256F0AB7-D19D-4E86-8EE0-9757DC154102}"/>
    <cellStyle name="40% - Accent5 3 2 4 6" xfId="10044" xr:uid="{795C85AA-7A49-4928-A897-BE6A6AACA73E}"/>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21024" xr:uid="{2528F279-FABB-44F1-B85E-C04EECE1EC0C}"/>
    <cellStyle name="40% - Accent5 3 2 5 2 3" xfId="16813" xr:uid="{7A638F08-80C5-4473-A76B-06752803B17B}"/>
    <cellStyle name="40% - Accent5 3 2 5 2 4" xfId="26063" xr:uid="{2FF48A8B-AA56-4A12-946B-2808D14C89C8}"/>
    <cellStyle name="40% - Accent5 3 2 5 2 5" xfId="12602" xr:uid="{5F8C9D26-2838-44F1-844A-3979DFEC7E22}"/>
    <cellStyle name="40% - Accent5 3 2 5 3" xfId="6246" xr:uid="{00000000-0005-0000-0000-0000A3060000}"/>
    <cellStyle name="40% - Accent5 3 2 5 3 2" xfId="18879" xr:uid="{D00A3042-6C21-4FC7-AC09-ABCF9F3F110B}"/>
    <cellStyle name="40% - Accent5 3 2 5 4" xfId="14668" xr:uid="{AE9CC305-6D05-4ADB-83A6-6EA494466E6D}"/>
    <cellStyle name="40% - Accent5 3 2 5 5" xfId="23918" xr:uid="{E4552435-4B12-4D63-8CEA-261E7483E185}"/>
    <cellStyle name="40% - Accent5 3 2 5 6" xfId="10457" xr:uid="{DF4C2DC7-824A-4F41-A459-A09BA37314B4}"/>
    <cellStyle name="40% - Accent5 3 2 6" xfId="2351" xr:uid="{00000000-0005-0000-0000-0000A4060000}"/>
    <cellStyle name="40% - Accent5 3 2 6 2" xfId="6659" xr:uid="{00000000-0005-0000-0000-0000A5060000}"/>
    <cellStyle name="40% - Accent5 3 2 6 2 2" xfId="19292" xr:uid="{948164A1-0DA5-489A-94E4-1CD526A1C2AC}"/>
    <cellStyle name="40% - Accent5 3 2 6 3" xfId="15081" xr:uid="{4D2BD01B-1784-494C-8CC3-79CC4E0CAC9F}"/>
    <cellStyle name="40% - Accent5 3 2 6 4" xfId="24331" xr:uid="{0DCE2BE7-D5E0-4DDA-9E1A-E91F3C49339B}"/>
    <cellStyle name="40% - Accent5 3 2 6 5" xfId="10870" xr:uid="{DC6FEE05-2C47-4FF6-847B-8F7595B6997D}"/>
    <cellStyle name="40% - Accent5 3 2 7" xfId="4593" xr:uid="{00000000-0005-0000-0000-0000A6060000}"/>
    <cellStyle name="40% - Accent5 3 2 7 2" xfId="17226" xr:uid="{B51FCB55-8FF2-49F9-A95F-F516EAD2BA97}"/>
    <cellStyle name="40% - Accent5 3 2 8" xfId="21437" xr:uid="{FE4CD9FE-BBA8-4DAA-8128-0E0915181D73}"/>
    <cellStyle name="40% - Accent5 3 2 9" xfId="13015" xr:uid="{205CE2A5-8C53-4C2A-A835-D3CF71D0CF5A}"/>
    <cellStyle name="40% - Accent5 3 3" xfId="656" xr:uid="{00000000-0005-0000-0000-0000A7060000}"/>
    <cellStyle name="40% - Accent5 3 3 2" xfId="2927" xr:uid="{00000000-0005-0000-0000-0000A8060000}"/>
    <cellStyle name="40% - Accent5 3 3 2 2" xfId="7151" xr:uid="{00000000-0005-0000-0000-0000A9060000}"/>
    <cellStyle name="40% - Accent5 3 3 2 2 2" xfId="19784" xr:uid="{9A83AD43-AC5C-4B52-933E-3474A0022765}"/>
    <cellStyle name="40% - Accent5 3 3 2 3" xfId="15573" xr:uid="{37220142-F254-4CD8-BF0C-F6FF88875A38}"/>
    <cellStyle name="40% - Accent5 3 3 2 4" xfId="24823" xr:uid="{4C1F8A30-9FED-46CD-B700-79B5E41BA954}"/>
    <cellStyle name="40% - Accent5 3 3 2 5" xfId="11362" xr:uid="{A68CBA25-0459-4D01-AF82-77C1D8387320}"/>
    <cellStyle name="40% - Accent5 3 3 3" xfId="5006" xr:uid="{00000000-0005-0000-0000-0000AA060000}"/>
    <cellStyle name="40% - Accent5 3 3 3 2" xfId="17639" xr:uid="{B9AB1B68-B05B-414B-8987-F1A5BB2F9318}"/>
    <cellStyle name="40% - Accent5 3 3 4" xfId="21849" xr:uid="{CA20C730-389E-4D11-A494-5012E3C9D65D}"/>
    <cellStyle name="40% - Accent5 3 3 5" xfId="13428" xr:uid="{ED94414A-E3F0-4B78-B9A0-B71D9602DC8D}"/>
    <cellStyle name="40% - Accent5 3 3 6" xfId="22678" xr:uid="{37403811-C7C0-4B8A-B6BA-62F4B02DC4D5}"/>
    <cellStyle name="40% - Accent5 3 3 7" xfId="9217" xr:uid="{5AB60BCA-AC78-4918-8624-CAF966C2824A}"/>
    <cellStyle name="40% - Accent5 3 4" xfId="1109" xr:uid="{00000000-0005-0000-0000-0000AB060000}"/>
    <cellStyle name="40% - Accent5 3 4 2" xfId="3340" xr:uid="{00000000-0005-0000-0000-0000AC060000}"/>
    <cellStyle name="40% - Accent5 3 4 2 2" xfId="7564" xr:uid="{00000000-0005-0000-0000-0000AD060000}"/>
    <cellStyle name="40% - Accent5 3 4 2 2 2" xfId="20197" xr:uid="{295792CC-D910-4E92-B99C-49C2F02C6662}"/>
    <cellStyle name="40% - Accent5 3 4 2 3" xfId="15986" xr:uid="{A4D55BD9-94E5-4338-B6A7-73F33A2DC52F}"/>
    <cellStyle name="40% - Accent5 3 4 2 4" xfId="25236" xr:uid="{7B63A9EF-BA0D-4C35-A632-74E0AA8DCB3B}"/>
    <cellStyle name="40% - Accent5 3 4 2 5" xfId="11775" xr:uid="{B37DAB59-1053-42D1-813C-BE1B4328C47B}"/>
    <cellStyle name="40% - Accent5 3 4 3" xfId="5419" xr:uid="{00000000-0005-0000-0000-0000AE060000}"/>
    <cellStyle name="40% - Accent5 3 4 3 2" xfId="18052" xr:uid="{451A76AB-C07F-40B9-A5BF-9A31F5D303F2}"/>
    <cellStyle name="40% - Accent5 3 4 4" xfId="13841" xr:uid="{B1C88346-CBF3-4BC2-A0AC-BFE90DEBA89C}"/>
    <cellStyle name="40% - Accent5 3 4 5" xfId="23091" xr:uid="{D6CB9BB0-29FD-475F-BE0F-37DCC2C153DC}"/>
    <cellStyle name="40% - Accent5 3 4 6" xfId="9630" xr:uid="{1832E3DD-AE62-48D6-99C7-C3110BAE4020}"/>
    <cellStyle name="40% - Accent5 3 5" xfId="1523" xr:uid="{00000000-0005-0000-0000-0000AF060000}"/>
    <cellStyle name="40% - Accent5 3 5 2" xfId="3753" xr:uid="{00000000-0005-0000-0000-0000B0060000}"/>
    <cellStyle name="40% - Accent5 3 5 2 2" xfId="7977" xr:uid="{00000000-0005-0000-0000-0000B1060000}"/>
    <cellStyle name="40% - Accent5 3 5 2 2 2" xfId="20610" xr:uid="{E59B9D96-A74C-4943-8456-154FF8E6631C}"/>
    <cellStyle name="40% - Accent5 3 5 2 3" xfId="16399" xr:uid="{9675B1C6-34A0-4F62-9F91-5A4EC6C4DC01}"/>
    <cellStyle name="40% - Accent5 3 5 2 4" xfId="25649" xr:uid="{CA21F354-BA81-4F32-BF22-F98F9413AB6E}"/>
    <cellStyle name="40% - Accent5 3 5 2 5" xfId="12188" xr:uid="{1398DBF3-8E8F-4CA4-A956-3AB090B16961}"/>
    <cellStyle name="40% - Accent5 3 5 3" xfId="5832" xr:uid="{00000000-0005-0000-0000-0000B2060000}"/>
    <cellStyle name="40% - Accent5 3 5 3 2" xfId="18465" xr:uid="{DEA1B5DD-642A-4EF9-BB9E-AD9ED0FAB623}"/>
    <cellStyle name="40% - Accent5 3 5 4" xfId="14254" xr:uid="{25168912-5EBD-44D2-8FF8-B87857957398}"/>
    <cellStyle name="40% - Accent5 3 5 5" xfId="23504" xr:uid="{1E66C7BB-FA8B-4667-8F8B-9B083094D92C}"/>
    <cellStyle name="40% - Accent5 3 5 6" xfId="10043" xr:uid="{54BD3487-9654-4C15-B178-F6436C1C6141}"/>
    <cellStyle name="40% - Accent5 3 6" xfId="1937" xr:uid="{00000000-0005-0000-0000-0000B3060000}"/>
    <cellStyle name="40% - Accent5 3 6 2" xfId="4166" xr:uid="{00000000-0005-0000-0000-0000B4060000}"/>
    <cellStyle name="40% - Accent5 3 6 2 2" xfId="8390" xr:uid="{00000000-0005-0000-0000-0000B5060000}"/>
    <cellStyle name="40% - Accent5 3 6 2 2 2" xfId="21023" xr:uid="{BFF12604-16BA-4E4D-B362-77F1468223D8}"/>
    <cellStyle name="40% - Accent5 3 6 2 3" xfId="16812" xr:uid="{F6C01C09-17E6-4528-9A48-5D13E3B3E044}"/>
    <cellStyle name="40% - Accent5 3 6 2 4" xfId="26062" xr:uid="{FF44F6BC-B40A-482D-8612-36CB6CA4B06C}"/>
    <cellStyle name="40% - Accent5 3 6 2 5" xfId="12601" xr:uid="{8FC4EF7A-A0DF-4096-963D-CF24520AEAFF}"/>
    <cellStyle name="40% - Accent5 3 6 3" xfId="6245" xr:uid="{00000000-0005-0000-0000-0000B6060000}"/>
    <cellStyle name="40% - Accent5 3 6 3 2" xfId="18878" xr:uid="{646AC069-1E02-4B1A-A2CB-443493875D33}"/>
    <cellStyle name="40% - Accent5 3 6 4" xfId="14667" xr:uid="{85306D49-ACDE-489A-88F3-034F12F24D9D}"/>
    <cellStyle name="40% - Accent5 3 6 5" xfId="23917" xr:uid="{EFE7C9C9-CAA3-4BB7-8A1D-7F0026C27AF0}"/>
    <cellStyle name="40% - Accent5 3 6 6" xfId="10456" xr:uid="{E52C83B6-DB55-4FB1-9C93-08A7A26E580B}"/>
    <cellStyle name="40% - Accent5 3 7" xfId="2350" xr:uid="{00000000-0005-0000-0000-0000B7060000}"/>
    <cellStyle name="40% - Accent5 3 7 2" xfId="6658" xr:uid="{00000000-0005-0000-0000-0000B8060000}"/>
    <cellStyle name="40% - Accent5 3 7 2 2" xfId="19291" xr:uid="{D7533970-AAD9-4D3F-9F4F-DC4DE301DF4B}"/>
    <cellStyle name="40% - Accent5 3 7 3" xfId="15080" xr:uid="{A58BF8D2-AC7E-4850-954D-A80B8134BD41}"/>
    <cellStyle name="40% - Accent5 3 7 4" xfId="24330" xr:uid="{4F0DD4F3-A5F6-4A6F-BB94-D8EFD5554465}"/>
    <cellStyle name="40% - Accent5 3 7 5" xfId="10869" xr:uid="{671371B9-A190-43B9-AA94-ED1C6E445DF2}"/>
    <cellStyle name="40% - Accent5 3 8" xfId="4592" xr:uid="{00000000-0005-0000-0000-0000B9060000}"/>
    <cellStyle name="40% - Accent5 3 8 2" xfId="17225" xr:uid="{1C69E5DA-08AC-4D0F-BF97-1B6A3F982D28}"/>
    <cellStyle name="40% - Accent5 3 9" xfId="21436" xr:uid="{20A3794F-9960-4771-8506-84C3817855B1}"/>
    <cellStyle name="40% - Accent5 4" xfId="88" xr:uid="{00000000-0005-0000-0000-0000BA060000}"/>
    <cellStyle name="40% - Accent5 4 10" xfId="22266" xr:uid="{24E86E8F-3F55-44FD-8A0A-EA8B1DFD7B00}"/>
    <cellStyle name="40% - Accent5 4 11" xfId="8805" xr:uid="{F3D2A86A-D2F4-4C7F-8A3F-76E703652E82}"/>
    <cellStyle name="40% - Accent5 4 2" xfId="658" xr:uid="{00000000-0005-0000-0000-0000BB060000}"/>
    <cellStyle name="40% - Accent5 4 2 2" xfId="2929" xr:uid="{00000000-0005-0000-0000-0000BC060000}"/>
    <cellStyle name="40% - Accent5 4 2 2 2" xfId="7153" xr:uid="{00000000-0005-0000-0000-0000BD060000}"/>
    <cellStyle name="40% - Accent5 4 2 2 2 2" xfId="19786" xr:uid="{13C4967E-768A-417B-B3AB-06649A9E41DD}"/>
    <cellStyle name="40% - Accent5 4 2 2 3" xfId="15575" xr:uid="{8975A480-313B-4F28-A662-33E01A9F7678}"/>
    <cellStyle name="40% - Accent5 4 2 2 4" xfId="24825" xr:uid="{46AD9573-B2B6-488C-8D07-7E33DE60599F}"/>
    <cellStyle name="40% - Accent5 4 2 2 5" xfId="11364" xr:uid="{9EEE57F4-C7E2-42EF-BAC0-7F2174938EBF}"/>
    <cellStyle name="40% - Accent5 4 2 3" xfId="5008" xr:uid="{00000000-0005-0000-0000-0000BE060000}"/>
    <cellStyle name="40% - Accent5 4 2 3 2" xfId="17641" xr:uid="{61F3FA27-91DF-4287-8901-563BF1B97045}"/>
    <cellStyle name="40% - Accent5 4 2 4" xfId="21851" xr:uid="{681B6397-E3EF-486F-98A6-8E91A5B18327}"/>
    <cellStyle name="40% - Accent5 4 2 5" xfId="13430" xr:uid="{0C97D581-CECB-4701-B394-61FA932B9CA3}"/>
    <cellStyle name="40% - Accent5 4 2 6" xfId="22680" xr:uid="{5CDCE864-4E73-459C-A102-CC04199EE43F}"/>
    <cellStyle name="40% - Accent5 4 2 7" xfId="9219" xr:uid="{359CE667-D847-408D-B33F-856B549D33C4}"/>
    <cellStyle name="40% - Accent5 4 3" xfId="1111" xr:uid="{00000000-0005-0000-0000-0000BF060000}"/>
    <cellStyle name="40% - Accent5 4 3 2" xfId="3342" xr:uid="{00000000-0005-0000-0000-0000C0060000}"/>
    <cellStyle name="40% - Accent5 4 3 2 2" xfId="7566" xr:uid="{00000000-0005-0000-0000-0000C1060000}"/>
    <cellStyle name="40% - Accent5 4 3 2 2 2" xfId="20199" xr:uid="{045E2B49-4118-450E-9302-4046FFFC08C3}"/>
    <cellStyle name="40% - Accent5 4 3 2 3" xfId="15988" xr:uid="{60B06FB0-3D7E-4F39-8187-3743D9B8049C}"/>
    <cellStyle name="40% - Accent5 4 3 2 4" xfId="25238" xr:uid="{605B191E-8A47-4CA9-A73A-D946CBBB0E89}"/>
    <cellStyle name="40% - Accent5 4 3 2 5" xfId="11777" xr:uid="{0720F5A2-2472-4FBE-8AEB-7F6190A0F384}"/>
    <cellStyle name="40% - Accent5 4 3 3" xfId="5421" xr:uid="{00000000-0005-0000-0000-0000C2060000}"/>
    <cellStyle name="40% - Accent5 4 3 3 2" xfId="18054" xr:uid="{F30CB5A7-7BA4-4593-9FE2-FF9F5373420B}"/>
    <cellStyle name="40% - Accent5 4 3 4" xfId="13843" xr:uid="{97373726-03BD-42D5-92E4-53ABC56DD61B}"/>
    <cellStyle name="40% - Accent5 4 3 5" xfId="23093" xr:uid="{CA780031-0A88-4BDF-883F-B080C3401090}"/>
    <cellStyle name="40% - Accent5 4 3 6" xfId="9632" xr:uid="{EBFDDD31-D318-4D3A-BDCF-D963D4CA8475}"/>
    <cellStyle name="40% - Accent5 4 4" xfId="1525" xr:uid="{00000000-0005-0000-0000-0000C3060000}"/>
    <cellStyle name="40% - Accent5 4 4 2" xfId="3755" xr:uid="{00000000-0005-0000-0000-0000C4060000}"/>
    <cellStyle name="40% - Accent5 4 4 2 2" xfId="7979" xr:uid="{00000000-0005-0000-0000-0000C5060000}"/>
    <cellStyle name="40% - Accent5 4 4 2 2 2" xfId="20612" xr:uid="{E477E862-A799-4B9B-9BA9-AAA9802883B1}"/>
    <cellStyle name="40% - Accent5 4 4 2 3" xfId="16401" xr:uid="{576E4C3C-8627-48E3-8CB5-F920F1D18BBB}"/>
    <cellStyle name="40% - Accent5 4 4 2 4" xfId="25651" xr:uid="{A413DBD5-D654-4B99-8DFC-F86870B58646}"/>
    <cellStyle name="40% - Accent5 4 4 2 5" xfId="12190" xr:uid="{3D313317-254A-4777-8AF3-8FBB0506A7A4}"/>
    <cellStyle name="40% - Accent5 4 4 3" xfId="5834" xr:uid="{00000000-0005-0000-0000-0000C6060000}"/>
    <cellStyle name="40% - Accent5 4 4 3 2" xfId="18467" xr:uid="{FB6337D9-22A8-435C-90F2-03B7009ABDE7}"/>
    <cellStyle name="40% - Accent5 4 4 4" xfId="14256" xr:uid="{188F7BF1-B41A-4D6C-A282-B5BD684F8CBC}"/>
    <cellStyle name="40% - Accent5 4 4 5" xfId="23506" xr:uid="{7ECC10DB-DA55-45DE-A18E-8B37904E58C9}"/>
    <cellStyle name="40% - Accent5 4 4 6" xfId="10045" xr:uid="{C068D65F-B8AC-4D56-A1B3-FD39DDE01C03}"/>
    <cellStyle name="40% - Accent5 4 5" xfId="1939" xr:uid="{00000000-0005-0000-0000-0000C7060000}"/>
    <cellStyle name="40% - Accent5 4 5 2" xfId="4168" xr:uid="{00000000-0005-0000-0000-0000C8060000}"/>
    <cellStyle name="40% - Accent5 4 5 2 2" xfId="8392" xr:uid="{00000000-0005-0000-0000-0000C9060000}"/>
    <cellStyle name="40% - Accent5 4 5 2 2 2" xfId="21025" xr:uid="{139F491A-C910-431A-9966-6AFF3B22070E}"/>
    <cellStyle name="40% - Accent5 4 5 2 3" xfId="16814" xr:uid="{957D4DC7-A81F-446E-BB1F-0B1AD8E2AD51}"/>
    <cellStyle name="40% - Accent5 4 5 2 4" xfId="26064" xr:uid="{23103D7D-9784-4E61-A2A8-C3A59478A1DA}"/>
    <cellStyle name="40% - Accent5 4 5 2 5" xfId="12603" xr:uid="{D21A96E3-F7DC-4E41-9680-07AC9DA4D4BE}"/>
    <cellStyle name="40% - Accent5 4 5 3" xfId="6247" xr:uid="{00000000-0005-0000-0000-0000CA060000}"/>
    <cellStyle name="40% - Accent5 4 5 3 2" xfId="18880" xr:uid="{D781E66C-104B-4384-B976-AE0A81BE47A8}"/>
    <cellStyle name="40% - Accent5 4 5 4" xfId="14669" xr:uid="{6D31B8F1-C7CE-4CA4-81B2-2815B61C9C94}"/>
    <cellStyle name="40% - Accent5 4 5 5" xfId="23919" xr:uid="{9BB0F647-EA46-41B4-8DE2-251C92FF6E8A}"/>
    <cellStyle name="40% - Accent5 4 5 6" xfId="10458" xr:uid="{BFD201B3-8D31-4069-872D-7518BFA802F1}"/>
    <cellStyle name="40% - Accent5 4 6" xfId="2352" xr:uid="{00000000-0005-0000-0000-0000CB060000}"/>
    <cellStyle name="40% - Accent5 4 6 2" xfId="6660" xr:uid="{00000000-0005-0000-0000-0000CC060000}"/>
    <cellStyle name="40% - Accent5 4 6 2 2" xfId="19293" xr:uid="{83E03EA8-112A-43C2-A276-CF5CAFE869A3}"/>
    <cellStyle name="40% - Accent5 4 6 3" xfId="15082" xr:uid="{68742711-5506-42E9-9E37-D6E3B856F571}"/>
    <cellStyle name="40% - Accent5 4 6 4" xfId="24332" xr:uid="{0342DC98-F693-47CB-8D89-639986AD1B2D}"/>
    <cellStyle name="40% - Accent5 4 6 5" xfId="10871" xr:uid="{E0C1FFBB-1776-4A65-8EF7-A25FC9CE68F8}"/>
    <cellStyle name="40% - Accent5 4 7" xfId="4594" xr:uid="{00000000-0005-0000-0000-0000CD060000}"/>
    <cellStyle name="40% - Accent5 4 7 2" xfId="17227" xr:uid="{A4309ABA-E730-4689-8909-29D36B3AF456}"/>
    <cellStyle name="40% - Accent5 4 8" xfId="21438" xr:uid="{24143796-5B1A-495F-B7B8-E36F38D1BE99}"/>
    <cellStyle name="40% - Accent5 4 9" xfId="13016" xr:uid="{E17155EE-1697-4696-BF6A-FCF5D1222197}"/>
    <cellStyle name="40% - Accent5 5" xfId="651" xr:uid="{00000000-0005-0000-0000-0000CE060000}"/>
    <cellStyle name="40% - Accent5 5 2" xfId="2922" xr:uid="{00000000-0005-0000-0000-0000CF060000}"/>
    <cellStyle name="40% - Accent5 5 2 2" xfId="7146" xr:uid="{00000000-0005-0000-0000-0000D0060000}"/>
    <cellStyle name="40% - Accent5 5 2 2 2" xfId="19779" xr:uid="{EDED8527-081E-4BE6-A20B-0834BE1E3042}"/>
    <cellStyle name="40% - Accent5 5 2 3" xfId="15568" xr:uid="{954405D2-D455-4677-AA48-F2BE04CFCD6F}"/>
    <cellStyle name="40% - Accent5 5 2 4" xfId="24818" xr:uid="{F80C31D5-47E0-469B-836B-9A0F135C1865}"/>
    <cellStyle name="40% - Accent5 5 2 5" xfId="11357" xr:uid="{9C9F338E-9261-4D6A-8E74-FC9F07140451}"/>
    <cellStyle name="40% - Accent5 5 3" xfId="5001" xr:uid="{00000000-0005-0000-0000-0000D1060000}"/>
    <cellStyle name="40% - Accent5 5 3 2" xfId="17634" xr:uid="{E05C0247-B4F8-491E-BF47-811C01B69207}"/>
    <cellStyle name="40% - Accent5 5 4" xfId="21844" xr:uid="{130CEF8E-E6C4-4B1E-A8BB-6AB0DB43E365}"/>
    <cellStyle name="40% - Accent5 5 5" xfId="13423" xr:uid="{0D22AEA1-9984-4846-9DA3-165394AF7FAF}"/>
    <cellStyle name="40% - Accent5 5 6" xfId="22673" xr:uid="{C1187027-EE58-4DAE-AD9B-23BCAD62483F}"/>
    <cellStyle name="40% - Accent5 5 7" xfId="9212" xr:uid="{948D2D89-DF0C-4A9C-881C-8F67B74F76B6}"/>
    <cellStyle name="40% - Accent5 6" xfId="1104" xr:uid="{00000000-0005-0000-0000-0000D2060000}"/>
    <cellStyle name="40% - Accent5 6 2" xfId="3335" xr:uid="{00000000-0005-0000-0000-0000D3060000}"/>
    <cellStyle name="40% - Accent5 6 2 2" xfId="7559" xr:uid="{00000000-0005-0000-0000-0000D4060000}"/>
    <cellStyle name="40% - Accent5 6 2 2 2" xfId="20192" xr:uid="{21AF49E8-91A6-4DCA-964D-4084BC90A53F}"/>
    <cellStyle name="40% - Accent5 6 2 3" xfId="15981" xr:uid="{21049BBF-00D1-406A-A48E-B6D460EB80C3}"/>
    <cellStyle name="40% - Accent5 6 2 4" xfId="25231" xr:uid="{469D681E-64EF-4895-87C8-087DBEE128E5}"/>
    <cellStyle name="40% - Accent5 6 2 5" xfId="11770" xr:uid="{B8FD7908-A76B-4B90-AFF8-5CB1909370AA}"/>
    <cellStyle name="40% - Accent5 6 3" xfId="5414" xr:uid="{00000000-0005-0000-0000-0000D5060000}"/>
    <cellStyle name="40% - Accent5 6 3 2" xfId="18047" xr:uid="{33A7BBBC-8C24-4261-8C74-C0A0867FF253}"/>
    <cellStyle name="40% - Accent5 6 4" xfId="13836" xr:uid="{30E641B5-3C5A-4CE5-BBB8-435D62636D8C}"/>
    <cellStyle name="40% - Accent5 6 5" xfId="23086" xr:uid="{8A78D774-9636-4DDE-AE20-25F7A6ABA750}"/>
    <cellStyle name="40% - Accent5 6 6" xfId="9625" xr:uid="{C6ADD81E-D435-4C1A-A10F-749523BE1115}"/>
    <cellStyle name="40% - Accent5 7" xfId="1518" xr:uid="{00000000-0005-0000-0000-0000D6060000}"/>
    <cellStyle name="40% - Accent5 7 2" xfId="3748" xr:uid="{00000000-0005-0000-0000-0000D7060000}"/>
    <cellStyle name="40% - Accent5 7 2 2" xfId="7972" xr:uid="{00000000-0005-0000-0000-0000D8060000}"/>
    <cellStyle name="40% - Accent5 7 2 2 2" xfId="20605" xr:uid="{611A6EA3-2157-4E13-9D7B-5106499DBD38}"/>
    <cellStyle name="40% - Accent5 7 2 3" xfId="16394" xr:uid="{58B02010-9CC2-4129-B1CE-284DD5E0EE4A}"/>
    <cellStyle name="40% - Accent5 7 2 4" xfId="25644" xr:uid="{D083CC2B-8E0F-4B40-9608-68B0F50C4837}"/>
    <cellStyle name="40% - Accent5 7 2 5" xfId="12183" xr:uid="{CFC2133B-2B4C-410A-9034-6C6D1DA00799}"/>
    <cellStyle name="40% - Accent5 7 3" xfId="5827" xr:uid="{00000000-0005-0000-0000-0000D9060000}"/>
    <cellStyle name="40% - Accent5 7 3 2" xfId="18460" xr:uid="{D715BBBD-B7FD-4F73-8129-531F401CB818}"/>
    <cellStyle name="40% - Accent5 7 4" xfId="14249" xr:uid="{C450A5E4-2B71-46B0-AD13-B1DAF56E80D5}"/>
    <cellStyle name="40% - Accent5 7 5" xfId="23499" xr:uid="{42F959E9-00F8-40BB-969A-7C85F1C52203}"/>
    <cellStyle name="40% - Accent5 7 6" xfId="10038" xr:uid="{EAE0D446-5B4F-47A7-97E4-CE4B6C8D4C77}"/>
    <cellStyle name="40% - Accent5 8" xfId="1932" xr:uid="{00000000-0005-0000-0000-0000DA060000}"/>
    <cellStyle name="40% - Accent5 8 2" xfId="4161" xr:uid="{00000000-0005-0000-0000-0000DB060000}"/>
    <cellStyle name="40% - Accent5 8 2 2" xfId="8385" xr:uid="{00000000-0005-0000-0000-0000DC060000}"/>
    <cellStyle name="40% - Accent5 8 2 2 2" xfId="21018" xr:uid="{CEA428F5-85DF-4B0F-9442-25F9A145111C}"/>
    <cellStyle name="40% - Accent5 8 2 3" xfId="16807" xr:uid="{B342FE2A-5E50-45C3-934A-E3BAB015DBB9}"/>
    <cellStyle name="40% - Accent5 8 2 4" xfId="26057" xr:uid="{2C4759C3-F67D-4D27-8132-216BFBF52EAF}"/>
    <cellStyle name="40% - Accent5 8 2 5" xfId="12596" xr:uid="{5E93C974-3B49-44D1-BEA8-861FD5EA6E20}"/>
    <cellStyle name="40% - Accent5 8 3" xfId="6240" xr:uid="{00000000-0005-0000-0000-0000DD060000}"/>
    <cellStyle name="40% - Accent5 8 3 2" xfId="18873" xr:uid="{8752884B-1CFB-4DD1-80BA-9AC4D7AEC035}"/>
    <cellStyle name="40% - Accent5 8 4" xfId="14662" xr:uid="{175370C6-9940-4D16-80F8-35E8D3C69375}"/>
    <cellStyle name="40% - Accent5 8 5" xfId="23912" xr:uid="{074BF708-4223-4FD4-9971-1F97CA14607B}"/>
    <cellStyle name="40% - Accent5 8 6" xfId="10451" xr:uid="{939F55A2-DA8F-4933-99A7-F4F089670493}"/>
    <cellStyle name="40% - Accent5 9" xfId="2345" xr:uid="{00000000-0005-0000-0000-0000DE060000}"/>
    <cellStyle name="40% - Accent5 9 2" xfId="6653" xr:uid="{00000000-0005-0000-0000-0000DF060000}"/>
    <cellStyle name="40% - Accent5 9 2 2" xfId="19286" xr:uid="{87E0CA64-1FF3-40CC-9A96-2F340A92455F}"/>
    <cellStyle name="40% - Accent5 9 3" xfId="15075" xr:uid="{D4221D62-1E96-43FF-9981-366DADCAE584}"/>
    <cellStyle name="40% - Accent5 9 4" xfId="24325" xr:uid="{A1AA37F2-1C87-42C1-BC81-B6F0679EF72F}"/>
    <cellStyle name="40% - Accent5 9 5" xfId="10864" xr:uid="{7628C64C-9D52-4039-8AA9-177297D1EEA2}"/>
    <cellStyle name="40% - Accent6" xfId="89" builtinId="51" customBuiltin="1"/>
    <cellStyle name="40% - Accent6 10" xfId="4595" xr:uid="{00000000-0005-0000-0000-0000E1060000}"/>
    <cellStyle name="40% - Accent6 10 2" xfId="17228" xr:uid="{513424E1-B0BE-4F62-90DE-17F952749D16}"/>
    <cellStyle name="40% - Accent6 11" xfId="21439" xr:uid="{22D6BD41-D7C7-4CB1-8426-71833CBEFD76}"/>
    <cellStyle name="40% - Accent6 12" xfId="13017" xr:uid="{39987788-1ECB-4BF6-B6AC-25EF8307A79D}"/>
    <cellStyle name="40% - Accent6 13" xfId="22267" xr:uid="{839EFA43-4B29-4804-AC2C-54209B773FEC}"/>
    <cellStyle name="40% - Accent6 14" xfId="8806" xr:uid="{7775007C-157B-4E28-8280-8449469A78BE}"/>
    <cellStyle name="40% - Accent6 2" xfId="90" xr:uid="{00000000-0005-0000-0000-0000E2060000}"/>
    <cellStyle name="40% - Accent6 2 10" xfId="21440" xr:uid="{6B0E377F-0F7F-4591-8498-4CA9809C1B5F}"/>
    <cellStyle name="40% - Accent6 2 11" xfId="13018" xr:uid="{97C4C195-EA9C-464B-8DD7-5FDE51E1EEB8}"/>
    <cellStyle name="40% - Accent6 2 12" xfId="22268" xr:uid="{4E5A7C02-CACF-4309-9EA6-71622174A3FF}"/>
    <cellStyle name="40% - Accent6 2 13" xfId="8807" xr:uid="{C59D2148-A9B7-41CF-824A-CF1642BCC11E}"/>
    <cellStyle name="40% - Accent6 2 2" xfId="91" xr:uid="{00000000-0005-0000-0000-0000E3060000}"/>
    <cellStyle name="40% - Accent6 2 2 10" xfId="13019" xr:uid="{D046A06D-F663-4B32-A285-2FE933F85471}"/>
    <cellStyle name="40% - Accent6 2 2 11" xfId="22269" xr:uid="{5F0C9E77-8543-46C5-BD6B-7EE5E13E59FC}"/>
    <cellStyle name="40% - Accent6 2 2 12" xfId="8808" xr:uid="{2BE2E1B8-85FC-4E98-9224-1DD0C9AEA455}"/>
    <cellStyle name="40% - Accent6 2 2 2" xfId="92" xr:uid="{00000000-0005-0000-0000-0000E4060000}"/>
    <cellStyle name="40% - Accent6 2 2 2 10" xfId="22270" xr:uid="{1AB783C4-A3EA-4C4B-A229-3A5AB710D842}"/>
    <cellStyle name="40% - Accent6 2 2 2 11" xfId="8809" xr:uid="{631683AB-7046-4C46-981E-8BA3EFCC514A}"/>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9790" xr:uid="{4465B9B9-D383-4DA8-8245-8A8A5EB2FCC0}"/>
    <cellStyle name="40% - Accent6 2 2 2 2 2 3" xfId="15579" xr:uid="{E28B24C7-733E-40C4-B707-247AB310963F}"/>
    <cellStyle name="40% - Accent6 2 2 2 2 2 4" xfId="24829" xr:uid="{C4D46410-030C-4A04-A610-09D48111945B}"/>
    <cellStyle name="40% - Accent6 2 2 2 2 2 5" xfId="11368" xr:uid="{C437F12B-CF76-473F-AEEF-98B20B81C85D}"/>
    <cellStyle name="40% - Accent6 2 2 2 2 3" xfId="5012" xr:uid="{00000000-0005-0000-0000-0000E8060000}"/>
    <cellStyle name="40% - Accent6 2 2 2 2 3 2" xfId="17645" xr:uid="{FACFEA80-071F-4D0C-B400-BF15256BB1A5}"/>
    <cellStyle name="40% - Accent6 2 2 2 2 4" xfId="21855" xr:uid="{D36CE2E0-02F3-45C0-988C-63B489BEE65D}"/>
    <cellStyle name="40% - Accent6 2 2 2 2 5" xfId="13434" xr:uid="{71C796B7-9D98-4971-A179-EC6D3D49FAF7}"/>
    <cellStyle name="40% - Accent6 2 2 2 2 6" xfId="22684" xr:uid="{A30350C7-DA20-4A1F-87E0-E1A1849702CF}"/>
    <cellStyle name="40% - Accent6 2 2 2 2 7" xfId="9223" xr:uid="{56003E43-B0F2-422D-B8C8-21A37BFB9AD4}"/>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20203" xr:uid="{3E9ECF68-4705-487D-8D65-7E48B51633F1}"/>
    <cellStyle name="40% - Accent6 2 2 2 3 2 3" xfId="15992" xr:uid="{42B33CF7-002B-4EA9-BB57-CEF231C58C5B}"/>
    <cellStyle name="40% - Accent6 2 2 2 3 2 4" xfId="25242" xr:uid="{1AF46D6A-5FD9-41B4-ADBD-F82459E6448D}"/>
    <cellStyle name="40% - Accent6 2 2 2 3 2 5" xfId="11781" xr:uid="{469B7B0D-AD76-4896-AC18-3AC76C0E3EB6}"/>
    <cellStyle name="40% - Accent6 2 2 2 3 3" xfId="5425" xr:uid="{00000000-0005-0000-0000-0000EC060000}"/>
    <cellStyle name="40% - Accent6 2 2 2 3 3 2" xfId="18058" xr:uid="{5542CCA2-170D-40AE-B0D9-AB966CC7D055}"/>
    <cellStyle name="40% - Accent6 2 2 2 3 4" xfId="13847" xr:uid="{63D5E6FC-406A-45F9-8653-F4072A4EC72F}"/>
    <cellStyle name="40% - Accent6 2 2 2 3 5" xfId="23097" xr:uid="{7593ECB5-5999-4382-8E8D-14839015A086}"/>
    <cellStyle name="40% - Accent6 2 2 2 3 6" xfId="9636" xr:uid="{BBD75F92-938A-4DC9-BBB4-26C31B206FED}"/>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20616" xr:uid="{3C3329EE-D8E2-42E0-B7FB-84BE3F788AEB}"/>
    <cellStyle name="40% - Accent6 2 2 2 4 2 3" xfId="16405" xr:uid="{323E1A76-21F5-48F9-9B07-AF94368EE3E0}"/>
    <cellStyle name="40% - Accent6 2 2 2 4 2 4" xfId="25655" xr:uid="{8FAA57A9-D3D5-489E-8A3C-AE836CF3A813}"/>
    <cellStyle name="40% - Accent6 2 2 2 4 2 5" xfId="12194" xr:uid="{A79906E3-C5D2-4E54-8E89-D72DABF02EB6}"/>
    <cellStyle name="40% - Accent6 2 2 2 4 3" xfId="5838" xr:uid="{00000000-0005-0000-0000-0000F0060000}"/>
    <cellStyle name="40% - Accent6 2 2 2 4 3 2" xfId="18471" xr:uid="{B49EAC31-C2B5-4EFD-9B49-0539FB262544}"/>
    <cellStyle name="40% - Accent6 2 2 2 4 4" xfId="14260" xr:uid="{503530B4-7497-4A8C-80FC-A6E6E5AD632E}"/>
    <cellStyle name="40% - Accent6 2 2 2 4 5" xfId="23510" xr:uid="{024DF0D7-4CBE-427E-82CF-E5A40135DBC8}"/>
    <cellStyle name="40% - Accent6 2 2 2 4 6" xfId="10049" xr:uid="{C25BF41F-2CEE-483B-8AF9-646FC9962E96}"/>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21029" xr:uid="{6D8D18E4-18D1-4B76-991B-B3684C83487E}"/>
    <cellStyle name="40% - Accent6 2 2 2 5 2 3" xfId="16818" xr:uid="{60BD4933-172E-4D37-B0FB-B5E3050F6ABE}"/>
    <cellStyle name="40% - Accent6 2 2 2 5 2 4" xfId="26068" xr:uid="{1840003C-75F7-4E15-8873-1D8CFB882B58}"/>
    <cellStyle name="40% - Accent6 2 2 2 5 2 5" xfId="12607" xr:uid="{BEC73BAC-4999-4731-9295-6B5B7E42C04D}"/>
    <cellStyle name="40% - Accent6 2 2 2 5 3" xfId="6251" xr:uid="{00000000-0005-0000-0000-0000F4060000}"/>
    <cellStyle name="40% - Accent6 2 2 2 5 3 2" xfId="18884" xr:uid="{6E968ABE-15A9-464B-8753-D55E9B6BFDBC}"/>
    <cellStyle name="40% - Accent6 2 2 2 5 4" xfId="14673" xr:uid="{A7EC8059-E7D3-4925-B8E8-FA82F445B0D8}"/>
    <cellStyle name="40% - Accent6 2 2 2 5 5" xfId="23923" xr:uid="{A0D2F6AB-2C80-4B90-A2FE-635C307900C5}"/>
    <cellStyle name="40% - Accent6 2 2 2 5 6" xfId="10462" xr:uid="{17921CD9-CA8F-4E1A-B4EC-B7474E2D7D85}"/>
    <cellStyle name="40% - Accent6 2 2 2 6" xfId="2356" xr:uid="{00000000-0005-0000-0000-0000F5060000}"/>
    <cellStyle name="40% - Accent6 2 2 2 6 2" xfId="6664" xr:uid="{00000000-0005-0000-0000-0000F6060000}"/>
    <cellStyle name="40% - Accent6 2 2 2 6 2 2" xfId="19297" xr:uid="{1030E2D7-7F77-4EB7-816E-5FFC97FF1A82}"/>
    <cellStyle name="40% - Accent6 2 2 2 6 3" xfId="15086" xr:uid="{8647EE1D-773A-410A-AAD5-E59470AD60DA}"/>
    <cellStyle name="40% - Accent6 2 2 2 6 4" xfId="24336" xr:uid="{4F13B578-9F47-4086-BE0D-74343F12121B}"/>
    <cellStyle name="40% - Accent6 2 2 2 6 5" xfId="10875" xr:uid="{39D850D9-242D-4367-9A28-C7F00C926280}"/>
    <cellStyle name="40% - Accent6 2 2 2 7" xfId="4598" xr:uid="{00000000-0005-0000-0000-0000F7060000}"/>
    <cellStyle name="40% - Accent6 2 2 2 7 2" xfId="17231" xr:uid="{127A1C6C-4441-4B33-8FF4-CCD849DFEAC5}"/>
    <cellStyle name="40% - Accent6 2 2 2 8" xfId="21442" xr:uid="{F5FF783C-7F16-4ACA-8002-F49E0B56163B}"/>
    <cellStyle name="40% - Accent6 2 2 2 9" xfId="13020" xr:uid="{78A93B6B-18FB-4F4E-9BCB-4D7049C6077E}"/>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9789" xr:uid="{2DE05581-914D-465B-9B96-B8AB006A1236}"/>
    <cellStyle name="40% - Accent6 2 2 3 2 3" xfId="15578" xr:uid="{676AAA5C-A288-4BCC-867E-93F32347CDDC}"/>
    <cellStyle name="40% - Accent6 2 2 3 2 4" xfId="24828" xr:uid="{03E80A24-BF1A-4D76-A9D7-70428A18742C}"/>
    <cellStyle name="40% - Accent6 2 2 3 2 5" xfId="11367" xr:uid="{B208E27B-7DCD-41C6-89E1-06ECA471C482}"/>
    <cellStyle name="40% - Accent6 2 2 3 3" xfId="5011" xr:uid="{00000000-0005-0000-0000-0000FB060000}"/>
    <cellStyle name="40% - Accent6 2 2 3 3 2" xfId="17644" xr:uid="{5FAB038E-EEEA-4A38-9E62-ADE27A7DCEB2}"/>
    <cellStyle name="40% - Accent6 2 2 3 4" xfId="21854" xr:uid="{47DF0FD6-8E40-4F29-A02E-2CAF477D1112}"/>
    <cellStyle name="40% - Accent6 2 2 3 5" xfId="13433" xr:uid="{B45954F0-E1BF-449D-9CB3-935C00E8A02D}"/>
    <cellStyle name="40% - Accent6 2 2 3 6" xfId="22683" xr:uid="{4186F9BE-3C7C-467B-BD0D-5B55785100CC}"/>
    <cellStyle name="40% - Accent6 2 2 3 7" xfId="9222" xr:uid="{7C313BE1-518D-45AF-A557-5D3E00616411}"/>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20202" xr:uid="{25B611CA-63A2-482E-8EB8-66647B27B1CD}"/>
    <cellStyle name="40% - Accent6 2 2 4 2 3" xfId="15991" xr:uid="{C1AB83D5-BF6E-4B73-8725-1083AF77DA71}"/>
    <cellStyle name="40% - Accent6 2 2 4 2 4" xfId="25241" xr:uid="{DA77F4C0-26DB-4761-850B-DAEB0B21521F}"/>
    <cellStyle name="40% - Accent6 2 2 4 2 5" xfId="11780" xr:uid="{7508816E-187C-489A-9BF8-34CF1BB6E024}"/>
    <cellStyle name="40% - Accent6 2 2 4 3" xfId="5424" xr:uid="{00000000-0005-0000-0000-0000FF060000}"/>
    <cellStyle name="40% - Accent6 2 2 4 3 2" xfId="18057" xr:uid="{1195A70C-59A4-40BA-AB32-D87EAC06006E}"/>
    <cellStyle name="40% - Accent6 2 2 4 4" xfId="13846" xr:uid="{CA59DBC4-2625-41F6-BEBB-9D25E1BB96F3}"/>
    <cellStyle name="40% - Accent6 2 2 4 5" xfId="23096" xr:uid="{570CB403-9715-472D-985D-400FEE6344EF}"/>
    <cellStyle name="40% - Accent6 2 2 4 6" xfId="9635" xr:uid="{3E1BC1C0-B91C-4F58-975A-A8FF9BB3E088}"/>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20615" xr:uid="{190E10AF-48B7-465C-BA50-6B7615C634E3}"/>
    <cellStyle name="40% - Accent6 2 2 5 2 3" xfId="16404" xr:uid="{C4638E64-78A5-496C-B16D-45D8E589F720}"/>
    <cellStyle name="40% - Accent6 2 2 5 2 4" xfId="25654" xr:uid="{75A970AB-282F-4EFD-B6B9-3F6868F87E91}"/>
    <cellStyle name="40% - Accent6 2 2 5 2 5" xfId="12193" xr:uid="{4F21B1E0-883C-4071-A2B2-E5C0C6E0BF46}"/>
    <cellStyle name="40% - Accent6 2 2 5 3" xfId="5837" xr:uid="{00000000-0005-0000-0000-000003070000}"/>
    <cellStyle name="40% - Accent6 2 2 5 3 2" xfId="18470" xr:uid="{6D603BB4-F11E-41E3-B9A2-F4CD8DFB5281}"/>
    <cellStyle name="40% - Accent6 2 2 5 4" xfId="14259" xr:uid="{0F2C8DDC-A93F-4A5B-AD43-F357F14E51E3}"/>
    <cellStyle name="40% - Accent6 2 2 5 5" xfId="23509" xr:uid="{D21704BD-715B-4A9A-B4E0-EE71FA583430}"/>
    <cellStyle name="40% - Accent6 2 2 5 6" xfId="10048" xr:uid="{64BEE28B-A35C-4F50-AE7F-21A4F7BFA465}"/>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21028" xr:uid="{E7F7704D-FA91-4AB2-BED2-66D23C559EA5}"/>
    <cellStyle name="40% - Accent6 2 2 6 2 3" xfId="16817" xr:uid="{892AE03A-41AB-4775-954F-82950131975C}"/>
    <cellStyle name="40% - Accent6 2 2 6 2 4" xfId="26067" xr:uid="{D445D407-0D23-4CFB-926D-B6C80A92D1E9}"/>
    <cellStyle name="40% - Accent6 2 2 6 2 5" xfId="12606" xr:uid="{33C4F731-7473-45C8-9CF9-8FEEF926D027}"/>
    <cellStyle name="40% - Accent6 2 2 6 3" xfId="6250" xr:uid="{00000000-0005-0000-0000-000007070000}"/>
    <cellStyle name="40% - Accent6 2 2 6 3 2" xfId="18883" xr:uid="{CEE2CB52-AB65-4D38-8A36-0A250D894CBB}"/>
    <cellStyle name="40% - Accent6 2 2 6 4" xfId="14672" xr:uid="{07EF9154-75F0-45AC-ADDC-7A16D7DE216C}"/>
    <cellStyle name="40% - Accent6 2 2 6 5" xfId="23922" xr:uid="{525B5964-6533-4EC1-88E9-0D6902B73B27}"/>
    <cellStyle name="40% - Accent6 2 2 6 6" xfId="10461" xr:uid="{6B349AFD-442D-40FE-8C50-854B109D5522}"/>
    <cellStyle name="40% - Accent6 2 2 7" xfId="2355" xr:uid="{00000000-0005-0000-0000-000008070000}"/>
    <cellStyle name="40% - Accent6 2 2 7 2" xfId="6663" xr:uid="{00000000-0005-0000-0000-000009070000}"/>
    <cellStyle name="40% - Accent6 2 2 7 2 2" xfId="19296" xr:uid="{90DBA531-D3DC-413D-B92B-6105278736D6}"/>
    <cellStyle name="40% - Accent6 2 2 7 3" xfId="15085" xr:uid="{1E6C9FE7-0A19-49B9-912D-FEEE0E7E8F7B}"/>
    <cellStyle name="40% - Accent6 2 2 7 4" xfId="24335" xr:uid="{3A2E8B44-40E6-4696-B889-013EA4614B70}"/>
    <cellStyle name="40% - Accent6 2 2 7 5" xfId="10874" xr:uid="{FF74E99C-87D2-4A36-A6D8-DD18C9F83BB4}"/>
    <cellStyle name="40% - Accent6 2 2 8" xfId="4597" xr:uid="{00000000-0005-0000-0000-00000A070000}"/>
    <cellStyle name="40% - Accent6 2 2 8 2" xfId="17230" xr:uid="{74356159-2BD7-4CE8-9CEC-046E1655D35F}"/>
    <cellStyle name="40% - Accent6 2 2 9" xfId="21441" xr:uid="{38076E80-DF4A-48F9-A9F8-0A31D9D9E49D}"/>
    <cellStyle name="40% - Accent6 2 3" xfId="93" xr:uid="{00000000-0005-0000-0000-00000B070000}"/>
    <cellStyle name="40% - Accent6 2 3 10" xfId="22271" xr:uid="{B81329F5-B86C-466A-A378-961137EF0F48}"/>
    <cellStyle name="40% - Accent6 2 3 11" xfId="8810" xr:uid="{3F3D0D88-E252-4ECD-8594-CFF21D1E5DEE}"/>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9791" xr:uid="{7EA18CBD-694E-4BE5-87A4-4A0A61ADDD1D}"/>
    <cellStyle name="40% - Accent6 2 3 2 2 3" xfId="15580" xr:uid="{1C056CD5-5DC8-47BE-AEAC-5B2A34291D4A}"/>
    <cellStyle name="40% - Accent6 2 3 2 2 4" xfId="24830" xr:uid="{B3D400EA-0E5E-4DD4-9136-E2E4337ED8EE}"/>
    <cellStyle name="40% - Accent6 2 3 2 2 5" xfId="11369" xr:uid="{C4CEDB59-5C2D-496A-8457-E8EC5674660B}"/>
    <cellStyle name="40% - Accent6 2 3 2 3" xfId="5013" xr:uid="{00000000-0005-0000-0000-00000F070000}"/>
    <cellStyle name="40% - Accent6 2 3 2 3 2" xfId="17646" xr:uid="{E3EE0CD9-C8E1-4700-9D94-ABAD9B244BF6}"/>
    <cellStyle name="40% - Accent6 2 3 2 4" xfId="21856" xr:uid="{E3B9D9E6-151E-4ACB-81ED-991A8512B76B}"/>
    <cellStyle name="40% - Accent6 2 3 2 5" xfId="13435" xr:uid="{4DB2EDB5-1365-4B69-96BD-F0D697D97C46}"/>
    <cellStyle name="40% - Accent6 2 3 2 6" xfId="22685" xr:uid="{A45DCE94-CF9C-4EDA-B80B-6154B109E005}"/>
    <cellStyle name="40% - Accent6 2 3 2 7" xfId="9224" xr:uid="{D8861AB1-491A-4681-8FEE-839E23129284}"/>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20204" xr:uid="{D921E4E0-DD2D-48BB-A4AB-53914F715B75}"/>
    <cellStyle name="40% - Accent6 2 3 3 2 3" xfId="15993" xr:uid="{F5681E97-F55B-406B-BA45-EAA3DF1573CE}"/>
    <cellStyle name="40% - Accent6 2 3 3 2 4" xfId="25243" xr:uid="{CA3BC853-691A-4441-AE9C-FF79D30C0328}"/>
    <cellStyle name="40% - Accent6 2 3 3 2 5" xfId="11782" xr:uid="{D71A59F0-4C5E-4552-9A0E-7674F783ED57}"/>
    <cellStyle name="40% - Accent6 2 3 3 3" xfId="5426" xr:uid="{00000000-0005-0000-0000-000013070000}"/>
    <cellStyle name="40% - Accent6 2 3 3 3 2" xfId="18059" xr:uid="{3E5AB0E2-7130-4B91-A2F7-33CAC60062DF}"/>
    <cellStyle name="40% - Accent6 2 3 3 4" xfId="13848" xr:uid="{F7B512B9-DE6E-43F8-85A6-2B15F889D5CF}"/>
    <cellStyle name="40% - Accent6 2 3 3 5" xfId="23098" xr:uid="{E74ED5EE-D191-490A-ABFA-77A1D085F84E}"/>
    <cellStyle name="40% - Accent6 2 3 3 6" xfId="9637" xr:uid="{86A19E5E-FD75-498D-92BD-B76EA1931951}"/>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20617" xr:uid="{280B45F9-2EC8-472D-99C9-60315AAEBBFA}"/>
    <cellStyle name="40% - Accent6 2 3 4 2 3" xfId="16406" xr:uid="{73FD9520-57A9-4222-A680-A131D008FC0E}"/>
    <cellStyle name="40% - Accent6 2 3 4 2 4" xfId="25656" xr:uid="{4FE1DAAA-978C-4838-A4AD-6CF27DCF8C98}"/>
    <cellStyle name="40% - Accent6 2 3 4 2 5" xfId="12195" xr:uid="{965D8B24-F046-4F62-8883-CC0D5F0D61B0}"/>
    <cellStyle name="40% - Accent6 2 3 4 3" xfId="5839" xr:uid="{00000000-0005-0000-0000-000017070000}"/>
    <cellStyle name="40% - Accent6 2 3 4 3 2" xfId="18472" xr:uid="{B5138DE1-689E-4241-8F38-5CD9589F40E1}"/>
    <cellStyle name="40% - Accent6 2 3 4 4" xfId="14261" xr:uid="{BA584D8A-5969-4C2C-888E-A397E3441B70}"/>
    <cellStyle name="40% - Accent6 2 3 4 5" xfId="23511" xr:uid="{2D75D57B-F247-4A53-9E0D-7B5899B1F392}"/>
    <cellStyle name="40% - Accent6 2 3 4 6" xfId="10050" xr:uid="{5CB03EB0-AEF4-4CBB-ACF7-16D0B37EA1C0}"/>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21030" xr:uid="{2C8898A7-AFF6-4E7E-947F-BB1513930D6F}"/>
    <cellStyle name="40% - Accent6 2 3 5 2 3" xfId="16819" xr:uid="{54425208-13B0-4AA5-9A56-979B0F07E016}"/>
    <cellStyle name="40% - Accent6 2 3 5 2 4" xfId="26069" xr:uid="{BB574028-3CA7-486D-AD01-E1CA18989889}"/>
    <cellStyle name="40% - Accent6 2 3 5 2 5" xfId="12608" xr:uid="{C709DBA1-C0F1-4ADE-ACC0-4A0E7EC58F2A}"/>
    <cellStyle name="40% - Accent6 2 3 5 3" xfId="6252" xr:uid="{00000000-0005-0000-0000-00001B070000}"/>
    <cellStyle name="40% - Accent6 2 3 5 3 2" xfId="18885" xr:uid="{D60ECC64-330A-4138-BA26-F9362BDFEFC8}"/>
    <cellStyle name="40% - Accent6 2 3 5 4" xfId="14674" xr:uid="{8CA5943F-18F7-4FFE-ACD9-16E7E242FAD7}"/>
    <cellStyle name="40% - Accent6 2 3 5 5" xfId="23924" xr:uid="{B50F00F2-6963-4F9F-924D-A59EA21B7963}"/>
    <cellStyle name="40% - Accent6 2 3 5 6" xfId="10463" xr:uid="{8F989618-AC0D-40B7-AF79-398626549ABE}"/>
    <cellStyle name="40% - Accent6 2 3 6" xfId="2357" xr:uid="{00000000-0005-0000-0000-00001C070000}"/>
    <cellStyle name="40% - Accent6 2 3 6 2" xfId="6665" xr:uid="{00000000-0005-0000-0000-00001D070000}"/>
    <cellStyle name="40% - Accent6 2 3 6 2 2" xfId="19298" xr:uid="{1EE19209-A39A-4482-95A9-47576FE33334}"/>
    <cellStyle name="40% - Accent6 2 3 6 3" xfId="15087" xr:uid="{677A4678-9BD0-469B-9AF1-E871B822BF57}"/>
    <cellStyle name="40% - Accent6 2 3 6 4" xfId="24337" xr:uid="{8D3650DB-7A17-46D7-A145-550EA56F58DE}"/>
    <cellStyle name="40% - Accent6 2 3 6 5" xfId="10876" xr:uid="{D5474D7B-BC63-4570-96DA-5F1D24420B07}"/>
    <cellStyle name="40% - Accent6 2 3 7" xfId="4599" xr:uid="{00000000-0005-0000-0000-00001E070000}"/>
    <cellStyle name="40% - Accent6 2 3 7 2" xfId="17232" xr:uid="{C52A78C0-B336-478D-8A6F-CCFFD3EBE2F1}"/>
    <cellStyle name="40% - Accent6 2 3 8" xfId="21443" xr:uid="{A4C06CEC-BC46-4F9F-8355-6681B002213A}"/>
    <cellStyle name="40% - Accent6 2 3 9" xfId="13021" xr:uid="{AE90FADA-DCD5-40BA-9534-4571AE2653BA}"/>
    <cellStyle name="40% - Accent6 2 4" xfId="660" xr:uid="{00000000-0005-0000-0000-00001F070000}"/>
    <cellStyle name="40% - Accent6 2 4 2" xfId="2931" xr:uid="{00000000-0005-0000-0000-000020070000}"/>
    <cellStyle name="40% - Accent6 2 4 2 2" xfId="7155" xr:uid="{00000000-0005-0000-0000-000021070000}"/>
    <cellStyle name="40% - Accent6 2 4 2 2 2" xfId="19788" xr:uid="{4E7B3068-6B5C-430D-AB6E-09C7098295F4}"/>
    <cellStyle name="40% - Accent6 2 4 2 3" xfId="15577" xr:uid="{3B1C025A-78DE-493B-AAD5-7E918BAAC4AB}"/>
    <cellStyle name="40% - Accent6 2 4 2 4" xfId="24827" xr:uid="{25139847-B25F-4C81-A5DB-59B4BCB76384}"/>
    <cellStyle name="40% - Accent6 2 4 2 5" xfId="11366" xr:uid="{390AACCD-087A-47B0-B7A5-286942077847}"/>
    <cellStyle name="40% - Accent6 2 4 3" xfId="5010" xr:uid="{00000000-0005-0000-0000-000022070000}"/>
    <cellStyle name="40% - Accent6 2 4 3 2" xfId="17643" xr:uid="{9A822FBE-79D4-4BB7-8A80-205CC4ACF9E8}"/>
    <cellStyle name="40% - Accent6 2 4 4" xfId="21853" xr:uid="{46FA3CB6-7A02-40E0-8195-B1FFEBADCF83}"/>
    <cellStyle name="40% - Accent6 2 4 5" xfId="13432" xr:uid="{4BB9AAE2-84B9-4A37-87D9-92574E097491}"/>
    <cellStyle name="40% - Accent6 2 4 6" xfId="22682" xr:uid="{AD483633-B81A-484E-99F7-651243696914}"/>
    <cellStyle name="40% - Accent6 2 4 7" xfId="9221" xr:uid="{A100E552-2F88-4478-A728-8182917C6047}"/>
    <cellStyle name="40% - Accent6 2 5" xfId="1113" xr:uid="{00000000-0005-0000-0000-000023070000}"/>
    <cellStyle name="40% - Accent6 2 5 2" xfId="3344" xr:uid="{00000000-0005-0000-0000-000024070000}"/>
    <cellStyle name="40% - Accent6 2 5 2 2" xfId="7568" xr:uid="{00000000-0005-0000-0000-000025070000}"/>
    <cellStyle name="40% - Accent6 2 5 2 2 2" xfId="20201" xr:uid="{EDB626B3-32B0-4833-9446-8BD4D879C9E4}"/>
    <cellStyle name="40% - Accent6 2 5 2 3" xfId="15990" xr:uid="{78190740-DFE4-44B5-8A76-F966F2948301}"/>
    <cellStyle name="40% - Accent6 2 5 2 4" xfId="25240" xr:uid="{8335DE9B-74CA-4A52-8509-4990F09CE04D}"/>
    <cellStyle name="40% - Accent6 2 5 2 5" xfId="11779" xr:uid="{2EFA4102-A384-4239-9EF4-919944E8AB71}"/>
    <cellStyle name="40% - Accent6 2 5 3" xfId="5423" xr:uid="{00000000-0005-0000-0000-000026070000}"/>
    <cellStyle name="40% - Accent6 2 5 3 2" xfId="18056" xr:uid="{B38AC446-9059-4796-BBD0-6D3BEDDBB892}"/>
    <cellStyle name="40% - Accent6 2 5 4" xfId="13845" xr:uid="{E85C04B7-CA0D-4321-B5A4-8E8D349AEB6D}"/>
    <cellStyle name="40% - Accent6 2 5 5" xfId="23095" xr:uid="{9BE8C76A-294D-40D8-A531-FCE36E334330}"/>
    <cellStyle name="40% - Accent6 2 5 6" xfId="9634" xr:uid="{C2C872F0-A752-40BE-AFE0-FDF5DA58C410}"/>
    <cellStyle name="40% - Accent6 2 6" xfId="1527" xr:uid="{00000000-0005-0000-0000-000027070000}"/>
    <cellStyle name="40% - Accent6 2 6 2" xfId="3757" xr:uid="{00000000-0005-0000-0000-000028070000}"/>
    <cellStyle name="40% - Accent6 2 6 2 2" xfId="7981" xr:uid="{00000000-0005-0000-0000-000029070000}"/>
    <cellStyle name="40% - Accent6 2 6 2 2 2" xfId="20614" xr:uid="{5A4B9F3E-A349-41B3-9C25-8EBF90638A09}"/>
    <cellStyle name="40% - Accent6 2 6 2 3" xfId="16403" xr:uid="{C4D32D65-F668-454B-82E4-80A4E9792D3D}"/>
    <cellStyle name="40% - Accent6 2 6 2 4" xfId="25653" xr:uid="{31010909-0B9E-42A7-833B-70256C7FFFBB}"/>
    <cellStyle name="40% - Accent6 2 6 2 5" xfId="12192" xr:uid="{B5985E6D-2725-417C-B901-DBB0C8432055}"/>
    <cellStyle name="40% - Accent6 2 6 3" xfId="5836" xr:uid="{00000000-0005-0000-0000-00002A070000}"/>
    <cellStyle name="40% - Accent6 2 6 3 2" xfId="18469" xr:uid="{CC6B47D2-9E28-4225-ADD3-216269EEA145}"/>
    <cellStyle name="40% - Accent6 2 6 4" xfId="14258" xr:uid="{D07F589B-07E8-4524-8E8B-4A7968C30927}"/>
    <cellStyle name="40% - Accent6 2 6 5" xfId="23508" xr:uid="{064E2BBB-1027-48C7-B361-A9025617149C}"/>
    <cellStyle name="40% - Accent6 2 6 6" xfId="10047" xr:uid="{DE3F5E41-4169-4169-9F77-2C863B8D2063}"/>
    <cellStyle name="40% - Accent6 2 7" xfId="1941" xr:uid="{00000000-0005-0000-0000-00002B070000}"/>
    <cellStyle name="40% - Accent6 2 7 2" xfId="4170" xr:uid="{00000000-0005-0000-0000-00002C070000}"/>
    <cellStyle name="40% - Accent6 2 7 2 2" xfId="8394" xr:uid="{00000000-0005-0000-0000-00002D070000}"/>
    <cellStyle name="40% - Accent6 2 7 2 2 2" xfId="21027" xr:uid="{40D74767-0D76-4D3F-8F77-A65AAD8429DF}"/>
    <cellStyle name="40% - Accent6 2 7 2 3" xfId="16816" xr:uid="{22512835-F5BB-4CFB-882E-A9078619D138}"/>
    <cellStyle name="40% - Accent6 2 7 2 4" xfId="26066" xr:uid="{30AD8D2E-F66F-4D47-9039-5C2D93F219E0}"/>
    <cellStyle name="40% - Accent6 2 7 2 5" xfId="12605" xr:uid="{A52FCE7E-D06D-4FF3-8167-D6105E7CE43F}"/>
    <cellStyle name="40% - Accent6 2 7 3" xfId="6249" xr:uid="{00000000-0005-0000-0000-00002E070000}"/>
    <cellStyle name="40% - Accent6 2 7 3 2" xfId="18882" xr:uid="{F9A408CE-5A60-4576-A046-11D9C0F48A7F}"/>
    <cellStyle name="40% - Accent6 2 7 4" xfId="14671" xr:uid="{A2D2A228-BFCC-4D6D-A8B2-4274C81957C1}"/>
    <cellStyle name="40% - Accent6 2 7 5" xfId="23921" xr:uid="{18F1BDB7-7240-4CE6-88D5-6ED7554877EF}"/>
    <cellStyle name="40% - Accent6 2 7 6" xfId="10460" xr:uid="{0D220068-60D8-48ED-A111-60DC219D21A3}"/>
    <cellStyle name="40% - Accent6 2 8" xfId="2354" xr:uid="{00000000-0005-0000-0000-00002F070000}"/>
    <cellStyle name="40% - Accent6 2 8 2" xfId="6662" xr:uid="{00000000-0005-0000-0000-000030070000}"/>
    <cellStyle name="40% - Accent6 2 8 2 2" xfId="19295" xr:uid="{43202ABE-768D-4909-9695-1BC1DE5DDB21}"/>
    <cellStyle name="40% - Accent6 2 8 3" xfId="15084" xr:uid="{41A3EEB0-FDF2-4617-A653-89C37C0741DA}"/>
    <cellStyle name="40% - Accent6 2 8 4" xfId="24334" xr:uid="{03B1E848-F8DD-473B-BEE2-F363D3B597C3}"/>
    <cellStyle name="40% - Accent6 2 8 5" xfId="10873" xr:uid="{FC0A1B00-4325-4F4E-9873-2E23C471FB47}"/>
    <cellStyle name="40% - Accent6 2 9" xfId="4596" xr:uid="{00000000-0005-0000-0000-000031070000}"/>
    <cellStyle name="40% - Accent6 2 9 2" xfId="17229" xr:uid="{0AD0FC4D-D0CB-4DED-B942-5D1171E085B2}"/>
    <cellStyle name="40% - Accent6 3" xfId="94" xr:uid="{00000000-0005-0000-0000-000032070000}"/>
    <cellStyle name="40% - Accent6 3 10" xfId="13022" xr:uid="{87C45B14-2DF2-4C8A-B7B0-3E083962ABCF}"/>
    <cellStyle name="40% - Accent6 3 11" xfId="22272" xr:uid="{ECE1891B-37DF-42B4-965F-D83C230C17DD}"/>
    <cellStyle name="40% - Accent6 3 12" xfId="8811" xr:uid="{6D9663DE-7722-4EF6-B9C7-AE0EEF8E8548}"/>
    <cellStyle name="40% - Accent6 3 2" xfId="95" xr:uid="{00000000-0005-0000-0000-000033070000}"/>
    <cellStyle name="40% - Accent6 3 2 10" xfId="22273" xr:uid="{FD86C27E-883D-4379-B6C5-20B67B5B5657}"/>
    <cellStyle name="40% - Accent6 3 2 11" xfId="8812" xr:uid="{98489CEE-2BDF-416D-8D33-0C1291C840B5}"/>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9793" xr:uid="{C2D2D6AC-4DB2-4E01-9CE5-7AC79493F965}"/>
    <cellStyle name="40% - Accent6 3 2 2 2 3" xfId="15582" xr:uid="{3D70DB70-2B07-4457-8A79-5F262F656AE9}"/>
    <cellStyle name="40% - Accent6 3 2 2 2 4" xfId="24832" xr:uid="{D2DDD3AC-B002-405F-8CC7-DC0393BC20AF}"/>
    <cellStyle name="40% - Accent6 3 2 2 2 5" xfId="11371" xr:uid="{A296EE4D-72E7-49E8-BF9E-A936C0D860E6}"/>
    <cellStyle name="40% - Accent6 3 2 2 3" xfId="5015" xr:uid="{00000000-0005-0000-0000-000037070000}"/>
    <cellStyle name="40% - Accent6 3 2 2 3 2" xfId="17648" xr:uid="{1371EF2F-8015-4060-BD4C-8611415B98BD}"/>
    <cellStyle name="40% - Accent6 3 2 2 4" xfId="21858" xr:uid="{67AC0CDA-D4CB-421F-9987-B9D41822667D}"/>
    <cellStyle name="40% - Accent6 3 2 2 5" xfId="13437" xr:uid="{8F269B64-CD22-4692-B16C-81AA80683BD3}"/>
    <cellStyle name="40% - Accent6 3 2 2 6" xfId="22687" xr:uid="{FD59BAA7-BA4C-4375-B897-BCBC3D432F20}"/>
    <cellStyle name="40% - Accent6 3 2 2 7" xfId="9226" xr:uid="{67449501-06FA-4CD2-B157-089F7D533FA7}"/>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20206" xr:uid="{4485CA8A-66EC-4B34-8B96-3DA30AB8C82B}"/>
    <cellStyle name="40% - Accent6 3 2 3 2 3" xfId="15995" xr:uid="{B7A19FBC-063F-4312-B2DE-C5E3FC06DB29}"/>
    <cellStyle name="40% - Accent6 3 2 3 2 4" xfId="25245" xr:uid="{75985A8F-C2E8-4B3E-9943-2AB6788BCC87}"/>
    <cellStyle name="40% - Accent6 3 2 3 2 5" xfId="11784" xr:uid="{9AB2CBDC-5360-47EC-A6B3-1FFFAD475799}"/>
    <cellStyle name="40% - Accent6 3 2 3 3" xfId="5428" xr:uid="{00000000-0005-0000-0000-00003B070000}"/>
    <cellStyle name="40% - Accent6 3 2 3 3 2" xfId="18061" xr:uid="{06095DDD-F16F-470F-97D6-253C09E784CF}"/>
    <cellStyle name="40% - Accent6 3 2 3 4" xfId="13850" xr:uid="{C82D89F7-0196-474D-BC4D-99322B16DF79}"/>
    <cellStyle name="40% - Accent6 3 2 3 5" xfId="23100" xr:uid="{31E812E3-A639-4E4F-A8BC-70760087511F}"/>
    <cellStyle name="40% - Accent6 3 2 3 6" xfId="9639" xr:uid="{8E291549-3ACE-4F5F-8B9B-7CA1B504A743}"/>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20619" xr:uid="{AB491CF5-18BF-4409-9DB0-E7EB6243D9E3}"/>
    <cellStyle name="40% - Accent6 3 2 4 2 3" xfId="16408" xr:uid="{439553E1-18D1-468B-9A33-C961A4410762}"/>
    <cellStyle name="40% - Accent6 3 2 4 2 4" xfId="25658" xr:uid="{4BD0EBA0-5644-4A92-94CE-9DC42E64F857}"/>
    <cellStyle name="40% - Accent6 3 2 4 2 5" xfId="12197" xr:uid="{26DC6164-5230-46B8-B3E5-7B3C95AAA2B8}"/>
    <cellStyle name="40% - Accent6 3 2 4 3" xfId="5841" xr:uid="{00000000-0005-0000-0000-00003F070000}"/>
    <cellStyle name="40% - Accent6 3 2 4 3 2" xfId="18474" xr:uid="{FAB9D304-92F6-4811-9A7F-4C6CC0DC6435}"/>
    <cellStyle name="40% - Accent6 3 2 4 4" xfId="14263" xr:uid="{62F98B8A-AD41-46DE-95FD-C79C689CFA8B}"/>
    <cellStyle name="40% - Accent6 3 2 4 5" xfId="23513" xr:uid="{910E3A0C-94DA-4F14-B2A4-608587C62D52}"/>
    <cellStyle name="40% - Accent6 3 2 4 6" xfId="10052" xr:uid="{0A1B0E43-7455-4BB5-AB7C-C57047441499}"/>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21032" xr:uid="{FCC0DA79-BE3C-424E-B50F-4A191064F104}"/>
    <cellStyle name="40% - Accent6 3 2 5 2 3" xfId="16821" xr:uid="{C2F6E5FF-E3B0-4EF0-9E64-88A31A2752D3}"/>
    <cellStyle name="40% - Accent6 3 2 5 2 4" xfId="26071" xr:uid="{7671FA83-5CDB-49C2-BDDB-97E454733713}"/>
    <cellStyle name="40% - Accent6 3 2 5 2 5" xfId="12610" xr:uid="{5A3ED30A-7C09-4E63-B325-9FC560FE6A66}"/>
    <cellStyle name="40% - Accent6 3 2 5 3" xfId="6254" xr:uid="{00000000-0005-0000-0000-000043070000}"/>
    <cellStyle name="40% - Accent6 3 2 5 3 2" xfId="18887" xr:uid="{DC0B124F-319C-4D09-B43C-241F87D433DC}"/>
    <cellStyle name="40% - Accent6 3 2 5 4" xfId="14676" xr:uid="{7AADD18F-FCAB-4404-8EE3-49C06091FA98}"/>
    <cellStyle name="40% - Accent6 3 2 5 5" xfId="23926" xr:uid="{9758AB95-697B-4731-8D97-341A82780F36}"/>
    <cellStyle name="40% - Accent6 3 2 5 6" xfId="10465" xr:uid="{810D3911-E71B-4337-9890-7E5CB3EAF6F6}"/>
    <cellStyle name="40% - Accent6 3 2 6" xfId="2359" xr:uid="{00000000-0005-0000-0000-000044070000}"/>
    <cellStyle name="40% - Accent6 3 2 6 2" xfId="6667" xr:uid="{00000000-0005-0000-0000-000045070000}"/>
    <cellStyle name="40% - Accent6 3 2 6 2 2" xfId="19300" xr:uid="{1770644A-BC11-40A7-87A3-57E382D01D7F}"/>
    <cellStyle name="40% - Accent6 3 2 6 3" xfId="15089" xr:uid="{77066C70-BE45-4082-8E8F-ADB25FEA39B9}"/>
    <cellStyle name="40% - Accent6 3 2 6 4" xfId="24339" xr:uid="{6BDE1382-E031-43FA-A562-59CE51E6B807}"/>
    <cellStyle name="40% - Accent6 3 2 6 5" xfId="10878" xr:uid="{76DFCE56-C85D-4568-9D66-C9E41239733D}"/>
    <cellStyle name="40% - Accent6 3 2 7" xfId="4601" xr:uid="{00000000-0005-0000-0000-000046070000}"/>
    <cellStyle name="40% - Accent6 3 2 7 2" xfId="17234" xr:uid="{29DEE982-2A68-4C74-A481-8C0CD3040D1E}"/>
    <cellStyle name="40% - Accent6 3 2 8" xfId="21445" xr:uid="{05EDF8E7-A3E8-48AA-BE2C-B87613545B65}"/>
    <cellStyle name="40% - Accent6 3 2 9" xfId="13023" xr:uid="{381DFA69-19DB-4687-9DE8-455C2F88B5BE}"/>
    <cellStyle name="40% - Accent6 3 3" xfId="664" xr:uid="{00000000-0005-0000-0000-000047070000}"/>
    <cellStyle name="40% - Accent6 3 3 2" xfId="2935" xr:uid="{00000000-0005-0000-0000-000048070000}"/>
    <cellStyle name="40% - Accent6 3 3 2 2" xfId="7159" xr:uid="{00000000-0005-0000-0000-000049070000}"/>
    <cellStyle name="40% - Accent6 3 3 2 2 2" xfId="19792" xr:uid="{A722F0D1-DBE3-400B-AFC0-CC127F75D197}"/>
    <cellStyle name="40% - Accent6 3 3 2 3" xfId="15581" xr:uid="{01AD550B-7C33-4A78-8AF9-B2856B155F17}"/>
    <cellStyle name="40% - Accent6 3 3 2 4" xfId="24831" xr:uid="{62BA60F2-5FBA-4767-92D4-3CFB5930CB31}"/>
    <cellStyle name="40% - Accent6 3 3 2 5" xfId="11370" xr:uid="{AEC4FC75-0574-4256-A3FA-413AE6882CC2}"/>
    <cellStyle name="40% - Accent6 3 3 3" xfId="5014" xr:uid="{00000000-0005-0000-0000-00004A070000}"/>
    <cellStyle name="40% - Accent6 3 3 3 2" xfId="17647" xr:uid="{E124AA30-6E8F-465B-9173-AC246A738B6D}"/>
    <cellStyle name="40% - Accent6 3 3 4" xfId="21857" xr:uid="{761E6E26-5DC4-42D8-9F17-8D6134589D76}"/>
    <cellStyle name="40% - Accent6 3 3 5" xfId="13436" xr:uid="{9D977E37-6D79-45DE-8D49-81906D73573F}"/>
    <cellStyle name="40% - Accent6 3 3 6" xfId="22686" xr:uid="{C1E547BD-1FB1-4855-B480-FA3088664F54}"/>
    <cellStyle name="40% - Accent6 3 3 7" xfId="9225" xr:uid="{FF42CAFB-306B-4316-8739-13FF5C858E27}"/>
    <cellStyle name="40% - Accent6 3 4" xfId="1117" xr:uid="{00000000-0005-0000-0000-00004B070000}"/>
    <cellStyle name="40% - Accent6 3 4 2" xfId="3348" xr:uid="{00000000-0005-0000-0000-00004C070000}"/>
    <cellStyle name="40% - Accent6 3 4 2 2" xfId="7572" xr:uid="{00000000-0005-0000-0000-00004D070000}"/>
    <cellStyle name="40% - Accent6 3 4 2 2 2" xfId="20205" xr:uid="{17992734-9506-4F84-A801-208CB8A59A04}"/>
    <cellStyle name="40% - Accent6 3 4 2 3" xfId="15994" xr:uid="{32B08F23-B245-437A-95E2-E70931E3486A}"/>
    <cellStyle name="40% - Accent6 3 4 2 4" xfId="25244" xr:uid="{6CFEB46D-1F45-4F86-B5C1-F5DF61BB1610}"/>
    <cellStyle name="40% - Accent6 3 4 2 5" xfId="11783" xr:uid="{847C4FE0-447A-4303-A30C-D762A54BEF17}"/>
    <cellStyle name="40% - Accent6 3 4 3" xfId="5427" xr:uid="{00000000-0005-0000-0000-00004E070000}"/>
    <cellStyle name="40% - Accent6 3 4 3 2" xfId="18060" xr:uid="{0AB6EC01-E86F-4310-9C5E-4114E677BE1B}"/>
    <cellStyle name="40% - Accent6 3 4 4" xfId="13849" xr:uid="{790C729F-1E9D-4C9A-9C70-3C87E72EADEB}"/>
    <cellStyle name="40% - Accent6 3 4 5" xfId="23099" xr:uid="{898D9ECA-F1BE-42A6-98FD-2E186F8843A0}"/>
    <cellStyle name="40% - Accent6 3 4 6" xfId="9638" xr:uid="{525101A9-3C67-46BB-8A7B-B2EA239B4E37}"/>
    <cellStyle name="40% - Accent6 3 5" xfId="1531" xr:uid="{00000000-0005-0000-0000-00004F070000}"/>
    <cellStyle name="40% - Accent6 3 5 2" xfId="3761" xr:uid="{00000000-0005-0000-0000-000050070000}"/>
    <cellStyle name="40% - Accent6 3 5 2 2" xfId="7985" xr:uid="{00000000-0005-0000-0000-000051070000}"/>
    <cellStyle name="40% - Accent6 3 5 2 2 2" xfId="20618" xr:uid="{46B2C1AD-C0E1-4E2A-890D-4EDEC7D451B6}"/>
    <cellStyle name="40% - Accent6 3 5 2 3" xfId="16407" xr:uid="{37D77940-EE10-4B78-86BA-28E1264070DA}"/>
    <cellStyle name="40% - Accent6 3 5 2 4" xfId="25657" xr:uid="{1223E43C-8BEF-4383-A9FC-A7DF2C96AE10}"/>
    <cellStyle name="40% - Accent6 3 5 2 5" xfId="12196" xr:uid="{44E05211-A246-4A17-918D-76D9F94B21BA}"/>
    <cellStyle name="40% - Accent6 3 5 3" xfId="5840" xr:uid="{00000000-0005-0000-0000-000052070000}"/>
    <cellStyle name="40% - Accent6 3 5 3 2" xfId="18473" xr:uid="{316D225D-1B73-4274-9815-7904D8EEA6D9}"/>
    <cellStyle name="40% - Accent6 3 5 4" xfId="14262" xr:uid="{C7B2592B-672E-41FC-B949-A09B335FF7CB}"/>
    <cellStyle name="40% - Accent6 3 5 5" xfId="23512" xr:uid="{ECAC4674-28F0-4E8F-8054-1C719F9853D7}"/>
    <cellStyle name="40% - Accent6 3 5 6" xfId="10051" xr:uid="{BB0393D4-1633-4D2B-924C-7E687D7BC992}"/>
    <cellStyle name="40% - Accent6 3 6" xfId="1945" xr:uid="{00000000-0005-0000-0000-000053070000}"/>
    <cellStyle name="40% - Accent6 3 6 2" xfId="4174" xr:uid="{00000000-0005-0000-0000-000054070000}"/>
    <cellStyle name="40% - Accent6 3 6 2 2" xfId="8398" xr:uid="{00000000-0005-0000-0000-000055070000}"/>
    <cellStyle name="40% - Accent6 3 6 2 2 2" xfId="21031" xr:uid="{5FC5AF91-60BA-4DD2-8C87-7D7791A45EBA}"/>
    <cellStyle name="40% - Accent6 3 6 2 3" xfId="16820" xr:uid="{C00C97DA-497F-40D5-B8BE-1BB6BD34CAD6}"/>
    <cellStyle name="40% - Accent6 3 6 2 4" xfId="26070" xr:uid="{9EE004E7-DA19-41F4-9F54-C0E2666A04F3}"/>
    <cellStyle name="40% - Accent6 3 6 2 5" xfId="12609" xr:uid="{D1E59EC2-3DF2-4592-A785-3847AF297372}"/>
    <cellStyle name="40% - Accent6 3 6 3" xfId="6253" xr:uid="{00000000-0005-0000-0000-000056070000}"/>
    <cellStyle name="40% - Accent6 3 6 3 2" xfId="18886" xr:uid="{22749053-03D6-4244-9892-4E448971F6F9}"/>
    <cellStyle name="40% - Accent6 3 6 4" xfId="14675" xr:uid="{05B0DDF5-4BC3-4474-827B-20DCA726F0D1}"/>
    <cellStyle name="40% - Accent6 3 6 5" xfId="23925" xr:uid="{E712086A-F026-427D-90B4-59101B0942B9}"/>
    <cellStyle name="40% - Accent6 3 6 6" xfId="10464" xr:uid="{05374616-CF8A-490E-A7CE-52E7859509E9}"/>
    <cellStyle name="40% - Accent6 3 7" xfId="2358" xr:uid="{00000000-0005-0000-0000-000057070000}"/>
    <cellStyle name="40% - Accent6 3 7 2" xfId="6666" xr:uid="{00000000-0005-0000-0000-000058070000}"/>
    <cellStyle name="40% - Accent6 3 7 2 2" xfId="19299" xr:uid="{811B153B-71F9-4F1A-AAE1-ECF5A080D2D4}"/>
    <cellStyle name="40% - Accent6 3 7 3" xfId="15088" xr:uid="{82496B6E-F8FE-432E-B256-CB887905E30F}"/>
    <cellStyle name="40% - Accent6 3 7 4" xfId="24338" xr:uid="{4DBC72A3-0F98-43FD-AD2C-82381BBF6972}"/>
    <cellStyle name="40% - Accent6 3 7 5" xfId="10877" xr:uid="{0DDF43B4-80DF-4F15-ABE8-DF80A92CDFEE}"/>
    <cellStyle name="40% - Accent6 3 8" xfId="4600" xr:uid="{00000000-0005-0000-0000-000059070000}"/>
    <cellStyle name="40% - Accent6 3 8 2" xfId="17233" xr:uid="{412EB992-7513-4AE8-85EB-156E516B21FF}"/>
    <cellStyle name="40% - Accent6 3 9" xfId="21444" xr:uid="{FD722778-3547-4D70-A57D-0F6AE288279B}"/>
    <cellStyle name="40% - Accent6 4" xfId="96" xr:uid="{00000000-0005-0000-0000-00005A070000}"/>
    <cellStyle name="40% - Accent6 4 10" xfId="22274" xr:uid="{F7A14D89-BE44-41D4-95A7-935A0277B195}"/>
    <cellStyle name="40% - Accent6 4 11" xfId="8813" xr:uid="{CEFD96B1-5D29-4BD7-97D8-DDA8639899D9}"/>
    <cellStyle name="40% - Accent6 4 2" xfId="666" xr:uid="{00000000-0005-0000-0000-00005B070000}"/>
    <cellStyle name="40% - Accent6 4 2 2" xfId="2937" xr:uid="{00000000-0005-0000-0000-00005C070000}"/>
    <cellStyle name="40% - Accent6 4 2 2 2" xfId="7161" xr:uid="{00000000-0005-0000-0000-00005D070000}"/>
    <cellStyle name="40% - Accent6 4 2 2 2 2" xfId="19794" xr:uid="{72D4DE24-DAC9-4B44-9647-3C8510CF2FFC}"/>
    <cellStyle name="40% - Accent6 4 2 2 3" xfId="15583" xr:uid="{58699741-9B1B-4383-B61A-3999B43A8E47}"/>
    <cellStyle name="40% - Accent6 4 2 2 4" xfId="24833" xr:uid="{FF867EA2-A3FF-4D4A-BEB5-1D9FB303035A}"/>
    <cellStyle name="40% - Accent6 4 2 2 5" xfId="11372" xr:uid="{A108185D-70E8-4A20-AF9F-2981646CE4C7}"/>
    <cellStyle name="40% - Accent6 4 2 3" xfId="5016" xr:uid="{00000000-0005-0000-0000-00005E070000}"/>
    <cellStyle name="40% - Accent6 4 2 3 2" xfId="17649" xr:uid="{47683CCF-D8F3-45E2-80FC-93FE7CCF9F8A}"/>
    <cellStyle name="40% - Accent6 4 2 4" xfId="21859" xr:uid="{928F974C-0A47-45D4-A4D1-2CB0CE191095}"/>
    <cellStyle name="40% - Accent6 4 2 5" xfId="13438" xr:uid="{8110BAEA-F6B3-4355-97F4-ABFDCE233E65}"/>
    <cellStyle name="40% - Accent6 4 2 6" xfId="22688" xr:uid="{2CBD2D98-6493-492B-A61E-363B517F7043}"/>
    <cellStyle name="40% - Accent6 4 2 7" xfId="9227" xr:uid="{B9DE6C02-6FB5-4BC4-A573-EBEE57798062}"/>
    <cellStyle name="40% - Accent6 4 3" xfId="1119" xr:uid="{00000000-0005-0000-0000-00005F070000}"/>
    <cellStyle name="40% - Accent6 4 3 2" xfId="3350" xr:uid="{00000000-0005-0000-0000-000060070000}"/>
    <cellStyle name="40% - Accent6 4 3 2 2" xfId="7574" xr:uid="{00000000-0005-0000-0000-000061070000}"/>
    <cellStyle name="40% - Accent6 4 3 2 2 2" xfId="20207" xr:uid="{93780697-FA63-4324-A90B-1547F31530B3}"/>
    <cellStyle name="40% - Accent6 4 3 2 3" xfId="15996" xr:uid="{984D3892-ECBD-448B-8A86-980FB635E587}"/>
    <cellStyle name="40% - Accent6 4 3 2 4" xfId="25246" xr:uid="{E669101A-0CBB-4189-BD6D-696DE6B874CB}"/>
    <cellStyle name="40% - Accent6 4 3 2 5" xfId="11785" xr:uid="{8A143058-8C4C-4C3D-B964-085644C0F7E7}"/>
    <cellStyle name="40% - Accent6 4 3 3" xfId="5429" xr:uid="{00000000-0005-0000-0000-000062070000}"/>
    <cellStyle name="40% - Accent6 4 3 3 2" xfId="18062" xr:uid="{7BFF39AD-F594-4839-993B-E3B751B6A0CF}"/>
    <cellStyle name="40% - Accent6 4 3 4" xfId="13851" xr:uid="{B2065AA9-AFE4-4AAA-BFD4-DDE7369C57FD}"/>
    <cellStyle name="40% - Accent6 4 3 5" xfId="23101" xr:uid="{7333F7F1-EABE-4D79-AED7-8B3AE0CA63B0}"/>
    <cellStyle name="40% - Accent6 4 3 6" xfId="9640" xr:uid="{10244F06-62A2-433C-B38F-232FA4D2EFE0}"/>
    <cellStyle name="40% - Accent6 4 4" xfId="1533" xr:uid="{00000000-0005-0000-0000-000063070000}"/>
    <cellStyle name="40% - Accent6 4 4 2" xfId="3763" xr:uid="{00000000-0005-0000-0000-000064070000}"/>
    <cellStyle name="40% - Accent6 4 4 2 2" xfId="7987" xr:uid="{00000000-0005-0000-0000-000065070000}"/>
    <cellStyle name="40% - Accent6 4 4 2 2 2" xfId="20620" xr:uid="{600E678D-ADBB-4EBA-9C0E-632DDCDAD2FF}"/>
    <cellStyle name="40% - Accent6 4 4 2 3" xfId="16409" xr:uid="{813F6DCE-2D2D-4318-837C-037600588FB2}"/>
    <cellStyle name="40% - Accent6 4 4 2 4" xfId="25659" xr:uid="{975C457B-0E8F-4CF2-A39D-D5C80AEF43CA}"/>
    <cellStyle name="40% - Accent6 4 4 2 5" xfId="12198" xr:uid="{7304F9EE-AFD4-40E1-BFB3-677A907C76F1}"/>
    <cellStyle name="40% - Accent6 4 4 3" xfId="5842" xr:uid="{00000000-0005-0000-0000-000066070000}"/>
    <cellStyle name="40% - Accent6 4 4 3 2" xfId="18475" xr:uid="{34CA8B55-532F-4C08-B81A-3583429CC142}"/>
    <cellStyle name="40% - Accent6 4 4 4" xfId="14264" xr:uid="{1A33A4F2-1C08-43AB-8463-268D2842F132}"/>
    <cellStyle name="40% - Accent6 4 4 5" xfId="23514" xr:uid="{1FCF5A82-90F8-49B4-8D54-157F7607630A}"/>
    <cellStyle name="40% - Accent6 4 4 6" xfId="10053" xr:uid="{AD26EEB2-777B-48FD-B2E2-F69AD1A8D8E3}"/>
    <cellStyle name="40% - Accent6 4 5" xfId="1947" xr:uid="{00000000-0005-0000-0000-000067070000}"/>
    <cellStyle name="40% - Accent6 4 5 2" xfId="4176" xr:uid="{00000000-0005-0000-0000-000068070000}"/>
    <cellStyle name="40% - Accent6 4 5 2 2" xfId="8400" xr:uid="{00000000-0005-0000-0000-000069070000}"/>
    <cellStyle name="40% - Accent6 4 5 2 2 2" xfId="21033" xr:uid="{F15A4BE1-58B8-4E2E-8DFB-C566B21DFD8D}"/>
    <cellStyle name="40% - Accent6 4 5 2 3" xfId="16822" xr:uid="{17C4D2CE-1A20-48CC-B21A-FCDA9699FBEE}"/>
    <cellStyle name="40% - Accent6 4 5 2 4" xfId="26072" xr:uid="{10BFDFC9-3252-41AB-B120-96634A6B31AA}"/>
    <cellStyle name="40% - Accent6 4 5 2 5" xfId="12611" xr:uid="{25748AE8-8FC9-43A6-AC1E-F198ECC98416}"/>
    <cellStyle name="40% - Accent6 4 5 3" xfId="6255" xr:uid="{00000000-0005-0000-0000-00006A070000}"/>
    <cellStyle name="40% - Accent6 4 5 3 2" xfId="18888" xr:uid="{CCC99FC3-FEA7-486A-A3DF-A540075EE542}"/>
    <cellStyle name="40% - Accent6 4 5 4" xfId="14677" xr:uid="{9F72258F-8968-45FE-803A-C7FA66723428}"/>
    <cellStyle name="40% - Accent6 4 5 5" xfId="23927" xr:uid="{7CCB59FA-42FC-4C3A-9FB8-A9AFBAEC6018}"/>
    <cellStyle name="40% - Accent6 4 5 6" xfId="10466" xr:uid="{82CFBC67-F312-4E36-B5C6-BC1E2D2B1616}"/>
    <cellStyle name="40% - Accent6 4 6" xfId="2360" xr:uid="{00000000-0005-0000-0000-00006B070000}"/>
    <cellStyle name="40% - Accent6 4 6 2" xfId="6668" xr:uid="{00000000-0005-0000-0000-00006C070000}"/>
    <cellStyle name="40% - Accent6 4 6 2 2" xfId="19301" xr:uid="{94DAC06C-B6AD-443A-8FAF-2816540A737F}"/>
    <cellStyle name="40% - Accent6 4 6 3" xfId="15090" xr:uid="{129BF438-FC1B-4258-8020-0C88D2162242}"/>
    <cellStyle name="40% - Accent6 4 6 4" xfId="24340" xr:uid="{B20F226F-543D-4249-86D8-5B7DF47ED2F1}"/>
    <cellStyle name="40% - Accent6 4 6 5" xfId="10879" xr:uid="{3327082D-B361-4026-8276-2B883BD0BBA9}"/>
    <cellStyle name="40% - Accent6 4 7" xfId="4602" xr:uid="{00000000-0005-0000-0000-00006D070000}"/>
    <cellStyle name="40% - Accent6 4 7 2" xfId="17235" xr:uid="{E7419196-77F6-4996-939E-9E1FDB37869A}"/>
    <cellStyle name="40% - Accent6 4 8" xfId="21446" xr:uid="{6758B115-DE90-4FCE-8B1D-627814606954}"/>
    <cellStyle name="40% - Accent6 4 9" xfId="13024" xr:uid="{873103C8-37DE-42DC-BC62-0578CD084854}"/>
    <cellStyle name="40% - Accent6 5" xfId="659" xr:uid="{00000000-0005-0000-0000-00006E070000}"/>
    <cellStyle name="40% - Accent6 5 2" xfId="2930" xr:uid="{00000000-0005-0000-0000-00006F070000}"/>
    <cellStyle name="40% - Accent6 5 2 2" xfId="7154" xr:uid="{00000000-0005-0000-0000-000070070000}"/>
    <cellStyle name="40% - Accent6 5 2 2 2" xfId="19787" xr:uid="{A644AFB7-7CBF-41C4-8582-9132761DE25B}"/>
    <cellStyle name="40% - Accent6 5 2 3" xfId="15576" xr:uid="{B8B76741-32DE-4417-9623-3116A55B547A}"/>
    <cellStyle name="40% - Accent6 5 2 4" xfId="24826" xr:uid="{EB921A13-C0DA-4A0B-B302-9C2EDC478428}"/>
    <cellStyle name="40% - Accent6 5 2 5" xfId="11365" xr:uid="{E4117E9D-C751-4AC4-AB51-C13BBDEAC018}"/>
    <cellStyle name="40% - Accent6 5 3" xfId="5009" xr:uid="{00000000-0005-0000-0000-000071070000}"/>
    <cellStyle name="40% - Accent6 5 3 2" xfId="17642" xr:uid="{B6EB79AF-E592-4205-8E83-47AFCB500205}"/>
    <cellStyle name="40% - Accent6 5 4" xfId="21852" xr:uid="{CBA0C9A9-FE66-46EC-87FE-E3ABA9E9BA72}"/>
    <cellStyle name="40% - Accent6 5 5" xfId="13431" xr:uid="{0BDDF5CF-4944-4955-A394-994F073645A9}"/>
    <cellStyle name="40% - Accent6 5 6" xfId="22681" xr:uid="{39141118-778B-43A6-9DA5-279818916EAD}"/>
    <cellStyle name="40% - Accent6 5 7" xfId="9220" xr:uid="{8D753F72-A297-4277-9AF7-F3FB4B9AD1AA}"/>
    <cellStyle name="40% - Accent6 6" xfId="1112" xr:uid="{00000000-0005-0000-0000-000072070000}"/>
    <cellStyle name="40% - Accent6 6 2" xfId="3343" xr:uid="{00000000-0005-0000-0000-000073070000}"/>
    <cellStyle name="40% - Accent6 6 2 2" xfId="7567" xr:uid="{00000000-0005-0000-0000-000074070000}"/>
    <cellStyle name="40% - Accent6 6 2 2 2" xfId="20200" xr:uid="{D14F2CE3-6698-44C9-A44E-F810E649B973}"/>
    <cellStyle name="40% - Accent6 6 2 3" xfId="15989" xr:uid="{EE96B237-E8DA-4F19-8131-C3FC78B948CB}"/>
    <cellStyle name="40% - Accent6 6 2 4" xfId="25239" xr:uid="{C4520B9F-1EA3-44B0-8CE0-AFDDE6F24EC7}"/>
    <cellStyle name="40% - Accent6 6 2 5" xfId="11778" xr:uid="{05F7DF8D-7788-4497-80D9-2B222EB36EAD}"/>
    <cellStyle name="40% - Accent6 6 3" xfId="5422" xr:uid="{00000000-0005-0000-0000-000075070000}"/>
    <cellStyle name="40% - Accent6 6 3 2" xfId="18055" xr:uid="{A2403B6A-ED1D-489D-A53F-329D987FAA49}"/>
    <cellStyle name="40% - Accent6 6 4" xfId="13844" xr:uid="{740539F5-A4CA-41B9-A53E-B91B85393551}"/>
    <cellStyle name="40% - Accent6 6 5" xfId="23094" xr:uid="{0FEF8C00-A295-4C4B-9AC9-8951E00C8294}"/>
    <cellStyle name="40% - Accent6 6 6" xfId="9633" xr:uid="{94CBFA79-5FE3-4D3D-A4DB-DF472A57559D}"/>
    <cellStyle name="40% - Accent6 7" xfId="1526" xr:uid="{00000000-0005-0000-0000-000076070000}"/>
    <cellStyle name="40% - Accent6 7 2" xfId="3756" xr:uid="{00000000-0005-0000-0000-000077070000}"/>
    <cellStyle name="40% - Accent6 7 2 2" xfId="7980" xr:uid="{00000000-0005-0000-0000-000078070000}"/>
    <cellStyle name="40% - Accent6 7 2 2 2" xfId="20613" xr:uid="{2E095520-0623-4B19-8BAA-AC73DDBA9B84}"/>
    <cellStyle name="40% - Accent6 7 2 3" xfId="16402" xr:uid="{6B3E63F6-A0D3-4ECB-80D6-58EDBE318E41}"/>
    <cellStyle name="40% - Accent6 7 2 4" xfId="25652" xr:uid="{4D7DA904-8B17-4A9F-8354-6E80232C0F02}"/>
    <cellStyle name="40% - Accent6 7 2 5" xfId="12191" xr:uid="{3759AFEE-D3A3-4D2E-BBFF-CD4F3E732638}"/>
    <cellStyle name="40% - Accent6 7 3" xfId="5835" xr:uid="{00000000-0005-0000-0000-000079070000}"/>
    <cellStyle name="40% - Accent6 7 3 2" xfId="18468" xr:uid="{45225D8C-39EB-4640-953D-46CD56CA13DC}"/>
    <cellStyle name="40% - Accent6 7 4" xfId="14257" xr:uid="{283A99FC-9825-491C-96EA-988536F3A520}"/>
    <cellStyle name="40% - Accent6 7 5" xfId="23507" xr:uid="{6DDC240E-E426-4D0E-BB10-D9C758F931C5}"/>
    <cellStyle name="40% - Accent6 7 6" xfId="10046" xr:uid="{8D1DC3E1-FB4A-4E25-95E8-FAC44DD3FD57}"/>
    <cellStyle name="40% - Accent6 8" xfId="1940" xr:uid="{00000000-0005-0000-0000-00007A070000}"/>
    <cellStyle name="40% - Accent6 8 2" xfId="4169" xr:uid="{00000000-0005-0000-0000-00007B070000}"/>
    <cellStyle name="40% - Accent6 8 2 2" xfId="8393" xr:uid="{00000000-0005-0000-0000-00007C070000}"/>
    <cellStyle name="40% - Accent6 8 2 2 2" xfId="21026" xr:uid="{8D155F0B-FABF-421F-82F4-8C230731DDFE}"/>
    <cellStyle name="40% - Accent6 8 2 3" xfId="16815" xr:uid="{A7D106C3-CA05-4B0C-9DBA-2139D271369F}"/>
    <cellStyle name="40% - Accent6 8 2 4" xfId="26065" xr:uid="{A11C6367-13BA-4E10-BCA0-DFF52B47C2AF}"/>
    <cellStyle name="40% - Accent6 8 2 5" xfId="12604" xr:uid="{0C9ED381-1DF0-4CF7-A822-2A9F572F33A3}"/>
    <cellStyle name="40% - Accent6 8 3" xfId="6248" xr:uid="{00000000-0005-0000-0000-00007D070000}"/>
    <cellStyle name="40% - Accent6 8 3 2" xfId="18881" xr:uid="{8738995B-8F3A-446F-A88C-2C3FDF2B9FAF}"/>
    <cellStyle name="40% - Accent6 8 4" xfId="14670" xr:uid="{D1092E15-686D-4DE3-AA4E-C99F4EB87889}"/>
    <cellStyle name="40% - Accent6 8 5" xfId="23920" xr:uid="{0D27C731-E3ED-426C-929C-28348A7EAF20}"/>
    <cellStyle name="40% - Accent6 8 6" xfId="10459" xr:uid="{B9BA6B6C-1CB4-434E-84E4-4C719C090194}"/>
    <cellStyle name="40% - Accent6 9" xfId="2353" xr:uid="{00000000-0005-0000-0000-00007E070000}"/>
    <cellStyle name="40% - Accent6 9 2" xfId="6661" xr:uid="{00000000-0005-0000-0000-00007F070000}"/>
    <cellStyle name="40% - Accent6 9 2 2" xfId="19294" xr:uid="{ECEC6EED-8E5F-4C75-B5F9-2EFEAE07C96F}"/>
    <cellStyle name="40% - Accent6 9 3" xfId="15083" xr:uid="{0895E065-B19C-47B4-BEAB-0A1C710DF606}"/>
    <cellStyle name="40% - Accent6 9 4" xfId="24333" xr:uid="{CE77E5EE-968E-4802-BD3E-194182551250}"/>
    <cellStyle name="40% - Accent6 9 5" xfId="10872" xr:uid="{6D579B03-243F-42CA-B884-2A8EF012D4D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9619" xr:uid="{3F72B8CB-C1EB-49A5-8628-B9A6F7D47183}"/>
    <cellStyle name="Comma 4 2 2 2 10 3" xfId="15408" xr:uid="{CB38FEEC-9CB6-4781-B923-E84A4D858CEF}"/>
    <cellStyle name="Comma 4 2 2 2 10 4" xfId="24658" xr:uid="{16F6978C-A1B8-4C3F-AE7D-6CD889F45A0D}"/>
    <cellStyle name="Comma 4 2 2 2 10 5" xfId="11197" xr:uid="{2D522FD7-4DA0-4C04-9379-49D3AD4E0EEC}"/>
    <cellStyle name="Comma 4 2 2 2 11" xfId="4603" xr:uid="{00000000-0005-0000-0000-0000A3070000}"/>
    <cellStyle name="Comma 4 2 2 2 11 2" xfId="17236" xr:uid="{D8035276-166C-4D19-9CCB-219416D5092F}"/>
    <cellStyle name="Comma 4 2 2 2 12" xfId="21447" xr:uid="{EA33CEC0-DB5F-4665-9E0F-D6277068C470}"/>
    <cellStyle name="Comma 4 2 2 2 13" xfId="13025" xr:uid="{7EA9C65D-1CDB-425A-AAA5-3E8047EB5B4C}"/>
    <cellStyle name="Comma 4 2 2 2 14" xfId="22275" xr:uid="{E0C5482B-9A2A-4387-B35C-42AC370FADAF}"/>
    <cellStyle name="Comma 4 2 2 2 15" xfId="8814" xr:uid="{78370B78-CD45-4BDB-94DA-DEACB6DD9649}"/>
    <cellStyle name="Comma 4 2 2 2 2" xfId="129" xr:uid="{00000000-0005-0000-0000-0000A4070000}"/>
    <cellStyle name="Comma 4 2 2 2 2 10" xfId="4604" xr:uid="{00000000-0005-0000-0000-0000A5070000}"/>
    <cellStyle name="Comma 4 2 2 2 2 10 2" xfId="17237" xr:uid="{BF248855-8761-4EF5-A98E-863348A6CA0F}"/>
    <cellStyle name="Comma 4 2 2 2 2 11" xfId="21448" xr:uid="{A8BA5E2B-FC1C-48D9-A011-6DEF944EE6FF}"/>
    <cellStyle name="Comma 4 2 2 2 2 12" xfId="13026" xr:uid="{C2D51E3E-C80E-4135-B566-F683F2E560C7}"/>
    <cellStyle name="Comma 4 2 2 2 2 13" xfId="22276" xr:uid="{01560E89-C4EC-4F55-B801-26C271491970}"/>
    <cellStyle name="Comma 4 2 2 2 2 14" xfId="8815" xr:uid="{CD0213D8-6DDD-4C1F-88F2-85DBEDE558AE}"/>
    <cellStyle name="Comma 4 2 2 2 2 2" xfId="130" xr:uid="{00000000-0005-0000-0000-0000A6070000}"/>
    <cellStyle name="Comma 4 2 2 2 2 2 10" xfId="21449" xr:uid="{560DDF93-26BE-4611-A4A3-485A9FF07202}"/>
    <cellStyle name="Comma 4 2 2 2 2 2 11" xfId="13027" xr:uid="{B3673666-1713-48F6-8369-85D848203734}"/>
    <cellStyle name="Comma 4 2 2 2 2 2 12" xfId="22277" xr:uid="{1721656E-3F19-48B6-8EC4-65C8E5D22C68}"/>
    <cellStyle name="Comma 4 2 2 2 2 2 13" xfId="8816" xr:uid="{813A2AC9-D9E0-48DE-BF7B-8770289A38D4}"/>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9797" xr:uid="{FF74839E-64E1-4E45-9D83-CDB6131A92AB}"/>
    <cellStyle name="Comma 4 2 2 2 2 2 2 2 3" xfId="15586" xr:uid="{1A0BF03D-9495-46FD-980A-0A77A050CACF}"/>
    <cellStyle name="Comma 4 2 2 2 2 2 2 2 4" xfId="24836" xr:uid="{F4C554C4-4337-498D-833A-501523279BB3}"/>
    <cellStyle name="Comma 4 2 2 2 2 2 2 2 5" xfId="11375" xr:uid="{DCEB7048-DBDA-4F61-8B1D-64029AA00772}"/>
    <cellStyle name="Comma 4 2 2 2 2 2 2 3" xfId="5019" xr:uid="{00000000-0005-0000-0000-0000AA070000}"/>
    <cellStyle name="Comma 4 2 2 2 2 2 2 3 2" xfId="17652" xr:uid="{5666EB60-5072-481C-9266-0657EA9C4762}"/>
    <cellStyle name="Comma 4 2 2 2 2 2 2 4" xfId="21862" xr:uid="{872D6E78-390D-4324-9ADC-0F70DE8CEFDE}"/>
    <cellStyle name="Comma 4 2 2 2 2 2 2 5" xfId="13441" xr:uid="{53245FA4-050A-43D6-B35B-3E31950EF331}"/>
    <cellStyle name="Comma 4 2 2 2 2 2 2 6" xfId="22691" xr:uid="{BAD0F5E7-B903-4FEB-AFA8-AD712E2B77BB}"/>
    <cellStyle name="Comma 4 2 2 2 2 2 2 7" xfId="9230" xr:uid="{F24D2592-84FF-4660-A9FA-F08E89BF52BD}"/>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20210" xr:uid="{175D790C-0498-40B6-AA3E-C88E6DB988B1}"/>
    <cellStyle name="Comma 4 2 2 2 2 2 3 2 3" xfId="15999" xr:uid="{D5C63C2F-AAC3-4968-ADC3-7F6D4ADAF2DC}"/>
    <cellStyle name="Comma 4 2 2 2 2 2 3 2 4" xfId="25249" xr:uid="{F470E552-3153-4A4E-B348-0DB577492E4C}"/>
    <cellStyle name="Comma 4 2 2 2 2 2 3 2 5" xfId="11788" xr:uid="{F4F2F7FB-74DF-4C74-8FC9-3DAF3DFC6F72}"/>
    <cellStyle name="Comma 4 2 2 2 2 2 3 3" xfId="5432" xr:uid="{00000000-0005-0000-0000-0000AE070000}"/>
    <cellStyle name="Comma 4 2 2 2 2 2 3 3 2" xfId="18065" xr:uid="{829791BF-AFDF-4EEC-A0B6-0AD2B1C00F04}"/>
    <cellStyle name="Comma 4 2 2 2 2 2 3 4" xfId="13854" xr:uid="{F71CB633-C5B2-4743-9C36-9F2CA2705856}"/>
    <cellStyle name="Comma 4 2 2 2 2 2 3 5" xfId="23104" xr:uid="{5BBFEB43-617A-47C9-A5BD-DAEB9C6D3AA7}"/>
    <cellStyle name="Comma 4 2 2 2 2 2 3 6" xfId="9643" xr:uid="{6547AE4D-C9AA-4EC6-B63F-EC2333A1A499}"/>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20623" xr:uid="{5AB59F79-DB88-4317-9D9D-752D650F19EE}"/>
    <cellStyle name="Comma 4 2 2 2 2 2 4 2 3" xfId="16412" xr:uid="{72EC09BF-8F7A-4E15-9020-132A26B0DE87}"/>
    <cellStyle name="Comma 4 2 2 2 2 2 4 2 4" xfId="25662" xr:uid="{9F2C3A4A-0664-4321-A498-FE5AA42D61BF}"/>
    <cellStyle name="Comma 4 2 2 2 2 2 4 2 5" xfId="12201" xr:uid="{C6F34886-8903-4CA6-91E2-EFD2A50ECABA}"/>
    <cellStyle name="Comma 4 2 2 2 2 2 4 3" xfId="5845" xr:uid="{00000000-0005-0000-0000-0000B2070000}"/>
    <cellStyle name="Comma 4 2 2 2 2 2 4 3 2" xfId="18478" xr:uid="{B73DD2ED-D83B-456B-BF48-4A3745D44B91}"/>
    <cellStyle name="Comma 4 2 2 2 2 2 4 4" xfId="14267" xr:uid="{6403A784-58C0-46DB-8CA4-717609F56898}"/>
    <cellStyle name="Comma 4 2 2 2 2 2 4 5" xfId="23517" xr:uid="{545BEA41-80A9-4BCA-B3B6-9E17ED692B3F}"/>
    <cellStyle name="Comma 4 2 2 2 2 2 4 6" xfId="10056" xr:uid="{0763E95C-9710-4A20-9D64-FCEB07B116A5}"/>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21036" xr:uid="{D078A956-99DE-484D-B071-3FF3AAB198D6}"/>
    <cellStyle name="Comma 4 2 2 2 2 2 5 2 3" xfId="16825" xr:uid="{011924A5-6D3F-479A-9B1B-1E76D1134069}"/>
    <cellStyle name="Comma 4 2 2 2 2 2 5 2 4" xfId="26075" xr:uid="{ED2B4352-5E22-4E93-8ADF-B1E3B7EB81C7}"/>
    <cellStyle name="Comma 4 2 2 2 2 2 5 2 5" xfId="12614" xr:uid="{3C5239FA-D0B6-49F7-98D8-E2E7EF62606C}"/>
    <cellStyle name="Comma 4 2 2 2 2 2 5 3" xfId="6258" xr:uid="{00000000-0005-0000-0000-0000B6070000}"/>
    <cellStyle name="Comma 4 2 2 2 2 2 5 3 2" xfId="18891" xr:uid="{EA629C31-D88C-481E-8D7C-A99AF7CF7B25}"/>
    <cellStyle name="Comma 4 2 2 2 2 2 5 4" xfId="14680" xr:uid="{F625CF6D-53C5-481D-A0C1-5F6531AA8EFE}"/>
    <cellStyle name="Comma 4 2 2 2 2 2 5 5" xfId="23930" xr:uid="{3B72A53E-6D0C-449D-808B-7DAD9CE993DC}"/>
    <cellStyle name="Comma 4 2 2 2 2 2 5 6" xfId="10469" xr:uid="{1D88E9FB-1CE2-4887-9297-4342E0F4708E}"/>
    <cellStyle name="Comma 4 2 2 2 2 2 6" xfId="2385" xr:uid="{00000000-0005-0000-0000-0000B7070000}"/>
    <cellStyle name="Comma 4 2 2 2 2 2 6 2" xfId="6671" xr:uid="{00000000-0005-0000-0000-0000B8070000}"/>
    <cellStyle name="Comma 4 2 2 2 2 2 6 2 2" xfId="19304" xr:uid="{58D29162-AF2C-4B4C-B59C-36330627392A}"/>
    <cellStyle name="Comma 4 2 2 2 2 2 6 3" xfId="15093" xr:uid="{03B2641C-FA39-4347-B856-01F92B504B72}"/>
    <cellStyle name="Comma 4 2 2 2 2 2 6 4" xfId="24343" xr:uid="{3620A0EA-DC07-46FD-B252-20159E58833A}"/>
    <cellStyle name="Comma 4 2 2 2 2 2 6 5" xfId="10882" xr:uid="{9E1F9DDF-1CDC-42B5-8BE3-4AD082856E61}"/>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9621" xr:uid="{FA74A6DF-9F72-4B43-9006-490C9D5E99C3}"/>
    <cellStyle name="Comma 4 2 2 2 2 2 8 3" xfId="15410" xr:uid="{DF2DAF74-F4CA-41EA-BFB1-B8DC2254B811}"/>
    <cellStyle name="Comma 4 2 2 2 2 2 8 4" xfId="24660" xr:uid="{B7B9067F-6646-426F-86F9-A5E0EDD2A169}"/>
    <cellStyle name="Comma 4 2 2 2 2 2 8 5" xfId="11199" xr:uid="{F15476D0-C2B3-49E1-9B5D-E3A5825C7FD3}"/>
    <cellStyle name="Comma 4 2 2 2 2 2 9" xfId="4605" xr:uid="{00000000-0005-0000-0000-0000BC070000}"/>
    <cellStyle name="Comma 4 2 2 2 2 2 9 2" xfId="17238" xr:uid="{5F19BA71-02E0-4F23-82E9-B72C597BD113}"/>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9796" xr:uid="{539458D5-3047-4FA7-B3F4-94C9550325AE}"/>
    <cellStyle name="Comma 4 2 2 2 2 3 2 3" xfId="15585" xr:uid="{68E9BBB2-5C30-4FDF-A06C-38131CA5DA01}"/>
    <cellStyle name="Comma 4 2 2 2 2 3 2 4" xfId="24835" xr:uid="{05A423D4-F69A-43B2-AFCF-9C381666D7A8}"/>
    <cellStyle name="Comma 4 2 2 2 2 3 2 5" xfId="11374" xr:uid="{358855C6-FCDA-4C92-ADC0-6540FF24E773}"/>
    <cellStyle name="Comma 4 2 2 2 2 3 3" xfId="5018" xr:uid="{00000000-0005-0000-0000-0000C0070000}"/>
    <cellStyle name="Comma 4 2 2 2 2 3 3 2" xfId="17651" xr:uid="{2F7DF3A9-A177-481D-A823-DD9B59289167}"/>
    <cellStyle name="Comma 4 2 2 2 2 3 4" xfId="21861" xr:uid="{BCD03C9A-197D-48B0-AEB3-FB75B1E76769}"/>
    <cellStyle name="Comma 4 2 2 2 2 3 5" xfId="13440" xr:uid="{D5710AB5-A5C3-42D2-B446-B82A61ADE95C}"/>
    <cellStyle name="Comma 4 2 2 2 2 3 6" xfId="22690" xr:uid="{16B3D364-643F-492B-B0A7-1F9B72350F7B}"/>
    <cellStyle name="Comma 4 2 2 2 2 3 7" xfId="9229" xr:uid="{21FC481E-17C5-48EE-A913-3238E55B22B6}"/>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20209" xr:uid="{7D93F89A-F5BD-4A1A-8583-924896CE0B7A}"/>
    <cellStyle name="Comma 4 2 2 2 2 4 2 3" xfId="15998" xr:uid="{0ABEF8CA-BA56-497C-88A2-6FDFE236922A}"/>
    <cellStyle name="Comma 4 2 2 2 2 4 2 4" xfId="25248" xr:uid="{3B3B24BA-A3E1-47B8-A9BA-D735E3031132}"/>
    <cellStyle name="Comma 4 2 2 2 2 4 2 5" xfId="11787" xr:uid="{A5E9D846-71DD-4150-A2B8-CA2678C3A9C6}"/>
    <cellStyle name="Comma 4 2 2 2 2 4 3" xfId="5431" xr:uid="{00000000-0005-0000-0000-0000C4070000}"/>
    <cellStyle name="Comma 4 2 2 2 2 4 3 2" xfId="18064" xr:uid="{E7915EE2-CC22-4095-8C52-C8604F5BB968}"/>
    <cellStyle name="Comma 4 2 2 2 2 4 4" xfId="13853" xr:uid="{89DE5C50-8654-41A4-9110-5B4865F70829}"/>
    <cellStyle name="Comma 4 2 2 2 2 4 5" xfId="23103" xr:uid="{A0D786DD-7410-4EA8-A39E-BE954ADB9D52}"/>
    <cellStyle name="Comma 4 2 2 2 2 4 6" xfId="9642" xr:uid="{6699C35E-4AFD-4730-A550-EBFBCC57E500}"/>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20622" xr:uid="{63AB4A3B-4C02-455B-9458-C9E788C75678}"/>
    <cellStyle name="Comma 4 2 2 2 2 5 2 3" xfId="16411" xr:uid="{3A63C456-8D6E-42B4-97F1-977AE92E4B5E}"/>
    <cellStyle name="Comma 4 2 2 2 2 5 2 4" xfId="25661" xr:uid="{9C8847A1-2613-4864-A12A-7EFE3444698F}"/>
    <cellStyle name="Comma 4 2 2 2 2 5 2 5" xfId="12200" xr:uid="{F2E27F94-D35A-41DB-9A50-2ED54135CCCC}"/>
    <cellStyle name="Comma 4 2 2 2 2 5 3" xfId="5844" xr:uid="{00000000-0005-0000-0000-0000C8070000}"/>
    <cellStyle name="Comma 4 2 2 2 2 5 3 2" xfId="18477" xr:uid="{DE1FCF9D-C692-4F91-A020-76E4D8CE0640}"/>
    <cellStyle name="Comma 4 2 2 2 2 5 4" xfId="14266" xr:uid="{DD268747-5D26-4B7C-9E1B-11D814CC593B}"/>
    <cellStyle name="Comma 4 2 2 2 2 5 5" xfId="23516" xr:uid="{0C006C02-EB43-4C54-9490-F9C6B262D328}"/>
    <cellStyle name="Comma 4 2 2 2 2 5 6" xfId="10055" xr:uid="{8F3CCFEA-B2BF-4523-B723-58FF2FD581BC}"/>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21035" xr:uid="{29F7CE2F-97B9-4162-B8E1-C42E9FA88663}"/>
    <cellStyle name="Comma 4 2 2 2 2 6 2 3" xfId="16824" xr:uid="{880E0890-2010-4087-906B-429D0A4D534B}"/>
    <cellStyle name="Comma 4 2 2 2 2 6 2 4" xfId="26074" xr:uid="{962508F3-D1DF-4A96-B409-C713A36EE304}"/>
    <cellStyle name="Comma 4 2 2 2 2 6 2 5" xfId="12613" xr:uid="{25B161BC-3020-4461-91DA-0E15B61209D7}"/>
    <cellStyle name="Comma 4 2 2 2 2 6 3" xfId="6257" xr:uid="{00000000-0005-0000-0000-0000CC070000}"/>
    <cellStyle name="Comma 4 2 2 2 2 6 3 2" xfId="18890" xr:uid="{37A19379-3B6C-43CC-AD85-24571BAC5B86}"/>
    <cellStyle name="Comma 4 2 2 2 2 6 4" xfId="14679" xr:uid="{53EF249E-329D-4CAA-AA33-64E219ECE4A0}"/>
    <cellStyle name="Comma 4 2 2 2 2 6 5" xfId="23929" xr:uid="{743EEE58-306E-4AF7-9658-40C46182E1E6}"/>
    <cellStyle name="Comma 4 2 2 2 2 6 6" xfId="10468" xr:uid="{AFDA46D1-248B-41A1-9EDF-655FD4C8057E}"/>
    <cellStyle name="Comma 4 2 2 2 2 7" xfId="2384" xr:uid="{00000000-0005-0000-0000-0000CD070000}"/>
    <cellStyle name="Comma 4 2 2 2 2 7 2" xfId="6670" xr:uid="{00000000-0005-0000-0000-0000CE070000}"/>
    <cellStyle name="Comma 4 2 2 2 2 7 2 2" xfId="19303" xr:uid="{DE7D7B92-13C3-43FD-910C-6C618380EB9A}"/>
    <cellStyle name="Comma 4 2 2 2 2 7 3" xfId="15092" xr:uid="{DF1BB883-2B9F-4622-B303-7355BF6D6BE5}"/>
    <cellStyle name="Comma 4 2 2 2 2 7 4" xfId="24342" xr:uid="{59CCFC59-8160-47F7-8F0C-715AAC4B76D5}"/>
    <cellStyle name="Comma 4 2 2 2 2 7 5" xfId="10881" xr:uid="{76F1F28A-4C68-431A-B664-9F38BA37B5F8}"/>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9620" xr:uid="{ADD59E7B-4F9D-4530-AB07-593C4634E1A9}"/>
    <cellStyle name="Comma 4 2 2 2 2 9 3" xfId="15409" xr:uid="{17DA5992-587C-4F67-B2F3-13C8909F33E4}"/>
    <cellStyle name="Comma 4 2 2 2 2 9 4" xfId="24659" xr:uid="{414D02E0-513B-4620-B549-1311B769095A}"/>
    <cellStyle name="Comma 4 2 2 2 2 9 5" xfId="11198" xr:uid="{C1BD968D-A268-47C7-89A1-FA47AFCEB1BA}"/>
    <cellStyle name="Comma 4 2 2 2 3" xfId="131" xr:uid="{00000000-0005-0000-0000-0000D2070000}"/>
    <cellStyle name="Comma 4 2 2 2 3 10" xfId="21450" xr:uid="{A50C82BB-62A0-4483-A675-2183400ED905}"/>
    <cellStyle name="Comma 4 2 2 2 3 11" xfId="13028" xr:uid="{805BF8CC-42FF-4B4F-ACB6-EC7B12947F6A}"/>
    <cellStyle name="Comma 4 2 2 2 3 12" xfId="22278" xr:uid="{1D177792-D611-485B-AF1A-5DB89ACA6954}"/>
    <cellStyle name="Comma 4 2 2 2 3 13" xfId="8817" xr:uid="{B2CE5B13-DE41-4623-8442-2F373CFE991A}"/>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9798" xr:uid="{25DB5340-AD93-41B5-9E8C-AD755C5946C4}"/>
    <cellStyle name="Comma 4 2 2 2 3 2 2 3" xfId="15587" xr:uid="{1F046A04-7E99-4E56-B870-ED3CE7A7B12C}"/>
    <cellStyle name="Comma 4 2 2 2 3 2 2 4" xfId="24837" xr:uid="{9753D2A7-DC72-45E7-AB1B-47BB03F83781}"/>
    <cellStyle name="Comma 4 2 2 2 3 2 2 5" xfId="11376" xr:uid="{6B29D203-4C79-4D2E-B027-A69876738208}"/>
    <cellStyle name="Comma 4 2 2 2 3 2 3" xfId="5020" xr:uid="{00000000-0005-0000-0000-0000D6070000}"/>
    <cellStyle name="Comma 4 2 2 2 3 2 3 2" xfId="17653" xr:uid="{FC999AB6-C809-44AD-887B-0340191FEA8C}"/>
    <cellStyle name="Comma 4 2 2 2 3 2 4" xfId="21863" xr:uid="{A6C71A34-B87F-4EE2-B32C-3B8BAEA10648}"/>
    <cellStyle name="Comma 4 2 2 2 3 2 5" xfId="13442" xr:uid="{141F90DB-AC89-40D6-8CA7-08778D22BF89}"/>
    <cellStyle name="Comma 4 2 2 2 3 2 6" xfId="22692" xr:uid="{8F4CA363-35CC-42F6-A4BD-3A040D4C0315}"/>
    <cellStyle name="Comma 4 2 2 2 3 2 7" xfId="9231" xr:uid="{79124358-280B-4827-A649-CDD1918CF21C}"/>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20211" xr:uid="{64150AF9-D664-47B2-92D5-F1F250235D98}"/>
    <cellStyle name="Comma 4 2 2 2 3 3 2 3" xfId="16000" xr:uid="{8F5B2CCE-F832-425D-8AAB-6A619AC593BC}"/>
    <cellStyle name="Comma 4 2 2 2 3 3 2 4" xfId="25250" xr:uid="{296BD178-039F-4607-8ABD-DE49892BB878}"/>
    <cellStyle name="Comma 4 2 2 2 3 3 2 5" xfId="11789" xr:uid="{9C183666-BD8C-489E-9491-8B1C51257070}"/>
    <cellStyle name="Comma 4 2 2 2 3 3 3" xfId="5433" xr:uid="{00000000-0005-0000-0000-0000DA070000}"/>
    <cellStyle name="Comma 4 2 2 2 3 3 3 2" xfId="18066" xr:uid="{5947E056-3BC3-4799-B141-E2F16F869CD3}"/>
    <cellStyle name="Comma 4 2 2 2 3 3 4" xfId="13855" xr:uid="{6E67486B-12BA-439D-91ED-172642CC2AF0}"/>
    <cellStyle name="Comma 4 2 2 2 3 3 5" xfId="23105" xr:uid="{0A6B2CF2-2CB0-43DF-9033-12E237D6AC4A}"/>
    <cellStyle name="Comma 4 2 2 2 3 3 6" xfId="9644" xr:uid="{946E5178-49E4-4BBE-A69A-889131B29EE4}"/>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20624" xr:uid="{3B145417-A070-45B8-9B50-C1582082713F}"/>
    <cellStyle name="Comma 4 2 2 2 3 4 2 3" xfId="16413" xr:uid="{D463E363-1EF8-44F1-A75E-35EC4CA641F8}"/>
    <cellStyle name="Comma 4 2 2 2 3 4 2 4" xfId="25663" xr:uid="{BD336DBC-0107-45FE-891C-DA8BB42913C4}"/>
    <cellStyle name="Comma 4 2 2 2 3 4 2 5" xfId="12202" xr:uid="{E0D37446-3060-4F3F-B796-FCCD093B7753}"/>
    <cellStyle name="Comma 4 2 2 2 3 4 3" xfId="5846" xr:uid="{00000000-0005-0000-0000-0000DE070000}"/>
    <cellStyle name="Comma 4 2 2 2 3 4 3 2" xfId="18479" xr:uid="{35320347-1602-4F0B-886F-C940FB01DAF7}"/>
    <cellStyle name="Comma 4 2 2 2 3 4 4" xfId="14268" xr:uid="{994010E1-F176-410F-84F3-5A8A871D3932}"/>
    <cellStyle name="Comma 4 2 2 2 3 4 5" xfId="23518" xr:uid="{641A29FF-C450-4B61-BA79-97D9EC847A63}"/>
    <cellStyle name="Comma 4 2 2 2 3 4 6" xfId="10057" xr:uid="{2248A8F4-BBD0-4453-82F9-65B5C4568CF8}"/>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21037" xr:uid="{269DBC61-C74C-45CB-89B1-2B14464D7105}"/>
    <cellStyle name="Comma 4 2 2 2 3 5 2 3" xfId="16826" xr:uid="{2FEFA6B7-D42F-41E8-9BA7-68720FF690E8}"/>
    <cellStyle name="Comma 4 2 2 2 3 5 2 4" xfId="26076" xr:uid="{C66121A1-286E-4D8A-86C8-2C987D10C059}"/>
    <cellStyle name="Comma 4 2 2 2 3 5 2 5" xfId="12615" xr:uid="{B0E393B4-464F-4ED8-B265-14BEE2042D3D}"/>
    <cellStyle name="Comma 4 2 2 2 3 5 3" xfId="6259" xr:uid="{00000000-0005-0000-0000-0000E2070000}"/>
    <cellStyle name="Comma 4 2 2 2 3 5 3 2" xfId="18892" xr:uid="{9658CAB2-62A6-4183-9A9D-96DC67D49799}"/>
    <cellStyle name="Comma 4 2 2 2 3 5 4" xfId="14681" xr:uid="{2114B071-E434-4859-BB9D-23387750CA14}"/>
    <cellStyle name="Comma 4 2 2 2 3 5 5" xfId="23931" xr:uid="{91D662D5-4EC5-413C-9B79-2BB8DF468B7D}"/>
    <cellStyle name="Comma 4 2 2 2 3 5 6" xfId="10470" xr:uid="{618CCCDA-B59B-4812-8BA7-523B32874A25}"/>
    <cellStyle name="Comma 4 2 2 2 3 6" xfId="2386" xr:uid="{00000000-0005-0000-0000-0000E3070000}"/>
    <cellStyle name="Comma 4 2 2 2 3 6 2" xfId="6672" xr:uid="{00000000-0005-0000-0000-0000E4070000}"/>
    <cellStyle name="Comma 4 2 2 2 3 6 2 2" xfId="19305" xr:uid="{0790A64B-6614-4622-A9F6-13D013B8A558}"/>
    <cellStyle name="Comma 4 2 2 2 3 6 3" xfId="15094" xr:uid="{515526A5-1742-4396-ADD0-695CF1F787D1}"/>
    <cellStyle name="Comma 4 2 2 2 3 6 4" xfId="24344" xr:uid="{0149C40C-0337-4373-9681-DB812D846676}"/>
    <cellStyle name="Comma 4 2 2 2 3 6 5" xfId="10883" xr:uid="{DDEBDA56-3BF5-4BDD-B7CD-34F425FDF8D1}"/>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9622" xr:uid="{4CC2C83A-1634-426F-B944-612AF379FE7A}"/>
    <cellStyle name="Comma 4 2 2 2 3 8 3" xfId="15411" xr:uid="{29DF6FCF-5DD6-459B-843F-633783CCF584}"/>
    <cellStyle name="Comma 4 2 2 2 3 8 4" xfId="24661" xr:uid="{ED793CF8-6343-4181-81D4-8472813C66D1}"/>
    <cellStyle name="Comma 4 2 2 2 3 8 5" xfId="11200" xr:uid="{5DC507FD-8EFD-48E2-93E5-24215C50E63F}"/>
    <cellStyle name="Comma 4 2 2 2 3 9" xfId="4606" xr:uid="{00000000-0005-0000-0000-0000E8070000}"/>
    <cellStyle name="Comma 4 2 2 2 3 9 2" xfId="17239" xr:uid="{B2C559BA-97FD-4B4D-BC50-E34499E95223}"/>
    <cellStyle name="Comma 4 2 2 2 4" xfId="667" xr:uid="{00000000-0005-0000-0000-0000E9070000}"/>
    <cellStyle name="Comma 4 2 2 2 4 2" xfId="2938" xr:uid="{00000000-0005-0000-0000-0000EA070000}"/>
    <cellStyle name="Comma 4 2 2 2 4 2 2" xfId="7162" xr:uid="{00000000-0005-0000-0000-0000EB070000}"/>
    <cellStyle name="Comma 4 2 2 2 4 2 2 2" xfId="19795" xr:uid="{77755AFE-8E3F-4980-A4BF-F8100E27583E}"/>
    <cellStyle name="Comma 4 2 2 2 4 2 3" xfId="15584" xr:uid="{BF6005ED-BAA4-45D2-A294-39F50B4E7C66}"/>
    <cellStyle name="Comma 4 2 2 2 4 2 4" xfId="24834" xr:uid="{0B906881-C2C9-49ED-8742-37F1556E7BD3}"/>
    <cellStyle name="Comma 4 2 2 2 4 2 5" xfId="11373" xr:uid="{D1B2A655-8540-4BCE-A4F8-0BB71D2F1F27}"/>
    <cellStyle name="Comma 4 2 2 2 4 3" xfId="5017" xr:uid="{00000000-0005-0000-0000-0000EC070000}"/>
    <cellStyle name="Comma 4 2 2 2 4 3 2" xfId="17650" xr:uid="{0E93E6EA-3D77-4748-A2A9-9F381CD071F0}"/>
    <cellStyle name="Comma 4 2 2 2 4 4" xfId="21860" xr:uid="{2FA2280A-CC6B-43BE-B44A-1B7CBA463E27}"/>
    <cellStyle name="Comma 4 2 2 2 4 5" xfId="13439" xr:uid="{A270C529-6C16-4C1A-8171-DBF271C5CBD4}"/>
    <cellStyle name="Comma 4 2 2 2 4 6" xfId="22689" xr:uid="{4E62395F-10C2-4B14-859A-DD21F0559B11}"/>
    <cellStyle name="Comma 4 2 2 2 4 7" xfId="9228" xr:uid="{C074825C-F9F6-4E36-B565-844536B9A2C6}"/>
    <cellStyle name="Comma 4 2 2 2 5" xfId="1120" xr:uid="{00000000-0005-0000-0000-0000ED070000}"/>
    <cellStyle name="Comma 4 2 2 2 5 2" xfId="3351" xr:uid="{00000000-0005-0000-0000-0000EE070000}"/>
    <cellStyle name="Comma 4 2 2 2 5 2 2" xfId="7575" xr:uid="{00000000-0005-0000-0000-0000EF070000}"/>
    <cellStyle name="Comma 4 2 2 2 5 2 2 2" xfId="20208" xr:uid="{702DE46F-9292-450D-99CB-6EFE6A553EE2}"/>
    <cellStyle name="Comma 4 2 2 2 5 2 3" xfId="15997" xr:uid="{DC065896-6C4E-4361-B746-6E88614590A5}"/>
    <cellStyle name="Comma 4 2 2 2 5 2 4" xfId="25247" xr:uid="{20730C3B-3930-4248-AB36-62959313C567}"/>
    <cellStyle name="Comma 4 2 2 2 5 2 5" xfId="11786" xr:uid="{F2D3E58E-554C-436A-AD02-B928A7C22D8D}"/>
    <cellStyle name="Comma 4 2 2 2 5 3" xfId="5430" xr:uid="{00000000-0005-0000-0000-0000F0070000}"/>
    <cellStyle name="Comma 4 2 2 2 5 3 2" xfId="18063" xr:uid="{9E67197B-3FB8-4589-A061-F22214729B7B}"/>
    <cellStyle name="Comma 4 2 2 2 5 4" xfId="13852" xr:uid="{6CD45AD3-7592-4065-BD7C-4E82DA69CB34}"/>
    <cellStyle name="Comma 4 2 2 2 5 5" xfId="23102" xr:uid="{BB286BCA-3515-4C77-946F-EB8E7E8AB74F}"/>
    <cellStyle name="Comma 4 2 2 2 5 6" xfId="9641" xr:uid="{29D159C1-C1DC-4170-B59D-9BD88608FBF1}"/>
    <cellStyle name="Comma 4 2 2 2 6" xfId="1534" xr:uid="{00000000-0005-0000-0000-0000F1070000}"/>
    <cellStyle name="Comma 4 2 2 2 6 2" xfId="3764" xr:uid="{00000000-0005-0000-0000-0000F2070000}"/>
    <cellStyle name="Comma 4 2 2 2 6 2 2" xfId="7988" xr:uid="{00000000-0005-0000-0000-0000F3070000}"/>
    <cellStyle name="Comma 4 2 2 2 6 2 2 2" xfId="20621" xr:uid="{7BFC485E-4218-4938-BF25-4ECCA237E590}"/>
    <cellStyle name="Comma 4 2 2 2 6 2 3" xfId="16410" xr:uid="{81481B2B-E671-4D0F-8855-5BD73EEBC470}"/>
    <cellStyle name="Comma 4 2 2 2 6 2 4" xfId="25660" xr:uid="{5A13A3FC-569D-4AEF-9A38-AD7943F5EC2A}"/>
    <cellStyle name="Comma 4 2 2 2 6 2 5" xfId="12199" xr:uid="{6C28BDEE-519E-4ED7-8EEE-FA7BED2100D6}"/>
    <cellStyle name="Comma 4 2 2 2 6 3" xfId="5843" xr:uid="{00000000-0005-0000-0000-0000F4070000}"/>
    <cellStyle name="Comma 4 2 2 2 6 3 2" xfId="18476" xr:uid="{6F1D8BC0-2954-4D31-B5B3-A27653D7E97C}"/>
    <cellStyle name="Comma 4 2 2 2 6 4" xfId="14265" xr:uid="{CCCF925D-D32E-4203-978E-173BC6EBD528}"/>
    <cellStyle name="Comma 4 2 2 2 6 5" xfId="23515" xr:uid="{EB1FB543-937E-402D-8034-0B467CD40CC8}"/>
    <cellStyle name="Comma 4 2 2 2 6 6" xfId="10054" xr:uid="{8EE28685-363E-45FD-8CD7-A0FEEA39120F}"/>
    <cellStyle name="Comma 4 2 2 2 7" xfId="1948" xr:uid="{00000000-0005-0000-0000-0000F5070000}"/>
    <cellStyle name="Comma 4 2 2 2 7 2" xfId="4177" xr:uid="{00000000-0005-0000-0000-0000F6070000}"/>
    <cellStyle name="Comma 4 2 2 2 7 2 2" xfId="8401" xr:uid="{00000000-0005-0000-0000-0000F7070000}"/>
    <cellStyle name="Comma 4 2 2 2 7 2 2 2" xfId="21034" xr:uid="{8B6929F9-9B8A-4AAC-8980-EE4BF0AA10BA}"/>
    <cellStyle name="Comma 4 2 2 2 7 2 3" xfId="16823" xr:uid="{04FC32A8-FC1E-4B54-BE4B-D7463CA3A96D}"/>
    <cellStyle name="Comma 4 2 2 2 7 2 4" xfId="26073" xr:uid="{A9EA7112-D65D-45B0-8AC3-41192A236C7B}"/>
    <cellStyle name="Comma 4 2 2 2 7 2 5" xfId="12612" xr:uid="{A5FD2AA9-E860-4445-87D7-80FC97D7086A}"/>
    <cellStyle name="Comma 4 2 2 2 7 3" xfId="6256" xr:uid="{00000000-0005-0000-0000-0000F8070000}"/>
    <cellStyle name="Comma 4 2 2 2 7 3 2" xfId="18889" xr:uid="{11B68B5E-087C-4A13-BB14-12499C13CF81}"/>
    <cellStyle name="Comma 4 2 2 2 7 4" xfId="14678" xr:uid="{697BE12C-AA00-49E4-B4B8-B0A2EB959605}"/>
    <cellStyle name="Comma 4 2 2 2 7 5" xfId="23928" xr:uid="{D2CFC071-FF1E-4E13-AA42-14D924B1C183}"/>
    <cellStyle name="Comma 4 2 2 2 7 6" xfId="10467" xr:uid="{0B0D2686-C99D-49F6-BF03-AD09EE223E8C}"/>
    <cellStyle name="Comma 4 2 2 2 8" xfId="2383" xr:uid="{00000000-0005-0000-0000-0000F9070000}"/>
    <cellStyle name="Comma 4 2 2 2 8 2" xfId="6669" xr:uid="{00000000-0005-0000-0000-0000FA070000}"/>
    <cellStyle name="Comma 4 2 2 2 8 2 2" xfId="19302" xr:uid="{2C2EEBDE-449D-4048-9D5A-27F445AD305E}"/>
    <cellStyle name="Comma 4 2 2 2 8 3" xfId="15091" xr:uid="{BD815348-C09D-479E-AFF0-91833EB16757}"/>
    <cellStyle name="Comma 4 2 2 2 8 4" xfId="24341" xr:uid="{BADECF10-2A6D-497B-B759-497C999363AC}"/>
    <cellStyle name="Comma 4 2 2 2 8 5" xfId="10880" xr:uid="{6BC86974-6FAF-4D34-985D-2540E8A3A7E7}"/>
    <cellStyle name="Comma 4 2 2 2 9" xfId="2382" xr:uid="{00000000-0005-0000-0000-0000FB070000}"/>
    <cellStyle name="Comma 4 2 2 3" xfId="132" xr:uid="{00000000-0005-0000-0000-0000FC070000}"/>
    <cellStyle name="Comma 4 2 2 3 10" xfId="4607" xr:uid="{00000000-0005-0000-0000-0000FD070000}"/>
    <cellStyle name="Comma 4 2 2 3 10 2" xfId="17240" xr:uid="{DDC7C6AA-85FC-457F-981B-9B708A9E7E02}"/>
    <cellStyle name="Comma 4 2 2 3 11" xfId="21451" xr:uid="{3EB78A25-C3FD-48C8-85C9-300F2D2B444B}"/>
    <cellStyle name="Comma 4 2 2 3 12" xfId="13029" xr:uid="{7D816D52-0DAC-4D7F-B71B-486909A1BAFC}"/>
    <cellStyle name="Comma 4 2 2 3 13" xfId="22279" xr:uid="{8C218B25-2D66-43EF-BD92-763EA1C634C7}"/>
    <cellStyle name="Comma 4 2 2 3 14" xfId="8818" xr:uid="{65FAFFF4-D364-4646-9414-9B4562D15E1A}"/>
    <cellStyle name="Comma 4 2 2 3 2" xfId="133" xr:uid="{00000000-0005-0000-0000-0000FE070000}"/>
    <cellStyle name="Comma 4 2 2 3 2 10" xfId="21452" xr:uid="{D14279D2-84F4-4EC3-B4DF-813886427131}"/>
    <cellStyle name="Comma 4 2 2 3 2 11" xfId="13030" xr:uid="{43668210-93E4-43A8-809B-05A98622AD02}"/>
    <cellStyle name="Comma 4 2 2 3 2 12" xfId="22280" xr:uid="{4529ABD9-A3B9-4057-BF43-7D82292C1675}"/>
    <cellStyle name="Comma 4 2 2 3 2 13" xfId="8819" xr:uid="{BC21B7C2-CB8D-48D3-9425-767635836BA9}"/>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9800" xr:uid="{83FC90C9-ECC1-4162-A22D-7483894BE7A0}"/>
    <cellStyle name="Comma 4 2 2 3 2 2 2 3" xfId="15589" xr:uid="{4513B74F-DD20-4689-9799-2968916A8970}"/>
    <cellStyle name="Comma 4 2 2 3 2 2 2 4" xfId="24839" xr:uid="{64DB8F09-57CB-44D2-91F4-E75E4AFC0369}"/>
    <cellStyle name="Comma 4 2 2 3 2 2 2 5" xfId="11378" xr:uid="{C295EC7D-D16C-431C-8D5A-98BD0632E6A2}"/>
    <cellStyle name="Comma 4 2 2 3 2 2 3" xfId="5022" xr:uid="{00000000-0005-0000-0000-000002080000}"/>
    <cellStyle name="Comma 4 2 2 3 2 2 3 2" xfId="17655" xr:uid="{CFD3A859-0AA7-46FF-9816-33BA0B3E4D11}"/>
    <cellStyle name="Comma 4 2 2 3 2 2 4" xfId="21865" xr:uid="{F5F22B9F-D5E6-4850-B765-94CE50EB7B74}"/>
    <cellStyle name="Comma 4 2 2 3 2 2 5" xfId="13444" xr:uid="{E9FDEB78-D84D-4987-A858-A6363876DC9B}"/>
    <cellStyle name="Comma 4 2 2 3 2 2 6" xfId="22694" xr:uid="{FE91CBE5-2649-4560-8E4B-4EF5ACC2DF6F}"/>
    <cellStyle name="Comma 4 2 2 3 2 2 7" xfId="9233" xr:uid="{6CFC1DC3-AB80-4327-BE23-417C60BAA273}"/>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20213" xr:uid="{0EAEDBB6-0ED4-407C-82B9-0B0B01BDF31B}"/>
    <cellStyle name="Comma 4 2 2 3 2 3 2 3" xfId="16002" xr:uid="{4A5EC7C6-8AFF-4319-8F84-5EB73FF3AB1E}"/>
    <cellStyle name="Comma 4 2 2 3 2 3 2 4" xfId="25252" xr:uid="{6A5F0D12-0B52-485F-B400-D69A97A9FE65}"/>
    <cellStyle name="Comma 4 2 2 3 2 3 2 5" xfId="11791" xr:uid="{47773FBB-FE88-41E4-B173-D90911A637E2}"/>
    <cellStyle name="Comma 4 2 2 3 2 3 3" xfId="5435" xr:uid="{00000000-0005-0000-0000-000006080000}"/>
    <cellStyle name="Comma 4 2 2 3 2 3 3 2" xfId="18068" xr:uid="{02CAB7EF-DAB2-4FAE-9BE7-88DEF400E92C}"/>
    <cellStyle name="Comma 4 2 2 3 2 3 4" xfId="13857" xr:uid="{7BFF3ABE-99C1-4B97-958A-000BEEACCFC0}"/>
    <cellStyle name="Comma 4 2 2 3 2 3 5" xfId="23107" xr:uid="{7651B7FB-2E64-461D-B725-0F79A4DF200E}"/>
    <cellStyle name="Comma 4 2 2 3 2 3 6" xfId="9646" xr:uid="{5BBC7E23-A557-4E22-BB4E-0AC8FDF9AF51}"/>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20626" xr:uid="{B14B5040-FB09-4143-AD64-BC43FA6E3D10}"/>
    <cellStyle name="Comma 4 2 2 3 2 4 2 3" xfId="16415" xr:uid="{7DF906FD-CBB0-4B83-B9C7-06C272E737BD}"/>
    <cellStyle name="Comma 4 2 2 3 2 4 2 4" xfId="25665" xr:uid="{2874ED6E-36CB-4594-8E62-1D31DF4AF450}"/>
    <cellStyle name="Comma 4 2 2 3 2 4 2 5" xfId="12204" xr:uid="{118E11C6-8DE0-42CE-A4CA-13ECF97946A8}"/>
    <cellStyle name="Comma 4 2 2 3 2 4 3" xfId="5848" xr:uid="{00000000-0005-0000-0000-00000A080000}"/>
    <cellStyle name="Comma 4 2 2 3 2 4 3 2" xfId="18481" xr:uid="{920C4E3F-E946-479A-8316-CF35532F19A3}"/>
    <cellStyle name="Comma 4 2 2 3 2 4 4" xfId="14270" xr:uid="{73F246B4-4DD4-4E30-9DF0-FBB485B5D889}"/>
    <cellStyle name="Comma 4 2 2 3 2 4 5" xfId="23520" xr:uid="{1201D906-5DE9-465F-B456-A47F4D78BCE8}"/>
    <cellStyle name="Comma 4 2 2 3 2 4 6" xfId="10059" xr:uid="{64318706-C10D-4BAD-9622-0B906877C702}"/>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21039" xr:uid="{596D7D9A-B513-4594-AF1D-E0B4CB9DB067}"/>
    <cellStyle name="Comma 4 2 2 3 2 5 2 3" xfId="16828" xr:uid="{5D42CA66-142B-498F-A69F-18386372426D}"/>
    <cellStyle name="Comma 4 2 2 3 2 5 2 4" xfId="26078" xr:uid="{4CBBBC5C-54DF-4910-B0D0-58536ADC0B60}"/>
    <cellStyle name="Comma 4 2 2 3 2 5 2 5" xfId="12617" xr:uid="{089D094C-319E-4926-81F6-7BBBEDCD229B}"/>
    <cellStyle name="Comma 4 2 2 3 2 5 3" xfId="6261" xr:uid="{00000000-0005-0000-0000-00000E080000}"/>
    <cellStyle name="Comma 4 2 2 3 2 5 3 2" xfId="18894" xr:uid="{DA9A1190-A725-46CC-9791-834C86CAD72C}"/>
    <cellStyle name="Comma 4 2 2 3 2 5 4" xfId="14683" xr:uid="{9C86687C-8DCC-4AD9-BE37-417A52464665}"/>
    <cellStyle name="Comma 4 2 2 3 2 5 5" xfId="23933" xr:uid="{2A31144E-9581-48AA-A651-0CDD3C2ADB1A}"/>
    <cellStyle name="Comma 4 2 2 3 2 5 6" xfId="10472" xr:uid="{76D7585B-BAB3-44CB-BFFD-7D172B2362DB}"/>
    <cellStyle name="Comma 4 2 2 3 2 6" xfId="2388" xr:uid="{00000000-0005-0000-0000-00000F080000}"/>
    <cellStyle name="Comma 4 2 2 3 2 6 2" xfId="6674" xr:uid="{00000000-0005-0000-0000-000010080000}"/>
    <cellStyle name="Comma 4 2 2 3 2 6 2 2" xfId="19307" xr:uid="{7029043A-7133-494C-B972-86CFDBF41535}"/>
    <cellStyle name="Comma 4 2 2 3 2 6 3" xfId="15096" xr:uid="{B2AE97E9-D1BB-465E-97A1-F6FB241FDC35}"/>
    <cellStyle name="Comma 4 2 2 3 2 6 4" xfId="24346" xr:uid="{14EAD602-5B1E-413D-8A55-EB46245BBA69}"/>
    <cellStyle name="Comma 4 2 2 3 2 6 5" xfId="10885" xr:uid="{9C6A53B0-1F9B-4BE2-87BD-A49D17D0879C}"/>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9624" xr:uid="{69401DCE-07B2-423A-BC80-CCCC599D890D}"/>
    <cellStyle name="Comma 4 2 2 3 2 8 3" xfId="15413" xr:uid="{555ECE81-665F-4C85-A42D-6F5132F4938B}"/>
    <cellStyle name="Comma 4 2 2 3 2 8 4" xfId="24663" xr:uid="{F71F1A48-2E91-4AA7-A1F0-0044987ABCBB}"/>
    <cellStyle name="Comma 4 2 2 3 2 8 5" xfId="11202" xr:uid="{5CF682B1-4E87-4C9A-B9FC-75963146FD1D}"/>
    <cellStyle name="Comma 4 2 2 3 2 9" xfId="4608" xr:uid="{00000000-0005-0000-0000-000014080000}"/>
    <cellStyle name="Comma 4 2 2 3 2 9 2" xfId="17241" xr:uid="{CB4CB10A-B963-4C15-B54F-EA11CA54342C}"/>
    <cellStyle name="Comma 4 2 2 3 3" xfId="671" xr:uid="{00000000-0005-0000-0000-000015080000}"/>
    <cellStyle name="Comma 4 2 2 3 3 2" xfId="2942" xr:uid="{00000000-0005-0000-0000-000016080000}"/>
    <cellStyle name="Comma 4 2 2 3 3 2 2" xfId="7166" xr:uid="{00000000-0005-0000-0000-000017080000}"/>
    <cellStyle name="Comma 4 2 2 3 3 2 2 2" xfId="19799" xr:uid="{BE819AEB-F800-40CE-9638-A6E4D72DF8F5}"/>
    <cellStyle name="Comma 4 2 2 3 3 2 3" xfId="15588" xr:uid="{6A30CAC9-FC3C-463B-B8D7-0F28F512F42C}"/>
    <cellStyle name="Comma 4 2 2 3 3 2 4" xfId="24838" xr:uid="{3854AF56-8E33-4E03-828F-49568BFD2FD2}"/>
    <cellStyle name="Comma 4 2 2 3 3 2 5" xfId="11377" xr:uid="{F17BF4D9-CBEC-43F5-A115-95EA814C365C}"/>
    <cellStyle name="Comma 4 2 2 3 3 3" xfId="5021" xr:uid="{00000000-0005-0000-0000-000018080000}"/>
    <cellStyle name="Comma 4 2 2 3 3 3 2" xfId="17654" xr:uid="{4903C5B8-00AC-4D62-84B0-B539CEBB9C67}"/>
    <cellStyle name="Comma 4 2 2 3 3 4" xfId="21864" xr:uid="{010ABC8E-8882-430C-992B-B489B049176A}"/>
    <cellStyle name="Comma 4 2 2 3 3 5" xfId="13443" xr:uid="{DE873748-F883-431E-83A3-3CE9B4BBF011}"/>
    <cellStyle name="Comma 4 2 2 3 3 6" xfId="22693" xr:uid="{A0F6ECB7-4EF9-48BD-85A1-EB814559D0AF}"/>
    <cellStyle name="Comma 4 2 2 3 3 7" xfId="9232" xr:uid="{7C7A0EE3-D654-4C8C-B19E-212A1DFBD4A6}"/>
    <cellStyle name="Comma 4 2 2 3 4" xfId="1124" xr:uid="{00000000-0005-0000-0000-000019080000}"/>
    <cellStyle name="Comma 4 2 2 3 4 2" xfId="3355" xr:uid="{00000000-0005-0000-0000-00001A080000}"/>
    <cellStyle name="Comma 4 2 2 3 4 2 2" xfId="7579" xr:uid="{00000000-0005-0000-0000-00001B080000}"/>
    <cellStyle name="Comma 4 2 2 3 4 2 2 2" xfId="20212" xr:uid="{A5423DC2-BB79-4ED6-BB75-B31CE5C21E0B}"/>
    <cellStyle name="Comma 4 2 2 3 4 2 3" xfId="16001" xr:uid="{416206D7-9F0F-4DD9-BFFE-A6D52B6DDF1C}"/>
    <cellStyle name="Comma 4 2 2 3 4 2 4" xfId="25251" xr:uid="{D15909D0-9A7A-403E-92F3-B302C10C8759}"/>
    <cellStyle name="Comma 4 2 2 3 4 2 5" xfId="11790" xr:uid="{F9237120-E5F5-4FE3-8728-6DC4A8F62ECD}"/>
    <cellStyle name="Comma 4 2 2 3 4 3" xfId="5434" xr:uid="{00000000-0005-0000-0000-00001C080000}"/>
    <cellStyle name="Comma 4 2 2 3 4 3 2" xfId="18067" xr:uid="{1F9E6148-70F7-4F94-BC0E-AD48D81BD78A}"/>
    <cellStyle name="Comma 4 2 2 3 4 4" xfId="13856" xr:uid="{F1435F36-03BE-4A6D-9DA1-41B0BBBA8714}"/>
    <cellStyle name="Comma 4 2 2 3 4 5" xfId="23106" xr:uid="{C760E08D-B1D7-45F6-AF2D-118133DDF256}"/>
    <cellStyle name="Comma 4 2 2 3 4 6" xfId="9645" xr:uid="{5167645F-DF87-45F0-8928-636AA843BCE1}"/>
    <cellStyle name="Comma 4 2 2 3 5" xfId="1538" xr:uid="{00000000-0005-0000-0000-00001D080000}"/>
    <cellStyle name="Comma 4 2 2 3 5 2" xfId="3768" xr:uid="{00000000-0005-0000-0000-00001E080000}"/>
    <cellStyle name="Comma 4 2 2 3 5 2 2" xfId="7992" xr:uid="{00000000-0005-0000-0000-00001F080000}"/>
    <cellStyle name="Comma 4 2 2 3 5 2 2 2" xfId="20625" xr:uid="{E7F05020-1A9A-4D23-BDBF-908CF870D6C6}"/>
    <cellStyle name="Comma 4 2 2 3 5 2 3" xfId="16414" xr:uid="{9D1A5A28-EDB0-4A94-BEA8-CBB011A0BFDF}"/>
    <cellStyle name="Comma 4 2 2 3 5 2 4" xfId="25664" xr:uid="{191D36F4-12BB-4F82-9F62-EB31870FCA01}"/>
    <cellStyle name="Comma 4 2 2 3 5 2 5" xfId="12203" xr:uid="{EBAC019B-0E3E-406B-9FA9-81EF8D2BF4B1}"/>
    <cellStyle name="Comma 4 2 2 3 5 3" xfId="5847" xr:uid="{00000000-0005-0000-0000-000020080000}"/>
    <cellStyle name="Comma 4 2 2 3 5 3 2" xfId="18480" xr:uid="{EC66E2C0-749A-4655-94AB-D61AB402FCB5}"/>
    <cellStyle name="Comma 4 2 2 3 5 4" xfId="14269" xr:uid="{90B71D34-A1A1-4626-9C71-A9F371819A1B}"/>
    <cellStyle name="Comma 4 2 2 3 5 5" xfId="23519" xr:uid="{F9189121-2746-46C0-8E29-8B88D1AC2E8F}"/>
    <cellStyle name="Comma 4 2 2 3 5 6" xfId="10058" xr:uid="{B69C2626-1B23-4D0F-9049-0C74B01B2A1E}"/>
    <cellStyle name="Comma 4 2 2 3 6" xfId="1952" xr:uid="{00000000-0005-0000-0000-000021080000}"/>
    <cellStyle name="Comma 4 2 2 3 6 2" xfId="4181" xr:uid="{00000000-0005-0000-0000-000022080000}"/>
    <cellStyle name="Comma 4 2 2 3 6 2 2" xfId="8405" xr:uid="{00000000-0005-0000-0000-000023080000}"/>
    <cellStyle name="Comma 4 2 2 3 6 2 2 2" xfId="21038" xr:uid="{A0646964-12AB-435C-B69A-4F84A3860ADC}"/>
    <cellStyle name="Comma 4 2 2 3 6 2 3" xfId="16827" xr:uid="{1F9192B6-6135-4908-A0D4-DC85B8A87AE5}"/>
    <cellStyle name="Comma 4 2 2 3 6 2 4" xfId="26077" xr:uid="{50DA57D8-03B5-433D-B850-7AEBCA1A9646}"/>
    <cellStyle name="Comma 4 2 2 3 6 2 5" xfId="12616" xr:uid="{2D28D0F3-7788-4A27-ADA1-47465730407C}"/>
    <cellStyle name="Comma 4 2 2 3 6 3" xfId="6260" xr:uid="{00000000-0005-0000-0000-000024080000}"/>
    <cellStyle name="Comma 4 2 2 3 6 3 2" xfId="18893" xr:uid="{EE246497-B777-4688-855D-8331AB2DAD77}"/>
    <cellStyle name="Comma 4 2 2 3 6 4" xfId="14682" xr:uid="{6BB730BF-9DFC-430C-B826-775B8F76F4C7}"/>
    <cellStyle name="Comma 4 2 2 3 6 5" xfId="23932" xr:uid="{2D7EB18C-5C9F-4818-88C8-C52C817333B8}"/>
    <cellStyle name="Comma 4 2 2 3 6 6" xfId="10471" xr:uid="{A003E038-F0D7-4807-83C2-BB1D4180D4AC}"/>
    <cellStyle name="Comma 4 2 2 3 7" xfId="2387" xr:uid="{00000000-0005-0000-0000-000025080000}"/>
    <cellStyle name="Comma 4 2 2 3 7 2" xfId="6673" xr:uid="{00000000-0005-0000-0000-000026080000}"/>
    <cellStyle name="Comma 4 2 2 3 7 2 2" xfId="19306" xr:uid="{24CAEDE8-8AAF-4843-AF6C-380D8ECA1465}"/>
    <cellStyle name="Comma 4 2 2 3 7 3" xfId="15095" xr:uid="{ADF01343-B612-4FEC-B8A7-4D7D08A7EE1A}"/>
    <cellStyle name="Comma 4 2 2 3 7 4" xfId="24345" xr:uid="{E82DFF31-6F4D-42FB-9660-F08287686EE1}"/>
    <cellStyle name="Comma 4 2 2 3 7 5" xfId="10884" xr:uid="{7F640CD9-0D9E-4947-973F-EDB9A7699825}"/>
    <cellStyle name="Comma 4 2 2 3 8" xfId="2378" xr:uid="{00000000-0005-0000-0000-000027080000}"/>
    <cellStyle name="Comma 4 2 2 3 9" xfId="2765" xr:uid="{00000000-0005-0000-0000-000028080000}"/>
    <cellStyle name="Comma 4 2 2 3 9 2" xfId="6990" xr:uid="{00000000-0005-0000-0000-000029080000}"/>
    <cellStyle name="Comma 4 2 2 3 9 2 2" xfId="19623" xr:uid="{95BBE266-FF09-48A9-AF04-1733CE313ADA}"/>
    <cellStyle name="Comma 4 2 2 3 9 3" xfId="15412" xr:uid="{742CD5D4-96F2-4AC8-88A2-7A6C08B37C2E}"/>
    <cellStyle name="Comma 4 2 2 3 9 4" xfId="24662" xr:uid="{A21BB9F7-1CDC-4663-95E7-7AA0664EC662}"/>
    <cellStyle name="Comma 4 2 2 3 9 5" xfId="11201" xr:uid="{F02CFC99-823B-43EE-9C79-80D4510D4B80}"/>
    <cellStyle name="Comma 4 2 2 4" xfId="134" xr:uid="{00000000-0005-0000-0000-00002A080000}"/>
    <cellStyle name="Comma 4 2 2 4 10" xfId="21453" xr:uid="{A30C8660-EDFD-4B56-8660-DFFC3CCB5FB2}"/>
    <cellStyle name="Comma 4 2 2 4 11" xfId="13031" xr:uid="{29813670-CF47-4FD7-A20D-1089AB955E5A}"/>
    <cellStyle name="Comma 4 2 2 4 12" xfId="22281" xr:uid="{96CBA905-D2D4-4EC7-B957-536060FC2B78}"/>
    <cellStyle name="Comma 4 2 2 4 13" xfId="8820" xr:uid="{887D027F-54FB-4B23-BD08-BE78DA7AAF7D}"/>
    <cellStyle name="Comma 4 2 2 4 2" xfId="673" xr:uid="{00000000-0005-0000-0000-00002B080000}"/>
    <cellStyle name="Comma 4 2 2 4 2 2" xfId="2944" xr:uid="{00000000-0005-0000-0000-00002C080000}"/>
    <cellStyle name="Comma 4 2 2 4 2 2 2" xfId="7168" xr:uid="{00000000-0005-0000-0000-00002D080000}"/>
    <cellStyle name="Comma 4 2 2 4 2 2 2 2" xfId="19801" xr:uid="{52CD0B4B-BF4E-4B15-AE0D-1908B6A4ACF0}"/>
    <cellStyle name="Comma 4 2 2 4 2 2 3" xfId="15590" xr:uid="{9CF1685C-707C-4AA8-B70F-3998C1E8932D}"/>
    <cellStyle name="Comma 4 2 2 4 2 2 4" xfId="24840" xr:uid="{46286BEB-F7FF-489C-8EEC-BDEF0E90A64A}"/>
    <cellStyle name="Comma 4 2 2 4 2 2 5" xfId="11379" xr:uid="{9D8FD433-979B-4783-B4DC-E535D4730FA6}"/>
    <cellStyle name="Comma 4 2 2 4 2 3" xfId="5023" xr:uid="{00000000-0005-0000-0000-00002E080000}"/>
    <cellStyle name="Comma 4 2 2 4 2 3 2" xfId="17656" xr:uid="{C0D57EAA-FB40-4086-83C5-D928C6980DFA}"/>
    <cellStyle name="Comma 4 2 2 4 2 4" xfId="21866" xr:uid="{555BE321-567C-42FE-8799-D401727984A2}"/>
    <cellStyle name="Comma 4 2 2 4 2 5" xfId="13445" xr:uid="{C28D26EB-F650-4F2D-B3D0-EE4CBBB77540}"/>
    <cellStyle name="Comma 4 2 2 4 2 6" xfId="22695" xr:uid="{EE6F3EA7-1F8E-41A3-9F29-7D15A5899938}"/>
    <cellStyle name="Comma 4 2 2 4 2 7" xfId="9234" xr:uid="{18BE1A6B-4D73-4D68-A370-FA3795C449DF}"/>
    <cellStyle name="Comma 4 2 2 4 3" xfId="1126" xr:uid="{00000000-0005-0000-0000-00002F080000}"/>
    <cellStyle name="Comma 4 2 2 4 3 2" xfId="3357" xr:uid="{00000000-0005-0000-0000-000030080000}"/>
    <cellStyle name="Comma 4 2 2 4 3 2 2" xfId="7581" xr:uid="{00000000-0005-0000-0000-000031080000}"/>
    <cellStyle name="Comma 4 2 2 4 3 2 2 2" xfId="20214" xr:uid="{7BF12C17-29C9-4690-BD9B-CEDACCA4892E}"/>
    <cellStyle name="Comma 4 2 2 4 3 2 3" xfId="16003" xr:uid="{81324AF7-1424-4DEC-BDED-BD9AF8D8B728}"/>
    <cellStyle name="Comma 4 2 2 4 3 2 4" xfId="25253" xr:uid="{780C9EE3-5B5F-4DFA-B6E4-D91C632A37E0}"/>
    <cellStyle name="Comma 4 2 2 4 3 2 5" xfId="11792" xr:uid="{4C182DA8-B6F5-46BB-9FC8-2537F89398A0}"/>
    <cellStyle name="Comma 4 2 2 4 3 3" xfId="5436" xr:uid="{00000000-0005-0000-0000-000032080000}"/>
    <cellStyle name="Comma 4 2 2 4 3 3 2" xfId="18069" xr:uid="{4AB28400-275F-4EC2-A717-9781522EC78D}"/>
    <cellStyle name="Comma 4 2 2 4 3 4" xfId="13858" xr:uid="{AB5DA10E-A60E-4398-AADD-81C1F218645C}"/>
    <cellStyle name="Comma 4 2 2 4 3 5" xfId="23108" xr:uid="{875E6C1A-B3AF-46CB-8C58-C6ABDA06DFBE}"/>
    <cellStyle name="Comma 4 2 2 4 3 6" xfId="9647" xr:uid="{A2CB8E0F-BA18-4769-8F2E-AA6827D81397}"/>
    <cellStyle name="Comma 4 2 2 4 4" xfId="1540" xr:uid="{00000000-0005-0000-0000-000033080000}"/>
    <cellStyle name="Comma 4 2 2 4 4 2" xfId="3770" xr:uid="{00000000-0005-0000-0000-000034080000}"/>
    <cellStyle name="Comma 4 2 2 4 4 2 2" xfId="7994" xr:uid="{00000000-0005-0000-0000-000035080000}"/>
    <cellStyle name="Comma 4 2 2 4 4 2 2 2" xfId="20627" xr:uid="{33AC2D20-5BA5-4481-9539-113EA1017E05}"/>
    <cellStyle name="Comma 4 2 2 4 4 2 3" xfId="16416" xr:uid="{08C83E68-2E94-4E43-AA9E-FFD93D24BF0A}"/>
    <cellStyle name="Comma 4 2 2 4 4 2 4" xfId="25666" xr:uid="{DAA0E3E2-C460-4076-958E-4CED7259D22F}"/>
    <cellStyle name="Comma 4 2 2 4 4 2 5" xfId="12205" xr:uid="{0AFEB4F3-03E5-4188-BBCF-16B4974F77AA}"/>
    <cellStyle name="Comma 4 2 2 4 4 3" xfId="5849" xr:uid="{00000000-0005-0000-0000-000036080000}"/>
    <cellStyle name="Comma 4 2 2 4 4 3 2" xfId="18482" xr:uid="{83850372-C309-4258-8FEC-C7CEC0166201}"/>
    <cellStyle name="Comma 4 2 2 4 4 4" xfId="14271" xr:uid="{0761539E-16C9-4C3B-A2B4-7DAC8C908942}"/>
    <cellStyle name="Comma 4 2 2 4 4 5" xfId="23521" xr:uid="{5152CA42-B75D-4A7F-B697-1C28047581CB}"/>
    <cellStyle name="Comma 4 2 2 4 4 6" xfId="10060" xr:uid="{45A578B9-8E6E-4631-8634-353AE3CEC0A8}"/>
    <cellStyle name="Comma 4 2 2 4 5" xfId="1954" xr:uid="{00000000-0005-0000-0000-000037080000}"/>
    <cellStyle name="Comma 4 2 2 4 5 2" xfId="4183" xr:uid="{00000000-0005-0000-0000-000038080000}"/>
    <cellStyle name="Comma 4 2 2 4 5 2 2" xfId="8407" xr:uid="{00000000-0005-0000-0000-000039080000}"/>
    <cellStyle name="Comma 4 2 2 4 5 2 2 2" xfId="21040" xr:uid="{05414546-D321-49CE-ABAD-0F68AD6A8FFF}"/>
    <cellStyle name="Comma 4 2 2 4 5 2 3" xfId="16829" xr:uid="{2DA5115D-8342-4289-94F2-1C98A7378CB0}"/>
    <cellStyle name="Comma 4 2 2 4 5 2 4" xfId="26079" xr:uid="{EC341C71-FAF5-43C9-9478-B3DF94688D33}"/>
    <cellStyle name="Comma 4 2 2 4 5 2 5" xfId="12618" xr:uid="{4853628E-67A6-46D1-9962-EC92522E3E9B}"/>
    <cellStyle name="Comma 4 2 2 4 5 3" xfId="6262" xr:uid="{00000000-0005-0000-0000-00003A080000}"/>
    <cellStyle name="Comma 4 2 2 4 5 3 2" xfId="18895" xr:uid="{A8C809E9-E1A6-4368-9CA6-71C8027FD917}"/>
    <cellStyle name="Comma 4 2 2 4 5 4" xfId="14684" xr:uid="{424E85BC-CD1F-450D-AFD6-52D8FC6756D9}"/>
    <cellStyle name="Comma 4 2 2 4 5 5" xfId="23934" xr:uid="{E6153E38-546A-496C-B1E0-24148D111508}"/>
    <cellStyle name="Comma 4 2 2 4 5 6" xfId="10473" xr:uid="{994BE96C-9841-4F04-B9AA-45DE34F0F0B0}"/>
    <cellStyle name="Comma 4 2 2 4 6" xfId="2389" xr:uid="{00000000-0005-0000-0000-00003B080000}"/>
    <cellStyle name="Comma 4 2 2 4 6 2" xfId="6675" xr:uid="{00000000-0005-0000-0000-00003C080000}"/>
    <cellStyle name="Comma 4 2 2 4 6 2 2" xfId="19308" xr:uid="{66C64D59-5902-41C6-B483-0B449C6A86AA}"/>
    <cellStyle name="Comma 4 2 2 4 6 3" xfId="15097" xr:uid="{3B159BEF-B049-4201-97B2-8C0518CCA5E0}"/>
    <cellStyle name="Comma 4 2 2 4 6 4" xfId="24347" xr:uid="{DD8D5CA5-3A1E-46B6-A68C-5ACFB14C6BEE}"/>
    <cellStyle name="Comma 4 2 2 4 6 5" xfId="10886" xr:uid="{F04216CC-E20E-4CF0-A8B0-F7CE8C879F72}"/>
    <cellStyle name="Comma 4 2 2 4 7" xfId="2376" xr:uid="{00000000-0005-0000-0000-00003D080000}"/>
    <cellStyle name="Comma 4 2 2 4 8" xfId="2767" xr:uid="{00000000-0005-0000-0000-00003E080000}"/>
    <cellStyle name="Comma 4 2 2 4 8 2" xfId="6992" xr:uid="{00000000-0005-0000-0000-00003F080000}"/>
    <cellStyle name="Comma 4 2 2 4 8 2 2" xfId="19625" xr:uid="{79183109-060F-43C6-81C4-7A2AB39DE5A5}"/>
    <cellStyle name="Comma 4 2 2 4 8 3" xfId="15414" xr:uid="{F4FF445B-14FA-48DC-A8F0-59281506A527}"/>
    <cellStyle name="Comma 4 2 2 4 8 4" xfId="24664" xr:uid="{15D317EF-BA64-4E6B-9F1D-68A642B66036}"/>
    <cellStyle name="Comma 4 2 2 4 8 5" xfId="11203" xr:uid="{55458E59-DB53-42BA-A30D-CC0600DA6052}"/>
    <cellStyle name="Comma 4 2 2 4 9" xfId="4609" xr:uid="{00000000-0005-0000-0000-000040080000}"/>
    <cellStyle name="Comma 4 2 2 4 9 2" xfId="17242" xr:uid="{986129D3-64FE-49E3-AA69-D5B405CB9B2E}"/>
    <cellStyle name="Comma 4 2 2 5" xfId="135" xr:uid="{00000000-0005-0000-0000-000041080000}"/>
    <cellStyle name="Comma 4 2 2 5 10" xfId="21454" xr:uid="{7821468A-610D-4B02-8407-C1D4E7E8710F}"/>
    <cellStyle name="Comma 4 2 2 5 11" xfId="13032" xr:uid="{8E468387-13DD-4C4D-8075-7EEC29DAA9A1}"/>
    <cellStyle name="Comma 4 2 2 5 12" xfId="22282" xr:uid="{809DB94E-F067-4FEE-B46D-704A65DEED19}"/>
    <cellStyle name="Comma 4 2 2 5 13" xfId="8821" xr:uid="{C2130EF0-5EA3-4E72-A1CB-DCC99278558B}"/>
    <cellStyle name="Comma 4 2 2 5 2" xfId="674" xr:uid="{00000000-0005-0000-0000-000042080000}"/>
    <cellStyle name="Comma 4 2 2 5 2 2" xfId="2945" xr:uid="{00000000-0005-0000-0000-000043080000}"/>
    <cellStyle name="Comma 4 2 2 5 2 2 2" xfId="7169" xr:uid="{00000000-0005-0000-0000-000044080000}"/>
    <cellStyle name="Comma 4 2 2 5 2 2 2 2" xfId="19802" xr:uid="{66FEBDB7-E579-4C47-8E0A-192DB68FED05}"/>
    <cellStyle name="Comma 4 2 2 5 2 2 3" xfId="15591" xr:uid="{7C3E483D-073C-41A3-8D23-780D308D2406}"/>
    <cellStyle name="Comma 4 2 2 5 2 2 4" xfId="24841" xr:uid="{C62FF801-6DDB-4637-9962-3F2AB6A7EDCA}"/>
    <cellStyle name="Comma 4 2 2 5 2 2 5" xfId="11380" xr:uid="{8D671F35-DCFE-412F-9546-6AE01F5C3325}"/>
    <cellStyle name="Comma 4 2 2 5 2 3" xfId="5024" xr:uid="{00000000-0005-0000-0000-000045080000}"/>
    <cellStyle name="Comma 4 2 2 5 2 3 2" xfId="17657" xr:uid="{6F85C702-8357-4D05-A251-0AED1E90D62F}"/>
    <cellStyle name="Comma 4 2 2 5 2 4" xfId="21867" xr:uid="{303678A5-6F2E-4452-9093-7E3A0512FE31}"/>
    <cellStyle name="Comma 4 2 2 5 2 5" xfId="13446" xr:uid="{F939CA76-9BE6-4353-8C59-350DAE6BCF5C}"/>
    <cellStyle name="Comma 4 2 2 5 2 6" xfId="22696" xr:uid="{ED85AD0B-39B2-4C13-803E-39B6253FD325}"/>
    <cellStyle name="Comma 4 2 2 5 2 7" xfId="9235" xr:uid="{3DF77546-2F6A-484F-9631-09DF9A721BFC}"/>
    <cellStyle name="Comma 4 2 2 5 3" xfId="1127" xr:uid="{00000000-0005-0000-0000-000046080000}"/>
    <cellStyle name="Comma 4 2 2 5 3 2" xfId="3358" xr:uid="{00000000-0005-0000-0000-000047080000}"/>
    <cellStyle name="Comma 4 2 2 5 3 2 2" xfId="7582" xr:uid="{00000000-0005-0000-0000-000048080000}"/>
    <cellStyle name="Comma 4 2 2 5 3 2 2 2" xfId="20215" xr:uid="{C35A9A0E-2591-402B-9A2D-ECC75E1CCAA5}"/>
    <cellStyle name="Comma 4 2 2 5 3 2 3" xfId="16004" xr:uid="{EFE64827-94AA-480B-8F5B-2DF0C3FBB2AD}"/>
    <cellStyle name="Comma 4 2 2 5 3 2 4" xfId="25254" xr:uid="{ABB00615-D5D5-419E-8ABB-9829FB414D14}"/>
    <cellStyle name="Comma 4 2 2 5 3 2 5" xfId="11793" xr:uid="{677BD68B-DE2B-4357-8ED3-814DB03571EA}"/>
    <cellStyle name="Comma 4 2 2 5 3 3" xfId="5437" xr:uid="{00000000-0005-0000-0000-000049080000}"/>
    <cellStyle name="Comma 4 2 2 5 3 3 2" xfId="18070" xr:uid="{E212D01E-2D82-493F-B4B2-89DF9B75B2F9}"/>
    <cellStyle name="Comma 4 2 2 5 3 4" xfId="13859" xr:uid="{35C63D00-4138-402E-958D-4D1282B04F02}"/>
    <cellStyle name="Comma 4 2 2 5 3 5" xfId="23109" xr:uid="{1296FB6D-18FF-470E-B35E-289E5E316E98}"/>
    <cellStyle name="Comma 4 2 2 5 3 6" xfId="9648" xr:uid="{B989473A-8BF7-4AC3-97FC-FE08AC1ADC2B}"/>
    <cellStyle name="Comma 4 2 2 5 4" xfId="1541" xr:uid="{00000000-0005-0000-0000-00004A080000}"/>
    <cellStyle name="Comma 4 2 2 5 4 2" xfId="3771" xr:uid="{00000000-0005-0000-0000-00004B080000}"/>
    <cellStyle name="Comma 4 2 2 5 4 2 2" xfId="7995" xr:uid="{00000000-0005-0000-0000-00004C080000}"/>
    <cellStyle name="Comma 4 2 2 5 4 2 2 2" xfId="20628" xr:uid="{3978435A-79EB-4F9C-9284-2D7FAFCECB3C}"/>
    <cellStyle name="Comma 4 2 2 5 4 2 3" xfId="16417" xr:uid="{07128C02-118A-4F7F-9343-E68423793DF0}"/>
    <cellStyle name="Comma 4 2 2 5 4 2 4" xfId="25667" xr:uid="{48830613-09FC-4D7D-8972-A73B2E2FC485}"/>
    <cellStyle name="Comma 4 2 2 5 4 2 5" xfId="12206" xr:uid="{BEF0DB21-4F0B-4836-ACBE-751C42B7D6A7}"/>
    <cellStyle name="Comma 4 2 2 5 4 3" xfId="5850" xr:uid="{00000000-0005-0000-0000-00004D080000}"/>
    <cellStyle name="Comma 4 2 2 5 4 3 2" xfId="18483" xr:uid="{BF36D6A1-10A0-4CBC-A019-5E27B3D16E1E}"/>
    <cellStyle name="Comma 4 2 2 5 4 4" xfId="14272" xr:uid="{FA070D77-D284-4FF5-82ED-EC0A6A9A8E18}"/>
    <cellStyle name="Comma 4 2 2 5 4 5" xfId="23522" xr:uid="{4A0788F8-3E3C-476C-8158-20F886A58016}"/>
    <cellStyle name="Comma 4 2 2 5 4 6" xfId="10061" xr:uid="{EAE4E2EF-E24B-41EE-8267-F78D6E8640A1}"/>
    <cellStyle name="Comma 4 2 2 5 5" xfId="1955" xr:uid="{00000000-0005-0000-0000-00004E080000}"/>
    <cellStyle name="Comma 4 2 2 5 5 2" xfId="4184" xr:uid="{00000000-0005-0000-0000-00004F080000}"/>
    <cellStyle name="Comma 4 2 2 5 5 2 2" xfId="8408" xr:uid="{00000000-0005-0000-0000-000050080000}"/>
    <cellStyle name="Comma 4 2 2 5 5 2 2 2" xfId="21041" xr:uid="{9A7C0348-2DA8-41C5-B97A-082E9E12C038}"/>
    <cellStyle name="Comma 4 2 2 5 5 2 3" xfId="16830" xr:uid="{6A743260-A213-418F-9F64-94529202444E}"/>
    <cellStyle name="Comma 4 2 2 5 5 2 4" xfId="26080" xr:uid="{4B062A4F-625C-4B5B-8118-EDA5636E71B6}"/>
    <cellStyle name="Comma 4 2 2 5 5 2 5" xfId="12619" xr:uid="{BC1A10AB-D9CE-412E-807F-539AB360DE1B}"/>
    <cellStyle name="Comma 4 2 2 5 5 3" xfId="6263" xr:uid="{00000000-0005-0000-0000-000051080000}"/>
    <cellStyle name="Comma 4 2 2 5 5 3 2" xfId="18896" xr:uid="{B3D8C9BF-9DD9-4E15-9266-F600EAB0B349}"/>
    <cellStyle name="Comma 4 2 2 5 5 4" xfId="14685" xr:uid="{94D740DE-7C01-470B-91A6-2E57B7888DED}"/>
    <cellStyle name="Comma 4 2 2 5 5 5" xfId="23935" xr:uid="{8DD89237-4B12-4020-B94F-AA7DC55609D7}"/>
    <cellStyle name="Comma 4 2 2 5 5 6" xfId="10474" xr:uid="{DCBC58F8-ACC0-422C-A238-211C72ECB25E}"/>
    <cellStyle name="Comma 4 2 2 5 6" xfId="2390" xr:uid="{00000000-0005-0000-0000-000052080000}"/>
    <cellStyle name="Comma 4 2 2 5 6 2" xfId="6676" xr:uid="{00000000-0005-0000-0000-000053080000}"/>
    <cellStyle name="Comma 4 2 2 5 6 2 2" xfId="19309" xr:uid="{BBE80301-CC99-470A-B9BD-A169F6F58158}"/>
    <cellStyle name="Comma 4 2 2 5 6 3" xfId="15098" xr:uid="{1A61689A-0A7D-46C8-A3CA-84B0BCC51C69}"/>
    <cellStyle name="Comma 4 2 2 5 6 4" xfId="24348" xr:uid="{0C1D90D9-1092-47D5-8E02-0A8890DD56B0}"/>
    <cellStyle name="Comma 4 2 2 5 6 5" xfId="10887" xr:uid="{43213FDC-C726-4F39-9BED-80B4ECEAB03F}"/>
    <cellStyle name="Comma 4 2 2 5 7" xfId="2375" xr:uid="{00000000-0005-0000-0000-000054080000}"/>
    <cellStyle name="Comma 4 2 2 5 8" xfId="2768" xr:uid="{00000000-0005-0000-0000-000055080000}"/>
    <cellStyle name="Comma 4 2 2 5 8 2" xfId="6993" xr:uid="{00000000-0005-0000-0000-000056080000}"/>
    <cellStyle name="Comma 4 2 2 5 8 2 2" xfId="19626" xr:uid="{9A454D93-134C-44C3-AC9A-116A2EAE8713}"/>
    <cellStyle name="Comma 4 2 2 5 8 3" xfId="15415" xr:uid="{B82ACD3E-833C-4FAD-B874-34D180717D39}"/>
    <cellStyle name="Comma 4 2 2 5 8 4" xfId="24665" xr:uid="{365DAE48-A085-4089-9633-84C0F6466671}"/>
    <cellStyle name="Comma 4 2 2 5 8 5" xfId="11204" xr:uid="{0B506F7B-EBBA-484C-ABAF-BC18C2ADF86B}"/>
    <cellStyle name="Comma 4 2 2 5 9" xfId="4610" xr:uid="{00000000-0005-0000-0000-000057080000}"/>
    <cellStyle name="Comma 4 2 2 5 9 2" xfId="17243" xr:uid="{427979B4-4F3A-4AB7-A9CB-4C375B3A84EE}"/>
    <cellStyle name="Comma 4 2 3" xfId="136" xr:uid="{00000000-0005-0000-0000-000058080000}"/>
    <cellStyle name="Comma 4 2 3 10" xfId="2769" xr:uid="{00000000-0005-0000-0000-000059080000}"/>
    <cellStyle name="Comma 4 2 3 10 2" xfId="6994" xr:uid="{00000000-0005-0000-0000-00005A080000}"/>
    <cellStyle name="Comma 4 2 3 10 2 2" xfId="19627" xr:uid="{A93F847B-D838-43E0-8966-54FCA78FED83}"/>
    <cellStyle name="Comma 4 2 3 10 3" xfId="15416" xr:uid="{AF4E69C2-B1D9-4FE0-A362-EC6E38081082}"/>
    <cellStyle name="Comma 4 2 3 10 4" xfId="24666" xr:uid="{3B0AD5C6-C4E5-433A-AA40-7DCABD131B13}"/>
    <cellStyle name="Comma 4 2 3 10 5" xfId="11205" xr:uid="{8EB0DE1F-7505-424E-A478-4AC8D59EF1AA}"/>
    <cellStyle name="Comma 4 2 3 11" xfId="4611" xr:uid="{00000000-0005-0000-0000-00005B080000}"/>
    <cellStyle name="Comma 4 2 3 11 2" xfId="17244" xr:uid="{1B1C44B4-D95C-4DED-BB4D-EDBD832FE9BA}"/>
    <cellStyle name="Comma 4 2 3 12" xfId="21455" xr:uid="{96455692-A316-4851-A261-DA13DC58ACEC}"/>
    <cellStyle name="Comma 4 2 3 13" xfId="13033" xr:uid="{00C6D0DF-3433-4095-BC18-9ACBDE064A24}"/>
    <cellStyle name="Comma 4 2 3 14" xfId="22283" xr:uid="{E8D4BC4B-4F08-4E27-80B9-0772420E74FA}"/>
    <cellStyle name="Comma 4 2 3 15" xfId="8822" xr:uid="{7CA4BCE2-8639-4D67-B721-89555FAEBA62}"/>
    <cellStyle name="Comma 4 2 3 2" xfId="137" xr:uid="{00000000-0005-0000-0000-00005C080000}"/>
    <cellStyle name="Comma 4 2 3 2 10" xfId="4612" xr:uid="{00000000-0005-0000-0000-00005D080000}"/>
    <cellStyle name="Comma 4 2 3 2 10 2" xfId="17245" xr:uid="{B2C5FA52-C822-4EBC-B35A-5C58F183ADCF}"/>
    <cellStyle name="Comma 4 2 3 2 11" xfId="21456" xr:uid="{F65E128B-198A-471D-B852-B6629721C836}"/>
    <cellStyle name="Comma 4 2 3 2 12" xfId="13034" xr:uid="{DE5AA948-D967-482A-8DB5-144D1933C939}"/>
    <cellStyle name="Comma 4 2 3 2 13" xfId="22284" xr:uid="{45C69C46-3765-43E3-9C82-0EB6F79CAFB4}"/>
    <cellStyle name="Comma 4 2 3 2 14" xfId="8823" xr:uid="{01CED569-8CE6-4274-9B4A-9E12D444ED20}"/>
    <cellStyle name="Comma 4 2 3 2 2" xfId="138" xr:uid="{00000000-0005-0000-0000-00005E080000}"/>
    <cellStyle name="Comma 4 2 3 2 2 10" xfId="21457" xr:uid="{FAD1A627-2E39-4185-AAD3-A1790183767F}"/>
    <cellStyle name="Comma 4 2 3 2 2 11" xfId="13035" xr:uid="{B43F3488-238C-44C9-B211-21EDA7AA496A}"/>
    <cellStyle name="Comma 4 2 3 2 2 12" xfId="22285" xr:uid="{13DB0C82-0349-4244-8DEA-37062FB808E1}"/>
    <cellStyle name="Comma 4 2 3 2 2 13" xfId="8824" xr:uid="{D5ED9E0D-14E2-4F0D-B21B-86865CD6D6A2}"/>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9805" xr:uid="{90FA7F70-5ED9-4C0D-89F1-91927B37B160}"/>
    <cellStyle name="Comma 4 2 3 2 2 2 2 3" xfId="15594" xr:uid="{08E89D51-F3C1-49C6-B149-AABC217D49A4}"/>
    <cellStyle name="Comma 4 2 3 2 2 2 2 4" xfId="24844" xr:uid="{20E8DA85-FC05-47DB-A0E7-AEC08DBB5E73}"/>
    <cellStyle name="Comma 4 2 3 2 2 2 2 5" xfId="11383" xr:uid="{EA10531C-DE9E-4E95-B18E-DA0AEB9D9373}"/>
    <cellStyle name="Comma 4 2 3 2 2 2 3" xfId="5027" xr:uid="{00000000-0005-0000-0000-000062080000}"/>
    <cellStyle name="Comma 4 2 3 2 2 2 3 2" xfId="17660" xr:uid="{4271AFD9-3F8D-4AC0-B294-1D894C11C3E2}"/>
    <cellStyle name="Comma 4 2 3 2 2 2 4" xfId="21870" xr:uid="{BF01B8A3-1599-424E-A30E-A6E603EE6803}"/>
    <cellStyle name="Comma 4 2 3 2 2 2 5" xfId="13449" xr:uid="{AD52A461-9DE1-4604-BF8E-D099F0C5296B}"/>
    <cellStyle name="Comma 4 2 3 2 2 2 6" xfId="22699" xr:uid="{13E68C4D-E03B-47C8-9128-C76FE3CC9295}"/>
    <cellStyle name="Comma 4 2 3 2 2 2 7" xfId="9238" xr:uid="{4E408E17-EEC2-450E-83D8-323FD8FDF5E1}"/>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20218" xr:uid="{61741BD3-92DA-45E9-AFD3-260F68FAF130}"/>
    <cellStyle name="Comma 4 2 3 2 2 3 2 3" xfId="16007" xr:uid="{F72C292B-9CF9-4B04-956D-FC5E60EA97F3}"/>
    <cellStyle name="Comma 4 2 3 2 2 3 2 4" xfId="25257" xr:uid="{9F842D2D-A9C0-4048-BBB6-5198F88E2B30}"/>
    <cellStyle name="Comma 4 2 3 2 2 3 2 5" xfId="11796" xr:uid="{D1667799-3E86-4204-95AF-33F5DF4493A1}"/>
    <cellStyle name="Comma 4 2 3 2 2 3 3" xfId="5440" xr:uid="{00000000-0005-0000-0000-000066080000}"/>
    <cellStyle name="Comma 4 2 3 2 2 3 3 2" xfId="18073" xr:uid="{C919007A-C692-460E-89A1-01B3E8866629}"/>
    <cellStyle name="Comma 4 2 3 2 2 3 4" xfId="13862" xr:uid="{697DCF15-2832-49DB-BD67-AA1972A719BF}"/>
    <cellStyle name="Comma 4 2 3 2 2 3 5" xfId="23112" xr:uid="{4B2C88F8-3359-4885-A8BE-5082C8D3D5E0}"/>
    <cellStyle name="Comma 4 2 3 2 2 3 6" xfId="9651" xr:uid="{448600E1-7B92-49EA-8836-74D645DC1782}"/>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20631" xr:uid="{ADC857F6-494A-4DF8-87E2-244898398CFD}"/>
    <cellStyle name="Comma 4 2 3 2 2 4 2 3" xfId="16420" xr:uid="{873C3E05-B4C5-4A67-8696-1BD2FC1810DD}"/>
    <cellStyle name="Comma 4 2 3 2 2 4 2 4" xfId="25670" xr:uid="{2EE3A2B8-D454-4FFC-B4D1-93B371E5BDFB}"/>
    <cellStyle name="Comma 4 2 3 2 2 4 2 5" xfId="12209" xr:uid="{540A4F24-B29A-4049-9B40-47EC4F0CB58C}"/>
    <cellStyle name="Comma 4 2 3 2 2 4 3" xfId="5853" xr:uid="{00000000-0005-0000-0000-00006A080000}"/>
    <cellStyle name="Comma 4 2 3 2 2 4 3 2" xfId="18486" xr:uid="{61ED8487-AE82-434C-9858-3AB0ACE957C8}"/>
    <cellStyle name="Comma 4 2 3 2 2 4 4" xfId="14275" xr:uid="{7F1FFA8F-FDD0-4610-BADF-EE6E6AC2C6E0}"/>
    <cellStyle name="Comma 4 2 3 2 2 4 5" xfId="23525" xr:uid="{DE111804-DA85-486E-9DC2-D819A2CA2F7E}"/>
    <cellStyle name="Comma 4 2 3 2 2 4 6" xfId="10064" xr:uid="{6623EF3A-51DE-4EA1-A873-32C0532E81A0}"/>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21044" xr:uid="{8C280D51-B3AE-41D4-B322-64E62B4BC51A}"/>
    <cellStyle name="Comma 4 2 3 2 2 5 2 3" xfId="16833" xr:uid="{B68146DE-529F-43EC-8CA8-984975BB60E9}"/>
    <cellStyle name="Comma 4 2 3 2 2 5 2 4" xfId="26083" xr:uid="{93E79EAE-6578-463B-A0D9-1D37DAC025DD}"/>
    <cellStyle name="Comma 4 2 3 2 2 5 2 5" xfId="12622" xr:uid="{04CA62E4-8A04-43FE-9BB3-4C8524F842AD}"/>
    <cellStyle name="Comma 4 2 3 2 2 5 3" xfId="6266" xr:uid="{00000000-0005-0000-0000-00006E080000}"/>
    <cellStyle name="Comma 4 2 3 2 2 5 3 2" xfId="18899" xr:uid="{A1B5074C-27FC-468C-BA93-AFFC3F5C3EDF}"/>
    <cellStyle name="Comma 4 2 3 2 2 5 4" xfId="14688" xr:uid="{22CFC30E-DCD9-43AB-9001-141FDFA722BD}"/>
    <cellStyle name="Comma 4 2 3 2 2 5 5" xfId="23938" xr:uid="{767F7397-F310-4A19-8BC0-785549EF4BBF}"/>
    <cellStyle name="Comma 4 2 3 2 2 5 6" xfId="10477" xr:uid="{D9BE9623-766C-47C6-A0C1-0846487E017E}"/>
    <cellStyle name="Comma 4 2 3 2 2 6" xfId="2393" xr:uid="{00000000-0005-0000-0000-00006F080000}"/>
    <cellStyle name="Comma 4 2 3 2 2 6 2" xfId="6679" xr:uid="{00000000-0005-0000-0000-000070080000}"/>
    <cellStyle name="Comma 4 2 3 2 2 6 2 2" xfId="19312" xr:uid="{3B125F62-ECB8-4A79-ACF0-38EF1C4249F4}"/>
    <cellStyle name="Comma 4 2 3 2 2 6 3" xfId="15101" xr:uid="{0900FB79-F126-4E44-A0D6-4D2A68E578D7}"/>
    <cellStyle name="Comma 4 2 3 2 2 6 4" xfId="24351" xr:uid="{E91EF6DB-1969-4B18-8B67-28BA7CA382CB}"/>
    <cellStyle name="Comma 4 2 3 2 2 6 5" xfId="10890" xr:uid="{D8B2DDC4-3CAA-418B-8100-27E6E29D5129}"/>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9629" xr:uid="{D4C92411-14C3-459D-AB11-CB3007E16DDF}"/>
    <cellStyle name="Comma 4 2 3 2 2 8 3" xfId="15418" xr:uid="{F4785457-F1C6-4B9B-ACEA-128389505D28}"/>
    <cellStyle name="Comma 4 2 3 2 2 8 4" xfId="24668" xr:uid="{AFBD3AC5-B16C-4301-8431-40088C384421}"/>
    <cellStyle name="Comma 4 2 3 2 2 8 5" xfId="11207" xr:uid="{E00F3524-5922-4B1E-8A18-13AAE926DBDF}"/>
    <cellStyle name="Comma 4 2 3 2 2 9" xfId="4613" xr:uid="{00000000-0005-0000-0000-000074080000}"/>
    <cellStyle name="Comma 4 2 3 2 2 9 2" xfId="17246" xr:uid="{EB41B591-C4D3-497C-A66F-49EF90DBAAAD}"/>
    <cellStyle name="Comma 4 2 3 2 3" xfId="676" xr:uid="{00000000-0005-0000-0000-000075080000}"/>
    <cellStyle name="Comma 4 2 3 2 3 2" xfId="2947" xr:uid="{00000000-0005-0000-0000-000076080000}"/>
    <cellStyle name="Comma 4 2 3 2 3 2 2" xfId="7171" xr:uid="{00000000-0005-0000-0000-000077080000}"/>
    <cellStyle name="Comma 4 2 3 2 3 2 2 2" xfId="19804" xr:uid="{871A7490-DDF8-464A-B6EC-BD7167E52598}"/>
    <cellStyle name="Comma 4 2 3 2 3 2 3" xfId="15593" xr:uid="{2E56D5C1-3E81-4941-8D0E-A0309E6A85D0}"/>
    <cellStyle name="Comma 4 2 3 2 3 2 4" xfId="24843" xr:uid="{67B8D7BD-0953-40A2-A16B-F734B8607E57}"/>
    <cellStyle name="Comma 4 2 3 2 3 2 5" xfId="11382" xr:uid="{1FB9F476-AE03-4B9C-B4DF-5A59DDB105CE}"/>
    <cellStyle name="Comma 4 2 3 2 3 3" xfId="5026" xr:uid="{00000000-0005-0000-0000-000078080000}"/>
    <cellStyle name="Comma 4 2 3 2 3 3 2" xfId="17659" xr:uid="{EDB63FBB-315E-44AD-8474-BB17D5DE29DA}"/>
    <cellStyle name="Comma 4 2 3 2 3 4" xfId="21869" xr:uid="{96F84049-2FD4-4C0F-ABA3-1579B78BFF8D}"/>
    <cellStyle name="Comma 4 2 3 2 3 5" xfId="13448" xr:uid="{3F5AE2C0-920C-4A56-990B-4655809B6CF0}"/>
    <cellStyle name="Comma 4 2 3 2 3 6" xfId="22698" xr:uid="{81F59E23-0FC1-402A-B18F-1D734D500991}"/>
    <cellStyle name="Comma 4 2 3 2 3 7" xfId="9237" xr:uid="{BDE2B9BF-DFB4-4122-B6B5-E1B4920B49F7}"/>
    <cellStyle name="Comma 4 2 3 2 4" xfId="1129" xr:uid="{00000000-0005-0000-0000-000079080000}"/>
    <cellStyle name="Comma 4 2 3 2 4 2" xfId="3360" xr:uid="{00000000-0005-0000-0000-00007A080000}"/>
    <cellStyle name="Comma 4 2 3 2 4 2 2" xfId="7584" xr:uid="{00000000-0005-0000-0000-00007B080000}"/>
    <cellStyle name="Comma 4 2 3 2 4 2 2 2" xfId="20217" xr:uid="{C83B5513-128F-4D3C-B7CF-C27A18C8D161}"/>
    <cellStyle name="Comma 4 2 3 2 4 2 3" xfId="16006" xr:uid="{B60CD2A7-C3F2-44A7-947C-538EEB590D20}"/>
    <cellStyle name="Comma 4 2 3 2 4 2 4" xfId="25256" xr:uid="{C2CCE498-1B71-4E1E-B9F7-9776DFF26670}"/>
    <cellStyle name="Comma 4 2 3 2 4 2 5" xfId="11795" xr:uid="{376C5B1D-4744-4BEF-9D86-048A211240B0}"/>
    <cellStyle name="Comma 4 2 3 2 4 3" xfId="5439" xr:uid="{00000000-0005-0000-0000-00007C080000}"/>
    <cellStyle name="Comma 4 2 3 2 4 3 2" xfId="18072" xr:uid="{92DE0820-4534-4A22-AEF4-A5B6C8E6DAE0}"/>
    <cellStyle name="Comma 4 2 3 2 4 4" xfId="13861" xr:uid="{AC4506BB-DBA4-4DFC-89FA-F1C839295182}"/>
    <cellStyle name="Comma 4 2 3 2 4 5" xfId="23111" xr:uid="{DA7B41DE-D4F9-4DE4-A25A-CD0D183BB1A1}"/>
    <cellStyle name="Comma 4 2 3 2 4 6" xfId="9650" xr:uid="{773123B1-210E-4070-AF0E-1B121878A45F}"/>
    <cellStyle name="Comma 4 2 3 2 5" xfId="1543" xr:uid="{00000000-0005-0000-0000-00007D080000}"/>
    <cellStyle name="Comma 4 2 3 2 5 2" xfId="3773" xr:uid="{00000000-0005-0000-0000-00007E080000}"/>
    <cellStyle name="Comma 4 2 3 2 5 2 2" xfId="7997" xr:uid="{00000000-0005-0000-0000-00007F080000}"/>
    <cellStyle name="Comma 4 2 3 2 5 2 2 2" xfId="20630" xr:uid="{6EBD032B-79A0-4CCD-A472-F763A1242AB8}"/>
    <cellStyle name="Comma 4 2 3 2 5 2 3" xfId="16419" xr:uid="{92118109-D285-4E3B-8C74-DCBA3A7A861E}"/>
    <cellStyle name="Comma 4 2 3 2 5 2 4" xfId="25669" xr:uid="{4DAF439A-3407-4BDB-BFCC-060B2AEEE60E}"/>
    <cellStyle name="Comma 4 2 3 2 5 2 5" xfId="12208" xr:uid="{C4313DF1-45E9-4866-B591-196104DAB5E2}"/>
    <cellStyle name="Comma 4 2 3 2 5 3" xfId="5852" xr:uid="{00000000-0005-0000-0000-000080080000}"/>
    <cellStyle name="Comma 4 2 3 2 5 3 2" xfId="18485" xr:uid="{A003A6BA-F28F-4DE8-9D41-5D451F4B61E1}"/>
    <cellStyle name="Comma 4 2 3 2 5 4" xfId="14274" xr:uid="{AC91BF96-9E51-4A81-8F5E-7703BA9D648A}"/>
    <cellStyle name="Comma 4 2 3 2 5 5" xfId="23524" xr:uid="{2F1F910D-BAA7-4E70-94D3-F59D09FB2407}"/>
    <cellStyle name="Comma 4 2 3 2 5 6" xfId="10063" xr:uid="{379A87D3-43B2-4917-9D60-D5B3CCAC2F02}"/>
    <cellStyle name="Comma 4 2 3 2 6" xfId="1957" xr:uid="{00000000-0005-0000-0000-000081080000}"/>
    <cellStyle name="Comma 4 2 3 2 6 2" xfId="4186" xr:uid="{00000000-0005-0000-0000-000082080000}"/>
    <cellStyle name="Comma 4 2 3 2 6 2 2" xfId="8410" xr:uid="{00000000-0005-0000-0000-000083080000}"/>
    <cellStyle name="Comma 4 2 3 2 6 2 2 2" xfId="21043" xr:uid="{33AB301A-7900-48E6-9B31-A02C57ADA084}"/>
    <cellStyle name="Comma 4 2 3 2 6 2 3" xfId="16832" xr:uid="{7297F3B4-21C0-44E0-982D-40436918754D}"/>
    <cellStyle name="Comma 4 2 3 2 6 2 4" xfId="26082" xr:uid="{704E1442-4B3C-4EC3-9818-1EE2D977D95B}"/>
    <cellStyle name="Comma 4 2 3 2 6 2 5" xfId="12621" xr:uid="{FDA5C482-E97F-45BC-8FDD-940550325B88}"/>
    <cellStyle name="Comma 4 2 3 2 6 3" xfId="6265" xr:uid="{00000000-0005-0000-0000-000084080000}"/>
    <cellStyle name="Comma 4 2 3 2 6 3 2" xfId="18898" xr:uid="{38E65D82-62CC-4CDC-89D7-95795BEA5ED9}"/>
    <cellStyle name="Comma 4 2 3 2 6 4" xfId="14687" xr:uid="{D0FB8FB7-202E-4448-9759-5B7897C23463}"/>
    <cellStyle name="Comma 4 2 3 2 6 5" xfId="23937" xr:uid="{7FC2502B-102F-4CF9-B4B4-9E26435CDCE3}"/>
    <cellStyle name="Comma 4 2 3 2 6 6" xfId="10476" xr:uid="{EB0EF5CA-C6FD-4EEF-A1D6-F293DDC857BB}"/>
    <cellStyle name="Comma 4 2 3 2 7" xfId="2392" xr:uid="{00000000-0005-0000-0000-000085080000}"/>
    <cellStyle name="Comma 4 2 3 2 7 2" xfId="6678" xr:uid="{00000000-0005-0000-0000-000086080000}"/>
    <cellStyle name="Comma 4 2 3 2 7 2 2" xfId="19311" xr:uid="{B1669816-A5C5-4E99-8593-F3AF0B763BB0}"/>
    <cellStyle name="Comma 4 2 3 2 7 3" xfId="15100" xr:uid="{1DA47B02-CDA8-4E66-AC83-DA850699E0D1}"/>
    <cellStyle name="Comma 4 2 3 2 7 4" xfId="24350" xr:uid="{80807E38-8AFE-494B-B530-098254BC0962}"/>
    <cellStyle name="Comma 4 2 3 2 7 5" xfId="10889" xr:uid="{87B7AF2C-881A-462F-AD71-55AD991802BB}"/>
    <cellStyle name="Comma 4 2 3 2 8" xfId="2373" xr:uid="{00000000-0005-0000-0000-000087080000}"/>
    <cellStyle name="Comma 4 2 3 2 9" xfId="2770" xr:uid="{00000000-0005-0000-0000-000088080000}"/>
    <cellStyle name="Comma 4 2 3 2 9 2" xfId="6995" xr:uid="{00000000-0005-0000-0000-000089080000}"/>
    <cellStyle name="Comma 4 2 3 2 9 2 2" xfId="19628" xr:uid="{2BBB4B8A-CB0F-4DD1-B9FF-49838DF02E54}"/>
    <cellStyle name="Comma 4 2 3 2 9 3" xfId="15417" xr:uid="{5E23CF5C-41C7-4E4E-A289-3110A0AC3CDC}"/>
    <cellStyle name="Comma 4 2 3 2 9 4" xfId="24667" xr:uid="{36A6DB95-FF43-4CD6-BBD4-0B88D4078D0B}"/>
    <cellStyle name="Comma 4 2 3 2 9 5" xfId="11206" xr:uid="{4E676A20-C788-47C1-AC31-783224AAF5BE}"/>
    <cellStyle name="Comma 4 2 3 3" xfId="139" xr:uid="{00000000-0005-0000-0000-00008A080000}"/>
    <cellStyle name="Comma 4 2 3 3 10" xfId="21458" xr:uid="{DBA7C0C3-06B2-4E45-A7BB-29411F4691F4}"/>
    <cellStyle name="Comma 4 2 3 3 11" xfId="13036" xr:uid="{37E3EC90-A3B7-411D-AC54-D21C8CD05BB9}"/>
    <cellStyle name="Comma 4 2 3 3 12" xfId="22286" xr:uid="{D80E9374-AEE7-443F-828A-47C85455AC3F}"/>
    <cellStyle name="Comma 4 2 3 3 13" xfId="8825" xr:uid="{F82585E9-AA1F-4069-ABA1-9DB74F2E4E2B}"/>
    <cellStyle name="Comma 4 2 3 3 2" xfId="678" xr:uid="{00000000-0005-0000-0000-00008B080000}"/>
    <cellStyle name="Comma 4 2 3 3 2 2" xfId="2949" xr:uid="{00000000-0005-0000-0000-00008C080000}"/>
    <cellStyle name="Comma 4 2 3 3 2 2 2" xfId="7173" xr:uid="{00000000-0005-0000-0000-00008D080000}"/>
    <cellStyle name="Comma 4 2 3 3 2 2 2 2" xfId="19806" xr:uid="{5051DF00-520D-44C4-BCDC-C7FB2D4C8534}"/>
    <cellStyle name="Comma 4 2 3 3 2 2 3" xfId="15595" xr:uid="{47291D0B-8B20-4F94-B2E0-57523AC2044D}"/>
    <cellStyle name="Comma 4 2 3 3 2 2 4" xfId="24845" xr:uid="{15CCF481-7DB2-43F3-AFFB-069DD5E9CC5E}"/>
    <cellStyle name="Comma 4 2 3 3 2 2 5" xfId="11384" xr:uid="{E02DFC90-41E7-4E46-A577-957A8D749ED5}"/>
    <cellStyle name="Comma 4 2 3 3 2 3" xfId="5028" xr:uid="{00000000-0005-0000-0000-00008E080000}"/>
    <cellStyle name="Comma 4 2 3 3 2 3 2" xfId="17661" xr:uid="{DBE2627A-135D-459F-B96A-8A2A0C30042B}"/>
    <cellStyle name="Comma 4 2 3 3 2 4" xfId="21871" xr:uid="{9FBA5031-9A85-4244-B53A-4DF8E98BAE52}"/>
    <cellStyle name="Comma 4 2 3 3 2 5" xfId="13450" xr:uid="{37A0D2D6-AFAE-404E-9D55-E350EDA27CB7}"/>
    <cellStyle name="Comma 4 2 3 3 2 6" xfId="22700" xr:uid="{DDCEE914-18B9-4314-8FB8-423CC9D68914}"/>
    <cellStyle name="Comma 4 2 3 3 2 7" xfId="9239" xr:uid="{421CC18E-C5D1-4593-AE9B-15745FE1226A}"/>
    <cellStyle name="Comma 4 2 3 3 3" xfId="1131" xr:uid="{00000000-0005-0000-0000-00008F080000}"/>
    <cellStyle name="Comma 4 2 3 3 3 2" xfId="3362" xr:uid="{00000000-0005-0000-0000-000090080000}"/>
    <cellStyle name="Comma 4 2 3 3 3 2 2" xfId="7586" xr:uid="{00000000-0005-0000-0000-000091080000}"/>
    <cellStyle name="Comma 4 2 3 3 3 2 2 2" xfId="20219" xr:uid="{FC7286E9-2D5B-4D89-A524-8F7061832689}"/>
    <cellStyle name="Comma 4 2 3 3 3 2 3" xfId="16008" xr:uid="{03C6F672-F30D-4546-9E93-680991FB9896}"/>
    <cellStyle name="Comma 4 2 3 3 3 2 4" xfId="25258" xr:uid="{4BF4F7C2-ED63-46A4-B34D-87B1BE9DA948}"/>
    <cellStyle name="Comma 4 2 3 3 3 2 5" xfId="11797" xr:uid="{68C50AD6-65AB-41F6-B7D5-F1B8A019A7D8}"/>
    <cellStyle name="Comma 4 2 3 3 3 3" xfId="5441" xr:uid="{00000000-0005-0000-0000-000092080000}"/>
    <cellStyle name="Comma 4 2 3 3 3 3 2" xfId="18074" xr:uid="{6E990342-5AF1-4A98-B2F6-0EB020EE8B91}"/>
    <cellStyle name="Comma 4 2 3 3 3 4" xfId="13863" xr:uid="{16115B6E-E704-46FD-B04D-AEE4FCBDDA85}"/>
    <cellStyle name="Comma 4 2 3 3 3 5" xfId="23113" xr:uid="{57CD62B8-6062-4C9E-AD8C-627DF4724441}"/>
    <cellStyle name="Comma 4 2 3 3 3 6" xfId="9652" xr:uid="{C5B5B6AC-6F53-4578-AC37-2C4AD5F6A0E0}"/>
    <cellStyle name="Comma 4 2 3 3 4" xfId="1545" xr:uid="{00000000-0005-0000-0000-000093080000}"/>
    <cellStyle name="Comma 4 2 3 3 4 2" xfId="3775" xr:uid="{00000000-0005-0000-0000-000094080000}"/>
    <cellStyle name="Comma 4 2 3 3 4 2 2" xfId="7999" xr:uid="{00000000-0005-0000-0000-000095080000}"/>
    <cellStyle name="Comma 4 2 3 3 4 2 2 2" xfId="20632" xr:uid="{07F2121F-9E79-4AF8-9799-922DCE934BA0}"/>
    <cellStyle name="Comma 4 2 3 3 4 2 3" xfId="16421" xr:uid="{BBA501B3-852A-484D-94E0-43B0D0095A93}"/>
    <cellStyle name="Comma 4 2 3 3 4 2 4" xfId="25671" xr:uid="{AC7F177E-667F-4F5B-89D8-27D2476B739E}"/>
    <cellStyle name="Comma 4 2 3 3 4 2 5" xfId="12210" xr:uid="{B9A7337F-5B84-4BB9-BA6A-8B7A09FA873F}"/>
    <cellStyle name="Comma 4 2 3 3 4 3" xfId="5854" xr:uid="{00000000-0005-0000-0000-000096080000}"/>
    <cellStyle name="Comma 4 2 3 3 4 3 2" xfId="18487" xr:uid="{281B03AF-EFB6-48A4-96B6-B4312166F050}"/>
    <cellStyle name="Comma 4 2 3 3 4 4" xfId="14276" xr:uid="{FA83D186-105C-4626-8768-2418BBC57832}"/>
    <cellStyle name="Comma 4 2 3 3 4 5" xfId="23526" xr:uid="{8FD68553-FF08-472F-A84A-87D06A6EBA3C}"/>
    <cellStyle name="Comma 4 2 3 3 4 6" xfId="10065" xr:uid="{006CE36E-4783-4D66-9A9F-40B52B20833F}"/>
    <cellStyle name="Comma 4 2 3 3 5" xfId="1959" xr:uid="{00000000-0005-0000-0000-000097080000}"/>
    <cellStyle name="Comma 4 2 3 3 5 2" xfId="4188" xr:uid="{00000000-0005-0000-0000-000098080000}"/>
    <cellStyle name="Comma 4 2 3 3 5 2 2" xfId="8412" xr:uid="{00000000-0005-0000-0000-000099080000}"/>
    <cellStyle name="Comma 4 2 3 3 5 2 2 2" xfId="21045" xr:uid="{CFB42B6D-2680-4631-A85C-548DC7B91AE4}"/>
    <cellStyle name="Comma 4 2 3 3 5 2 3" xfId="16834" xr:uid="{AEEC104D-C6AE-449D-BEA6-3146B3A6F31B}"/>
    <cellStyle name="Comma 4 2 3 3 5 2 4" xfId="26084" xr:uid="{C2054241-538E-4066-84F3-9416108ECDB4}"/>
    <cellStyle name="Comma 4 2 3 3 5 2 5" xfId="12623" xr:uid="{149B98EB-652F-449E-A1DB-2DA9C8E15820}"/>
    <cellStyle name="Comma 4 2 3 3 5 3" xfId="6267" xr:uid="{00000000-0005-0000-0000-00009A080000}"/>
    <cellStyle name="Comma 4 2 3 3 5 3 2" xfId="18900" xr:uid="{B3731426-FDEA-4920-A60F-B25AB47726AC}"/>
    <cellStyle name="Comma 4 2 3 3 5 4" xfId="14689" xr:uid="{1E56AE92-E51C-43B9-B2B8-09FD3CFE3A85}"/>
    <cellStyle name="Comma 4 2 3 3 5 5" xfId="23939" xr:uid="{F4A7979C-1F5C-4110-A8BC-C1C30663BAB6}"/>
    <cellStyle name="Comma 4 2 3 3 5 6" xfId="10478" xr:uid="{65B84A63-87FB-4DFE-A0A5-942033447A90}"/>
    <cellStyle name="Comma 4 2 3 3 6" xfId="2394" xr:uid="{00000000-0005-0000-0000-00009B080000}"/>
    <cellStyle name="Comma 4 2 3 3 6 2" xfId="6680" xr:uid="{00000000-0005-0000-0000-00009C080000}"/>
    <cellStyle name="Comma 4 2 3 3 6 2 2" xfId="19313" xr:uid="{B15EA6A7-579D-422A-BF65-9B984C37CD55}"/>
    <cellStyle name="Comma 4 2 3 3 6 3" xfId="15102" xr:uid="{A848EC2C-08B6-440F-8D50-68FB4B0F9E56}"/>
    <cellStyle name="Comma 4 2 3 3 6 4" xfId="24352" xr:uid="{95F5DAE0-5022-43A8-9DBF-8FA914533D0D}"/>
    <cellStyle name="Comma 4 2 3 3 6 5" xfId="10891" xr:uid="{2D303E73-618E-4AA8-B8E1-D1D0F9358F83}"/>
    <cellStyle name="Comma 4 2 3 3 7" xfId="2371" xr:uid="{00000000-0005-0000-0000-00009D080000}"/>
    <cellStyle name="Comma 4 2 3 3 8" xfId="2772" xr:uid="{00000000-0005-0000-0000-00009E080000}"/>
    <cellStyle name="Comma 4 2 3 3 8 2" xfId="6997" xr:uid="{00000000-0005-0000-0000-00009F080000}"/>
    <cellStyle name="Comma 4 2 3 3 8 2 2" xfId="19630" xr:uid="{E309C8DC-6168-4ED7-A8A0-47446EA4CBDF}"/>
    <cellStyle name="Comma 4 2 3 3 8 3" xfId="15419" xr:uid="{2291F15D-E621-4A66-A60A-C700FA2F3B83}"/>
    <cellStyle name="Comma 4 2 3 3 8 4" xfId="24669" xr:uid="{F7CCAC1A-FB23-4F04-9C5F-96E010114B52}"/>
    <cellStyle name="Comma 4 2 3 3 8 5" xfId="11208" xr:uid="{E17E903E-3313-44ED-B6F1-FCD183E93966}"/>
    <cellStyle name="Comma 4 2 3 3 9" xfId="4614" xr:uid="{00000000-0005-0000-0000-0000A0080000}"/>
    <cellStyle name="Comma 4 2 3 3 9 2" xfId="17247" xr:uid="{09A8BC9B-379F-4D82-ACA6-6FEC336B3140}"/>
    <cellStyle name="Comma 4 2 3 4" xfId="675" xr:uid="{00000000-0005-0000-0000-0000A1080000}"/>
    <cellStyle name="Comma 4 2 3 4 2" xfId="2946" xr:uid="{00000000-0005-0000-0000-0000A2080000}"/>
    <cellStyle name="Comma 4 2 3 4 2 2" xfId="7170" xr:uid="{00000000-0005-0000-0000-0000A3080000}"/>
    <cellStyle name="Comma 4 2 3 4 2 2 2" xfId="19803" xr:uid="{65ABBA0B-A8E8-4F4D-AC70-BA3DCDFEF8DE}"/>
    <cellStyle name="Comma 4 2 3 4 2 3" xfId="15592" xr:uid="{CDBA630C-A368-49A9-8C92-95EE03533251}"/>
    <cellStyle name="Comma 4 2 3 4 2 4" xfId="24842" xr:uid="{39611F02-69C5-46BD-9F3F-3E17ABEB6E2F}"/>
    <cellStyle name="Comma 4 2 3 4 2 5" xfId="11381" xr:uid="{9003D481-D78F-49D2-9EC7-BD2B95309267}"/>
    <cellStyle name="Comma 4 2 3 4 3" xfId="5025" xr:uid="{00000000-0005-0000-0000-0000A4080000}"/>
    <cellStyle name="Comma 4 2 3 4 3 2" xfId="17658" xr:uid="{E2966EF1-CC6C-4C5E-A006-A9943802BAA3}"/>
    <cellStyle name="Comma 4 2 3 4 4" xfId="21868" xr:uid="{754492C6-AB38-472C-AE43-69F04FDACB65}"/>
    <cellStyle name="Comma 4 2 3 4 5" xfId="13447" xr:uid="{1857B295-719E-4E2C-8F9D-B720BE000B75}"/>
    <cellStyle name="Comma 4 2 3 4 6" xfId="22697" xr:uid="{D45405B2-3A44-49BF-B9E4-356ACD9C50D8}"/>
    <cellStyle name="Comma 4 2 3 4 7" xfId="9236" xr:uid="{D777FA92-FD91-4FEF-AEF9-8524A7AEF9D3}"/>
    <cellStyle name="Comma 4 2 3 5" xfId="1128" xr:uid="{00000000-0005-0000-0000-0000A5080000}"/>
    <cellStyle name="Comma 4 2 3 5 2" xfId="3359" xr:uid="{00000000-0005-0000-0000-0000A6080000}"/>
    <cellStyle name="Comma 4 2 3 5 2 2" xfId="7583" xr:uid="{00000000-0005-0000-0000-0000A7080000}"/>
    <cellStyle name="Comma 4 2 3 5 2 2 2" xfId="20216" xr:uid="{AFCACAD5-FF90-402F-99B8-6FFED59FD599}"/>
    <cellStyle name="Comma 4 2 3 5 2 3" xfId="16005" xr:uid="{0EF84291-BAB8-4D22-9E0B-AAC5F44C3022}"/>
    <cellStyle name="Comma 4 2 3 5 2 4" xfId="25255" xr:uid="{40B2F027-D1DA-4D9D-BC61-DC73086EB289}"/>
    <cellStyle name="Comma 4 2 3 5 2 5" xfId="11794" xr:uid="{E89CD89D-1B85-47A6-919B-7BC8867D3E36}"/>
    <cellStyle name="Comma 4 2 3 5 3" xfId="5438" xr:uid="{00000000-0005-0000-0000-0000A8080000}"/>
    <cellStyle name="Comma 4 2 3 5 3 2" xfId="18071" xr:uid="{2DA20786-450E-4936-AD4E-BB00904B0DB8}"/>
    <cellStyle name="Comma 4 2 3 5 4" xfId="13860" xr:uid="{01C31FC3-ED83-46BD-BEBA-B5527F32F867}"/>
    <cellStyle name="Comma 4 2 3 5 5" xfId="23110" xr:uid="{D9BD0F68-82D2-47B0-83A1-34FD0B303C19}"/>
    <cellStyle name="Comma 4 2 3 5 6" xfId="9649" xr:uid="{E7787699-A076-4D8A-8F66-9B902B3D0DE7}"/>
    <cellStyle name="Comma 4 2 3 6" xfId="1542" xr:uid="{00000000-0005-0000-0000-0000A9080000}"/>
    <cellStyle name="Comma 4 2 3 6 2" xfId="3772" xr:uid="{00000000-0005-0000-0000-0000AA080000}"/>
    <cellStyle name="Comma 4 2 3 6 2 2" xfId="7996" xr:uid="{00000000-0005-0000-0000-0000AB080000}"/>
    <cellStyle name="Comma 4 2 3 6 2 2 2" xfId="20629" xr:uid="{391A6D00-E641-42A2-B558-F2E70C4AAAA4}"/>
    <cellStyle name="Comma 4 2 3 6 2 3" xfId="16418" xr:uid="{A57CF78B-6118-406C-9753-D3C39B7E6BC9}"/>
    <cellStyle name="Comma 4 2 3 6 2 4" xfId="25668" xr:uid="{9369D9D3-EEA7-4A61-B5A2-84CE4772CA0B}"/>
    <cellStyle name="Comma 4 2 3 6 2 5" xfId="12207" xr:uid="{8BF4269C-F0D4-4063-BFF1-6B246CB82FB1}"/>
    <cellStyle name="Comma 4 2 3 6 3" xfId="5851" xr:uid="{00000000-0005-0000-0000-0000AC080000}"/>
    <cellStyle name="Comma 4 2 3 6 3 2" xfId="18484" xr:uid="{E1E9ED72-131F-4AED-9E57-11E089973528}"/>
    <cellStyle name="Comma 4 2 3 6 4" xfId="14273" xr:uid="{3B2DF269-13A2-4423-A796-DD124207E01C}"/>
    <cellStyle name="Comma 4 2 3 6 5" xfId="23523" xr:uid="{77F38E6F-7496-4FF3-B21B-F4DC2F4AA743}"/>
    <cellStyle name="Comma 4 2 3 6 6" xfId="10062" xr:uid="{8386ED67-D8D0-41EC-ADA3-180A2F930EE0}"/>
    <cellStyle name="Comma 4 2 3 7" xfId="1956" xr:uid="{00000000-0005-0000-0000-0000AD080000}"/>
    <cellStyle name="Comma 4 2 3 7 2" xfId="4185" xr:uid="{00000000-0005-0000-0000-0000AE080000}"/>
    <cellStyle name="Comma 4 2 3 7 2 2" xfId="8409" xr:uid="{00000000-0005-0000-0000-0000AF080000}"/>
    <cellStyle name="Comma 4 2 3 7 2 2 2" xfId="21042" xr:uid="{20971FC0-0F06-43F0-B1A5-E14D897901AB}"/>
    <cellStyle name="Comma 4 2 3 7 2 3" xfId="16831" xr:uid="{C494045F-9303-42E5-8B01-1A34317A3BFE}"/>
    <cellStyle name="Comma 4 2 3 7 2 4" xfId="26081" xr:uid="{0C67B56C-3342-4975-A137-CC25AA865A5A}"/>
    <cellStyle name="Comma 4 2 3 7 2 5" xfId="12620" xr:uid="{00549A98-33C3-43E4-83AA-2BA81AAC934B}"/>
    <cellStyle name="Comma 4 2 3 7 3" xfId="6264" xr:uid="{00000000-0005-0000-0000-0000B0080000}"/>
    <cellStyle name="Comma 4 2 3 7 3 2" xfId="18897" xr:uid="{71823042-0C08-454F-A6E2-26953F2688A5}"/>
    <cellStyle name="Comma 4 2 3 7 4" xfId="14686" xr:uid="{8D4327FD-127B-4E92-8ED7-04B9FC0F1174}"/>
    <cellStyle name="Comma 4 2 3 7 5" xfId="23936" xr:uid="{1F1FDAA0-8EB3-4CE3-AC0F-850BE4F8FAA4}"/>
    <cellStyle name="Comma 4 2 3 7 6" xfId="10475" xr:uid="{5085CC72-C8DB-461B-A7BD-2DF681B01720}"/>
    <cellStyle name="Comma 4 2 3 8" xfId="2391" xr:uid="{00000000-0005-0000-0000-0000B1080000}"/>
    <cellStyle name="Comma 4 2 3 8 2" xfId="6677" xr:uid="{00000000-0005-0000-0000-0000B2080000}"/>
    <cellStyle name="Comma 4 2 3 8 2 2" xfId="19310" xr:uid="{7D69A0E7-1A21-4D02-A4CC-67E253ADC720}"/>
    <cellStyle name="Comma 4 2 3 8 3" xfId="15099" xr:uid="{13480FAA-12A7-44D0-AE11-B4BF78565EE4}"/>
    <cellStyle name="Comma 4 2 3 8 4" xfId="24349" xr:uid="{4232805F-8338-4C8E-BB8C-04AE54916BCB}"/>
    <cellStyle name="Comma 4 2 3 8 5" xfId="10888" xr:uid="{A2ABB856-A573-400A-B767-EF2C916FA360}"/>
    <cellStyle name="Comma 4 2 3 9" xfId="2374" xr:uid="{00000000-0005-0000-0000-0000B3080000}"/>
    <cellStyle name="Comma 4 2 4" xfId="140" xr:uid="{00000000-0005-0000-0000-0000B4080000}"/>
    <cellStyle name="Comma 4 2 4 10" xfId="4615" xr:uid="{00000000-0005-0000-0000-0000B5080000}"/>
    <cellStyle name="Comma 4 2 4 10 2" xfId="17248" xr:uid="{0F930399-DEAD-4942-8C75-BFB0D351DA6B}"/>
    <cellStyle name="Comma 4 2 4 11" xfId="21459" xr:uid="{CF8A4E4C-9BA8-449D-93A8-EA83324A3E41}"/>
    <cellStyle name="Comma 4 2 4 12" xfId="13037" xr:uid="{CD4DA970-2F9F-461C-A282-C1E7DF357B74}"/>
    <cellStyle name="Comma 4 2 4 13" xfId="22287" xr:uid="{7D3DA207-234B-4575-8A67-21F1C41C2CDB}"/>
    <cellStyle name="Comma 4 2 4 14" xfId="8826" xr:uid="{CCB76A70-9FDC-4DEF-9D7E-60F76CEDC172}"/>
    <cellStyle name="Comma 4 2 4 2" xfId="141" xr:uid="{00000000-0005-0000-0000-0000B6080000}"/>
    <cellStyle name="Comma 4 2 4 2 10" xfId="21460" xr:uid="{FF1D1CF8-2B59-49B9-A14B-C6AA491978B7}"/>
    <cellStyle name="Comma 4 2 4 2 11" xfId="13038" xr:uid="{54011443-70AD-4E5D-95CA-5836AD2CEAD3}"/>
    <cellStyle name="Comma 4 2 4 2 12" xfId="22288" xr:uid="{9C2247C4-446F-4799-A50B-840F452AA5BE}"/>
    <cellStyle name="Comma 4 2 4 2 13" xfId="8827" xr:uid="{0C155E68-1BD5-4E7E-B188-B1A422C129B2}"/>
    <cellStyle name="Comma 4 2 4 2 2" xfId="680" xr:uid="{00000000-0005-0000-0000-0000B7080000}"/>
    <cellStyle name="Comma 4 2 4 2 2 2" xfId="2951" xr:uid="{00000000-0005-0000-0000-0000B8080000}"/>
    <cellStyle name="Comma 4 2 4 2 2 2 2" xfId="7175" xr:uid="{00000000-0005-0000-0000-0000B9080000}"/>
    <cellStyle name="Comma 4 2 4 2 2 2 2 2" xfId="19808" xr:uid="{9CAF8DD3-7E46-47D4-B1CA-D0757F518565}"/>
    <cellStyle name="Comma 4 2 4 2 2 2 3" xfId="15597" xr:uid="{B7AA6D40-F6BD-48B1-9ACB-F86DD2424686}"/>
    <cellStyle name="Comma 4 2 4 2 2 2 4" xfId="24847" xr:uid="{1F497FC2-82E7-4241-9892-E9E439CF7C5C}"/>
    <cellStyle name="Comma 4 2 4 2 2 2 5" xfId="11386" xr:uid="{82290D3E-D0D9-4708-9F98-1DDBF0C7E205}"/>
    <cellStyle name="Comma 4 2 4 2 2 3" xfId="5030" xr:uid="{00000000-0005-0000-0000-0000BA080000}"/>
    <cellStyle name="Comma 4 2 4 2 2 3 2" xfId="17663" xr:uid="{A78DD1AC-DFD0-4C20-BC98-0B197E91C006}"/>
    <cellStyle name="Comma 4 2 4 2 2 4" xfId="21873" xr:uid="{5B514314-B125-43B6-B95E-C5D81F72AC09}"/>
    <cellStyle name="Comma 4 2 4 2 2 5" xfId="13452" xr:uid="{92D98F1B-262B-45E6-BAF0-82D1F77E5963}"/>
    <cellStyle name="Comma 4 2 4 2 2 6" xfId="22702" xr:uid="{1F64B076-A542-43BF-87BC-553E9BB53B58}"/>
    <cellStyle name="Comma 4 2 4 2 2 7" xfId="9241" xr:uid="{C0FC7E44-DA53-4ED8-8603-2EF78A784B6F}"/>
    <cellStyle name="Comma 4 2 4 2 3" xfId="1133" xr:uid="{00000000-0005-0000-0000-0000BB080000}"/>
    <cellStyle name="Comma 4 2 4 2 3 2" xfId="3364" xr:uid="{00000000-0005-0000-0000-0000BC080000}"/>
    <cellStyle name="Comma 4 2 4 2 3 2 2" xfId="7588" xr:uid="{00000000-0005-0000-0000-0000BD080000}"/>
    <cellStyle name="Comma 4 2 4 2 3 2 2 2" xfId="20221" xr:uid="{B6566D86-1694-42FC-86E4-4E713D49F0D7}"/>
    <cellStyle name="Comma 4 2 4 2 3 2 3" xfId="16010" xr:uid="{972F2FD9-A1EA-46B8-A857-1BF81BCAEE4B}"/>
    <cellStyle name="Comma 4 2 4 2 3 2 4" xfId="25260" xr:uid="{AED8D76C-E591-4DBC-A11C-6F1F83F51291}"/>
    <cellStyle name="Comma 4 2 4 2 3 2 5" xfId="11799" xr:uid="{5BE2A9E7-C397-4590-82F9-ECF7F66D6AF0}"/>
    <cellStyle name="Comma 4 2 4 2 3 3" xfId="5443" xr:uid="{00000000-0005-0000-0000-0000BE080000}"/>
    <cellStyle name="Comma 4 2 4 2 3 3 2" xfId="18076" xr:uid="{30D68FA9-FF33-408F-B52D-F3B1C0017114}"/>
    <cellStyle name="Comma 4 2 4 2 3 4" xfId="13865" xr:uid="{A2345760-A786-438E-ADE2-A99EEFDD0548}"/>
    <cellStyle name="Comma 4 2 4 2 3 5" xfId="23115" xr:uid="{0A48C148-2FB9-4ACD-9A49-A587900EEA13}"/>
    <cellStyle name="Comma 4 2 4 2 3 6" xfId="9654" xr:uid="{51B3B6EC-AB51-457F-B788-B80BE4C3AF6D}"/>
    <cellStyle name="Comma 4 2 4 2 4" xfId="1547" xr:uid="{00000000-0005-0000-0000-0000BF080000}"/>
    <cellStyle name="Comma 4 2 4 2 4 2" xfId="3777" xr:uid="{00000000-0005-0000-0000-0000C0080000}"/>
    <cellStyle name="Comma 4 2 4 2 4 2 2" xfId="8001" xr:uid="{00000000-0005-0000-0000-0000C1080000}"/>
    <cellStyle name="Comma 4 2 4 2 4 2 2 2" xfId="20634" xr:uid="{117E9E1D-C9E7-4EDF-BB44-8CB80B7F45E0}"/>
    <cellStyle name="Comma 4 2 4 2 4 2 3" xfId="16423" xr:uid="{93610D55-E239-4454-848E-F36B7A6B06EE}"/>
    <cellStyle name="Comma 4 2 4 2 4 2 4" xfId="25673" xr:uid="{95A17C85-4BEB-4148-AF28-534DC6D4DCA6}"/>
    <cellStyle name="Comma 4 2 4 2 4 2 5" xfId="12212" xr:uid="{00C68B6E-FAF0-478F-BC61-143F3E815271}"/>
    <cellStyle name="Comma 4 2 4 2 4 3" xfId="5856" xr:uid="{00000000-0005-0000-0000-0000C2080000}"/>
    <cellStyle name="Comma 4 2 4 2 4 3 2" xfId="18489" xr:uid="{3624E129-07B1-4725-9E27-5E4E775336B3}"/>
    <cellStyle name="Comma 4 2 4 2 4 4" xfId="14278" xr:uid="{B52E95F2-28A9-4DD2-9BE6-9E2858FBB2C1}"/>
    <cellStyle name="Comma 4 2 4 2 4 5" xfId="23528" xr:uid="{3CAD0683-1473-42A5-8D24-AB8E78623E33}"/>
    <cellStyle name="Comma 4 2 4 2 4 6" xfId="10067" xr:uid="{85B65AB5-3119-4BEB-95E5-1E631EB74ECE}"/>
    <cellStyle name="Comma 4 2 4 2 5" xfId="1961" xr:uid="{00000000-0005-0000-0000-0000C3080000}"/>
    <cellStyle name="Comma 4 2 4 2 5 2" xfId="4190" xr:uid="{00000000-0005-0000-0000-0000C4080000}"/>
    <cellStyle name="Comma 4 2 4 2 5 2 2" xfId="8414" xr:uid="{00000000-0005-0000-0000-0000C5080000}"/>
    <cellStyle name="Comma 4 2 4 2 5 2 2 2" xfId="21047" xr:uid="{668BED5E-B196-4446-B6D3-F0047B4A62C2}"/>
    <cellStyle name="Comma 4 2 4 2 5 2 3" xfId="16836" xr:uid="{C18B7126-5E26-4DE0-9535-C8C09B7D469D}"/>
    <cellStyle name="Comma 4 2 4 2 5 2 4" xfId="26086" xr:uid="{92F3CCF0-14EB-4ADA-8031-32F80FBDA6E9}"/>
    <cellStyle name="Comma 4 2 4 2 5 2 5" xfId="12625" xr:uid="{12200275-7321-44FE-BD36-8D076045CCB5}"/>
    <cellStyle name="Comma 4 2 4 2 5 3" xfId="6269" xr:uid="{00000000-0005-0000-0000-0000C6080000}"/>
    <cellStyle name="Comma 4 2 4 2 5 3 2" xfId="18902" xr:uid="{0445C636-A44F-4DE7-943A-0DEBC52D1409}"/>
    <cellStyle name="Comma 4 2 4 2 5 4" xfId="14691" xr:uid="{DB302D65-668E-4C20-9044-72CF79463223}"/>
    <cellStyle name="Comma 4 2 4 2 5 5" xfId="23941" xr:uid="{683C160C-D92E-4B63-AEC2-25E4B8A10FCE}"/>
    <cellStyle name="Comma 4 2 4 2 5 6" xfId="10480" xr:uid="{AB6AFDEE-BAB4-4D34-94D5-1F0BA32EBFFD}"/>
    <cellStyle name="Comma 4 2 4 2 6" xfId="2396" xr:uid="{00000000-0005-0000-0000-0000C7080000}"/>
    <cellStyle name="Comma 4 2 4 2 6 2" xfId="6682" xr:uid="{00000000-0005-0000-0000-0000C8080000}"/>
    <cellStyle name="Comma 4 2 4 2 6 2 2" xfId="19315" xr:uid="{0168CD2B-C466-4974-B498-DF10DA922B1E}"/>
    <cellStyle name="Comma 4 2 4 2 6 3" xfId="15104" xr:uid="{49F432BD-94BF-49E8-9456-756918D9B708}"/>
    <cellStyle name="Comma 4 2 4 2 6 4" xfId="24354" xr:uid="{0CE9A567-0E51-4A2D-8B2E-58DB4983C90B}"/>
    <cellStyle name="Comma 4 2 4 2 6 5" xfId="10893" xr:uid="{7903BD3C-6001-4232-A0FE-CDBE5DF1A3A6}"/>
    <cellStyle name="Comma 4 2 4 2 7" xfId="2369" xr:uid="{00000000-0005-0000-0000-0000C9080000}"/>
    <cellStyle name="Comma 4 2 4 2 8" xfId="2774" xr:uid="{00000000-0005-0000-0000-0000CA080000}"/>
    <cellStyle name="Comma 4 2 4 2 8 2" xfId="6999" xr:uid="{00000000-0005-0000-0000-0000CB080000}"/>
    <cellStyle name="Comma 4 2 4 2 8 2 2" xfId="19632" xr:uid="{BD94A44C-F393-4486-8F4B-D0583BB6AF7B}"/>
    <cellStyle name="Comma 4 2 4 2 8 3" xfId="15421" xr:uid="{CFC9DC8C-05CE-4292-94F8-2EFBAF519BCF}"/>
    <cellStyle name="Comma 4 2 4 2 8 4" xfId="24671" xr:uid="{E89300D4-9CCC-41E4-B28C-936F38F608DC}"/>
    <cellStyle name="Comma 4 2 4 2 8 5" xfId="11210" xr:uid="{763F8013-2721-499C-AD79-F1D8763EE236}"/>
    <cellStyle name="Comma 4 2 4 2 9" xfId="4616" xr:uid="{00000000-0005-0000-0000-0000CC080000}"/>
    <cellStyle name="Comma 4 2 4 2 9 2" xfId="17249" xr:uid="{D7EE82EA-A7C6-4822-A299-8EBA6D643CD9}"/>
    <cellStyle name="Comma 4 2 4 3" xfId="679" xr:uid="{00000000-0005-0000-0000-0000CD080000}"/>
    <cellStyle name="Comma 4 2 4 3 2" xfId="2950" xr:uid="{00000000-0005-0000-0000-0000CE080000}"/>
    <cellStyle name="Comma 4 2 4 3 2 2" xfId="7174" xr:uid="{00000000-0005-0000-0000-0000CF080000}"/>
    <cellStyle name="Comma 4 2 4 3 2 2 2" xfId="19807" xr:uid="{9735EB08-80CA-4E1B-AC87-66FC247CB2DE}"/>
    <cellStyle name="Comma 4 2 4 3 2 3" xfId="15596" xr:uid="{79A00825-4A77-4BB4-A5EE-939D2FD75F33}"/>
    <cellStyle name="Comma 4 2 4 3 2 4" xfId="24846" xr:uid="{1B65E9C2-D657-439D-B0F3-A50AB5A06D22}"/>
    <cellStyle name="Comma 4 2 4 3 2 5" xfId="11385" xr:uid="{734B812F-540F-4813-AC9C-16CBF03BBCA3}"/>
    <cellStyle name="Comma 4 2 4 3 3" xfId="5029" xr:uid="{00000000-0005-0000-0000-0000D0080000}"/>
    <cellStyle name="Comma 4 2 4 3 3 2" xfId="17662" xr:uid="{8C68FC85-9C20-427D-AD7E-24C657329D25}"/>
    <cellStyle name="Comma 4 2 4 3 4" xfId="21872" xr:uid="{8B9085CF-1754-4762-B5C7-FEBACD1D02BD}"/>
    <cellStyle name="Comma 4 2 4 3 5" xfId="13451" xr:uid="{57B7FF59-947A-4583-BCAF-15B6CB75025A}"/>
    <cellStyle name="Comma 4 2 4 3 6" xfId="22701" xr:uid="{3E0EA247-A08C-45E5-ADB5-DC4939CD44EA}"/>
    <cellStyle name="Comma 4 2 4 3 7" xfId="9240" xr:uid="{1B89AD2C-DA63-47E8-B090-4709D1466264}"/>
    <cellStyle name="Comma 4 2 4 4" xfId="1132" xr:uid="{00000000-0005-0000-0000-0000D1080000}"/>
    <cellStyle name="Comma 4 2 4 4 2" xfId="3363" xr:uid="{00000000-0005-0000-0000-0000D2080000}"/>
    <cellStyle name="Comma 4 2 4 4 2 2" xfId="7587" xr:uid="{00000000-0005-0000-0000-0000D3080000}"/>
    <cellStyle name="Comma 4 2 4 4 2 2 2" xfId="20220" xr:uid="{7B08B865-FF8D-4052-8C65-2DD10343FC20}"/>
    <cellStyle name="Comma 4 2 4 4 2 3" xfId="16009" xr:uid="{95E90264-86E1-4C2F-8E14-DA8047576D7E}"/>
    <cellStyle name="Comma 4 2 4 4 2 4" xfId="25259" xr:uid="{82BB6C01-2E61-41F4-AF0F-87AC387DC281}"/>
    <cellStyle name="Comma 4 2 4 4 2 5" xfId="11798" xr:uid="{11D783FC-BC4F-4B77-9FA4-3516AD4BF7D5}"/>
    <cellStyle name="Comma 4 2 4 4 3" xfId="5442" xr:uid="{00000000-0005-0000-0000-0000D4080000}"/>
    <cellStyle name="Comma 4 2 4 4 3 2" xfId="18075" xr:uid="{39D21ED6-5F96-481B-919F-7A4C07135147}"/>
    <cellStyle name="Comma 4 2 4 4 4" xfId="13864" xr:uid="{0602A0F5-AD40-44FC-8784-DDC0E0D722B5}"/>
    <cellStyle name="Comma 4 2 4 4 5" xfId="23114" xr:uid="{7A009360-AF22-434F-88C3-ED28E26424E3}"/>
    <cellStyle name="Comma 4 2 4 4 6" xfId="9653" xr:uid="{D5BEEF2B-87AD-49AF-9BE0-CA84C021F6B6}"/>
    <cellStyle name="Comma 4 2 4 5" xfId="1546" xr:uid="{00000000-0005-0000-0000-0000D5080000}"/>
    <cellStyle name="Comma 4 2 4 5 2" xfId="3776" xr:uid="{00000000-0005-0000-0000-0000D6080000}"/>
    <cellStyle name="Comma 4 2 4 5 2 2" xfId="8000" xr:uid="{00000000-0005-0000-0000-0000D7080000}"/>
    <cellStyle name="Comma 4 2 4 5 2 2 2" xfId="20633" xr:uid="{124F5878-8E9B-447C-B57B-439CE2C69F59}"/>
    <cellStyle name="Comma 4 2 4 5 2 3" xfId="16422" xr:uid="{203838BC-75C8-46A4-9538-C4EA9EDC1A50}"/>
    <cellStyle name="Comma 4 2 4 5 2 4" xfId="25672" xr:uid="{CA5FAE9A-A16E-4B68-A999-AC0296593E8D}"/>
    <cellStyle name="Comma 4 2 4 5 2 5" xfId="12211" xr:uid="{0E2BFC76-92A7-4648-85E7-A509E567B794}"/>
    <cellStyle name="Comma 4 2 4 5 3" xfId="5855" xr:uid="{00000000-0005-0000-0000-0000D8080000}"/>
    <cellStyle name="Comma 4 2 4 5 3 2" xfId="18488" xr:uid="{2F84151A-C0E8-4A7F-9FD9-D239EB39AA01}"/>
    <cellStyle name="Comma 4 2 4 5 4" xfId="14277" xr:uid="{42296B66-7C4C-47A3-926A-B61EE23DE478}"/>
    <cellStyle name="Comma 4 2 4 5 5" xfId="23527" xr:uid="{2F54F914-9EF2-4E15-B343-B560F6CFAE2F}"/>
    <cellStyle name="Comma 4 2 4 5 6" xfId="10066" xr:uid="{D45E36D6-8693-41C0-8846-AF6A8ABD2CA9}"/>
    <cellStyle name="Comma 4 2 4 6" xfId="1960" xr:uid="{00000000-0005-0000-0000-0000D9080000}"/>
    <cellStyle name="Comma 4 2 4 6 2" xfId="4189" xr:uid="{00000000-0005-0000-0000-0000DA080000}"/>
    <cellStyle name="Comma 4 2 4 6 2 2" xfId="8413" xr:uid="{00000000-0005-0000-0000-0000DB080000}"/>
    <cellStyle name="Comma 4 2 4 6 2 2 2" xfId="21046" xr:uid="{A9E39E84-AD20-4E12-808D-82711A781B24}"/>
    <cellStyle name="Comma 4 2 4 6 2 3" xfId="16835" xr:uid="{827A418A-0A3B-4B99-8BD6-9BAF739F0303}"/>
    <cellStyle name="Comma 4 2 4 6 2 4" xfId="26085" xr:uid="{8D39AEDE-3263-4EC8-BF70-D5F09F7BFE89}"/>
    <cellStyle name="Comma 4 2 4 6 2 5" xfId="12624" xr:uid="{B33AAA56-7BBB-4BA6-87C1-EAAB68C14FF8}"/>
    <cellStyle name="Comma 4 2 4 6 3" xfId="6268" xr:uid="{00000000-0005-0000-0000-0000DC080000}"/>
    <cellStyle name="Comma 4 2 4 6 3 2" xfId="18901" xr:uid="{63137467-C91D-43D2-921C-47D820C2D92D}"/>
    <cellStyle name="Comma 4 2 4 6 4" xfId="14690" xr:uid="{6DB29F52-2978-48AB-B8EF-C196E9476F06}"/>
    <cellStyle name="Comma 4 2 4 6 5" xfId="23940" xr:uid="{A9703CDD-A6BE-4E93-A04B-2A9DF5177D44}"/>
    <cellStyle name="Comma 4 2 4 6 6" xfId="10479" xr:uid="{661401DB-6CD0-40B4-818B-836C6FFDCEEF}"/>
    <cellStyle name="Comma 4 2 4 7" xfId="2395" xr:uid="{00000000-0005-0000-0000-0000DD080000}"/>
    <cellStyle name="Comma 4 2 4 7 2" xfId="6681" xr:uid="{00000000-0005-0000-0000-0000DE080000}"/>
    <cellStyle name="Comma 4 2 4 7 2 2" xfId="19314" xr:uid="{678EC9CD-AADC-428C-8441-87032288F905}"/>
    <cellStyle name="Comma 4 2 4 7 3" xfId="15103" xr:uid="{FF893F55-35E6-45C6-B728-19DA02ABF6AF}"/>
    <cellStyle name="Comma 4 2 4 7 4" xfId="24353" xr:uid="{4E0DFF68-F2F7-4E2E-8AE4-71137C310051}"/>
    <cellStyle name="Comma 4 2 4 7 5" xfId="10892" xr:uid="{28DBDC33-557B-43B8-9489-FD7EA7637EE7}"/>
    <cellStyle name="Comma 4 2 4 8" xfId="2370" xr:uid="{00000000-0005-0000-0000-0000DF080000}"/>
    <cellStyle name="Comma 4 2 4 9" xfId="2773" xr:uid="{00000000-0005-0000-0000-0000E0080000}"/>
    <cellStyle name="Comma 4 2 4 9 2" xfId="6998" xr:uid="{00000000-0005-0000-0000-0000E1080000}"/>
    <cellStyle name="Comma 4 2 4 9 2 2" xfId="19631" xr:uid="{C10CD2FD-D3EE-4B53-AB03-69D8A1314021}"/>
    <cellStyle name="Comma 4 2 4 9 3" xfId="15420" xr:uid="{500A5255-F3E7-4913-93C7-11D43F7B09AA}"/>
    <cellStyle name="Comma 4 2 4 9 4" xfId="24670" xr:uid="{D318F92E-ADFD-4950-B253-290978447143}"/>
    <cellStyle name="Comma 4 2 4 9 5" xfId="11209" xr:uid="{1D564364-CC7C-4FE3-B164-6C4FFEF4DFCC}"/>
    <cellStyle name="Comma 4 2 5" xfId="142" xr:uid="{00000000-0005-0000-0000-0000E2080000}"/>
    <cellStyle name="Comma 4 2 5 10" xfId="21461" xr:uid="{2B75CBC9-FAD4-48D9-A417-7917A2D7FF2A}"/>
    <cellStyle name="Comma 4 2 5 11" xfId="13039" xr:uid="{99C18238-5ACE-499F-9E83-6729BBB2D6E2}"/>
    <cellStyle name="Comma 4 2 5 12" xfId="22289" xr:uid="{32BED7F2-3B4A-4967-A88D-DC50E906C087}"/>
    <cellStyle name="Comma 4 2 5 13" xfId="8828" xr:uid="{6F489A3B-429F-4C2D-B3AD-4D53C7FA74E0}"/>
    <cellStyle name="Comma 4 2 5 2" xfId="681" xr:uid="{00000000-0005-0000-0000-0000E3080000}"/>
    <cellStyle name="Comma 4 2 5 2 2" xfId="2952" xr:uid="{00000000-0005-0000-0000-0000E4080000}"/>
    <cellStyle name="Comma 4 2 5 2 2 2" xfId="7176" xr:uid="{00000000-0005-0000-0000-0000E5080000}"/>
    <cellStyle name="Comma 4 2 5 2 2 2 2" xfId="19809" xr:uid="{F76E0C93-D979-4056-9737-4824E72F1327}"/>
    <cellStyle name="Comma 4 2 5 2 2 3" xfId="15598" xr:uid="{05BA6B9C-CC56-4CD1-B9AF-EC29BE9C8C58}"/>
    <cellStyle name="Comma 4 2 5 2 2 4" xfId="24848" xr:uid="{4EAE14C3-437A-4F78-B768-F5742C3E9C9D}"/>
    <cellStyle name="Comma 4 2 5 2 2 5" xfId="11387" xr:uid="{36630CD5-BE50-4F49-9A06-508E18119427}"/>
    <cellStyle name="Comma 4 2 5 2 3" xfId="5031" xr:uid="{00000000-0005-0000-0000-0000E6080000}"/>
    <cellStyle name="Comma 4 2 5 2 3 2" xfId="17664" xr:uid="{064452F0-1318-4636-A9DE-B024782BE0FF}"/>
    <cellStyle name="Comma 4 2 5 2 4" xfId="21874" xr:uid="{75201DE3-EA95-4B9B-AFF2-8BD91DA1EF23}"/>
    <cellStyle name="Comma 4 2 5 2 5" xfId="13453" xr:uid="{759B1848-08EE-4A08-AF71-2E77582FA914}"/>
    <cellStyle name="Comma 4 2 5 2 6" xfId="22703" xr:uid="{705839A9-3D65-4C51-8A80-2826472510D1}"/>
    <cellStyle name="Comma 4 2 5 2 7" xfId="9242" xr:uid="{47A72FFC-E682-425E-8EF7-13F1FB1D521D}"/>
    <cellStyle name="Comma 4 2 5 3" xfId="1134" xr:uid="{00000000-0005-0000-0000-0000E7080000}"/>
    <cellStyle name="Comma 4 2 5 3 2" xfId="3365" xr:uid="{00000000-0005-0000-0000-0000E8080000}"/>
    <cellStyle name="Comma 4 2 5 3 2 2" xfId="7589" xr:uid="{00000000-0005-0000-0000-0000E9080000}"/>
    <cellStyle name="Comma 4 2 5 3 2 2 2" xfId="20222" xr:uid="{C2CC9CE4-7DAB-4C0B-9B3D-7F25FD558AA8}"/>
    <cellStyle name="Comma 4 2 5 3 2 3" xfId="16011" xr:uid="{A547EAB3-11D1-46CC-90B7-7204626F556C}"/>
    <cellStyle name="Comma 4 2 5 3 2 4" xfId="25261" xr:uid="{A1249803-D687-4DBE-A136-4B59D17B8038}"/>
    <cellStyle name="Comma 4 2 5 3 2 5" xfId="11800" xr:uid="{E293515A-002D-4BC5-A20A-94337E920152}"/>
    <cellStyle name="Comma 4 2 5 3 3" xfId="5444" xr:uid="{00000000-0005-0000-0000-0000EA080000}"/>
    <cellStyle name="Comma 4 2 5 3 3 2" xfId="18077" xr:uid="{9EE389E2-9EA2-4ECE-AA1B-DDD5FA08DD93}"/>
    <cellStyle name="Comma 4 2 5 3 4" xfId="13866" xr:uid="{40FBAAD4-1BCB-4056-96A4-520284BEB493}"/>
    <cellStyle name="Comma 4 2 5 3 5" xfId="23116" xr:uid="{28DC7C6D-C2E8-46C4-A558-886037AC9014}"/>
    <cellStyle name="Comma 4 2 5 3 6" xfId="9655" xr:uid="{6FFAA6F5-6DC6-4AED-ACB4-4171BCECF146}"/>
    <cellStyle name="Comma 4 2 5 4" xfId="1548" xr:uid="{00000000-0005-0000-0000-0000EB080000}"/>
    <cellStyle name="Comma 4 2 5 4 2" xfId="3778" xr:uid="{00000000-0005-0000-0000-0000EC080000}"/>
    <cellStyle name="Comma 4 2 5 4 2 2" xfId="8002" xr:uid="{00000000-0005-0000-0000-0000ED080000}"/>
    <cellStyle name="Comma 4 2 5 4 2 2 2" xfId="20635" xr:uid="{DA7E41F0-471F-4F2C-BDFD-DCD3A0E0F254}"/>
    <cellStyle name="Comma 4 2 5 4 2 3" xfId="16424" xr:uid="{311DD4EE-01CF-479B-A5E0-8B6FA40514A3}"/>
    <cellStyle name="Comma 4 2 5 4 2 4" xfId="25674" xr:uid="{ABDB7357-0F31-4F42-8E2E-FA2E4E1813D3}"/>
    <cellStyle name="Comma 4 2 5 4 2 5" xfId="12213" xr:uid="{DDD2EF73-7924-415C-84D5-9B2D25FF139B}"/>
    <cellStyle name="Comma 4 2 5 4 3" xfId="5857" xr:uid="{00000000-0005-0000-0000-0000EE080000}"/>
    <cellStyle name="Comma 4 2 5 4 3 2" xfId="18490" xr:uid="{28D50471-E1A1-478C-A83B-EC4D4B46A6CA}"/>
    <cellStyle name="Comma 4 2 5 4 4" xfId="14279" xr:uid="{B5AB85E1-1875-4E6C-9534-F3B609C399BD}"/>
    <cellStyle name="Comma 4 2 5 4 5" xfId="23529" xr:uid="{3005D0CC-6695-43C2-8FB7-6C9D2D5F5072}"/>
    <cellStyle name="Comma 4 2 5 4 6" xfId="10068" xr:uid="{012D591A-8CDA-40C8-AA9F-19A295254063}"/>
    <cellStyle name="Comma 4 2 5 5" xfId="1962" xr:uid="{00000000-0005-0000-0000-0000EF080000}"/>
    <cellStyle name="Comma 4 2 5 5 2" xfId="4191" xr:uid="{00000000-0005-0000-0000-0000F0080000}"/>
    <cellStyle name="Comma 4 2 5 5 2 2" xfId="8415" xr:uid="{00000000-0005-0000-0000-0000F1080000}"/>
    <cellStyle name="Comma 4 2 5 5 2 2 2" xfId="21048" xr:uid="{A2063980-C892-4772-84AC-7CC1F46006F6}"/>
    <cellStyle name="Comma 4 2 5 5 2 3" xfId="16837" xr:uid="{2C8CF3F3-5985-4BA7-B06D-D51B7F6EC08C}"/>
    <cellStyle name="Comma 4 2 5 5 2 4" xfId="26087" xr:uid="{B5B07EFA-A5AA-4C19-9ECB-B114A776C076}"/>
    <cellStyle name="Comma 4 2 5 5 2 5" xfId="12626" xr:uid="{EAE08C87-34B1-44C6-A09F-9395C4DCE260}"/>
    <cellStyle name="Comma 4 2 5 5 3" xfId="6270" xr:uid="{00000000-0005-0000-0000-0000F2080000}"/>
    <cellStyle name="Comma 4 2 5 5 3 2" xfId="18903" xr:uid="{47CBF1F4-FE69-4E8E-8547-A029A018A329}"/>
    <cellStyle name="Comma 4 2 5 5 4" xfId="14692" xr:uid="{832255E5-91FE-4777-B5E6-3314CAAED933}"/>
    <cellStyle name="Comma 4 2 5 5 5" xfId="23942" xr:uid="{0A35EED6-0FF1-4845-9B5F-102B2D376347}"/>
    <cellStyle name="Comma 4 2 5 5 6" xfId="10481" xr:uid="{C5EEC2B4-8700-4AAB-B8D2-BA727C376977}"/>
    <cellStyle name="Comma 4 2 5 6" xfId="2397" xr:uid="{00000000-0005-0000-0000-0000F3080000}"/>
    <cellStyle name="Comma 4 2 5 6 2" xfId="6683" xr:uid="{00000000-0005-0000-0000-0000F4080000}"/>
    <cellStyle name="Comma 4 2 5 6 2 2" xfId="19316" xr:uid="{10CD4C44-0523-4DE4-B4C5-A8D8CA55ACFF}"/>
    <cellStyle name="Comma 4 2 5 6 3" xfId="15105" xr:uid="{63974FE3-9C64-4BE7-B59E-E3A406B69F5F}"/>
    <cellStyle name="Comma 4 2 5 6 4" xfId="24355" xr:uid="{AD8297D9-58A3-4D84-9AA9-6745F27EE852}"/>
    <cellStyle name="Comma 4 2 5 6 5" xfId="10894" xr:uid="{C378F316-C7E3-44FE-B83E-C9A1AEDA5883}"/>
    <cellStyle name="Comma 4 2 5 7" xfId="2368" xr:uid="{00000000-0005-0000-0000-0000F5080000}"/>
    <cellStyle name="Comma 4 2 5 8" xfId="2775" xr:uid="{00000000-0005-0000-0000-0000F6080000}"/>
    <cellStyle name="Comma 4 2 5 8 2" xfId="7000" xr:uid="{00000000-0005-0000-0000-0000F7080000}"/>
    <cellStyle name="Comma 4 2 5 8 2 2" xfId="19633" xr:uid="{BCFBE012-D1D4-4AC8-BCA5-38DA892F3BBE}"/>
    <cellStyle name="Comma 4 2 5 8 3" xfId="15422" xr:uid="{73460165-E6EB-4C7B-8287-79E62054053F}"/>
    <cellStyle name="Comma 4 2 5 8 4" xfId="24672" xr:uid="{E72155C7-97B9-4440-B596-57A79E6AB329}"/>
    <cellStyle name="Comma 4 2 5 8 5" xfId="11211" xr:uid="{0DDDE186-72EA-49DB-873B-A71B36ABE184}"/>
    <cellStyle name="Comma 4 2 5 9" xfId="4617" xr:uid="{00000000-0005-0000-0000-0000F8080000}"/>
    <cellStyle name="Comma 4 2 5 9 2" xfId="17250" xr:uid="{77A2AF71-3E25-4EA8-B3DB-CDDF5B6243A5}"/>
    <cellStyle name="Comma 4 2 6" xfId="143" xr:uid="{00000000-0005-0000-0000-0000F9080000}"/>
    <cellStyle name="Comma 4 2 6 10" xfId="21462" xr:uid="{30EAE6A2-7A37-410C-B08B-2631D394FDBA}"/>
    <cellStyle name="Comma 4 2 6 11" xfId="13040" xr:uid="{661A059E-60CF-4C33-BFBF-1DB0F87498DA}"/>
    <cellStyle name="Comma 4 2 6 12" xfId="22290" xr:uid="{62D429CE-5039-4751-9D39-2E530381E6F7}"/>
    <cellStyle name="Comma 4 2 6 13" xfId="8829" xr:uid="{2403487F-1CD3-4D3F-A234-21815416E0B1}"/>
    <cellStyle name="Comma 4 2 6 2" xfId="682" xr:uid="{00000000-0005-0000-0000-0000FA080000}"/>
    <cellStyle name="Comma 4 2 6 2 2" xfId="2953" xr:uid="{00000000-0005-0000-0000-0000FB080000}"/>
    <cellStyle name="Comma 4 2 6 2 2 2" xfId="7177" xr:uid="{00000000-0005-0000-0000-0000FC080000}"/>
    <cellStyle name="Comma 4 2 6 2 2 2 2" xfId="19810" xr:uid="{5AB37EC3-A450-4812-8AFE-AE2AD82675A8}"/>
    <cellStyle name="Comma 4 2 6 2 2 3" xfId="15599" xr:uid="{6E8A1ED4-002F-4FF5-AB82-B27A835DBD1E}"/>
    <cellStyle name="Comma 4 2 6 2 2 4" xfId="24849" xr:uid="{AA6DD4BC-F0DC-456B-A74C-8407AA56AF73}"/>
    <cellStyle name="Comma 4 2 6 2 2 5" xfId="11388" xr:uid="{B3A96EB8-CBA2-42A4-A344-A0C7CBF63D52}"/>
    <cellStyle name="Comma 4 2 6 2 3" xfId="5032" xr:uid="{00000000-0005-0000-0000-0000FD080000}"/>
    <cellStyle name="Comma 4 2 6 2 3 2" xfId="17665" xr:uid="{5F8EE7C5-39C6-45E5-988B-541523AD6257}"/>
    <cellStyle name="Comma 4 2 6 2 4" xfId="21875" xr:uid="{BC6A3320-5C65-497B-B06A-1863B4050AC8}"/>
    <cellStyle name="Comma 4 2 6 2 5" xfId="13454" xr:uid="{EB06BA17-553B-4CC8-8E3A-DCDAB0A2EA48}"/>
    <cellStyle name="Comma 4 2 6 2 6" xfId="22704" xr:uid="{E3382239-B265-4B11-8BC5-A5265856053A}"/>
    <cellStyle name="Comma 4 2 6 2 7" xfId="9243" xr:uid="{88EBDDFC-7CA5-4FA8-8A23-9E8EAFE966DF}"/>
    <cellStyle name="Comma 4 2 6 3" xfId="1135" xr:uid="{00000000-0005-0000-0000-0000FE080000}"/>
    <cellStyle name="Comma 4 2 6 3 2" xfId="3366" xr:uid="{00000000-0005-0000-0000-0000FF080000}"/>
    <cellStyle name="Comma 4 2 6 3 2 2" xfId="7590" xr:uid="{00000000-0005-0000-0000-000000090000}"/>
    <cellStyle name="Comma 4 2 6 3 2 2 2" xfId="20223" xr:uid="{B6019408-7627-47F0-9D6B-3CE5925BBA3C}"/>
    <cellStyle name="Comma 4 2 6 3 2 3" xfId="16012" xr:uid="{984F1E32-3F9E-4A8A-A5F2-8769152C0802}"/>
    <cellStyle name="Comma 4 2 6 3 2 4" xfId="25262" xr:uid="{FDF0AA47-631E-434F-8BE3-522157154C5E}"/>
    <cellStyle name="Comma 4 2 6 3 2 5" xfId="11801" xr:uid="{3814960E-C9F4-4E33-9FD9-841508051CD2}"/>
    <cellStyle name="Comma 4 2 6 3 3" xfId="5445" xr:uid="{00000000-0005-0000-0000-000001090000}"/>
    <cellStyle name="Comma 4 2 6 3 3 2" xfId="18078" xr:uid="{71F03792-4A34-4576-BFC1-4A1C3CDF11B1}"/>
    <cellStyle name="Comma 4 2 6 3 4" xfId="13867" xr:uid="{5EAFE800-DB60-4C3F-885C-DB608EB761A9}"/>
    <cellStyle name="Comma 4 2 6 3 5" xfId="23117" xr:uid="{ACA89EC8-3FF3-4507-BB4F-0EE25C56E308}"/>
    <cellStyle name="Comma 4 2 6 3 6" xfId="9656" xr:uid="{7A4D0EC0-6A22-4F44-A9BE-1A175A02A747}"/>
    <cellStyle name="Comma 4 2 6 4" xfId="1549" xr:uid="{00000000-0005-0000-0000-000002090000}"/>
    <cellStyle name="Comma 4 2 6 4 2" xfId="3779" xr:uid="{00000000-0005-0000-0000-000003090000}"/>
    <cellStyle name="Comma 4 2 6 4 2 2" xfId="8003" xr:uid="{00000000-0005-0000-0000-000004090000}"/>
    <cellStyle name="Comma 4 2 6 4 2 2 2" xfId="20636" xr:uid="{8A891D1F-0FE8-4AC9-AADB-23765B1950A5}"/>
    <cellStyle name="Comma 4 2 6 4 2 3" xfId="16425" xr:uid="{519F814D-471F-4F3F-A1A0-EC22E86CE1FD}"/>
    <cellStyle name="Comma 4 2 6 4 2 4" xfId="25675" xr:uid="{2B3C7136-0C16-4BB2-949B-C0CB50ABF2F9}"/>
    <cellStyle name="Comma 4 2 6 4 2 5" xfId="12214" xr:uid="{101B64E1-CC3B-4C7E-A655-E1EC0280669F}"/>
    <cellStyle name="Comma 4 2 6 4 3" xfId="5858" xr:uid="{00000000-0005-0000-0000-000005090000}"/>
    <cellStyle name="Comma 4 2 6 4 3 2" xfId="18491" xr:uid="{E875802F-0916-456C-AB99-0C6CD3C67779}"/>
    <cellStyle name="Comma 4 2 6 4 4" xfId="14280" xr:uid="{3ECE53A4-BEC9-46DD-A157-E7D84867EC64}"/>
    <cellStyle name="Comma 4 2 6 4 5" xfId="23530" xr:uid="{341098AB-66DE-430A-99C2-57B1F80BE141}"/>
    <cellStyle name="Comma 4 2 6 4 6" xfId="10069" xr:uid="{462E87D1-D245-4E10-BBEE-6ABB47DBEA3B}"/>
    <cellStyle name="Comma 4 2 6 5" xfId="1963" xr:uid="{00000000-0005-0000-0000-000006090000}"/>
    <cellStyle name="Comma 4 2 6 5 2" xfId="4192" xr:uid="{00000000-0005-0000-0000-000007090000}"/>
    <cellStyle name="Comma 4 2 6 5 2 2" xfId="8416" xr:uid="{00000000-0005-0000-0000-000008090000}"/>
    <cellStyle name="Comma 4 2 6 5 2 2 2" xfId="21049" xr:uid="{0E38B746-4CFD-4A72-A17D-474A4FF2670E}"/>
    <cellStyle name="Comma 4 2 6 5 2 3" xfId="16838" xr:uid="{94977783-3723-49B6-A34F-FCE596F3CA1C}"/>
    <cellStyle name="Comma 4 2 6 5 2 4" xfId="26088" xr:uid="{19B7C778-BED4-4D11-8348-C3EAA6E041A3}"/>
    <cellStyle name="Comma 4 2 6 5 2 5" xfId="12627" xr:uid="{7C2148F0-18CE-476D-8241-47B460AE988B}"/>
    <cellStyle name="Comma 4 2 6 5 3" xfId="6271" xr:uid="{00000000-0005-0000-0000-000009090000}"/>
    <cellStyle name="Comma 4 2 6 5 3 2" xfId="18904" xr:uid="{D25CD4F5-F304-41DA-8B86-FD2974A29798}"/>
    <cellStyle name="Comma 4 2 6 5 4" xfId="14693" xr:uid="{925F9B80-7981-443E-AF79-D792D1740D15}"/>
    <cellStyle name="Comma 4 2 6 5 5" xfId="23943" xr:uid="{B317916F-B7A4-4A69-AF55-6B899E1F424E}"/>
    <cellStyle name="Comma 4 2 6 5 6" xfId="10482" xr:uid="{A875D761-4536-4A21-A2FF-2ACC71FC9BC7}"/>
    <cellStyle name="Comma 4 2 6 6" xfId="2398" xr:uid="{00000000-0005-0000-0000-00000A090000}"/>
    <cellStyle name="Comma 4 2 6 6 2" xfId="6684" xr:uid="{00000000-0005-0000-0000-00000B090000}"/>
    <cellStyle name="Comma 4 2 6 6 2 2" xfId="19317" xr:uid="{D3D6C9B2-D3A8-44AA-BC3C-0371146AEFAF}"/>
    <cellStyle name="Comma 4 2 6 6 3" xfId="15106" xr:uid="{442C36E0-DD0A-4133-9792-519CC52EE860}"/>
    <cellStyle name="Comma 4 2 6 6 4" xfId="24356" xr:uid="{7BD6310F-3672-435B-990E-352AA9CFEFD6}"/>
    <cellStyle name="Comma 4 2 6 6 5" xfId="10895" xr:uid="{92BDAF37-99C9-447E-80AA-AD88B10473D3}"/>
    <cellStyle name="Comma 4 2 6 7" xfId="2367" xr:uid="{00000000-0005-0000-0000-00000C090000}"/>
    <cellStyle name="Comma 4 2 6 8" xfId="2776" xr:uid="{00000000-0005-0000-0000-00000D090000}"/>
    <cellStyle name="Comma 4 2 6 8 2" xfId="7001" xr:uid="{00000000-0005-0000-0000-00000E090000}"/>
    <cellStyle name="Comma 4 2 6 8 2 2" xfId="19634" xr:uid="{5B794B5F-E2CE-4FB6-BCBE-8584466212C9}"/>
    <cellStyle name="Comma 4 2 6 8 3" xfId="15423" xr:uid="{7DCBAD88-BB93-405E-BA54-5E079CB96308}"/>
    <cellStyle name="Comma 4 2 6 8 4" xfId="24673" xr:uid="{6B5258D8-B3BE-476A-820D-7D719B38931B}"/>
    <cellStyle name="Comma 4 2 6 8 5" xfId="11212" xr:uid="{9E1C0837-7A15-4B77-9149-BC93D94E3A1B}"/>
    <cellStyle name="Comma 4 2 6 9" xfId="4618" xr:uid="{00000000-0005-0000-0000-00000F090000}"/>
    <cellStyle name="Comma 4 2 6 9 2" xfId="17251" xr:uid="{8B4A67FC-EBE8-4FBB-9EFA-B0BA0F683F9B}"/>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9635" xr:uid="{691F91D2-757F-450A-A9C0-85E477851ECC}"/>
    <cellStyle name="Comma 4 3 2 10 3" xfId="15424" xr:uid="{098931FA-CA87-47AB-BFCA-7DA8C7720EC1}"/>
    <cellStyle name="Comma 4 3 2 10 4" xfId="24674" xr:uid="{0E9E497F-919B-448F-9C06-D33A547D7DEA}"/>
    <cellStyle name="Comma 4 3 2 10 5" xfId="11213" xr:uid="{8AC282E4-BA98-4F14-B45C-EE2C56A14547}"/>
    <cellStyle name="Comma 4 3 2 11" xfId="4619" xr:uid="{00000000-0005-0000-0000-000014090000}"/>
    <cellStyle name="Comma 4 3 2 11 2" xfId="17252" xr:uid="{60E05AA6-7BDA-4083-9839-459E0A85B4D8}"/>
    <cellStyle name="Comma 4 3 2 12" xfId="21463" xr:uid="{FD8661E4-70CE-47F2-9588-8C862D40ABD5}"/>
    <cellStyle name="Comma 4 3 2 13" xfId="13041" xr:uid="{256A4C47-9B89-476D-9836-2EF61C318586}"/>
    <cellStyle name="Comma 4 3 2 14" xfId="22291" xr:uid="{2899C2C8-DEA2-4E76-A4E3-94477B7B4B73}"/>
    <cellStyle name="Comma 4 3 2 15" xfId="8830" xr:uid="{3C10E48B-AC61-4655-9A93-98BBB7FC6800}"/>
    <cellStyle name="Comma 4 3 2 2" xfId="146" xr:uid="{00000000-0005-0000-0000-000015090000}"/>
    <cellStyle name="Comma 4 3 2 2 10" xfId="4620" xr:uid="{00000000-0005-0000-0000-000016090000}"/>
    <cellStyle name="Comma 4 3 2 2 10 2" xfId="17253" xr:uid="{0F9E49C6-C734-4638-8870-8484E2FF0B4E}"/>
    <cellStyle name="Comma 4 3 2 2 11" xfId="21464" xr:uid="{7D8A958A-4A50-444E-9E6C-FDB99820EB10}"/>
    <cellStyle name="Comma 4 3 2 2 12" xfId="13042" xr:uid="{ED82E92A-97F7-459D-AC3B-B2ECBE7B18B6}"/>
    <cellStyle name="Comma 4 3 2 2 13" xfId="22292" xr:uid="{8C1F8224-D780-4638-94FC-0247B9AA1E26}"/>
    <cellStyle name="Comma 4 3 2 2 14" xfId="8831" xr:uid="{879D3ED4-8ACC-411F-A567-7CFB65902628}"/>
    <cellStyle name="Comma 4 3 2 2 2" xfId="147" xr:uid="{00000000-0005-0000-0000-000017090000}"/>
    <cellStyle name="Comma 4 3 2 2 2 10" xfId="21465" xr:uid="{CF5703F6-5A11-4613-B869-CDEBD3646C50}"/>
    <cellStyle name="Comma 4 3 2 2 2 11" xfId="13043" xr:uid="{04610328-B402-4673-B3CD-98BF33E65B09}"/>
    <cellStyle name="Comma 4 3 2 2 2 12" xfId="22293" xr:uid="{11F5E598-4E00-4750-B86D-1152866E1851}"/>
    <cellStyle name="Comma 4 3 2 2 2 13" xfId="8832" xr:uid="{D7C56FA1-3100-4313-BAE0-0FBB195F7E5A}"/>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9813" xr:uid="{635F4B90-251B-47C4-90F9-8522F3372E7D}"/>
    <cellStyle name="Comma 4 3 2 2 2 2 2 3" xfId="15602" xr:uid="{0E4674F0-89C1-44FD-9DCD-C85AAF3F6E88}"/>
    <cellStyle name="Comma 4 3 2 2 2 2 2 4" xfId="24852" xr:uid="{385C1D21-BA54-4FEA-A7BB-ADF4CE7784FB}"/>
    <cellStyle name="Comma 4 3 2 2 2 2 2 5" xfId="11391" xr:uid="{00DF9FAA-A086-4038-9954-72239B37FFAD}"/>
    <cellStyle name="Comma 4 3 2 2 2 2 3" xfId="5035" xr:uid="{00000000-0005-0000-0000-00001B090000}"/>
    <cellStyle name="Comma 4 3 2 2 2 2 3 2" xfId="17668" xr:uid="{D0F50475-95FB-4623-AF35-571813873D80}"/>
    <cellStyle name="Comma 4 3 2 2 2 2 4" xfId="21878" xr:uid="{4CF34687-11C6-4FEC-8DB3-C2E6C76F8A79}"/>
    <cellStyle name="Comma 4 3 2 2 2 2 5" xfId="13457" xr:uid="{0DCB1973-1C3D-4AA3-A2DF-871EAA45990E}"/>
    <cellStyle name="Comma 4 3 2 2 2 2 6" xfId="22707" xr:uid="{C0763264-3002-4DB1-9195-999B8B2D0680}"/>
    <cellStyle name="Comma 4 3 2 2 2 2 7" xfId="9246" xr:uid="{8A26391B-0A41-4705-89B2-7AF5B21F229E}"/>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20226" xr:uid="{8EB9339C-E26E-4E8D-B6AE-D144DF441AF4}"/>
    <cellStyle name="Comma 4 3 2 2 2 3 2 3" xfId="16015" xr:uid="{3A92C4AD-2471-48B3-94D5-0FC66595E9E9}"/>
    <cellStyle name="Comma 4 3 2 2 2 3 2 4" xfId="25265" xr:uid="{B4DBF13E-410D-4BA2-8492-0422136A43B7}"/>
    <cellStyle name="Comma 4 3 2 2 2 3 2 5" xfId="11804" xr:uid="{D2889AA9-D985-45B6-8637-E18DABBCE734}"/>
    <cellStyle name="Comma 4 3 2 2 2 3 3" xfId="5448" xr:uid="{00000000-0005-0000-0000-00001F090000}"/>
    <cellStyle name="Comma 4 3 2 2 2 3 3 2" xfId="18081" xr:uid="{F3115662-8F79-45D4-9475-C30AAC23EB78}"/>
    <cellStyle name="Comma 4 3 2 2 2 3 4" xfId="13870" xr:uid="{F594E334-DEF6-485A-9372-6CA0985C5B56}"/>
    <cellStyle name="Comma 4 3 2 2 2 3 5" xfId="23120" xr:uid="{9D4A88F2-B3DA-44BC-8B8D-58AE4F5EB86B}"/>
    <cellStyle name="Comma 4 3 2 2 2 3 6" xfId="9659" xr:uid="{AD49A5A0-4E47-4C58-8EF6-55731DB03849}"/>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20639" xr:uid="{98A7C52D-04B2-4F3B-BD2C-3133CEB7D868}"/>
    <cellStyle name="Comma 4 3 2 2 2 4 2 3" xfId="16428" xr:uid="{6B5C40C0-B849-4F90-BAA6-866077EEDA54}"/>
    <cellStyle name="Comma 4 3 2 2 2 4 2 4" xfId="25678" xr:uid="{07AD6115-570E-4B6B-9127-3267BDBF949B}"/>
    <cellStyle name="Comma 4 3 2 2 2 4 2 5" xfId="12217" xr:uid="{9E73E975-1053-4709-8EF4-837BB140A72E}"/>
    <cellStyle name="Comma 4 3 2 2 2 4 3" xfId="5861" xr:uid="{00000000-0005-0000-0000-000023090000}"/>
    <cellStyle name="Comma 4 3 2 2 2 4 3 2" xfId="18494" xr:uid="{3BCFE5C8-C4B1-4BA7-9619-B361B4C0B49E}"/>
    <cellStyle name="Comma 4 3 2 2 2 4 4" xfId="14283" xr:uid="{4184E7AB-7DE2-4BE3-A214-31404C62AFF8}"/>
    <cellStyle name="Comma 4 3 2 2 2 4 5" xfId="23533" xr:uid="{3059CE9B-1D84-4787-B313-0839E367AD8A}"/>
    <cellStyle name="Comma 4 3 2 2 2 4 6" xfId="10072" xr:uid="{37868C07-4922-444F-9956-9409272FAB45}"/>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21052" xr:uid="{B97DB6B1-D5DD-4C1E-922F-9FC4A93D9F63}"/>
    <cellStyle name="Comma 4 3 2 2 2 5 2 3" xfId="16841" xr:uid="{1E04E8AE-C206-41AA-BB60-72DB1B1E66E6}"/>
    <cellStyle name="Comma 4 3 2 2 2 5 2 4" xfId="26091" xr:uid="{EA633D2D-ECD1-441C-91A5-E66B5446A46E}"/>
    <cellStyle name="Comma 4 3 2 2 2 5 2 5" xfId="12630" xr:uid="{CE783ABC-A547-46A9-A441-CEA3283076C8}"/>
    <cellStyle name="Comma 4 3 2 2 2 5 3" xfId="6274" xr:uid="{00000000-0005-0000-0000-000027090000}"/>
    <cellStyle name="Comma 4 3 2 2 2 5 3 2" xfId="18907" xr:uid="{4E03EC0A-A11B-4F8C-8485-108ECC43BA86}"/>
    <cellStyle name="Comma 4 3 2 2 2 5 4" xfId="14696" xr:uid="{C2AFD63B-A39B-45E8-8533-F983466FBB7F}"/>
    <cellStyle name="Comma 4 3 2 2 2 5 5" xfId="23946" xr:uid="{5E67F355-0483-46EB-A928-D487FEFDCDB2}"/>
    <cellStyle name="Comma 4 3 2 2 2 5 6" xfId="10485" xr:uid="{817E7825-83A6-4C27-B0C4-1D1579452DF2}"/>
    <cellStyle name="Comma 4 3 2 2 2 6" xfId="2401" xr:uid="{00000000-0005-0000-0000-000028090000}"/>
    <cellStyle name="Comma 4 3 2 2 2 6 2" xfId="6687" xr:uid="{00000000-0005-0000-0000-000029090000}"/>
    <cellStyle name="Comma 4 3 2 2 2 6 2 2" xfId="19320" xr:uid="{1B5BB394-EEB0-4DA1-8D15-2FBD64D910CD}"/>
    <cellStyle name="Comma 4 3 2 2 2 6 3" xfId="15109" xr:uid="{E28F4EDD-F3A9-436C-8CFE-F6BC361C253A}"/>
    <cellStyle name="Comma 4 3 2 2 2 6 4" xfId="24359" xr:uid="{3632BC7B-7999-42D0-BDBD-264B27A318A7}"/>
    <cellStyle name="Comma 4 3 2 2 2 6 5" xfId="10898" xr:uid="{FC3921DA-6605-40FE-8EFC-252100FA3D5C}"/>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9637" xr:uid="{DC17399C-96E4-42DC-BD89-AC7AB2CDA9DB}"/>
    <cellStyle name="Comma 4 3 2 2 2 8 3" xfId="15426" xr:uid="{07D7F98F-77BC-4AB5-A2E1-89B259B82974}"/>
    <cellStyle name="Comma 4 3 2 2 2 8 4" xfId="24676" xr:uid="{04E22512-A451-4428-ACEF-94A402B46B81}"/>
    <cellStyle name="Comma 4 3 2 2 2 8 5" xfId="11215" xr:uid="{E76AADA1-068E-41C0-966C-75C75967BB6A}"/>
    <cellStyle name="Comma 4 3 2 2 2 9" xfId="4621" xr:uid="{00000000-0005-0000-0000-00002D090000}"/>
    <cellStyle name="Comma 4 3 2 2 2 9 2" xfId="17254" xr:uid="{924BCE7D-EE5E-461E-B8B6-A1F8C5BBF09D}"/>
    <cellStyle name="Comma 4 3 2 2 3" xfId="684" xr:uid="{00000000-0005-0000-0000-00002E090000}"/>
    <cellStyle name="Comma 4 3 2 2 3 2" xfId="2955" xr:uid="{00000000-0005-0000-0000-00002F090000}"/>
    <cellStyle name="Comma 4 3 2 2 3 2 2" xfId="7179" xr:uid="{00000000-0005-0000-0000-000030090000}"/>
    <cellStyle name="Comma 4 3 2 2 3 2 2 2" xfId="19812" xr:uid="{431EC096-A19A-4A33-9E31-BBD2B29AB111}"/>
    <cellStyle name="Comma 4 3 2 2 3 2 3" xfId="15601" xr:uid="{AFE19A54-14EF-43C0-B51F-2572894938F9}"/>
    <cellStyle name="Comma 4 3 2 2 3 2 4" xfId="24851" xr:uid="{753A2CA5-0554-4169-9137-56217D8F796B}"/>
    <cellStyle name="Comma 4 3 2 2 3 2 5" xfId="11390" xr:uid="{912A6371-B2FC-409C-B6F6-E6FD824D8BAA}"/>
    <cellStyle name="Comma 4 3 2 2 3 3" xfId="5034" xr:uid="{00000000-0005-0000-0000-000031090000}"/>
    <cellStyle name="Comma 4 3 2 2 3 3 2" xfId="17667" xr:uid="{BFD902C4-702E-4ABD-92A1-2FB33E682AE0}"/>
    <cellStyle name="Comma 4 3 2 2 3 4" xfId="21877" xr:uid="{F5C74160-E4C7-487B-86BA-A76A1864615C}"/>
    <cellStyle name="Comma 4 3 2 2 3 5" xfId="13456" xr:uid="{37DCE2E3-8413-4D42-AFC2-9AC6B1F1394D}"/>
    <cellStyle name="Comma 4 3 2 2 3 6" xfId="22706" xr:uid="{46CF20FC-EE77-46FD-9687-A8AC779B771D}"/>
    <cellStyle name="Comma 4 3 2 2 3 7" xfId="9245" xr:uid="{496C1AD1-2DBE-4974-B62E-F6088E11D806}"/>
    <cellStyle name="Comma 4 3 2 2 4" xfId="1137" xr:uid="{00000000-0005-0000-0000-000032090000}"/>
    <cellStyle name="Comma 4 3 2 2 4 2" xfId="3368" xr:uid="{00000000-0005-0000-0000-000033090000}"/>
    <cellStyle name="Comma 4 3 2 2 4 2 2" xfId="7592" xr:uid="{00000000-0005-0000-0000-000034090000}"/>
    <cellStyle name="Comma 4 3 2 2 4 2 2 2" xfId="20225" xr:uid="{F24A09D9-D911-4050-A16C-74D520F69210}"/>
    <cellStyle name="Comma 4 3 2 2 4 2 3" xfId="16014" xr:uid="{C424E136-158B-428E-8FEB-4D19A96CFB7E}"/>
    <cellStyle name="Comma 4 3 2 2 4 2 4" xfId="25264" xr:uid="{EC6B9B5E-6F80-46B4-944C-8546A929D696}"/>
    <cellStyle name="Comma 4 3 2 2 4 2 5" xfId="11803" xr:uid="{181F6C17-537C-47C8-AA61-6C269D9B334B}"/>
    <cellStyle name="Comma 4 3 2 2 4 3" xfId="5447" xr:uid="{00000000-0005-0000-0000-000035090000}"/>
    <cellStyle name="Comma 4 3 2 2 4 3 2" xfId="18080" xr:uid="{F2368917-7964-41C1-BA65-622DF7674122}"/>
    <cellStyle name="Comma 4 3 2 2 4 4" xfId="13869" xr:uid="{3DE09C6C-D6EB-477F-950E-B06174893578}"/>
    <cellStyle name="Comma 4 3 2 2 4 5" xfId="23119" xr:uid="{53F17315-F7E7-4FBA-ADDC-1635FC503EC2}"/>
    <cellStyle name="Comma 4 3 2 2 4 6" xfId="9658" xr:uid="{901B8738-63BC-450E-B065-7D996B367BF0}"/>
    <cellStyle name="Comma 4 3 2 2 5" xfId="1551" xr:uid="{00000000-0005-0000-0000-000036090000}"/>
    <cellStyle name="Comma 4 3 2 2 5 2" xfId="3781" xr:uid="{00000000-0005-0000-0000-000037090000}"/>
    <cellStyle name="Comma 4 3 2 2 5 2 2" xfId="8005" xr:uid="{00000000-0005-0000-0000-000038090000}"/>
    <cellStyle name="Comma 4 3 2 2 5 2 2 2" xfId="20638" xr:uid="{BBB3044D-257D-4D74-A280-23A5B5659722}"/>
    <cellStyle name="Comma 4 3 2 2 5 2 3" xfId="16427" xr:uid="{E647E8FE-684E-4605-B6F2-C0691C01E77F}"/>
    <cellStyle name="Comma 4 3 2 2 5 2 4" xfId="25677" xr:uid="{86190538-EDFC-4A77-88FC-F57BF7B7DCD0}"/>
    <cellStyle name="Comma 4 3 2 2 5 2 5" xfId="12216" xr:uid="{56F77025-9C1C-4945-A531-0BA45869E234}"/>
    <cellStyle name="Comma 4 3 2 2 5 3" xfId="5860" xr:uid="{00000000-0005-0000-0000-000039090000}"/>
    <cellStyle name="Comma 4 3 2 2 5 3 2" xfId="18493" xr:uid="{576423C8-455D-4EA0-AA5B-B41D69A678B3}"/>
    <cellStyle name="Comma 4 3 2 2 5 4" xfId="14282" xr:uid="{BBB0887B-F9E7-4084-8BFB-9E76F5B9CA30}"/>
    <cellStyle name="Comma 4 3 2 2 5 5" xfId="23532" xr:uid="{BF24C22D-1952-4D8C-9D63-540970DC075A}"/>
    <cellStyle name="Comma 4 3 2 2 5 6" xfId="10071" xr:uid="{D55A6E79-E61A-4EF7-BAC9-AAE345BFB066}"/>
    <cellStyle name="Comma 4 3 2 2 6" xfId="1965" xr:uid="{00000000-0005-0000-0000-00003A090000}"/>
    <cellStyle name="Comma 4 3 2 2 6 2" xfId="4194" xr:uid="{00000000-0005-0000-0000-00003B090000}"/>
    <cellStyle name="Comma 4 3 2 2 6 2 2" xfId="8418" xr:uid="{00000000-0005-0000-0000-00003C090000}"/>
    <cellStyle name="Comma 4 3 2 2 6 2 2 2" xfId="21051" xr:uid="{60780780-A1CB-480A-9EF1-9898E1C25F7E}"/>
    <cellStyle name="Comma 4 3 2 2 6 2 3" xfId="16840" xr:uid="{EB75CD5E-700D-4469-B1E3-5C1430AA5CA5}"/>
    <cellStyle name="Comma 4 3 2 2 6 2 4" xfId="26090" xr:uid="{97945469-A1B2-44BA-B115-FE4609C3D187}"/>
    <cellStyle name="Comma 4 3 2 2 6 2 5" xfId="12629" xr:uid="{A3B5509A-C52F-4EE3-B64A-BEBF188D418E}"/>
    <cellStyle name="Comma 4 3 2 2 6 3" xfId="6273" xr:uid="{00000000-0005-0000-0000-00003D090000}"/>
    <cellStyle name="Comma 4 3 2 2 6 3 2" xfId="18906" xr:uid="{52B471A5-7F24-4D6E-9F1D-E18E28F3A092}"/>
    <cellStyle name="Comma 4 3 2 2 6 4" xfId="14695" xr:uid="{1D1D86DD-3308-4D3E-84B9-6C9C1262179E}"/>
    <cellStyle name="Comma 4 3 2 2 6 5" xfId="23945" xr:uid="{A728F7B9-1A9E-45E5-8FAE-C1DBA5D81065}"/>
    <cellStyle name="Comma 4 3 2 2 6 6" xfId="10484" xr:uid="{C8A6205C-78B9-425E-9D68-F2B2797C5A41}"/>
    <cellStyle name="Comma 4 3 2 2 7" xfId="2400" xr:uid="{00000000-0005-0000-0000-00003E090000}"/>
    <cellStyle name="Comma 4 3 2 2 7 2" xfId="6686" xr:uid="{00000000-0005-0000-0000-00003F090000}"/>
    <cellStyle name="Comma 4 3 2 2 7 2 2" xfId="19319" xr:uid="{867FA9E2-3F40-4E6D-B2D9-5BACE317E317}"/>
    <cellStyle name="Comma 4 3 2 2 7 3" xfId="15108" xr:uid="{7F608097-1AA0-4416-B62D-12F8674D234C}"/>
    <cellStyle name="Comma 4 3 2 2 7 4" xfId="24358" xr:uid="{1EAC1994-D627-4DA6-830E-10B171C1716D}"/>
    <cellStyle name="Comma 4 3 2 2 7 5" xfId="10897" xr:uid="{2FEB8D42-1A69-4594-9D92-18794E4CC528}"/>
    <cellStyle name="Comma 4 3 2 2 8" xfId="2365" xr:uid="{00000000-0005-0000-0000-000040090000}"/>
    <cellStyle name="Comma 4 3 2 2 9" xfId="2778" xr:uid="{00000000-0005-0000-0000-000041090000}"/>
    <cellStyle name="Comma 4 3 2 2 9 2" xfId="7003" xr:uid="{00000000-0005-0000-0000-000042090000}"/>
    <cellStyle name="Comma 4 3 2 2 9 2 2" xfId="19636" xr:uid="{4F448320-8173-4AE1-9733-F90AF2D1978F}"/>
    <cellStyle name="Comma 4 3 2 2 9 3" xfId="15425" xr:uid="{36A82AE8-54CD-415E-85B8-CF30FFAF65EB}"/>
    <cellStyle name="Comma 4 3 2 2 9 4" xfId="24675" xr:uid="{E988CCBC-19D1-4D11-B1D1-59313A49CE19}"/>
    <cellStyle name="Comma 4 3 2 2 9 5" xfId="11214" xr:uid="{F6FEF5DC-FFAE-41E5-B8DB-5BE66B965893}"/>
    <cellStyle name="Comma 4 3 2 3" xfId="148" xr:uid="{00000000-0005-0000-0000-000043090000}"/>
    <cellStyle name="Comma 4 3 2 3 10" xfId="21466" xr:uid="{9E892546-EC67-43CA-B432-06CFBB73C1B6}"/>
    <cellStyle name="Comma 4 3 2 3 11" xfId="13044" xr:uid="{6A446359-A222-4447-9099-D87989EDC7B1}"/>
    <cellStyle name="Comma 4 3 2 3 12" xfId="22294" xr:uid="{A482BD98-1300-49EE-BE5D-98CDAFCA7F7A}"/>
    <cellStyle name="Comma 4 3 2 3 13" xfId="8833" xr:uid="{6EDD7982-F63C-4932-8161-5DC2E81332F6}"/>
    <cellStyle name="Comma 4 3 2 3 2" xfId="686" xr:uid="{00000000-0005-0000-0000-000044090000}"/>
    <cellStyle name="Comma 4 3 2 3 2 2" xfId="2957" xr:uid="{00000000-0005-0000-0000-000045090000}"/>
    <cellStyle name="Comma 4 3 2 3 2 2 2" xfId="7181" xr:uid="{00000000-0005-0000-0000-000046090000}"/>
    <cellStyle name="Comma 4 3 2 3 2 2 2 2" xfId="19814" xr:uid="{005B73E0-6CA3-4641-AEEF-1AF1F080FBC0}"/>
    <cellStyle name="Comma 4 3 2 3 2 2 3" xfId="15603" xr:uid="{99DC3127-CDBB-4FFA-A595-97E5A6702E52}"/>
    <cellStyle name="Comma 4 3 2 3 2 2 4" xfId="24853" xr:uid="{3D2D962F-2761-4EDC-A0B3-FB201F664A34}"/>
    <cellStyle name="Comma 4 3 2 3 2 2 5" xfId="11392" xr:uid="{0C3ECBBD-C661-4F16-BD13-2D2CC4AF0ACF}"/>
    <cellStyle name="Comma 4 3 2 3 2 3" xfId="5036" xr:uid="{00000000-0005-0000-0000-000047090000}"/>
    <cellStyle name="Comma 4 3 2 3 2 3 2" xfId="17669" xr:uid="{4D913F16-F719-43DB-9F4F-5BB5935F6701}"/>
    <cellStyle name="Comma 4 3 2 3 2 4" xfId="21879" xr:uid="{371C3EEC-B65E-4FCB-A58B-948418A324C5}"/>
    <cellStyle name="Comma 4 3 2 3 2 5" xfId="13458" xr:uid="{2AB3FF49-7445-41E5-9F74-0D90662B777E}"/>
    <cellStyle name="Comma 4 3 2 3 2 6" xfId="22708" xr:uid="{C459079F-A7ED-4294-8262-47B677D1C93C}"/>
    <cellStyle name="Comma 4 3 2 3 2 7" xfId="9247" xr:uid="{1C5122D6-FCB3-464C-B9BD-4D6462113898}"/>
    <cellStyle name="Comma 4 3 2 3 3" xfId="1139" xr:uid="{00000000-0005-0000-0000-000048090000}"/>
    <cellStyle name="Comma 4 3 2 3 3 2" xfId="3370" xr:uid="{00000000-0005-0000-0000-000049090000}"/>
    <cellStyle name="Comma 4 3 2 3 3 2 2" xfId="7594" xr:uid="{00000000-0005-0000-0000-00004A090000}"/>
    <cellStyle name="Comma 4 3 2 3 3 2 2 2" xfId="20227" xr:uid="{3232B02C-9B0C-4215-AD41-23EA37363E44}"/>
    <cellStyle name="Comma 4 3 2 3 3 2 3" xfId="16016" xr:uid="{C6D45CB8-BA8F-4163-B63F-8E457E3AECD9}"/>
    <cellStyle name="Comma 4 3 2 3 3 2 4" xfId="25266" xr:uid="{1CB3667F-B140-41EA-9917-A7FD2ED791EC}"/>
    <cellStyle name="Comma 4 3 2 3 3 2 5" xfId="11805" xr:uid="{4B9E3E8F-5986-480F-8BCB-E3CC6935A460}"/>
    <cellStyle name="Comma 4 3 2 3 3 3" xfId="5449" xr:uid="{00000000-0005-0000-0000-00004B090000}"/>
    <cellStyle name="Comma 4 3 2 3 3 3 2" xfId="18082" xr:uid="{58F005D8-96A3-414E-BE2C-234414BCC5DE}"/>
    <cellStyle name="Comma 4 3 2 3 3 4" xfId="13871" xr:uid="{96450A01-F9D1-4FAA-A19B-EAFE5D40B86E}"/>
    <cellStyle name="Comma 4 3 2 3 3 5" xfId="23121" xr:uid="{141BD05E-6616-4F64-AD4D-37646E0BC903}"/>
    <cellStyle name="Comma 4 3 2 3 3 6" xfId="9660" xr:uid="{1593D2E7-C976-4B46-975C-A881A955F8B3}"/>
    <cellStyle name="Comma 4 3 2 3 4" xfId="1553" xr:uid="{00000000-0005-0000-0000-00004C090000}"/>
    <cellStyle name="Comma 4 3 2 3 4 2" xfId="3783" xr:uid="{00000000-0005-0000-0000-00004D090000}"/>
    <cellStyle name="Comma 4 3 2 3 4 2 2" xfId="8007" xr:uid="{00000000-0005-0000-0000-00004E090000}"/>
    <cellStyle name="Comma 4 3 2 3 4 2 2 2" xfId="20640" xr:uid="{8A8BE42B-529C-4C32-BAAA-505A63863F04}"/>
    <cellStyle name="Comma 4 3 2 3 4 2 3" xfId="16429" xr:uid="{A765FBCE-7251-4C20-89BA-F7484935C9BC}"/>
    <cellStyle name="Comma 4 3 2 3 4 2 4" xfId="25679" xr:uid="{ED59A1D3-7EC7-42FC-8185-CEE54ABD0876}"/>
    <cellStyle name="Comma 4 3 2 3 4 2 5" xfId="12218" xr:uid="{50A1519C-199C-469C-876E-1AA3BB6855A6}"/>
    <cellStyle name="Comma 4 3 2 3 4 3" xfId="5862" xr:uid="{00000000-0005-0000-0000-00004F090000}"/>
    <cellStyle name="Comma 4 3 2 3 4 3 2" xfId="18495" xr:uid="{F0090B75-CBCC-41E3-87F7-3D326357ABFE}"/>
    <cellStyle name="Comma 4 3 2 3 4 4" xfId="14284" xr:uid="{8607CFB9-F1D6-40BF-BA5E-8457115FA9B3}"/>
    <cellStyle name="Comma 4 3 2 3 4 5" xfId="23534" xr:uid="{8D06AF18-2039-4F28-B522-1463D9D074EE}"/>
    <cellStyle name="Comma 4 3 2 3 4 6" xfId="10073" xr:uid="{4E263531-A839-47EC-8D4D-1BCA460E54E8}"/>
    <cellStyle name="Comma 4 3 2 3 5" xfId="1967" xr:uid="{00000000-0005-0000-0000-000050090000}"/>
    <cellStyle name="Comma 4 3 2 3 5 2" xfId="4196" xr:uid="{00000000-0005-0000-0000-000051090000}"/>
    <cellStyle name="Comma 4 3 2 3 5 2 2" xfId="8420" xr:uid="{00000000-0005-0000-0000-000052090000}"/>
    <cellStyle name="Comma 4 3 2 3 5 2 2 2" xfId="21053" xr:uid="{0F201EA0-2A62-4616-B640-9C19D1E7D163}"/>
    <cellStyle name="Comma 4 3 2 3 5 2 3" xfId="16842" xr:uid="{A4C77133-4EED-43FC-83F1-3730174CC01D}"/>
    <cellStyle name="Comma 4 3 2 3 5 2 4" xfId="26092" xr:uid="{55DCC6C0-E521-40E0-BDAD-22C999C913BD}"/>
    <cellStyle name="Comma 4 3 2 3 5 2 5" xfId="12631" xr:uid="{9AB45D4C-94E8-4E07-9D2F-9619B016C90A}"/>
    <cellStyle name="Comma 4 3 2 3 5 3" xfId="6275" xr:uid="{00000000-0005-0000-0000-000053090000}"/>
    <cellStyle name="Comma 4 3 2 3 5 3 2" xfId="18908" xr:uid="{904FE91A-BD0A-4C3B-915A-3E44A94D4D95}"/>
    <cellStyle name="Comma 4 3 2 3 5 4" xfId="14697" xr:uid="{641057CD-7349-4744-B43F-D217235CF935}"/>
    <cellStyle name="Comma 4 3 2 3 5 5" xfId="23947" xr:uid="{462022FE-90E1-4FC0-95C8-E97BFF5E61B1}"/>
    <cellStyle name="Comma 4 3 2 3 5 6" xfId="10486" xr:uid="{9174EFAC-1BDC-4D65-BC01-74449EFF706A}"/>
    <cellStyle name="Comma 4 3 2 3 6" xfId="2402" xr:uid="{00000000-0005-0000-0000-000054090000}"/>
    <cellStyle name="Comma 4 3 2 3 6 2" xfId="6688" xr:uid="{00000000-0005-0000-0000-000055090000}"/>
    <cellStyle name="Comma 4 3 2 3 6 2 2" xfId="19321" xr:uid="{1BCAA058-9215-438D-9FBD-389FFBE63485}"/>
    <cellStyle name="Comma 4 3 2 3 6 3" xfId="15110" xr:uid="{0AA682A9-6567-4226-B8F4-C8509C27F43B}"/>
    <cellStyle name="Comma 4 3 2 3 6 4" xfId="24360" xr:uid="{A2428AC0-DE5A-4316-B327-304518D919D2}"/>
    <cellStyle name="Comma 4 3 2 3 6 5" xfId="10899" xr:uid="{CF2632B6-BA49-4F4B-9379-1270B2EE4A49}"/>
    <cellStyle name="Comma 4 3 2 3 7" xfId="2363" xr:uid="{00000000-0005-0000-0000-000056090000}"/>
    <cellStyle name="Comma 4 3 2 3 8" xfId="2780" xr:uid="{00000000-0005-0000-0000-000057090000}"/>
    <cellStyle name="Comma 4 3 2 3 8 2" xfId="7005" xr:uid="{00000000-0005-0000-0000-000058090000}"/>
    <cellStyle name="Comma 4 3 2 3 8 2 2" xfId="19638" xr:uid="{00BFCAB3-8976-4255-97DD-C0C8B29EFD15}"/>
    <cellStyle name="Comma 4 3 2 3 8 3" xfId="15427" xr:uid="{87E69C2C-93AB-441E-A4DF-F4199A2C9180}"/>
    <cellStyle name="Comma 4 3 2 3 8 4" xfId="24677" xr:uid="{E1803CBC-EDD0-4C64-9DA4-B1D3D1534F65}"/>
    <cellStyle name="Comma 4 3 2 3 8 5" xfId="11216" xr:uid="{B98D2DE6-CA95-4403-860B-4763FC870965}"/>
    <cellStyle name="Comma 4 3 2 3 9" xfId="4622" xr:uid="{00000000-0005-0000-0000-000059090000}"/>
    <cellStyle name="Comma 4 3 2 3 9 2" xfId="17255" xr:uid="{5EEC95AA-388A-44A0-80D7-0D644E5A2535}"/>
    <cellStyle name="Comma 4 3 2 4" xfId="683" xr:uid="{00000000-0005-0000-0000-00005A090000}"/>
    <cellStyle name="Comma 4 3 2 4 2" xfId="2954" xr:uid="{00000000-0005-0000-0000-00005B090000}"/>
    <cellStyle name="Comma 4 3 2 4 2 2" xfId="7178" xr:uid="{00000000-0005-0000-0000-00005C090000}"/>
    <cellStyle name="Comma 4 3 2 4 2 2 2" xfId="19811" xr:uid="{82A2F6FA-6850-4136-9280-E0EA6ADE88E9}"/>
    <cellStyle name="Comma 4 3 2 4 2 3" xfId="15600" xr:uid="{BD29EA89-07C5-4ACB-911D-7FD991E3E3DF}"/>
    <cellStyle name="Comma 4 3 2 4 2 4" xfId="24850" xr:uid="{98A05EDF-9261-45BA-B206-02EF1B7504FD}"/>
    <cellStyle name="Comma 4 3 2 4 2 5" xfId="11389" xr:uid="{B5108517-9A38-42FA-A7F0-9911D915B9AB}"/>
    <cellStyle name="Comma 4 3 2 4 3" xfId="5033" xr:uid="{00000000-0005-0000-0000-00005D090000}"/>
    <cellStyle name="Comma 4 3 2 4 3 2" xfId="17666" xr:uid="{257A0A8E-6A08-4514-991C-5124F027FF48}"/>
    <cellStyle name="Comma 4 3 2 4 4" xfId="21876" xr:uid="{B30EA589-F749-4216-BF22-B37AA90808FF}"/>
    <cellStyle name="Comma 4 3 2 4 5" xfId="13455" xr:uid="{4D6EC259-1438-474E-A211-78084AF10690}"/>
    <cellStyle name="Comma 4 3 2 4 6" xfId="22705" xr:uid="{8D5B1BAB-EF00-4B9A-9C21-159F8D481670}"/>
    <cellStyle name="Comma 4 3 2 4 7" xfId="9244" xr:uid="{FF8BA642-D253-4F50-9590-2F6D62971F51}"/>
    <cellStyle name="Comma 4 3 2 5" xfId="1136" xr:uid="{00000000-0005-0000-0000-00005E090000}"/>
    <cellStyle name="Comma 4 3 2 5 2" xfId="3367" xr:uid="{00000000-0005-0000-0000-00005F090000}"/>
    <cellStyle name="Comma 4 3 2 5 2 2" xfId="7591" xr:uid="{00000000-0005-0000-0000-000060090000}"/>
    <cellStyle name="Comma 4 3 2 5 2 2 2" xfId="20224" xr:uid="{F8E3E55E-6284-4B25-A7A3-7FEDDE647934}"/>
    <cellStyle name="Comma 4 3 2 5 2 3" xfId="16013" xr:uid="{16F4F874-25C2-4D6D-B0AC-D5A38CC985CD}"/>
    <cellStyle name="Comma 4 3 2 5 2 4" xfId="25263" xr:uid="{24E1CE71-D0A6-4EF6-B28B-AD58E535AEA9}"/>
    <cellStyle name="Comma 4 3 2 5 2 5" xfId="11802" xr:uid="{05D04544-22AC-42F2-9D89-6706B02E1A21}"/>
    <cellStyle name="Comma 4 3 2 5 3" xfId="5446" xr:uid="{00000000-0005-0000-0000-000061090000}"/>
    <cellStyle name="Comma 4 3 2 5 3 2" xfId="18079" xr:uid="{2ECE58B7-D440-410C-9265-61EAC76C6A54}"/>
    <cellStyle name="Comma 4 3 2 5 4" xfId="13868" xr:uid="{F2EC9C75-0F92-41AA-8D1E-0F73BB0C3C65}"/>
    <cellStyle name="Comma 4 3 2 5 5" xfId="23118" xr:uid="{F8786352-3DBC-4503-8C1B-012D0FEF6611}"/>
    <cellStyle name="Comma 4 3 2 5 6" xfId="9657" xr:uid="{84A2B27E-699F-44D4-A2D0-21A2AA992B08}"/>
    <cellStyle name="Comma 4 3 2 6" xfId="1550" xr:uid="{00000000-0005-0000-0000-000062090000}"/>
    <cellStyle name="Comma 4 3 2 6 2" xfId="3780" xr:uid="{00000000-0005-0000-0000-000063090000}"/>
    <cellStyle name="Comma 4 3 2 6 2 2" xfId="8004" xr:uid="{00000000-0005-0000-0000-000064090000}"/>
    <cellStyle name="Comma 4 3 2 6 2 2 2" xfId="20637" xr:uid="{2561F68D-7EC5-43F6-B605-1BB9E6FFEC58}"/>
    <cellStyle name="Comma 4 3 2 6 2 3" xfId="16426" xr:uid="{70B890C1-A3C8-44D9-9226-AEF4A049781A}"/>
    <cellStyle name="Comma 4 3 2 6 2 4" xfId="25676" xr:uid="{A876FBDD-149F-4584-8BF7-07F732D48E12}"/>
    <cellStyle name="Comma 4 3 2 6 2 5" xfId="12215" xr:uid="{D1ED1767-C67E-4706-B000-8BE3597FA704}"/>
    <cellStyle name="Comma 4 3 2 6 3" xfId="5859" xr:uid="{00000000-0005-0000-0000-000065090000}"/>
    <cellStyle name="Comma 4 3 2 6 3 2" xfId="18492" xr:uid="{EC0ABD8C-06F3-43D7-A590-C553237BA0B6}"/>
    <cellStyle name="Comma 4 3 2 6 4" xfId="14281" xr:uid="{2EA6D02B-1058-463F-AFD2-8254D0FCCBA8}"/>
    <cellStyle name="Comma 4 3 2 6 5" xfId="23531" xr:uid="{1B7FC138-C271-4D65-86C1-E569896796CC}"/>
    <cellStyle name="Comma 4 3 2 6 6" xfId="10070" xr:uid="{354F860A-35E5-495A-8146-7ACBE8E8AF96}"/>
    <cellStyle name="Comma 4 3 2 7" xfId="1964" xr:uid="{00000000-0005-0000-0000-000066090000}"/>
    <cellStyle name="Comma 4 3 2 7 2" xfId="4193" xr:uid="{00000000-0005-0000-0000-000067090000}"/>
    <cellStyle name="Comma 4 3 2 7 2 2" xfId="8417" xr:uid="{00000000-0005-0000-0000-000068090000}"/>
    <cellStyle name="Comma 4 3 2 7 2 2 2" xfId="21050" xr:uid="{BCF530E5-8D89-47B3-8FB1-39DC54A6D179}"/>
    <cellStyle name="Comma 4 3 2 7 2 3" xfId="16839" xr:uid="{E74852C8-E83E-46A3-B391-39FCEAC79F78}"/>
    <cellStyle name="Comma 4 3 2 7 2 4" xfId="26089" xr:uid="{A65F409B-1362-4E41-854F-E5CFF4895EDE}"/>
    <cellStyle name="Comma 4 3 2 7 2 5" xfId="12628" xr:uid="{8F73B72C-719A-44AD-936C-ACD0BF484396}"/>
    <cellStyle name="Comma 4 3 2 7 3" xfId="6272" xr:uid="{00000000-0005-0000-0000-000069090000}"/>
    <cellStyle name="Comma 4 3 2 7 3 2" xfId="18905" xr:uid="{104700DA-35EA-499A-B09F-95C58829CB5C}"/>
    <cellStyle name="Comma 4 3 2 7 4" xfId="14694" xr:uid="{362D98F8-3836-46EF-B54A-74B6E32CBCC4}"/>
    <cellStyle name="Comma 4 3 2 7 5" xfId="23944" xr:uid="{46B22871-DEED-479E-AA58-E06376F96A01}"/>
    <cellStyle name="Comma 4 3 2 7 6" xfId="10483" xr:uid="{A1A5D381-9DEA-4D35-BD38-5B796253BF36}"/>
    <cellStyle name="Comma 4 3 2 8" xfId="2399" xr:uid="{00000000-0005-0000-0000-00006A090000}"/>
    <cellStyle name="Comma 4 3 2 8 2" xfId="6685" xr:uid="{00000000-0005-0000-0000-00006B090000}"/>
    <cellStyle name="Comma 4 3 2 8 2 2" xfId="19318" xr:uid="{B882546A-1AE3-46F6-8021-26EBBEEB0199}"/>
    <cellStyle name="Comma 4 3 2 8 3" xfId="15107" xr:uid="{A2742A9A-CE85-4EC1-9EDF-FC49ECA00093}"/>
    <cellStyle name="Comma 4 3 2 8 4" xfId="24357" xr:uid="{62D0F33E-F222-46B6-AD19-9831A9C803B0}"/>
    <cellStyle name="Comma 4 3 2 8 5" xfId="10896" xr:uid="{D24077DA-950A-42D4-AA77-2BAE7AF2B232}"/>
    <cellStyle name="Comma 4 3 2 9" xfId="2366" xr:uid="{00000000-0005-0000-0000-00006C090000}"/>
    <cellStyle name="Comma 4 3 3" xfId="149" xr:uid="{00000000-0005-0000-0000-00006D090000}"/>
    <cellStyle name="Comma 4 3 3 10" xfId="4623" xr:uid="{00000000-0005-0000-0000-00006E090000}"/>
    <cellStyle name="Comma 4 3 3 10 2" xfId="17256" xr:uid="{0CFB25AE-9EF1-484B-8EFA-80DFCBE67ECD}"/>
    <cellStyle name="Comma 4 3 3 11" xfId="21467" xr:uid="{AAA820DB-75AB-4781-9ACE-027CF68D6DE0}"/>
    <cellStyle name="Comma 4 3 3 12" xfId="13045" xr:uid="{D57B817E-15E3-4E51-8557-A2F0375A88FD}"/>
    <cellStyle name="Comma 4 3 3 13" xfId="22295" xr:uid="{78598B1E-30FE-4908-96E2-3F0AEDC4DC97}"/>
    <cellStyle name="Comma 4 3 3 14" xfId="8834" xr:uid="{11B7BA3C-0B20-421B-9561-B1342B66815A}"/>
    <cellStyle name="Comma 4 3 3 2" xfId="150" xr:uid="{00000000-0005-0000-0000-00006F090000}"/>
    <cellStyle name="Comma 4 3 3 2 10" xfId="21468" xr:uid="{1AABE205-92AA-4BC4-A1F9-939074EB2681}"/>
    <cellStyle name="Comma 4 3 3 2 11" xfId="13046" xr:uid="{AC27D717-AC21-4E5F-8626-08D4715B9582}"/>
    <cellStyle name="Comma 4 3 3 2 12" xfId="22296" xr:uid="{6A7A3A7B-DF7B-4A89-8451-D960F594DCF4}"/>
    <cellStyle name="Comma 4 3 3 2 13" xfId="8835" xr:uid="{A38861F7-FD6F-4F70-9667-C7865918C815}"/>
    <cellStyle name="Comma 4 3 3 2 2" xfId="688" xr:uid="{00000000-0005-0000-0000-000070090000}"/>
    <cellStyle name="Comma 4 3 3 2 2 2" xfId="2959" xr:uid="{00000000-0005-0000-0000-000071090000}"/>
    <cellStyle name="Comma 4 3 3 2 2 2 2" xfId="7183" xr:uid="{00000000-0005-0000-0000-000072090000}"/>
    <cellStyle name="Comma 4 3 3 2 2 2 2 2" xfId="19816" xr:uid="{F9B18342-2D60-4F04-83E9-82817243A795}"/>
    <cellStyle name="Comma 4 3 3 2 2 2 3" xfId="15605" xr:uid="{E8D2D52D-0CA8-4D36-8803-CE6FD85F6324}"/>
    <cellStyle name="Comma 4 3 3 2 2 2 4" xfId="24855" xr:uid="{6F030DAF-995B-4C05-8CA3-0B0AD2C1B61D}"/>
    <cellStyle name="Comma 4 3 3 2 2 2 5" xfId="11394" xr:uid="{CCD08798-CF6E-4A7D-9FFE-5FF1C85E4361}"/>
    <cellStyle name="Comma 4 3 3 2 2 3" xfId="5038" xr:uid="{00000000-0005-0000-0000-000073090000}"/>
    <cellStyle name="Comma 4 3 3 2 2 3 2" xfId="17671" xr:uid="{F714E614-8D05-4533-AE09-D325CF648AF9}"/>
    <cellStyle name="Comma 4 3 3 2 2 4" xfId="21881" xr:uid="{47627569-E512-4750-A443-DDC62637E245}"/>
    <cellStyle name="Comma 4 3 3 2 2 5" xfId="13460" xr:uid="{FFB05A40-4956-4C0F-99AC-E0A98FA2B6D6}"/>
    <cellStyle name="Comma 4 3 3 2 2 6" xfId="22710" xr:uid="{C0F9885C-E61C-44D0-AF88-45A87BD254E5}"/>
    <cellStyle name="Comma 4 3 3 2 2 7" xfId="9249" xr:uid="{C3E90698-857A-4007-B591-A1FB1A4CADBA}"/>
    <cellStyle name="Comma 4 3 3 2 3" xfId="1141" xr:uid="{00000000-0005-0000-0000-000074090000}"/>
    <cellStyle name="Comma 4 3 3 2 3 2" xfId="3372" xr:uid="{00000000-0005-0000-0000-000075090000}"/>
    <cellStyle name="Comma 4 3 3 2 3 2 2" xfId="7596" xr:uid="{00000000-0005-0000-0000-000076090000}"/>
    <cellStyle name="Comma 4 3 3 2 3 2 2 2" xfId="20229" xr:uid="{E5701391-2603-4D91-BC80-9A71B16F2AC9}"/>
    <cellStyle name="Comma 4 3 3 2 3 2 3" xfId="16018" xr:uid="{EA74EE2C-07CD-4F2E-A6C1-230B23F9B21A}"/>
    <cellStyle name="Comma 4 3 3 2 3 2 4" xfId="25268" xr:uid="{06B5B8F7-2421-4064-B867-0F125B4F6700}"/>
    <cellStyle name="Comma 4 3 3 2 3 2 5" xfId="11807" xr:uid="{9499B645-EEA5-4A18-8D3C-E0B813F4947F}"/>
    <cellStyle name="Comma 4 3 3 2 3 3" xfId="5451" xr:uid="{00000000-0005-0000-0000-000077090000}"/>
    <cellStyle name="Comma 4 3 3 2 3 3 2" xfId="18084" xr:uid="{654CC3AD-DA4C-4DBC-AECB-12348E2D1B0B}"/>
    <cellStyle name="Comma 4 3 3 2 3 4" xfId="13873" xr:uid="{8D43C5C5-4672-4C4B-BC68-1CE0A6D21F87}"/>
    <cellStyle name="Comma 4 3 3 2 3 5" xfId="23123" xr:uid="{AB8631EC-78DB-4EB9-B9B2-90E567BE6EAA}"/>
    <cellStyle name="Comma 4 3 3 2 3 6" xfId="9662" xr:uid="{40AD4E1C-271F-4109-8B32-E279B8B634DB}"/>
    <cellStyle name="Comma 4 3 3 2 4" xfId="1555" xr:uid="{00000000-0005-0000-0000-000078090000}"/>
    <cellStyle name="Comma 4 3 3 2 4 2" xfId="3785" xr:uid="{00000000-0005-0000-0000-000079090000}"/>
    <cellStyle name="Comma 4 3 3 2 4 2 2" xfId="8009" xr:uid="{00000000-0005-0000-0000-00007A090000}"/>
    <cellStyle name="Comma 4 3 3 2 4 2 2 2" xfId="20642" xr:uid="{7567FEC2-5C93-40C0-A827-B2364993CF9B}"/>
    <cellStyle name="Comma 4 3 3 2 4 2 3" xfId="16431" xr:uid="{29234162-2365-49A3-BF06-0C488304F522}"/>
    <cellStyle name="Comma 4 3 3 2 4 2 4" xfId="25681" xr:uid="{13EB754A-1353-481A-BEFD-0E12B06CAAC3}"/>
    <cellStyle name="Comma 4 3 3 2 4 2 5" xfId="12220" xr:uid="{BB3A1CA6-234F-4F67-A2FF-D3CFE4E4CA34}"/>
    <cellStyle name="Comma 4 3 3 2 4 3" xfId="5864" xr:uid="{00000000-0005-0000-0000-00007B090000}"/>
    <cellStyle name="Comma 4 3 3 2 4 3 2" xfId="18497" xr:uid="{6B8BC9EF-06F1-456D-9005-CED0AF966AC1}"/>
    <cellStyle name="Comma 4 3 3 2 4 4" xfId="14286" xr:uid="{6AAF6ED9-E93D-4198-BD9F-717FF7A0A6AD}"/>
    <cellStyle name="Comma 4 3 3 2 4 5" xfId="23536" xr:uid="{E5864BC6-4D71-47E1-87FB-BBDC9BBE81DA}"/>
    <cellStyle name="Comma 4 3 3 2 4 6" xfId="10075" xr:uid="{6AE8A5E8-6820-42E3-A158-BE305E1B730F}"/>
    <cellStyle name="Comma 4 3 3 2 5" xfId="1969" xr:uid="{00000000-0005-0000-0000-00007C090000}"/>
    <cellStyle name="Comma 4 3 3 2 5 2" xfId="4198" xr:uid="{00000000-0005-0000-0000-00007D090000}"/>
    <cellStyle name="Comma 4 3 3 2 5 2 2" xfId="8422" xr:uid="{00000000-0005-0000-0000-00007E090000}"/>
    <cellStyle name="Comma 4 3 3 2 5 2 2 2" xfId="21055" xr:uid="{FEA9A8DF-6238-4D92-A4ED-58724E5F1D11}"/>
    <cellStyle name="Comma 4 3 3 2 5 2 3" xfId="16844" xr:uid="{032806C2-511D-4B8C-A08F-3A6625DF296C}"/>
    <cellStyle name="Comma 4 3 3 2 5 2 4" xfId="26094" xr:uid="{990A50E6-341E-4AD8-94D0-33CE9DD5C26C}"/>
    <cellStyle name="Comma 4 3 3 2 5 2 5" xfId="12633" xr:uid="{8557B330-0DA2-42B0-8BB8-1DB63B9B6511}"/>
    <cellStyle name="Comma 4 3 3 2 5 3" xfId="6277" xr:uid="{00000000-0005-0000-0000-00007F090000}"/>
    <cellStyle name="Comma 4 3 3 2 5 3 2" xfId="18910" xr:uid="{4300EAFD-04F5-4CDB-B8A6-B1B9E9E3BE05}"/>
    <cellStyle name="Comma 4 3 3 2 5 4" xfId="14699" xr:uid="{ADC60CD5-DDD3-412D-B6A1-25D24B25087C}"/>
    <cellStyle name="Comma 4 3 3 2 5 5" xfId="23949" xr:uid="{B27CA2C3-01B8-4132-A5EC-B0860A2CB908}"/>
    <cellStyle name="Comma 4 3 3 2 5 6" xfId="10488" xr:uid="{33F02641-B41E-4C4A-83D6-D21EC265B55B}"/>
    <cellStyle name="Comma 4 3 3 2 6" xfId="2404" xr:uid="{00000000-0005-0000-0000-000080090000}"/>
    <cellStyle name="Comma 4 3 3 2 6 2" xfId="6690" xr:uid="{00000000-0005-0000-0000-000081090000}"/>
    <cellStyle name="Comma 4 3 3 2 6 2 2" xfId="19323" xr:uid="{E634C20D-2E54-4B60-ACD7-AE397C4FB1E4}"/>
    <cellStyle name="Comma 4 3 3 2 6 3" xfId="15112" xr:uid="{A3485349-7B10-48BA-B917-C88C9C6D4004}"/>
    <cellStyle name="Comma 4 3 3 2 6 4" xfId="24362" xr:uid="{7F3A4B3D-101A-4BB9-82C3-F5C452F92513}"/>
    <cellStyle name="Comma 4 3 3 2 6 5" xfId="10901" xr:uid="{5DD2A028-1DAE-4EC2-B074-28773FC9DDCA}"/>
    <cellStyle name="Comma 4 3 3 2 7" xfId="2361" xr:uid="{00000000-0005-0000-0000-000082090000}"/>
    <cellStyle name="Comma 4 3 3 2 8" xfId="2782" xr:uid="{00000000-0005-0000-0000-000083090000}"/>
    <cellStyle name="Comma 4 3 3 2 8 2" xfId="7007" xr:uid="{00000000-0005-0000-0000-000084090000}"/>
    <cellStyle name="Comma 4 3 3 2 8 2 2" xfId="19640" xr:uid="{18D21104-F181-418A-A19A-2D404FB5976F}"/>
    <cellStyle name="Comma 4 3 3 2 8 3" xfId="15429" xr:uid="{9A5FAF4A-6ECE-4BD7-A72F-6A1BF3552FA0}"/>
    <cellStyle name="Comma 4 3 3 2 8 4" xfId="24679" xr:uid="{C62F418E-338F-40C0-89F7-FF53BD03FFF1}"/>
    <cellStyle name="Comma 4 3 3 2 8 5" xfId="11218" xr:uid="{48D1173B-3FBC-4D0C-8512-7C3F955C9B3E}"/>
    <cellStyle name="Comma 4 3 3 2 9" xfId="4624" xr:uid="{00000000-0005-0000-0000-000085090000}"/>
    <cellStyle name="Comma 4 3 3 2 9 2" xfId="17257" xr:uid="{2E01F71C-BA6D-4E7F-AD90-0BDF32DDA8BB}"/>
    <cellStyle name="Comma 4 3 3 3" xfId="687" xr:uid="{00000000-0005-0000-0000-000086090000}"/>
    <cellStyle name="Comma 4 3 3 3 2" xfId="2958" xr:uid="{00000000-0005-0000-0000-000087090000}"/>
    <cellStyle name="Comma 4 3 3 3 2 2" xfId="7182" xr:uid="{00000000-0005-0000-0000-000088090000}"/>
    <cellStyle name="Comma 4 3 3 3 2 2 2" xfId="19815" xr:uid="{03617521-4670-4E90-809E-C4D64A1648D9}"/>
    <cellStyle name="Comma 4 3 3 3 2 3" xfId="15604" xr:uid="{BF905252-07CA-45AC-A207-EB92A8CDCD6D}"/>
    <cellStyle name="Comma 4 3 3 3 2 4" xfId="24854" xr:uid="{597FE905-EA7E-4513-8274-066EDE3CADFF}"/>
    <cellStyle name="Comma 4 3 3 3 2 5" xfId="11393" xr:uid="{12D48546-537A-4B6B-8646-E60DF19C8E77}"/>
    <cellStyle name="Comma 4 3 3 3 3" xfId="5037" xr:uid="{00000000-0005-0000-0000-000089090000}"/>
    <cellStyle name="Comma 4 3 3 3 3 2" xfId="17670" xr:uid="{520D4C85-CEA8-4AA5-A0FB-2A4FF609DDBC}"/>
    <cellStyle name="Comma 4 3 3 3 4" xfId="21880" xr:uid="{127B25D9-5C67-408E-9A8C-485F171BE02F}"/>
    <cellStyle name="Comma 4 3 3 3 5" xfId="13459" xr:uid="{E724D036-D2EF-40CB-A0F5-426A060B03AA}"/>
    <cellStyle name="Comma 4 3 3 3 6" xfId="22709" xr:uid="{43A3EBBC-6772-40DD-B2FD-34435FD03470}"/>
    <cellStyle name="Comma 4 3 3 3 7" xfId="9248" xr:uid="{813C7729-146A-4609-B2E3-76DB1D861A92}"/>
    <cellStyle name="Comma 4 3 3 4" xfId="1140" xr:uid="{00000000-0005-0000-0000-00008A090000}"/>
    <cellStyle name="Comma 4 3 3 4 2" xfId="3371" xr:uid="{00000000-0005-0000-0000-00008B090000}"/>
    <cellStyle name="Comma 4 3 3 4 2 2" xfId="7595" xr:uid="{00000000-0005-0000-0000-00008C090000}"/>
    <cellStyle name="Comma 4 3 3 4 2 2 2" xfId="20228" xr:uid="{F6A413CC-5E89-4DCF-A014-B985C2B8B262}"/>
    <cellStyle name="Comma 4 3 3 4 2 3" xfId="16017" xr:uid="{F96AFD47-0CC5-4BF3-957F-FF5805BFB5C3}"/>
    <cellStyle name="Comma 4 3 3 4 2 4" xfId="25267" xr:uid="{1743CBAB-A1BA-4644-AD67-22908D0796C6}"/>
    <cellStyle name="Comma 4 3 3 4 2 5" xfId="11806" xr:uid="{F984EB35-110E-4258-8823-C4504D8D40AE}"/>
    <cellStyle name="Comma 4 3 3 4 3" xfId="5450" xr:uid="{00000000-0005-0000-0000-00008D090000}"/>
    <cellStyle name="Comma 4 3 3 4 3 2" xfId="18083" xr:uid="{06A86AA4-E6AF-435C-8E75-9C926B8940B5}"/>
    <cellStyle name="Comma 4 3 3 4 4" xfId="13872" xr:uid="{185745F6-7473-4738-A51A-7250485659FB}"/>
    <cellStyle name="Comma 4 3 3 4 5" xfId="23122" xr:uid="{A918F75B-80E3-46BD-B533-86327531F95E}"/>
    <cellStyle name="Comma 4 3 3 4 6" xfId="9661" xr:uid="{F98D2589-6480-47CB-BD4D-57C9F825A56B}"/>
    <cellStyle name="Comma 4 3 3 5" xfId="1554" xr:uid="{00000000-0005-0000-0000-00008E090000}"/>
    <cellStyle name="Comma 4 3 3 5 2" xfId="3784" xr:uid="{00000000-0005-0000-0000-00008F090000}"/>
    <cellStyle name="Comma 4 3 3 5 2 2" xfId="8008" xr:uid="{00000000-0005-0000-0000-000090090000}"/>
    <cellStyle name="Comma 4 3 3 5 2 2 2" xfId="20641" xr:uid="{654A6746-2452-476D-AB7A-21B06E0824A1}"/>
    <cellStyle name="Comma 4 3 3 5 2 3" xfId="16430" xr:uid="{E711A605-D330-4CFF-8E75-D1B641192A15}"/>
    <cellStyle name="Comma 4 3 3 5 2 4" xfId="25680" xr:uid="{22F84B5A-0419-4993-BC71-D6E81DB7E792}"/>
    <cellStyle name="Comma 4 3 3 5 2 5" xfId="12219" xr:uid="{ACFEFE9C-608D-4D4C-A461-F455E9E2C14D}"/>
    <cellStyle name="Comma 4 3 3 5 3" xfId="5863" xr:uid="{00000000-0005-0000-0000-000091090000}"/>
    <cellStyle name="Comma 4 3 3 5 3 2" xfId="18496" xr:uid="{2F243F28-3A88-4E15-86E4-8BC0BC6582CE}"/>
    <cellStyle name="Comma 4 3 3 5 4" xfId="14285" xr:uid="{25FAB3E0-FAC5-439D-B2E7-797B46899859}"/>
    <cellStyle name="Comma 4 3 3 5 5" xfId="23535" xr:uid="{3F9080C4-8C85-4B71-BBBE-90F8B1640312}"/>
    <cellStyle name="Comma 4 3 3 5 6" xfId="10074" xr:uid="{31DE4B38-2810-4146-91A5-9DDC79DB806B}"/>
    <cellStyle name="Comma 4 3 3 6" xfId="1968" xr:uid="{00000000-0005-0000-0000-000092090000}"/>
    <cellStyle name="Comma 4 3 3 6 2" xfId="4197" xr:uid="{00000000-0005-0000-0000-000093090000}"/>
    <cellStyle name="Comma 4 3 3 6 2 2" xfId="8421" xr:uid="{00000000-0005-0000-0000-000094090000}"/>
    <cellStyle name="Comma 4 3 3 6 2 2 2" xfId="21054" xr:uid="{7DDD4E72-4876-4B25-A530-EB3522CCB611}"/>
    <cellStyle name="Comma 4 3 3 6 2 3" xfId="16843" xr:uid="{C6057C97-395A-46B9-ADDE-1B5BCD6E4215}"/>
    <cellStyle name="Comma 4 3 3 6 2 4" xfId="26093" xr:uid="{0A4ED140-49A6-4585-AB46-4965C6BBAD63}"/>
    <cellStyle name="Comma 4 3 3 6 2 5" xfId="12632" xr:uid="{61EB5426-28F7-4C2C-BF51-CA363B11D588}"/>
    <cellStyle name="Comma 4 3 3 6 3" xfId="6276" xr:uid="{00000000-0005-0000-0000-000095090000}"/>
    <cellStyle name="Comma 4 3 3 6 3 2" xfId="18909" xr:uid="{A7CC8599-0C8A-43DD-8F9D-12C367E4E53F}"/>
    <cellStyle name="Comma 4 3 3 6 4" xfId="14698" xr:uid="{AFED93A7-D75B-4D4D-973D-CDC233091104}"/>
    <cellStyle name="Comma 4 3 3 6 5" xfId="23948" xr:uid="{B1170750-349D-4A54-B867-4EE6524A9CCA}"/>
    <cellStyle name="Comma 4 3 3 6 6" xfId="10487" xr:uid="{4F517246-D7F2-413A-9279-0154F84B00F6}"/>
    <cellStyle name="Comma 4 3 3 7" xfId="2403" xr:uid="{00000000-0005-0000-0000-000096090000}"/>
    <cellStyle name="Comma 4 3 3 7 2" xfId="6689" xr:uid="{00000000-0005-0000-0000-000097090000}"/>
    <cellStyle name="Comma 4 3 3 7 2 2" xfId="19322" xr:uid="{66F4A5E0-0E61-4248-8A00-4BB0BB15252A}"/>
    <cellStyle name="Comma 4 3 3 7 3" xfId="15111" xr:uid="{0D67BCBB-29D1-44AF-AD97-C313941E8FA1}"/>
    <cellStyle name="Comma 4 3 3 7 4" xfId="24361" xr:uid="{0176A8E3-C6C5-4405-89DB-4D86518E47FA}"/>
    <cellStyle name="Comma 4 3 3 7 5" xfId="10900" xr:uid="{D258C443-A789-4F6E-9C90-5293409AA99E}"/>
    <cellStyle name="Comma 4 3 3 8" xfId="2362" xr:uid="{00000000-0005-0000-0000-000098090000}"/>
    <cellStyle name="Comma 4 3 3 9" xfId="2781" xr:uid="{00000000-0005-0000-0000-000099090000}"/>
    <cellStyle name="Comma 4 3 3 9 2" xfId="7006" xr:uid="{00000000-0005-0000-0000-00009A090000}"/>
    <cellStyle name="Comma 4 3 3 9 2 2" xfId="19639" xr:uid="{8101B7C3-178F-469C-9F63-79DCE5A075F3}"/>
    <cellStyle name="Comma 4 3 3 9 3" xfId="15428" xr:uid="{23564EA6-B7B5-4CCD-B078-418D893C7A60}"/>
    <cellStyle name="Comma 4 3 3 9 4" xfId="24678" xr:uid="{28F1A529-868C-4011-A7CC-3B105E56F196}"/>
    <cellStyle name="Comma 4 3 3 9 5" xfId="11217" xr:uid="{592F003F-C18B-45B9-9BB4-223C29C55DA9}"/>
    <cellStyle name="Comma 4 3 4" xfId="151" xr:uid="{00000000-0005-0000-0000-00009B090000}"/>
    <cellStyle name="Comma 4 3 4 10" xfId="21469" xr:uid="{64EF25AB-FAFC-455D-A523-E73EBFE8CD1F}"/>
    <cellStyle name="Comma 4 3 4 11" xfId="13047" xr:uid="{B6E0C24C-C728-471B-88AF-666DA50F260F}"/>
    <cellStyle name="Comma 4 3 4 12" xfId="22297" xr:uid="{9A38CF61-FD36-4E94-BED0-0764F4DB773D}"/>
    <cellStyle name="Comma 4 3 4 13" xfId="8836" xr:uid="{B7641B87-CD20-49D3-BC0D-04B9924593E0}"/>
    <cellStyle name="Comma 4 3 4 2" xfId="689" xr:uid="{00000000-0005-0000-0000-00009C090000}"/>
    <cellStyle name="Comma 4 3 4 2 2" xfId="2960" xr:uid="{00000000-0005-0000-0000-00009D090000}"/>
    <cellStyle name="Comma 4 3 4 2 2 2" xfId="7184" xr:uid="{00000000-0005-0000-0000-00009E090000}"/>
    <cellStyle name="Comma 4 3 4 2 2 2 2" xfId="19817" xr:uid="{85DE6781-0E94-4688-9E7D-5BBC50D91B9B}"/>
    <cellStyle name="Comma 4 3 4 2 2 3" xfId="15606" xr:uid="{5DE07D20-E457-4DDF-9C5A-188D287172BF}"/>
    <cellStyle name="Comma 4 3 4 2 2 4" xfId="24856" xr:uid="{EBE21918-C720-4560-B2A6-100C3AB494FE}"/>
    <cellStyle name="Comma 4 3 4 2 2 5" xfId="11395" xr:uid="{3D9A3290-D5DF-4B1A-9DBA-170D2C157F4F}"/>
    <cellStyle name="Comma 4 3 4 2 3" xfId="5039" xr:uid="{00000000-0005-0000-0000-00009F090000}"/>
    <cellStyle name="Comma 4 3 4 2 3 2" xfId="17672" xr:uid="{14E1FDFD-6CC4-4CF0-AE61-BB5576747AB3}"/>
    <cellStyle name="Comma 4 3 4 2 4" xfId="21882" xr:uid="{6D031384-31EC-4014-BFE0-B85E822F0219}"/>
    <cellStyle name="Comma 4 3 4 2 5" xfId="13461" xr:uid="{D01BF6B1-031E-4636-948E-C80068446399}"/>
    <cellStyle name="Comma 4 3 4 2 6" xfId="22711" xr:uid="{664DEE72-1474-4A9C-85A0-6EA987F1DB4A}"/>
    <cellStyle name="Comma 4 3 4 2 7" xfId="9250" xr:uid="{344F3456-0962-4B80-BC3A-68673B59DEDE}"/>
    <cellStyle name="Comma 4 3 4 3" xfId="1142" xr:uid="{00000000-0005-0000-0000-0000A0090000}"/>
    <cellStyle name="Comma 4 3 4 3 2" xfId="3373" xr:uid="{00000000-0005-0000-0000-0000A1090000}"/>
    <cellStyle name="Comma 4 3 4 3 2 2" xfId="7597" xr:uid="{00000000-0005-0000-0000-0000A2090000}"/>
    <cellStyle name="Comma 4 3 4 3 2 2 2" xfId="20230" xr:uid="{15666754-5F25-4915-BC2B-A290DB5F23FF}"/>
    <cellStyle name="Comma 4 3 4 3 2 3" xfId="16019" xr:uid="{0B8F0561-52A1-4834-A153-3EB081614EC6}"/>
    <cellStyle name="Comma 4 3 4 3 2 4" xfId="25269" xr:uid="{00513A55-ECD7-492B-A80C-4129C606CF8F}"/>
    <cellStyle name="Comma 4 3 4 3 2 5" xfId="11808" xr:uid="{9C26AD2A-4F18-4614-B8A9-AC9876ABF3F0}"/>
    <cellStyle name="Comma 4 3 4 3 3" xfId="5452" xr:uid="{00000000-0005-0000-0000-0000A3090000}"/>
    <cellStyle name="Comma 4 3 4 3 3 2" xfId="18085" xr:uid="{AF639184-9E86-48D0-9A9F-63C29850110E}"/>
    <cellStyle name="Comma 4 3 4 3 4" xfId="13874" xr:uid="{D3F8E82B-DF8C-4B5C-B9B1-AC7B7C477CB8}"/>
    <cellStyle name="Comma 4 3 4 3 5" xfId="23124" xr:uid="{8E7B1E31-5131-464E-9892-B16A9CAD859F}"/>
    <cellStyle name="Comma 4 3 4 3 6" xfId="9663" xr:uid="{7FE54F65-9476-4CDC-8D0E-64E18AAF292F}"/>
    <cellStyle name="Comma 4 3 4 4" xfId="1556" xr:uid="{00000000-0005-0000-0000-0000A4090000}"/>
    <cellStyle name="Comma 4 3 4 4 2" xfId="3786" xr:uid="{00000000-0005-0000-0000-0000A5090000}"/>
    <cellStyle name="Comma 4 3 4 4 2 2" xfId="8010" xr:uid="{00000000-0005-0000-0000-0000A6090000}"/>
    <cellStyle name="Comma 4 3 4 4 2 2 2" xfId="20643" xr:uid="{C3D35908-F9EC-49D6-AD58-B5E63724245D}"/>
    <cellStyle name="Comma 4 3 4 4 2 3" xfId="16432" xr:uid="{8C4CFDF6-BC3D-4D1C-B9D2-B341A03A0A51}"/>
    <cellStyle name="Comma 4 3 4 4 2 4" xfId="25682" xr:uid="{4E6876DE-08A2-4E80-AEE4-4D86D38E59C1}"/>
    <cellStyle name="Comma 4 3 4 4 2 5" xfId="12221" xr:uid="{AF39657A-514E-4B57-AB7A-5AD93911619E}"/>
    <cellStyle name="Comma 4 3 4 4 3" xfId="5865" xr:uid="{00000000-0005-0000-0000-0000A7090000}"/>
    <cellStyle name="Comma 4 3 4 4 3 2" xfId="18498" xr:uid="{EB3414EF-8546-49A4-8C08-BDFEC622BF9F}"/>
    <cellStyle name="Comma 4 3 4 4 4" xfId="14287" xr:uid="{141C04E3-5434-4E3D-84D0-D997CBA4DEBC}"/>
    <cellStyle name="Comma 4 3 4 4 5" xfId="23537" xr:uid="{360F465E-27CF-4DD8-9D8E-C90F93789629}"/>
    <cellStyle name="Comma 4 3 4 4 6" xfId="10076" xr:uid="{D93D8E2F-3995-4ACB-9369-F2900D477182}"/>
    <cellStyle name="Comma 4 3 4 5" xfId="1970" xr:uid="{00000000-0005-0000-0000-0000A8090000}"/>
    <cellStyle name="Comma 4 3 4 5 2" xfId="4199" xr:uid="{00000000-0005-0000-0000-0000A9090000}"/>
    <cellStyle name="Comma 4 3 4 5 2 2" xfId="8423" xr:uid="{00000000-0005-0000-0000-0000AA090000}"/>
    <cellStyle name="Comma 4 3 4 5 2 2 2" xfId="21056" xr:uid="{AF75C53B-1AFB-4C10-B943-B92587860DD7}"/>
    <cellStyle name="Comma 4 3 4 5 2 3" xfId="16845" xr:uid="{2F3BB7C4-536A-4B3C-8750-9CB7D8D5CAFF}"/>
    <cellStyle name="Comma 4 3 4 5 2 4" xfId="26095" xr:uid="{02A81425-266F-4661-A44C-807DB4C009FD}"/>
    <cellStyle name="Comma 4 3 4 5 2 5" xfId="12634" xr:uid="{1D37B676-D1CC-4315-AFD7-107119B97398}"/>
    <cellStyle name="Comma 4 3 4 5 3" xfId="6278" xr:uid="{00000000-0005-0000-0000-0000AB090000}"/>
    <cellStyle name="Comma 4 3 4 5 3 2" xfId="18911" xr:uid="{64B3F8DE-95ED-449E-88B6-497974CAA01E}"/>
    <cellStyle name="Comma 4 3 4 5 4" xfId="14700" xr:uid="{485A8E74-05FD-4E6B-9387-93A0295B4B4D}"/>
    <cellStyle name="Comma 4 3 4 5 5" xfId="23950" xr:uid="{73F71487-BCE1-4B32-AE84-3157FD499FAF}"/>
    <cellStyle name="Comma 4 3 4 5 6" xfId="10489" xr:uid="{05056AE3-5C90-4024-B4F6-073A1D545167}"/>
    <cellStyle name="Comma 4 3 4 6" xfId="2405" xr:uid="{00000000-0005-0000-0000-0000AC090000}"/>
    <cellStyle name="Comma 4 3 4 6 2" xfId="6691" xr:uid="{00000000-0005-0000-0000-0000AD090000}"/>
    <cellStyle name="Comma 4 3 4 6 2 2" xfId="19324" xr:uid="{81F6ED84-D897-4160-ADBD-1E8F28669209}"/>
    <cellStyle name="Comma 4 3 4 6 3" xfId="15113" xr:uid="{95C157BA-1CF2-4085-BFFF-A98068A060B3}"/>
    <cellStyle name="Comma 4 3 4 6 4" xfId="24363" xr:uid="{7397604A-C625-41EC-8420-661FD5BB523B}"/>
    <cellStyle name="Comma 4 3 4 6 5" xfId="10902" xr:uid="{A0E728C5-4615-4047-9806-835C2A03D878}"/>
    <cellStyle name="Comma 4 3 4 7" xfId="2701" xr:uid="{00000000-0005-0000-0000-0000AE090000}"/>
    <cellStyle name="Comma 4 3 4 8" xfId="2783" xr:uid="{00000000-0005-0000-0000-0000AF090000}"/>
    <cellStyle name="Comma 4 3 4 8 2" xfId="7008" xr:uid="{00000000-0005-0000-0000-0000B0090000}"/>
    <cellStyle name="Comma 4 3 4 8 2 2" xfId="19641" xr:uid="{AB8BE34E-4B6A-4ED1-9913-6940D2C524F3}"/>
    <cellStyle name="Comma 4 3 4 8 3" xfId="15430" xr:uid="{F77F7D9E-2232-4F86-BB7F-877CE12ADF39}"/>
    <cellStyle name="Comma 4 3 4 8 4" xfId="24680" xr:uid="{97A9D03C-241E-42D2-B611-05C67CA112F2}"/>
    <cellStyle name="Comma 4 3 4 8 5" xfId="11219" xr:uid="{4D948C6E-EF93-4751-B92D-EA9EBEEBAF51}"/>
    <cellStyle name="Comma 4 3 4 9" xfId="4625" xr:uid="{00000000-0005-0000-0000-0000B1090000}"/>
    <cellStyle name="Comma 4 3 4 9 2" xfId="17258" xr:uid="{841D5F52-8452-4C78-AFB7-D94501F9E69E}"/>
    <cellStyle name="Comma 4 3 5" xfId="152" xr:uid="{00000000-0005-0000-0000-0000B2090000}"/>
    <cellStyle name="Comma 4 3 5 10" xfId="21470" xr:uid="{6A7D418B-29BD-4AE4-A395-B8DBAA919D53}"/>
    <cellStyle name="Comma 4 3 5 11" xfId="13048" xr:uid="{63ACFBA6-9C08-47B6-940E-BDE3A687E280}"/>
    <cellStyle name="Comma 4 3 5 12" xfId="22298" xr:uid="{F3115F69-E100-4971-A3D0-50F041127CF4}"/>
    <cellStyle name="Comma 4 3 5 13" xfId="8837" xr:uid="{AE75D0BE-3726-4ACD-8055-8B7E67CFD1DB}"/>
    <cellStyle name="Comma 4 3 5 2" xfId="690" xr:uid="{00000000-0005-0000-0000-0000B3090000}"/>
    <cellStyle name="Comma 4 3 5 2 2" xfId="2961" xr:uid="{00000000-0005-0000-0000-0000B4090000}"/>
    <cellStyle name="Comma 4 3 5 2 2 2" xfId="7185" xr:uid="{00000000-0005-0000-0000-0000B5090000}"/>
    <cellStyle name="Comma 4 3 5 2 2 2 2" xfId="19818" xr:uid="{CB0196F9-0CFB-42AF-966F-35B6D8D860EF}"/>
    <cellStyle name="Comma 4 3 5 2 2 3" xfId="15607" xr:uid="{78CB10C7-676C-4CDB-A75F-29A3B5B8ED9F}"/>
    <cellStyle name="Comma 4 3 5 2 2 4" xfId="24857" xr:uid="{49C3AABB-8983-4745-BCF0-46615ED921D8}"/>
    <cellStyle name="Comma 4 3 5 2 2 5" xfId="11396" xr:uid="{8D043C94-8959-42B2-AB4E-43B347B350DD}"/>
    <cellStyle name="Comma 4 3 5 2 3" xfId="5040" xr:uid="{00000000-0005-0000-0000-0000B6090000}"/>
    <cellStyle name="Comma 4 3 5 2 3 2" xfId="17673" xr:uid="{1377A45A-D501-45AF-8DCB-1F382314B101}"/>
    <cellStyle name="Comma 4 3 5 2 4" xfId="21883" xr:uid="{AEDCF9FA-D3C0-4D33-8FCD-5499D4A1CFC0}"/>
    <cellStyle name="Comma 4 3 5 2 5" xfId="13462" xr:uid="{3D7D25D5-1934-4CE9-8255-E8013F3FF2ED}"/>
    <cellStyle name="Comma 4 3 5 2 6" xfId="22712" xr:uid="{4DC9ECAE-FB6F-418C-BBAA-86B9163BA072}"/>
    <cellStyle name="Comma 4 3 5 2 7" xfId="9251" xr:uid="{2B32A969-EA4D-4CF2-B9F1-2E992CD1EB8B}"/>
    <cellStyle name="Comma 4 3 5 3" xfId="1143" xr:uid="{00000000-0005-0000-0000-0000B7090000}"/>
    <cellStyle name="Comma 4 3 5 3 2" xfId="3374" xr:uid="{00000000-0005-0000-0000-0000B8090000}"/>
    <cellStyle name="Comma 4 3 5 3 2 2" xfId="7598" xr:uid="{00000000-0005-0000-0000-0000B9090000}"/>
    <cellStyle name="Comma 4 3 5 3 2 2 2" xfId="20231" xr:uid="{D3E2788D-D093-447C-9B8E-06C6F2D0B589}"/>
    <cellStyle name="Comma 4 3 5 3 2 3" xfId="16020" xr:uid="{033CE312-15E2-48F6-BD3A-0B669EEA97C3}"/>
    <cellStyle name="Comma 4 3 5 3 2 4" xfId="25270" xr:uid="{5FC11AAC-FDE5-4324-B563-C64FCB700F10}"/>
    <cellStyle name="Comma 4 3 5 3 2 5" xfId="11809" xr:uid="{9665F12B-E7B1-44A0-8C5C-3FE450A3C792}"/>
    <cellStyle name="Comma 4 3 5 3 3" xfId="5453" xr:uid="{00000000-0005-0000-0000-0000BA090000}"/>
    <cellStyle name="Comma 4 3 5 3 3 2" xfId="18086" xr:uid="{132108CE-A35D-4E6D-9478-D0DDF5700B1F}"/>
    <cellStyle name="Comma 4 3 5 3 4" xfId="13875" xr:uid="{98E53D2E-25AB-426C-9377-22ED69ECB95F}"/>
    <cellStyle name="Comma 4 3 5 3 5" xfId="23125" xr:uid="{D86AC966-CABE-4099-ADB5-6F1355EA4BF0}"/>
    <cellStyle name="Comma 4 3 5 3 6" xfId="9664" xr:uid="{4247C6A5-C3BF-49DF-B10B-2E664286CC4F}"/>
    <cellStyle name="Comma 4 3 5 4" xfId="1557" xr:uid="{00000000-0005-0000-0000-0000BB090000}"/>
    <cellStyle name="Comma 4 3 5 4 2" xfId="3787" xr:uid="{00000000-0005-0000-0000-0000BC090000}"/>
    <cellStyle name="Comma 4 3 5 4 2 2" xfId="8011" xr:uid="{00000000-0005-0000-0000-0000BD090000}"/>
    <cellStyle name="Comma 4 3 5 4 2 2 2" xfId="20644" xr:uid="{8EA7F16C-9D56-4A8F-B041-6459E412A3C0}"/>
    <cellStyle name="Comma 4 3 5 4 2 3" xfId="16433" xr:uid="{6AA2F1FB-6B2A-4205-98AA-1DA9BA9AFADF}"/>
    <cellStyle name="Comma 4 3 5 4 2 4" xfId="25683" xr:uid="{CE837655-C262-402A-8D02-000AE7045E1D}"/>
    <cellStyle name="Comma 4 3 5 4 2 5" xfId="12222" xr:uid="{3C63F9CF-52E7-4706-97B9-F216462AB1EE}"/>
    <cellStyle name="Comma 4 3 5 4 3" xfId="5866" xr:uid="{00000000-0005-0000-0000-0000BE090000}"/>
    <cellStyle name="Comma 4 3 5 4 3 2" xfId="18499" xr:uid="{218B3B32-D60B-48F0-B1F3-465106E1A0E7}"/>
    <cellStyle name="Comma 4 3 5 4 4" xfId="14288" xr:uid="{1A676E98-DF82-4930-8225-603F24C92208}"/>
    <cellStyle name="Comma 4 3 5 4 5" xfId="23538" xr:uid="{3DFE49BD-9086-486F-9F83-E01528B0A4C2}"/>
    <cellStyle name="Comma 4 3 5 4 6" xfId="10077" xr:uid="{FF63060D-36D4-478B-8272-3F7F4B9935A7}"/>
    <cellStyle name="Comma 4 3 5 5" xfId="1971" xr:uid="{00000000-0005-0000-0000-0000BF090000}"/>
    <cellStyle name="Comma 4 3 5 5 2" xfId="4200" xr:uid="{00000000-0005-0000-0000-0000C0090000}"/>
    <cellStyle name="Comma 4 3 5 5 2 2" xfId="8424" xr:uid="{00000000-0005-0000-0000-0000C1090000}"/>
    <cellStyle name="Comma 4 3 5 5 2 2 2" xfId="21057" xr:uid="{B47533AA-4978-45B7-AB5D-983A90D0CEF1}"/>
    <cellStyle name="Comma 4 3 5 5 2 3" xfId="16846" xr:uid="{392D54E6-9C9A-4DD9-B1B2-2B15DA0A33D4}"/>
    <cellStyle name="Comma 4 3 5 5 2 4" xfId="26096" xr:uid="{8EA421A6-B562-4A7C-AA53-77F66558624C}"/>
    <cellStyle name="Comma 4 3 5 5 2 5" xfId="12635" xr:uid="{69AD64E7-A004-4E7C-B694-F2D1CA600FEA}"/>
    <cellStyle name="Comma 4 3 5 5 3" xfId="6279" xr:uid="{00000000-0005-0000-0000-0000C2090000}"/>
    <cellStyle name="Comma 4 3 5 5 3 2" xfId="18912" xr:uid="{31014D37-03E4-41A1-876B-6495322534FA}"/>
    <cellStyle name="Comma 4 3 5 5 4" xfId="14701" xr:uid="{36765884-CAFD-4CCA-8035-5401ADCFD846}"/>
    <cellStyle name="Comma 4 3 5 5 5" xfId="23951" xr:uid="{1DBE1E6B-DFA4-451F-A44D-C83F95C86304}"/>
    <cellStyle name="Comma 4 3 5 5 6" xfId="10490" xr:uid="{00B371AF-6EDE-4062-931A-D177A644E3B4}"/>
    <cellStyle name="Comma 4 3 5 6" xfId="2406" xr:uid="{00000000-0005-0000-0000-0000C3090000}"/>
    <cellStyle name="Comma 4 3 5 6 2" xfId="6692" xr:uid="{00000000-0005-0000-0000-0000C4090000}"/>
    <cellStyle name="Comma 4 3 5 6 2 2" xfId="19325" xr:uid="{565E5924-BD60-42C8-804C-15367E964452}"/>
    <cellStyle name="Comma 4 3 5 6 3" xfId="15114" xr:uid="{5F37CC4B-EC09-4834-993B-7F932A4E7C88}"/>
    <cellStyle name="Comma 4 3 5 6 4" xfId="24364" xr:uid="{CFE273D1-D8C0-4C68-BBEC-9D221249D38D}"/>
    <cellStyle name="Comma 4 3 5 6 5" xfId="10903" xr:uid="{30FF0713-AB5F-4120-8FFC-DA2742E4697C}"/>
    <cellStyle name="Comma 4 3 5 7" xfId="2702" xr:uid="{00000000-0005-0000-0000-0000C5090000}"/>
    <cellStyle name="Comma 4 3 5 8" xfId="2784" xr:uid="{00000000-0005-0000-0000-0000C6090000}"/>
    <cellStyle name="Comma 4 3 5 8 2" xfId="7009" xr:uid="{00000000-0005-0000-0000-0000C7090000}"/>
    <cellStyle name="Comma 4 3 5 8 2 2" xfId="19642" xr:uid="{756565FC-FDCA-41AB-8396-2B72377A20E4}"/>
    <cellStyle name="Comma 4 3 5 8 3" xfId="15431" xr:uid="{1241235F-7BC7-41A2-8EB7-607FCCD70B41}"/>
    <cellStyle name="Comma 4 3 5 8 4" xfId="24681" xr:uid="{BCF759D3-8670-4ECE-B735-C4E8334173BC}"/>
    <cellStyle name="Comma 4 3 5 8 5" xfId="11220" xr:uid="{4E38CB33-4D5F-4472-99FD-155D19C0382C}"/>
    <cellStyle name="Comma 4 3 5 9" xfId="4626" xr:uid="{00000000-0005-0000-0000-0000C8090000}"/>
    <cellStyle name="Comma 4 3 5 9 2" xfId="17259" xr:uid="{E67E6429-99C9-4C56-9746-294A9F4A4A7E}"/>
    <cellStyle name="Comma 4 4" xfId="153" xr:uid="{00000000-0005-0000-0000-0000C9090000}"/>
    <cellStyle name="Comma 4 4 10" xfId="2785" xr:uid="{00000000-0005-0000-0000-0000CA090000}"/>
    <cellStyle name="Comma 4 4 10 2" xfId="7010" xr:uid="{00000000-0005-0000-0000-0000CB090000}"/>
    <cellStyle name="Comma 4 4 10 2 2" xfId="19643" xr:uid="{FD1791EB-324F-4674-B549-32BB9F129B25}"/>
    <cellStyle name="Comma 4 4 10 3" xfId="15432" xr:uid="{7098B5E6-9E13-4F88-8942-24804A895EA1}"/>
    <cellStyle name="Comma 4 4 10 4" xfId="24682" xr:uid="{AF2A69C4-CF5F-4B44-A2ED-D985F78B2544}"/>
    <cellStyle name="Comma 4 4 10 5" xfId="11221" xr:uid="{9DD35D37-5360-412B-9CBD-A8FF4C8C33D9}"/>
    <cellStyle name="Comma 4 4 11" xfId="4627" xr:uid="{00000000-0005-0000-0000-0000CC090000}"/>
    <cellStyle name="Comma 4 4 11 2" xfId="17260" xr:uid="{B758B1BE-C522-49A4-ABFF-7A219288AFEB}"/>
    <cellStyle name="Comma 4 4 12" xfId="21471" xr:uid="{5A2A7E65-2EA0-4B55-90E8-EDD062F3A164}"/>
    <cellStyle name="Comma 4 4 13" xfId="13049" xr:uid="{1A6FC315-3E26-48E3-B07C-2CB3C6588D12}"/>
    <cellStyle name="Comma 4 4 14" xfId="22299" xr:uid="{286D85DC-A8DD-4450-8725-30FA92241D3D}"/>
    <cellStyle name="Comma 4 4 15" xfId="8838" xr:uid="{24ACC176-68C0-4DF5-8FE3-0DAE4B211B49}"/>
    <cellStyle name="Comma 4 4 2" xfId="154" xr:uid="{00000000-0005-0000-0000-0000CD090000}"/>
    <cellStyle name="Comma 4 4 2 10" xfId="4628" xr:uid="{00000000-0005-0000-0000-0000CE090000}"/>
    <cellStyle name="Comma 4 4 2 10 2" xfId="17261" xr:uid="{252EED58-742B-4505-B834-29C5C8A7DD03}"/>
    <cellStyle name="Comma 4 4 2 11" xfId="21472" xr:uid="{E778A2DD-0DF0-4602-B640-F54A12EDD561}"/>
    <cellStyle name="Comma 4 4 2 12" xfId="13050" xr:uid="{8DDC8A97-A801-48BC-A08C-8E3AD4A50F08}"/>
    <cellStyle name="Comma 4 4 2 13" xfId="22300" xr:uid="{72C3EA9D-C633-4C93-AD9B-32A3E5C021E9}"/>
    <cellStyle name="Comma 4 4 2 14" xfId="8839" xr:uid="{21C5940F-D370-4FEC-8BB6-14E9BFBC81FD}"/>
    <cellStyle name="Comma 4 4 2 2" xfId="155" xr:uid="{00000000-0005-0000-0000-0000CF090000}"/>
    <cellStyle name="Comma 4 4 2 2 10" xfId="21473" xr:uid="{366B3552-BEA1-4563-8F65-61ED608EE95B}"/>
    <cellStyle name="Comma 4 4 2 2 11" xfId="13051" xr:uid="{F5F4C456-5E1E-44DD-A8B7-2F23A9A69510}"/>
    <cellStyle name="Comma 4 4 2 2 12" xfId="22301" xr:uid="{4470FF50-B186-4908-8BA1-67C87ECDF4D6}"/>
    <cellStyle name="Comma 4 4 2 2 13" xfId="8840" xr:uid="{3764E5F2-2666-4A1B-94B9-E70FD32F32C5}"/>
    <cellStyle name="Comma 4 4 2 2 2" xfId="693" xr:uid="{00000000-0005-0000-0000-0000D0090000}"/>
    <cellStyle name="Comma 4 4 2 2 2 2" xfId="2964" xr:uid="{00000000-0005-0000-0000-0000D1090000}"/>
    <cellStyle name="Comma 4 4 2 2 2 2 2" xfId="7188" xr:uid="{00000000-0005-0000-0000-0000D2090000}"/>
    <cellStyle name="Comma 4 4 2 2 2 2 2 2" xfId="19821" xr:uid="{714207A0-8562-4446-AE0A-BB81632A9B63}"/>
    <cellStyle name="Comma 4 4 2 2 2 2 3" xfId="15610" xr:uid="{AA2B870A-B4F4-42E2-8959-F8431C35EBAB}"/>
    <cellStyle name="Comma 4 4 2 2 2 2 4" xfId="24860" xr:uid="{FC03B127-D67C-4496-A9DF-124F81998A79}"/>
    <cellStyle name="Comma 4 4 2 2 2 2 5" xfId="11399" xr:uid="{6A370EA1-5AE2-4380-A800-CDC014C34776}"/>
    <cellStyle name="Comma 4 4 2 2 2 3" xfId="5043" xr:uid="{00000000-0005-0000-0000-0000D3090000}"/>
    <cellStyle name="Comma 4 4 2 2 2 3 2" xfId="17676" xr:uid="{197879CC-6CE8-4544-A88B-ABD8A58D7E15}"/>
    <cellStyle name="Comma 4 4 2 2 2 4" xfId="21886" xr:uid="{1E073095-E77C-4B7E-944A-289C039221B1}"/>
    <cellStyle name="Comma 4 4 2 2 2 5" xfId="13465" xr:uid="{A742DE2B-9E38-410F-B0AE-8847952F7D8E}"/>
    <cellStyle name="Comma 4 4 2 2 2 6" xfId="22715" xr:uid="{2079A68A-C484-477A-9E5C-B50ECFA5C54A}"/>
    <cellStyle name="Comma 4 4 2 2 2 7" xfId="9254" xr:uid="{C2689FFD-08C6-4EAB-9F7B-73BDB1899498}"/>
    <cellStyle name="Comma 4 4 2 2 3" xfId="1146" xr:uid="{00000000-0005-0000-0000-0000D4090000}"/>
    <cellStyle name="Comma 4 4 2 2 3 2" xfId="3377" xr:uid="{00000000-0005-0000-0000-0000D5090000}"/>
    <cellStyle name="Comma 4 4 2 2 3 2 2" xfId="7601" xr:uid="{00000000-0005-0000-0000-0000D6090000}"/>
    <cellStyle name="Comma 4 4 2 2 3 2 2 2" xfId="20234" xr:uid="{CE882201-F78C-4306-AFD5-D37C56A8ED38}"/>
    <cellStyle name="Comma 4 4 2 2 3 2 3" xfId="16023" xr:uid="{92C59632-C3A0-4AA7-9685-75247B847267}"/>
    <cellStyle name="Comma 4 4 2 2 3 2 4" xfId="25273" xr:uid="{8181D1C8-10DC-4DBB-BDEB-9824BE8DD86B}"/>
    <cellStyle name="Comma 4 4 2 2 3 2 5" xfId="11812" xr:uid="{6909599B-66EC-4C17-B6B6-4401479C6EAB}"/>
    <cellStyle name="Comma 4 4 2 2 3 3" xfId="5456" xr:uid="{00000000-0005-0000-0000-0000D7090000}"/>
    <cellStyle name="Comma 4 4 2 2 3 3 2" xfId="18089" xr:uid="{ABC383F2-6AD6-4018-B2AD-6B2605D1E655}"/>
    <cellStyle name="Comma 4 4 2 2 3 4" xfId="13878" xr:uid="{68AB555D-A651-437E-9126-AB3579D839F7}"/>
    <cellStyle name="Comma 4 4 2 2 3 5" xfId="23128" xr:uid="{4BC2EAE9-9343-46D2-9215-5C8B75181215}"/>
    <cellStyle name="Comma 4 4 2 2 3 6" xfId="9667" xr:uid="{D74765F7-62BA-4E88-B9D5-F6A1FE39D6C3}"/>
    <cellStyle name="Comma 4 4 2 2 4" xfId="1560" xr:uid="{00000000-0005-0000-0000-0000D8090000}"/>
    <cellStyle name="Comma 4 4 2 2 4 2" xfId="3790" xr:uid="{00000000-0005-0000-0000-0000D9090000}"/>
    <cellStyle name="Comma 4 4 2 2 4 2 2" xfId="8014" xr:uid="{00000000-0005-0000-0000-0000DA090000}"/>
    <cellStyle name="Comma 4 4 2 2 4 2 2 2" xfId="20647" xr:uid="{1865BB26-F999-44B1-8F01-3B10789AEC58}"/>
    <cellStyle name="Comma 4 4 2 2 4 2 3" xfId="16436" xr:uid="{F7044EE8-67B0-40F0-80F4-01B2D595349F}"/>
    <cellStyle name="Comma 4 4 2 2 4 2 4" xfId="25686" xr:uid="{ED159294-7E1E-4E61-B387-7186F218DF85}"/>
    <cellStyle name="Comma 4 4 2 2 4 2 5" xfId="12225" xr:uid="{9E867F9A-E3AB-4D29-B078-15AC0B88B33E}"/>
    <cellStyle name="Comma 4 4 2 2 4 3" xfId="5869" xr:uid="{00000000-0005-0000-0000-0000DB090000}"/>
    <cellStyle name="Comma 4 4 2 2 4 3 2" xfId="18502" xr:uid="{FDABE02B-DC64-4FBF-B37A-E333F4E8ECFE}"/>
    <cellStyle name="Comma 4 4 2 2 4 4" xfId="14291" xr:uid="{FF1BC3D6-44B0-4C01-9042-54C6D5D1C620}"/>
    <cellStyle name="Comma 4 4 2 2 4 5" xfId="23541" xr:uid="{852B5EF6-9C40-48EE-8908-4A071B8BA8BF}"/>
    <cellStyle name="Comma 4 4 2 2 4 6" xfId="10080" xr:uid="{FCE9B08E-41FB-4A84-8F9B-9CA543C0C698}"/>
    <cellStyle name="Comma 4 4 2 2 5" xfId="1974" xr:uid="{00000000-0005-0000-0000-0000DC090000}"/>
    <cellStyle name="Comma 4 4 2 2 5 2" xfId="4203" xr:uid="{00000000-0005-0000-0000-0000DD090000}"/>
    <cellStyle name="Comma 4 4 2 2 5 2 2" xfId="8427" xr:uid="{00000000-0005-0000-0000-0000DE090000}"/>
    <cellStyle name="Comma 4 4 2 2 5 2 2 2" xfId="21060" xr:uid="{B61D6EF3-61E0-4376-BF98-E6C6B57F7E8E}"/>
    <cellStyle name="Comma 4 4 2 2 5 2 3" xfId="16849" xr:uid="{A4426F48-AA50-4209-AC93-CCD1860DC00E}"/>
    <cellStyle name="Comma 4 4 2 2 5 2 4" xfId="26099" xr:uid="{7D648A2D-0FB2-4ED0-93D1-E419ECA891B2}"/>
    <cellStyle name="Comma 4 4 2 2 5 2 5" xfId="12638" xr:uid="{323A0C25-F524-4565-848D-3E3FE08FD475}"/>
    <cellStyle name="Comma 4 4 2 2 5 3" xfId="6282" xr:uid="{00000000-0005-0000-0000-0000DF090000}"/>
    <cellStyle name="Comma 4 4 2 2 5 3 2" xfId="18915" xr:uid="{7B98B695-3A21-41E8-BC2B-032038AE31BA}"/>
    <cellStyle name="Comma 4 4 2 2 5 4" xfId="14704" xr:uid="{777FD712-6BCF-4E94-BA94-0C1370EC7A34}"/>
    <cellStyle name="Comma 4 4 2 2 5 5" xfId="23954" xr:uid="{4503ED64-0E01-41C7-BAB2-D7C696BA8629}"/>
    <cellStyle name="Comma 4 4 2 2 5 6" xfId="10493" xr:uid="{D00ABAC2-F534-4182-A935-2123D6958CD2}"/>
    <cellStyle name="Comma 4 4 2 2 6" xfId="2409" xr:uid="{00000000-0005-0000-0000-0000E0090000}"/>
    <cellStyle name="Comma 4 4 2 2 6 2" xfId="6695" xr:uid="{00000000-0005-0000-0000-0000E1090000}"/>
    <cellStyle name="Comma 4 4 2 2 6 2 2" xfId="19328" xr:uid="{FED2D354-CAE7-436C-BFDB-44574F419697}"/>
    <cellStyle name="Comma 4 4 2 2 6 3" xfId="15117" xr:uid="{F9547103-E45D-42A1-A801-172586B40DCD}"/>
    <cellStyle name="Comma 4 4 2 2 6 4" xfId="24367" xr:uid="{0C4A1ED7-1999-405A-95C3-87B95DD0A3BD}"/>
    <cellStyle name="Comma 4 4 2 2 6 5" xfId="10906" xr:uid="{184C29E7-DBAB-4482-82D1-B004C6AAC455}"/>
    <cellStyle name="Comma 4 4 2 2 7" xfId="2705" xr:uid="{00000000-0005-0000-0000-0000E2090000}"/>
    <cellStyle name="Comma 4 4 2 2 8" xfId="2787" xr:uid="{00000000-0005-0000-0000-0000E3090000}"/>
    <cellStyle name="Comma 4 4 2 2 8 2" xfId="7012" xr:uid="{00000000-0005-0000-0000-0000E4090000}"/>
    <cellStyle name="Comma 4 4 2 2 8 2 2" xfId="19645" xr:uid="{D62B5CAA-592C-4B15-AE93-6A4336FEFD8A}"/>
    <cellStyle name="Comma 4 4 2 2 8 3" xfId="15434" xr:uid="{AA6CEA1C-D1FD-46BF-9D8D-1326C91AA649}"/>
    <cellStyle name="Comma 4 4 2 2 8 4" xfId="24684" xr:uid="{4222BFE4-73B4-4E64-9D87-5AD938985EC0}"/>
    <cellStyle name="Comma 4 4 2 2 8 5" xfId="11223" xr:uid="{0E2764AB-7958-44BF-9D99-658073FE7C82}"/>
    <cellStyle name="Comma 4 4 2 2 9" xfId="4629" xr:uid="{00000000-0005-0000-0000-0000E5090000}"/>
    <cellStyle name="Comma 4 4 2 2 9 2" xfId="17262" xr:uid="{468229BE-11FE-4AEE-ACDF-0D95A6F0CAD9}"/>
    <cellStyle name="Comma 4 4 2 3" xfId="692" xr:uid="{00000000-0005-0000-0000-0000E6090000}"/>
    <cellStyle name="Comma 4 4 2 3 2" xfId="2963" xr:uid="{00000000-0005-0000-0000-0000E7090000}"/>
    <cellStyle name="Comma 4 4 2 3 2 2" xfId="7187" xr:uid="{00000000-0005-0000-0000-0000E8090000}"/>
    <cellStyle name="Comma 4 4 2 3 2 2 2" xfId="19820" xr:uid="{33F6E8F7-E20E-4D80-8F40-A6A7175B2E15}"/>
    <cellStyle name="Comma 4 4 2 3 2 3" xfId="15609" xr:uid="{D92B16E7-4567-4796-AABA-AE085FE0F9A2}"/>
    <cellStyle name="Comma 4 4 2 3 2 4" xfId="24859" xr:uid="{5490AFBC-8E95-4545-8EE6-52D7F52D7E9C}"/>
    <cellStyle name="Comma 4 4 2 3 2 5" xfId="11398" xr:uid="{9CFE26F1-F256-4506-9E88-550D3779F698}"/>
    <cellStyle name="Comma 4 4 2 3 3" xfId="5042" xr:uid="{00000000-0005-0000-0000-0000E9090000}"/>
    <cellStyle name="Comma 4 4 2 3 3 2" xfId="17675" xr:uid="{D64FD99D-0139-435E-8D0B-7F482DB7118A}"/>
    <cellStyle name="Comma 4 4 2 3 4" xfId="21885" xr:uid="{41083DA4-FDFD-4E8C-BE59-02473CA955E7}"/>
    <cellStyle name="Comma 4 4 2 3 5" xfId="13464" xr:uid="{B043D34F-76EE-47E4-A2D1-216ADDED3C56}"/>
    <cellStyle name="Comma 4 4 2 3 6" xfId="22714" xr:uid="{597947B1-B2AD-4F41-981B-6E7A77EA5E3F}"/>
    <cellStyle name="Comma 4 4 2 3 7" xfId="9253" xr:uid="{68084909-5CB2-4615-8FCA-938392CC98D5}"/>
    <cellStyle name="Comma 4 4 2 4" xfId="1145" xr:uid="{00000000-0005-0000-0000-0000EA090000}"/>
    <cellStyle name="Comma 4 4 2 4 2" xfId="3376" xr:uid="{00000000-0005-0000-0000-0000EB090000}"/>
    <cellStyle name="Comma 4 4 2 4 2 2" xfId="7600" xr:uid="{00000000-0005-0000-0000-0000EC090000}"/>
    <cellStyle name="Comma 4 4 2 4 2 2 2" xfId="20233" xr:uid="{ACD81145-98FE-495C-9096-284BB6314FBA}"/>
    <cellStyle name="Comma 4 4 2 4 2 3" xfId="16022" xr:uid="{35247D19-85FE-40B0-A5FB-6B97E52146EC}"/>
    <cellStyle name="Comma 4 4 2 4 2 4" xfId="25272" xr:uid="{AA2A5D02-057F-49DD-BF90-907C8F3382C6}"/>
    <cellStyle name="Comma 4 4 2 4 2 5" xfId="11811" xr:uid="{C3630D9A-606C-4D8C-B15D-32276E24E3EF}"/>
    <cellStyle name="Comma 4 4 2 4 3" xfId="5455" xr:uid="{00000000-0005-0000-0000-0000ED090000}"/>
    <cellStyle name="Comma 4 4 2 4 3 2" xfId="18088" xr:uid="{C718A426-0D7E-4219-830B-C4CF3E3F77E3}"/>
    <cellStyle name="Comma 4 4 2 4 4" xfId="13877" xr:uid="{6F7DF1E1-D6A4-4883-A708-2A6BB6037A79}"/>
    <cellStyle name="Comma 4 4 2 4 5" xfId="23127" xr:uid="{792BB64C-2265-48C3-8EB3-EFD3160000C1}"/>
    <cellStyle name="Comma 4 4 2 4 6" xfId="9666" xr:uid="{71A5A337-A397-42AD-AAEB-BC7787C4CCA7}"/>
    <cellStyle name="Comma 4 4 2 5" xfId="1559" xr:uid="{00000000-0005-0000-0000-0000EE090000}"/>
    <cellStyle name="Comma 4 4 2 5 2" xfId="3789" xr:uid="{00000000-0005-0000-0000-0000EF090000}"/>
    <cellStyle name="Comma 4 4 2 5 2 2" xfId="8013" xr:uid="{00000000-0005-0000-0000-0000F0090000}"/>
    <cellStyle name="Comma 4 4 2 5 2 2 2" xfId="20646" xr:uid="{36D4384B-6608-412A-B6EF-E7B288EF6347}"/>
    <cellStyle name="Comma 4 4 2 5 2 3" xfId="16435" xr:uid="{D58B4A68-3DC2-4EE6-8EB5-6974CA6A4CB5}"/>
    <cellStyle name="Comma 4 4 2 5 2 4" xfId="25685" xr:uid="{EAD757F8-0601-41B8-AFAE-F912F5EFCCB7}"/>
    <cellStyle name="Comma 4 4 2 5 2 5" xfId="12224" xr:uid="{61636865-9EA4-40DC-BD6A-4863AE60C67B}"/>
    <cellStyle name="Comma 4 4 2 5 3" xfId="5868" xr:uid="{00000000-0005-0000-0000-0000F1090000}"/>
    <cellStyle name="Comma 4 4 2 5 3 2" xfId="18501" xr:uid="{309E22A9-18ED-4A4B-824D-43C51D79968D}"/>
    <cellStyle name="Comma 4 4 2 5 4" xfId="14290" xr:uid="{5AA10B32-CA05-42A6-980F-0F0624E8E653}"/>
    <cellStyle name="Comma 4 4 2 5 5" xfId="23540" xr:uid="{E44CEFC1-933E-444E-9E6F-0426363808AE}"/>
    <cellStyle name="Comma 4 4 2 5 6" xfId="10079" xr:uid="{A948D8DB-C180-4785-9A0D-2AE156185250}"/>
    <cellStyle name="Comma 4 4 2 6" xfId="1973" xr:uid="{00000000-0005-0000-0000-0000F2090000}"/>
    <cellStyle name="Comma 4 4 2 6 2" xfId="4202" xr:uid="{00000000-0005-0000-0000-0000F3090000}"/>
    <cellStyle name="Comma 4 4 2 6 2 2" xfId="8426" xr:uid="{00000000-0005-0000-0000-0000F4090000}"/>
    <cellStyle name="Comma 4 4 2 6 2 2 2" xfId="21059" xr:uid="{980E9410-2CC1-4680-9649-5988692263CB}"/>
    <cellStyle name="Comma 4 4 2 6 2 3" xfId="16848" xr:uid="{9CD27BAA-6719-4A43-91C6-3ACB3E7C157C}"/>
    <cellStyle name="Comma 4 4 2 6 2 4" xfId="26098" xr:uid="{A339780E-9297-49B1-BEF2-7F63C20CDC41}"/>
    <cellStyle name="Comma 4 4 2 6 2 5" xfId="12637" xr:uid="{76AE6696-AA43-42DB-909F-B883357B63FB}"/>
    <cellStyle name="Comma 4 4 2 6 3" xfId="6281" xr:uid="{00000000-0005-0000-0000-0000F5090000}"/>
    <cellStyle name="Comma 4 4 2 6 3 2" xfId="18914" xr:uid="{53AE8157-2F38-47D5-A7BC-56C095D185FE}"/>
    <cellStyle name="Comma 4 4 2 6 4" xfId="14703" xr:uid="{251AE33D-7D6E-4800-8ADB-4851D429B2E6}"/>
    <cellStyle name="Comma 4 4 2 6 5" xfId="23953" xr:uid="{FDB6A8C8-5F78-4AC0-B8C7-B68FB9DAC836}"/>
    <cellStyle name="Comma 4 4 2 6 6" xfId="10492" xr:uid="{C1DEA65F-E8C7-49AF-9278-DB58378C05C8}"/>
    <cellStyle name="Comma 4 4 2 7" xfId="2408" xr:uid="{00000000-0005-0000-0000-0000F6090000}"/>
    <cellStyle name="Comma 4 4 2 7 2" xfId="6694" xr:uid="{00000000-0005-0000-0000-0000F7090000}"/>
    <cellStyle name="Comma 4 4 2 7 2 2" xfId="19327" xr:uid="{B6B70DCD-8FD1-4BA9-927B-26638DD4A1D5}"/>
    <cellStyle name="Comma 4 4 2 7 3" xfId="15116" xr:uid="{C45FBA50-2BEF-4C44-BF85-5188E84CA662}"/>
    <cellStyle name="Comma 4 4 2 7 4" xfId="24366" xr:uid="{7A13CE40-7417-4FDD-B964-D226F372FE19}"/>
    <cellStyle name="Comma 4 4 2 7 5" xfId="10905" xr:uid="{47681C5E-B27F-44B5-9B89-C01DE347ED82}"/>
    <cellStyle name="Comma 4 4 2 8" xfId="2704" xr:uid="{00000000-0005-0000-0000-0000F8090000}"/>
    <cellStyle name="Comma 4 4 2 9" xfId="2786" xr:uid="{00000000-0005-0000-0000-0000F9090000}"/>
    <cellStyle name="Comma 4 4 2 9 2" xfId="7011" xr:uid="{00000000-0005-0000-0000-0000FA090000}"/>
    <cellStyle name="Comma 4 4 2 9 2 2" xfId="19644" xr:uid="{9A7D8283-F3F4-4B7E-B162-1C05E6899485}"/>
    <cellStyle name="Comma 4 4 2 9 3" xfId="15433" xr:uid="{FCBC3541-44E6-4C26-9040-0DEC2D1315D7}"/>
    <cellStyle name="Comma 4 4 2 9 4" xfId="24683" xr:uid="{13C5E60D-4ED6-4070-A2D4-8F8866589C0F}"/>
    <cellStyle name="Comma 4 4 2 9 5" xfId="11222" xr:uid="{57EF54DA-25F7-4461-84AE-95FEDB8C41BF}"/>
    <cellStyle name="Comma 4 4 3" xfId="156" xr:uid="{00000000-0005-0000-0000-0000FB090000}"/>
    <cellStyle name="Comma 4 4 3 10" xfId="21474" xr:uid="{A06C09E0-EE21-4F13-92E8-3A337B96B19E}"/>
    <cellStyle name="Comma 4 4 3 11" xfId="13052" xr:uid="{595F26CF-1DDF-49B6-B5E5-9A1FBCB99AD8}"/>
    <cellStyle name="Comma 4 4 3 12" xfId="22302" xr:uid="{CAD8C978-3C5A-4233-B4DF-799850E7DA1C}"/>
    <cellStyle name="Comma 4 4 3 13" xfId="8841" xr:uid="{7F0459BC-93E7-42A8-9343-3F2084C7C3A9}"/>
    <cellStyle name="Comma 4 4 3 2" xfId="694" xr:uid="{00000000-0005-0000-0000-0000FC090000}"/>
    <cellStyle name="Comma 4 4 3 2 2" xfId="2965" xr:uid="{00000000-0005-0000-0000-0000FD090000}"/>
    <cellStyle name="Comma 4 4 3 2 2 2" xfId="7189" xr:uid="{00000000-0005-0000-0000-0000FE090000}"/>
    <cellStyle name="Comma 4 4 3 2 2 2 2" xfId="19822" xr:uid="{2FB38059-5AF4-468A-A74D-1C48C9E89042}"/>
    <cellStyle name="Comma 4 4 3 2 2 3" xfId="15611" xr:uid="{D27618D3-292F-42A8-B7C1-4D409D323E1B}"/>
    <cellStyle name="Comma 4 4 3 2 2 4" xfId="24861" xr:uid="{F69B193C-0853-46A3-B96C-2FA56B6479C9}"/>
    <cellStyle name="Comma 4 4 3 2 2 5" xfId="11400" xr:uid="{E096FEB6-68ED-4D9B-B7B6-75FACABA71B6}"/>
    <cellStyle name="Comma 4 4 3 2 3" xfId="5044" xr:uid="{00000000-0005-0000-0000-0000FF090000}"/>
    <cellStyle name="Comma 4 4 3 2 3 2" xfId="17677" xr:uid="{9E88697E-461A-4989-9019-96A846F8B46B}"/>
    <cellStyle name="Comma 4 4 3 2 4" xfId="21887" xr:uid="{DE778D2F-FDBF-43D4-BC76-AEB70ADF906D}"/>
    <cellStyle name="Comma 4 4 3 2 5" xfId="13466" xr:uid="{5D4F67BE-0103-4912-BE4C-24DA46F4C1D6}"/>
    <cellStyle name="Comma 4 4 3 2 6" xfId="22716" xr:uid="{2BD40923-B9C0-4D1A-89CE-D7790DDE1E6F}"/>
    <cellStyle name="Comma 4 4 3 2 7" xfId="9255" xr:uid="{B95A349C-F10C-4EEB-94E8-4889786E44B5}"/>
    <cellStyle name="Comma 4 4 3 3" xfId="1147" xr:uid="{00000000-0005-0000-0000-0000000A0000}"/>
    <cellStyle name="Comma 4 4 3 3 2" xfId="3378" xr:uid="{00000000-0005-0000-0000-0000010A0000}"/>
    <cellStyle name="Comma 4 4 3 3 2 2" xfId="7602" xr:uid="{00000000-0005-0000-0000-0000020A0000}"/>
    <cellStyle name="Comma 4 4 3 3 2 2 2" xfId="20235" xr:uid="{4BE25A30-2035-4174-844F-EB9C1D1AEA9F}"/>
    <cellStyle name="Comma 4 4 3 3 2 3" xfId="16024" xr:uid="{55C0E7EE-3D8F-4140-B5C8-A25577CA2A82}"/>
    <cellStyle name="Comma 4 4 3 3 2 4" xfId="25274" xr:uid="{8DF3C249-C759-40EB-9B81-50EAB2015282}"/>
    <cellStyle name="Comma 4 4 3 3 2 5" xfId="11813" xr:uid="{0F2E80E3-47DE-47FA-AAD9-FA3EE3F3FB2F}"/>
    <cellStyle name="Comma 4 4 3 3 3" xfId="5457" xr:uid="{00000000-0005-0000-0000-0000030A0000}"/>
    <cellStyle name="Comma 4 4 3 3 3 2" xfId="18090" xr:uid="{68A047EB-7007-4311-928B-33A47EFAC20E}"/>
    <cellStyle name="Comma 4 4 3 3 4" xfId="13879" xr:uid="{0AF39776-3FCC-449D-BA5E-732C233BD374}"/>
    <cellStyle name="Comma 4 4 3 3 5" xfId="23129" xr:uid="{C417DA7F-CEA7-463D-81B2-9361BF31DCF8}"/>
    <cellStyle name="Comma 4 4 3 3 6" xfId="9668" xr:uid="{AC37E04F-E88B-43AD-922B-1931821C0E4F}"/>
    <cellStyle name="Comma 4 4 3 4" xfId="1561" xr:uid="{00000000-0005-0000-0000-0000040A0000}"/>
    <cellStyle name="Comma 4 4 3 4 2" xfId="3791" xr:uid="{00000000-0005-0000-0000-0000050A0000}"/>
    <cellStyle name="Comma 4 4 3 4 2 2" xfId="8015" xr:uid="{00000000-0005-0000-0000-0000060A0000}"/>
    <cellStyle name="Comma 4 4 3 4 2 2 2" xfId="20648" xr:uid="{01542752-20CD-48BE-860E-F9E86E0F6B2B}"/>
    <cellStyle name="Comma 4 4 3 4 2 3" xfId="16437" xr:uid="{02FB2071-6CC4-45E8-97A3-AC01E4CD10F7}"/>
    <cellStyle name="Comma 4 4 3 4 2 4" xfId="25687" xr:uid="{065D51E2-C0D1-4570-A440-72A96462F944}"/>
    <cellStyle name="Comma 4 4 3 4 2 5" xfId="12226" xr:uid="{1B84771C-8A19-422A-8C8F-B674411A5325}"/>
    <cellStyle name="Comma 4 4 3 4 3" xfId="5870" xr:uid="{00000000-0005-0000-0000-0000070A0000}"/>
    <cellStyle name="Comma 4 4 3 4 3 2" xfId="18503" xr:uid="{AA75ADC5-FF96-46A0-B0C2-B61705DBC3B6}"/>
    <cellStyle name="Comma 4 4 3 4 4" xfId="14292" xr:uid="{29D3D160-E4A2-4A3E-879B-481DD5E0ADF5}"/>
    <cellStyle name="Comma 4 4 3 4 5" xfId="23542" xr:uid="{70968B6C-97E7-49B3-9AB4-BB12F8B71B2C}"/>
    <cellStyle name="Comma 4 4 3 4 6" xfId="10081" xr:uid="{7E8EA5D3-DDB1-444F-8CDF-4125993DB1C5}"/>
    <cellStyle name="Comma 4 4 3 5" xfId="1975" xr:uid="{00000000-0005-0000-0000-0000080A0000}"/>
    <cellStyle name="Comma 4 4 3 5 2" xfId="4204" xr:uid="{00000000-0005-0000-0000-0000090A0000}"/>
    <cellStyle name="Comma 4 4 3 5 2 2" xfId="8428" xr:uid="{00000000-0005-0000-0000-00000A0A0000}"/>
    <cellStyle name="Comma 4 4 3 5 2 2 2" xfId="21061" xr:uid="{61868ECD-70CD-45E5-A46D-BAD1CEB06113}"/>
    <cellStyle name="Comma 4 4 3 5 2 3" xfId="16850" xr:uid="{95EB682A-97C3-4313-A197-AC62A54BA765}"/>
    <cellStyle name="Comma 4 4 3 5 2 4" xfId="26100" xr:uid="{46258C5E-8D73-49B4-814B-BEDF6FC3785E}"/>
    <cellStyle name="Comma 4 4 3 5 2 5" xfId="12639" xr:uid="{20BB4E6D-C707-45CB-B79F-57E69E87B894}"/>
    <cellStyle name="Comma 4 4 3 5 3" xfId="6283" xr:uid="{00000000-0005-0000-0000-00000B0A0000}"/>
    <cellStyle name="Comma 4 4 3 5 3 2" xfId="18916" xr:uid="{1FE08A8F-3355-465F-9E68-20D410A8A8D6}"/>
    <cellStyle name="Comma 4 4 3 5 4" xfId="14705" xr:uid="{F8F64BA8-94CD-47D9-9141-769EEC2718D5}"/>
    <cellStyle name="Comma 4 4 3 5 5" xfId="23955" xr:uid="{4563EFB1-8C9C-41A6-8D0A-5B6CA06BA03F}"/>
    <cellStyle name="Comma 4 4 3 5 6" xfId="10494" xr:uid="{7BED23C7-A122-410F-B717-50472B849299}"/>
    <cellStyle name="Comma 4 4 3 6" xfId="2410" xr:uid="{00000000-0005-0000-0000-00000C0A0000}"/>
    <cellStyle name="Comma 4 4 3 6 2" xfId="6696" xr:uid="{00000000-0005-0000-0000-00000D0A0000}"/>
    <cellStyle name="Comma 4 4 3 6 2 2" xfId="19329" xr:uid="{7AA8763E-86EE-4E89-8CDC-292D4DA04B79}"/>
    <cellStyle name="Comma 4 4 3 6 3" xfId="15118" xr:uid="{0D449EF6-294E-4830-923F-901D4A21931E}"/>
    <cellStyle name="Comma 4 4 3 6 4" xfId="24368" xr:uid="{4C226B1F-AC3C-45E6-94BE-EF55DD481227}"/>
    <cellStyle name="Comma 4 4 3 6 5" xfId="10907" xr:uid="{932F811C-6C08-4CC2-9752-752774AFD437}"/>
    <cellStyle name="Comma 4 4 3 7" xfId="2706" xr:uid="{00000000-0005-0000-0000-00000E0A0000}"/>
    <cellStyle name="Comma 4 4 3 8" xfId="2788" xr:uid="{00000000-0005-0000-0000-00000F0A0000}"/>
    <cellStyle name="Comma 4 4 3 8 2" xfId="7013" xr:uid="{00000000-0005-0000-0000-0000100A0000}"/>
    <cellStyle name="Comma 4 4 3 8 2 2" xfId="19646" xr:uid="{4BA4B3EA-B34D-4B6A-A6C4-E9710D2E286D}"/>
    <cellStyle name="Comma 4 4 3 8 3" xfId="15435" xr:uid="{B9A81DB7-4B75-487E-AD5E-A6188EBD6B71}"/>
    <cellStyle name="Comma 4 4 3 8 4" xfId="24685" xr:uid="{3B65512E-07E0-483F-89B8-B420113DF143}"/>
    <cellStyle name="Comma 4 4 3 8 5" xfId="11224" xr:uid="{610D1758-E942-4E20-BC24-36EA9C9CCBBF}"/>
    <cellStyle name="Comma 4 4 3 9" xfId="4630" xr:uid="{00000000-0005-0000-0000-0000110A0000}"/>
    <cellStyle name="Comma 4 4 3 9 2" xfId="17263" xr:uid="{7D8E545C-AB90-4FAE-B64C-56EDD0550E85}"/>
    <cellStyle name="Comma 4 4 4" xfId="691" xr:uid="{00000000-0005-0000-0000-0000120A0000}"/>
    <cellStyle name="Comma 4 4 4 2" xfId="2962" xr:uid="{00000000-0005-0000-0000-0000130A0000}"/>
    <cellStyle name="Comma 4 4 4 2 2" xfId="7186" xr:uid="{00000000-0005-0000-0000-0000140A0000}"/>
    <cellStyle name="Comma 4 4 4 2 2 2" xfId="19819" xr:uid="{F4527106-F990-44BD-8597-33E6B3F6757F}"/>
    <cellStyle name="Comma 4 4 4 2 3" xfId="15608" xr:uid="{E9FCA3E7-94B4-492F-AFA0-EEF995AA14EA}"/>
    <cellStyle name="Comma 4 4 4 2 4" xfId="24858" xr:uid="{7441DB7E-5680-4057-8F55-BACE2D508B59}"/>
    <cellStyle name="Comma 4 4 4 2 5" xfId="11397" xr:uid="{2930D5F8-E5A5-49C8-A250-51FCE1C7FF06}"/>
    <cellStyle name="Comma 4 4 4 3" xfId="5041" xr:uid="{00000000-0005-0000-0000-0000150A0000}"/>
    <cellStyle name="Comma 4 4 4 3 2" xfId="17674" xr:uid="{471E4C16-DEDC-4A51-964A-2AFEC8177B33}"/>
    <cellStyle name="Comma 4 4 4 4" xfId="21884" xr:uid="{87C0CC7D-88C1-4FE7-AAD0-57905C3F7E0A}"/>
    <cellStyle name="Comma 4 4 4 5" xfId="13463" xr:uid="{F7E39934-1D40-4829-BA9F-C439C125795D}"/>
    <cellStyle name="Comma 4 4 4 6" xfId="22713" xr:uid="{65C5BA8D-E01E-4CA3-AB3A-84EEF08448F2}"/>
    <cellStyle name="Comma 4 4 4 7" xfId="9252" xr:uid="{138169D2-6D01-4842-8B7F-EE7F8AABDDD7}"/>
    <cellStyle name="Comma 4 4 5" xfId="1144" xr:uid="{00000000-0005-0000-0000-0000160A0000}"/>
    <cellStyle name="Comma 4 4 5 2" xfId="3375" xr:uid="{00000000-0005-0000-0000-0000170A0000}"/>
    <cellStyle name="Comma 4 4 5 2 2" xfId="7599" xr:uid="{00000000-0005-0000-0000-0000180A0000}"/>
    <cellStyle name="Comma 4 4 5 2 2 2" xfId="20232" xr:uid="{81433F9E-73F1-4520-8923-2B4176D68C1E}"/>
    <cellStyle name="Comma 4 4 5 2 3" xfId="16021" xr:uid="{E6FD4B72-8F38-4FDF-88FB-7FB6C791065A}"/>
    <cellStyle name="Comma 4 4 5 2 4" xfId="25271" xr:uid="{7531FF04-34B9-4F56-82E6-5B7F2FD4C3E7}"/>
    <cellStyle name="Comma 4 4 5 2 5" xfId="11810" xr:uid="{E4B299B4-1BD2-494C-8BAE-ECD650C05249}"/>
    <cellStyle name="Comma 4 4 5 3" xfId="5454" xr:uid="{00000000-0005-0000-0000-0000190A0000}"/>
    <cellStyle name="Comma 4 4 5 3 2" xfId="18087" xr:uid="{FEABB5F5-2713-4169-8017-CAA459B4D975}"/>
    <cellStyle name="Comma 4 4 5 4" xfId="13876" xr:uid="{ECA7FFF0-4F31-43FC-83AF-23E7722C2E8E}"/>
    <cellStyle name="Comma 4 4 5 5" xfId="23126" xr:uid="{86A39D0E-C585-4006-97EE-300AACFAB75D}"/>
    <cellStyle name="Comma 4 4 5 6" xfId="9665" xr:uid="{39AF010A-C3E4-4345-9604-65D0EB9F7155}"/>
    <cellStyle name="Comma 4 4 6" xfId="1558" xr:uid="{00000000-0005-0000-0000-00001A0A0000}"/>
    <cellStyle name="Comma 4 4 6 2" xfId="3788" xr:uid="{00000000-0005-0000-0000-00001B0A0000}"/>
    <cellStyle name="Comma 4 4 6 2 2" xfId="8012" xr:uid="{00000000-0005-0000-0000-00001C0A0000}"/>
    <cellStyle name="Comma 4 4 6 2 2 2" xfId="20645" xr:uid="{0BF3CA7A-F280-4284-8CDC-F17B1A2B2856}"/>
    <cellStyle name="Comma 4 4 6 2 3" xfId="16434" xr:uid="{6217E553-E3D6-4D9C-A131-0B94B8B9169A}"/>
    <cellStyle name="Comma 4 4 6 2 4" xfId="25684" xr:uid="{62C550B1-B229-4F7C-A862-6534A1F60BD6}"/>
    <cellStyle name="Comma 4 4 6 2 5" xfId="12223" xr:uid="{38E403DF-7F1F-4CA3-86D8-DA34373BE6EB}"/>
    <cellStyle name="Comma 4 4 6 3" xfId="5867" xr:uid="{00000000-0005-0000-0000-00001D0A0000}"/>
    <cellStyle name="Comma 4 4 6 3 2" xfId="18500" xr:uid="{6324A3DA-1026-4943-8D7A-4654E688341B}"/>
    <cellStyle name="Comma 4 4 6 4" xfId="14289" xr:uid="{E18CB444-7B63-4FD2-9DD9-2B3E160EAE8D}"/>
    <cellStyle name="Comma 4 4 6 5" xfId="23539" xr:uid="{D5096F8F-DCD3-4A9D-83AF-5A52F4FB61A1}"/>
    <cellStyle name="Comma 4 4 6 6" xfId="10078" xr:uid="{6D3551D0-1787-4227-B7A8-0E05DA809E88}"/>
    <cellStyle name="Comma 4 4 7" xfId="1972" xr:uid="{00000000-0005-0000-0000-00001E0A0000}"/>
    <cellStyle name="Comma 4 4 7 2" xfId="4201" xr:uid="{00000000-0005-0000-0000-00001F0A0000}"/>
    <cellStyle name="Comma 4 4 7 2 2" xfId="8425" xr:uid="{00000000-0005-0000-0000-0000200A0000}"/>
    <cellStyle name="Comma 4 4 7 2 2 2" xfId="21058" xr:uid="{77A80AEA-48A2-4D93-94AC-ADFABC359360}"/>
    <cellStyle name="Comma 4 4 7 2 3" xfId="16847" xr:uid="{DF9CCD82-27E2-40A8-BC71-C99CA609CEDC}"/>
    <cellStyle name="Comma 4 4 7 2 4" xfId="26097" xr:uid="{A5D08B69-BBC2-4FF9-B657-603397D26C5A}"/>
    <cellStyle name="Comma 4 4 7 2 5" xfId="12636" xr:uid="{D310D5C0-08D2-41AC-9096-94A8824BA765}"/>
    <cellStyle name="Comma 4 4 7 3" xfId="6280" xr:uid="{00000000-0005-0000-0000-0000210A0000}"/>
    <cellStyle name="Comma 4 4 7 3 2" xfId="18913" xr:uid="{CC2BB14A-685E-4538-9A33-C879EF949BC4}"/>
    <cellStyle name="Comma 4 4 7 4" xfId="14702" xr:uid="{482DB6C5-9AE8-4160-AEB3-8035AD0CBE08}"/>
    <cellStyle name="Comma 4 4 7 5" xfId="23952" xr:uid="{7848160B-FCF2-489C-96EA-46DEAB29E9B7}"/>
    <cellStyle name="Comma 4 4 7 6" xfId="10491" xr:uid="{2C982D99-D769-420C-9E38-1A8D58E0BAA8}"/>
    <cellStyle name="Comma 4 4 8" xfId="2407" xr:uid="{00000000-0005-0000-0000-0000220A0000}"/>
    <cellStyle name="Comma 4 4 8 2" xfId="6693" xr:uid="{00000000-0005-0000-0000-0000230A0000}"/>
    <cellStyle name="Comma 4 4 8 2 2" xfId="19326" xr:uid="{A270D14B-6C3A-4525-954F-8D8D4AD77D71}"/>
    <cellStyle name="Comma 4 4 8 3" xfId="15115" xr:uid="{21B3ECE8-74DD-4571-87CB-AFA10462DAC2}"/>
    <cellStyle name="Comma 4 4 8 4" xfId="24365" xr:uid="{3BAB1D7C-34C9-4C4D-8FAF-3330ED181EF3}"/>
    <cellStyle name="Comma 4 4 8 5" xfId="10904" xr:uid="{DE55652E-0E7C-40C1-922D-AE1147486612}"/>
    <cellStyle name="Comma 4 4 9" xfId="2703" xr:uid="{00000000-0005-0000-0000-0000240A0000}"/>
    <cellStyle name="Comma 4 5" xfId="157" xr:uid="{00000000-0005-0000-0000-0000250A0000}"/>
    <cellStyle name="Comma 4 5 10" xfId="4631" xr:uid="{00000000-0005-0000-0000-0000260A0000}"/>
    <cellStyle name="Comma 4 5 10 2" xfId="17264" xr:uid="{FED08113-E168-43F8-8035-351A276D1714}"/>
    <cellStyle name="Comma 4 5 11" xfId="21475" xr:uid="{FAC2CF3B-95DF-4758-ACCA-1223E1986C1C}"/>
    <cellStyle name="Comma 4 5 12" xfId="13053" xr:uid="{1165A81C-26E8-4A7B-9DCC-8173F6488B10}"/>
    <cellStyle name="Comma 4 5 13" xfId="22303" xr:uid="{4AD29F29-D2BA-4BD5-9EC8-F16151E5839D}"/>
    <cellStyle name="Comma 4 5 14" xfId="8842" xr:uid="{1DADF855-5B64-44A9-B502-05E908E98A07}"/>
    <cellStyle name="Comma 4 5 2" xfId="158" xr:uid="{00000000-0005-0000-0000-0000270A0000}"/>
    <cellStyle name="Comma 4 5 2 10" xfId="21476" xr:uid="{1C36BD01-8B12-4A34-90DF-5B40FB14925E}"/>
    <cellStyle name="Comma 4 5 2 11" xfId="13054" xr:uid="{44A94199-8EA1-4B6F-A5AC-CCF8477F343A}"/>
    <cellStyle name="Comma 4 5 2 12" xfId="22304" xr:uid="{EDEA15C2-86FB-45AF-82BF-12AD1DCF8BA1}"/>
    <cellStyle name="Comma 4 5 2 13" xfId="8843" xr:uid="{E94E3F04-521A-4905-8FD8-D0DB3D020740}"/>
    <cellStyle name="Comma 4 5 2 2" xfId="696" xr:uid="{00000000-0005-0000-0000-0000280A0000}"/>
    <cellStyle name="Comma 4 5 2 2 2" xfId="2967" xr:uid="{00000000-0005-0000-0000-0000290A0000}"/>
    <cellStyle name="Comma 4 5 2 2 2 2" xfId="7191" xr:uid="{00000000-0005-0000-0000-00002A0A0000}"/>
    <cellStyle name="Comma 4 5 2 2 2 2 2" xfId="19824" xr:uid="{33B9EBC2-B075-4AB3-AB11-17DE961E921E}"/>
    <cellStyle name="Comma 4 5 2 2 2 3" xfId="15613" xr:uid="{AA5917D3-08F6-4B72-AA1A-1B3E67EFFAA4}"/>
    <cellStyle name="Comma 4 5 2 2 2 4" xfId="24863" xr:uid="{E348141B-0F8F-4B4D-B2C5-01E265421498}"/>
    <cellStyle name="Comma 4 5 2 2 2 5" xfId="11402" xr:uid="{017A4EF2-B971-414D-8066-540570921951}"/>
    <cellStyle name="Comma 4 5 2 2 3" xfId="5046" xr:uid="{00000000-0005-0000-0000-00002B0A0000}"/>
    <cellStyle name="Comma 4 5 2 2 3 2" xfId="17679" xr:uid="{9CD3508F-28CF-425C-92B6-DA592DB5E087}"/>
    <cellStyle name="Comma 4 5 2 2 4" xfId="21889" xr:uid="{A60EB6D8-867F-4243-855C-10A57356C7CF}"/>
    <cellStyle name="Comma 4 5 2 2 5" xfId="13468" xr:uid="{6605FA07-DF5C-4491-A8AC-84D76BDB195A}"/>
    <cellStyle name="Comma 4 5 2 2 6" xfId="22718" xr:uid="{B1FBF4D9-3A24-4784-AEE8-A313224167B3}"/>
    <cellStyle name="Comma 4 5 2 2 7" xfId="9257" xr:uid="{113C50AD-8768-434E-829C-44510CA2A267}"/>
    <cellStyle name="Comma 4 5 2 3" xfId="1149" xr:uid="{00000000-0005-0000-0000-00002C0A0000}"/>
    <cellStyle name="Comma 4 5 2 3 2" xfId="3380" xr:uid="{00000000-0005-0000-0000-00002D0A0000}"/>
    <cellStyle name="Comma 4 5 2 3 2 2" xfId="7604" xr:uid="{00000000-0005-0000-0000-00002E0A0000}"/>
    <cellStyle name="Comma 4 5 2 3 2 2 2" xfId="20237" xr:uid="{6AAC5108-50C3-4798-A2A2-446DDF6EF855}"/>
    <cellStyle name="Comma 4 5 2 3 2 3" xfId="16026" xr:uid="{892E3305-DD60-4DB0-ACF0-E2A335EF502E}"/>
    <cellStyle name="Comma 4 5 2 3 2 4" xfId="25276" xr:uid="{4DF7A095-BBDF-47C9-B72D-3EB8F6B904B0}"/>
    <cellStyle name="Comma 4 5 2 3 2 5" xfId="11815" xr:uid="{0798518D-36E6-4330-874E-9ABC07E82D33}"/>
    <cellStyle name="Comma 4 5 2 3 3" xfId="5459" xr:uid="{00000000-0005-0000-0000-00002F0A0000}"/>
    <cellStyle name="Comma 4 5 2 3 3 2" xfId="18092" xr:uid="{5D40F77D-E1ED-4A4D-8A08-CBF55872E6B3}"/>
    <cellStyle name="Comma 4 5 2 3 4" xfId="13881" xr:uid="{9EEB7BEC-AEE8-47A9-B748-B9CCBBE7FC09}"/>
    <cellStyle name="Comma 4 5 2 3 5" xfId="23131" xr:uid="{5B7A9B9F-DA6F-4FB9-8915-10994B5FEA1B}"/>
    <cellStyle name="Comma 4 5 2 3 6" xfId="9670" xr:uid="{9ABBC5BC-0365-4A3D-A306-F76A3E89AABA}"/>
    <cellStyle name="Comma 4 5 2 4" xfId="1563" xr:uid="{00000000-0005-0000-0000-0000300A0000}"/>
    <cellStyle name="Comma 4 5 2 4 2" xfId="3793" xr:uid="{00000000-0005-0000-0000-0000310A0000}"/>
    <cellStyle name="Comma 4 5 2 4 2 2" xfId="8017" xr:uid="{00000000-0005-0000-0000-0000320A0000}"/>
    <cellStyle name="Comma 4 5 2 4 2 2 2" xfId="20650" xr:uid="{5AA70E74-8530-43D7-959A-DC2B85F13158}"/>
    <cellStyle name="Comma 4 5 2 4 2 3" xfId="16439" xr:uid="{0EF23876-9A5B-4378-A5A4-74C24AD621C6}"/>
    <cellStyle name="Comma 4 5 2 4 2 4" xfId="25689" xr:uid="{FFA2FB9F-8B6A-4B2C-AF16-29722F3E557F}"/>
    <cellStyle name="Comma 4 5 2 4 2 5" xfId="12228" xr:uid="{AA307117-D926-4DCD-ADDE-64E0569162A4}"/>
    <cellStyle name="Comma 4 5 2 4 3" xfId="5872" xr:uid="{00000000-0005-0000-0000-0000330A0000}"/>
    <cellStyle name="Comma 4 5 2 4 3 2" xfId="18505" xr:uid="{7ED99651-5035-4297-B9B9-13C826715ADF}"/>
    <cellStyle name="Comma 4 5 2 4 4" xfId="14294" xr:uid="{CF04F2C7-2D9E-4D30-A40B-623E8E7E44DC}"/>
    <cellStyle name="Comma 4 5 2 4 5" xfId="23544" xr:uid="{EEC2DB98-58EC-4900-820B-3CD67872AC7D}"/>
    <cellStyle name="Comma 4 5 2 4 6" xfId="10083" xr:uid="{2EE2C95C-506F-4B0B-AD03-43D1EC0C3CA8}"/>
    <cellStyle name="Comma 4 5 2 5" xfId="1977" xr:uid="{00000000-0005-0000-0000-0000340A0000}"/>
    <cellStyle name="Comma 4 5 2 5 2" xfId="4206" xr:uid="{00000000-0005-0000-0000-0000350A0000}"/>
    <cellStyle name="Comma 4 5 2 5 2 2" xfId="8430" xr:uid="{00000000-0005-0000-0000-0000360A0000}"/>
    <cellStyle name="Comma 4 5 2 5 2 2 2" xfId="21063" xr:uid="{674DFBF6-A74B-42F8-B4A4-35264ECAEE5E}"/>
    <cellStyle name="Comma 4 5 2 5 2 3" xfId="16852" xr:uid="{1100A7A0-C579-47A8-8563-079C1E7EEB19}"/>
    <cellStyle name="Comma 4 5 2 5 2 4" xfId="26102" xr:uid="{2C013176-1D98-4E3D-BB30-C1F275BCAD8D}"/>
    <cellStyle name="Comma 4 5 2 5 2 5" xfId="12641" xr:uid="{EB1C04B0-C80E-403A-AB2D-5C1C54EB885A}"/>
    <cellStyle name="Comma 4 5 2 5 3" xfId="6285" xr:uid="{00000000-0005-0000-0000-0000370A0000}"/>
    <cellStyle name="Comma 4 5 2 5 3 2" xfId="18918" xr:uid="{867C65B0-3D2D-4DAF-8AE8-03F19F6B8BBC}"/>
    <cellStyle name="Comma 4 5 2 5 4" xfId="14707" xr:uid="{76599DCF-C611-4BCA-83D3-A97D8361143B}"/>
    <cellStyle name="Comma 4 5 2 5 5" xfId="23957" xr:uid="{FC04C877-047C-4BB7-943F-F84B281D769E}"/>
    <cellStyle name="Comma 4 5 2 5 6" xfId="10496" xr:uid="{E0A4A87B-A35C-4616-9F6C-34541FAC1B6D}"/>
    <cellStyle name="Comma 4 5 2 6" xfId="2412" xr:uid="{00000000-0005-0000-0000-0000380A0000}"/>
    <cellStyle name="Comma 4 5 2 6 2" xfId="6698" xr:uid="{00000000-0005-0000-0000-0000390A0000}"/>
    <cellStyle name="Comma 4 5 2 6 2 2" xfId="19331" xr:uid="{CE140243-9CC6-4D12-A250-1DC85DDE7BD7}"/>
    <cellStyle name="Comma 4 5 2 6 3" xfId="15120" xr:uid="{43C5E5EA-8D7F-4E27-90E8-434F15FC9B43}"/>
    <cellStyle name="Comma 4 5 2 6 4" xfId="24370" xr:uid="{DF624B5F-8F07-4152-BABA-7968A8F6B783}"/>
    <cellStyle name="Comma 4 5 2 6 5" xfId="10909" xr:uid="{7C77D3FD-D32C-4BAE-88EF-39E142B177AE}"/>
    <cellStyle name="Comma 4 5 2 7" xfId="2708" xr:uid="{00000000-0005-0000-0000-00003A0A0000}"/>
    <cellStyle name="Comma 4 5 2 8" xfId="2790" xr:uid="{00000000-0005-0000-0000-00003B0A0000}"/>
    <cellStyle name="Comma 4 5 2 8 2" xfId="7015" xr:uid="{00000000-0005-0000-0000-00003C0A0000}"/>
    <cellStyle name="Comma 4 5 2 8 2 2" xfId="19648" xr:uid="{92801D54-A25F-4DEA-89CB-FDF1E870EE00}"/>
    <cellStyle name="Comma 4 5 2 8 3" xfId="15437" xr:uid="{50B2C153-97F6-4099-8781-B9F6E5416FC6}"/>
    <cellStyle name="Comma 4 5 2 8 4" xfId="24687" xr:uid="{F581C1E3-752A-4A3A-BAA8-BC6863526A0E}"/>
    <cellStyle name="Comma 4 5 2 8 5" xfId="11226" xr:uid="{C43DFE79-ED02-458D-ACA2-F5CC510CC698}"/>
    <cellStyle name="Comma 4 5 2 9" xfId="4632" xr:uid="{00000000-0005-0000-0000-00003D0A0000}"/>
    <cellStyle name="Comma 4 5 2 9 2" xfId="17265" xr:uid="{63EB0FBE-ED1B-4A35-948D-6803AF753620}"/>
    <cellStyle name="Comma 4 5 3" xfId="695" xr:uid="{00000000-0005-0000-0000-00003E0A0000}"/>
    <cellStyle name="Comma 4 5 3 2" xfId="2966" xr:uid="{00000000-0005-0000-0000-00003F0A0000}"/>
    <cellStyle name="Comma 4 5 3 2 2" xfId="7190" xr:uid="{00000000-0005-0000-0000-0000400A0000}"/>
    <cellStyle name="Comma 4 5 3 2 2 2" xfId="19823" xr:uid="{79226338-52AB-434E-88B1-F6B8A2CDC687}"/>
    <cellStyle name="Comma 4 5 3 2 3" xfId="15612" xr:uid="{9C7D190A-9BAD-4A11-9FC4-781989EA09B1}"/>
    <cellStyle name="Comma 4 5 3 2 4" xfId="24862" xr:uid="{DA8E0132-7DA8-4CF3-BD97-219108DEED8E}"/>
    <cellStyle name="Comma 4 5 3 2 5" xfId="11401" xr:uid="{9DAC9DC4-7A39-4274-B9B5-FA6EF617D79F}"/>
    <cellStyle name="Comma 4 5 3 3" xfId="5045" xr:uid="{00000000-0005-0000-0000-0000410A0000}"/>
    <cellStyle name="Comma 4 5 3 3 2" xfId="17678" xr:uid="{88386E2F-262A-47C4-9542-2C2D97C9A38D}"/>
    <cellStyle name="Comma 4 5 3 4" xfId="21888" xr:uid="{E7696C5E-5C6A-4285-891C-C3AE3FF52A4F}"/>
    <cellStyle name="Comma 4 5 3 5" xfId="13467" xr:uid="{B346796E-5435-4613-86A1-A4CD2858AB2C}"/>
    <cellStyle name="Comma 4 5 3 6" xfId="22717" xr:uid="{49C0EA8E-3287-4E27-A7F0-805371B09F46}"/>
    <cellStyle name="Comma 4 5 3 7" xfId="9256" xr:uid="{E8779403-6633-4DD2-86F3-BF590EC9F488}"/>
    <cellStyle name="Comma 4 5 4" xfId="1148" xr:uid="{00000000-0005-0000-0000-0000420A0000}"/>
    <cellStyle name="Comma 4 5 4 2" xfId="3379" xr:uid="{00000000-0005-0000-0000-0000430A0000}"/>
    <cellStyle name="Comma 4 5 4 2 2" xfId="7603" xr:uid="{00000000-0005-0000-0000-0000440A0000}"/>
    <cellStyle name="Comma 4 5 4 2 2 2" xfId="20236" xr:uid="{07130A1E-65FD-440A-825F-D32F4CD375F6}"/>
    <cellStyle name="Comma 4 5 4 2 3" xfId="16025" xr:uid="{2079EFDD-4C61-46C6-98CD-DBA0E59A0FBE}"/>
    <cellStyle name="Comma 4 5 4 2 4" xfId="25275" xr:uid="{20C40DD0-4262-4911-91DE-D1B90C1144CE}"/>
    <cellStyle name="Comma 4 5 4 2 5" xfId="11814" xr:uid="{8ACC48A4-9F13-4344-832C-E48615ADB8EC}"/>
    <cellStyle name="Comma 4 5 4 3" xfId="5458" xr:uid="{00000000-0005-0000-0000-0000450A0000}"/>
    <cellStyle name="Comma 4 5 4 3 2" xfId="18091" xr:uid="{7F4E2B99-A13E-43DC-9B5B-0E16592349B9}"/>
    <cellStyle name="Comma 4 5 4 4" xfId="13880" xr:uid="{6EF3A090-FBB0-45D9-9094-65591A4E0601}"/>
    <cellStyle name="Comma 4 5 4 5" xfId="23130" xr:uid="{3CD77DF3-E995-41A5-84AA-3EBAB5358335}"/>
    <cellStyle name="Comma 4 5 4 6" xfId="9669" xr:uid="{459F2FA5-97AB-461D-82E7-420B50077911}"/>
    <cellStyle name="Comma 4 5 5" xfId="1562" xr:uid="{00000000-0005-0000-0000-0000460A0000}"/>
    <cellStyle name="Comma 4 5 5 2" xfId="3792" xr:uid="{00000000-0005-0000-0000-0000470A0000}"/>
    <cellStyle name="Comma 4 5 5 2 2" xfId="8016" xr:uid="{00000000-0005-0000-0000-0000480A0000}"/>
    <cellStyle name="Comma 4 5 5 2 2 2" xfId="20649" xr:uid="{ABE4E8BD-A3A5-411E-87ED-23C757D7745D}"/>
    <cellStyle name="Comma 4 5 5 2 3" xfId="16438" xr:uid="{AF0CC4EC-B577-400D-BD9B-962BBC51F302}"/>
    <cellStyle name="Comma 4 5 5 2 4" xfId="25688" xr:uid="{BC7467BD-C552-46F8-BCC7-7E29DC736ADF}"/>
    <cellStyle name="Comma 4 5 5 2 5" xfId="12227" xr:uid="{6FE1A229-DF23-42CC-B7F2-749CEDA499F1}"/>
    <cellStyle name="Comma 4 5 5 3" xfId="5871" xr:uid="{00000000-0005-0000-0000-0000490A0000}"/>
    <cellStyle name="Comma 4 5 5 3 2" xfId="18504" xr:uid="{955A2708-F75A-4F86-8A5C-3EEC9255D07C}"/>
    <cellStyle name="Comma 4 5 5 4" xfId="14293" xr:uid="{C31F0AAB-9069-4AD7-A05D-755D73088B01}"/>
    <cellStyle name="Comma 4 5 5 5" xfId="23543" xr:uid="{207A8BC2-B6D5-4A44-B7E1-35AEE4275B2D}"/>
    <cellStyle name="Comma 4 5 5 6" xfId="10082" xr:uid="{BD9F7194-57E7-42F7-BCC2-76C0FB7F7B09}"/>
    <cellStyle name="Comma 4 5 6" xfId="1976" xr:uid="{00000000-0005-0000-0000-00004A0A0000}"/>
    <cellStyle name="Comma 4 5 6 2" xfId="4205" xr:uid="{00000000-0005-0000-0000-00004B0A0000}"/>
    <cellStyle name="Comma 4 5 6 2 2" xfId="8429" xr:uid="{00000000-0005-0000-0000-00004C0A0000}"/>
    <cellStyle name="Comma 4 5 6 2 2 2" xfId="21062" xr:uid="{13D828ED-9282-4E19-B5CE-B736314DF824}"/>
    <cellStyle name="Comma 4 5 6 2 3" xfId="16851" xr:uid="{A65303E9-E49C-4DA9-A9DB-E849DD35EB06}"/>
    <cellStyle name="Comma 4 5 6 2 4" xfId="26101" xr:uid="{E82ED23D-DFF5-499F-B11D-D7BF46DDF691}"/>
    <cellStyle name="Comma 4 5 6 2 5" xfId="12640" xr:uid="{77652C35-E638-44B7-97B1-EACDDB954933}"/>
    <cellStyle name="Comma 4 5 6 3" xfId="6284" xr:uid="{00000000-0005-0000-0000-00004D0A0000}"/>
    <cellStyle name="Comma 4 5 6 3 2" xfId="18917" xr:uid="{45B6C0DA-F82D-40DB-9E04-2419045B15F0}"/>
    <cellStyle name="Comma 4 5 6 4" xfId="14706" xr:uid="{4EB85B08-D020-450B-B327-BB6677B8FFCD}"/>
    <cellStyle name="Comma 4 5 6 5" xfId="23956" xr:uid="{1E24B591-C4C4-4D9B-979A-FE67FDD8CD6D}"/>
    <cellStyle name="Comma 4 5 6 6" xfId="10495" xr:uid="{E1EDAF78-536A-4B3C-8006-E07CD745F222}"/>
    <cellStyle name="Comma 4 5 7" xfId="2411" xr:uid="{00000000-0005-0000-0000-00004E0A0000}"/>
    <cellStyle name="Comma 4 5 7 2" xfId="6697" xr:uid="{00000000-0005-0000-0000-00004F0A0000}"/>
    <cellStyle name="Comma 4 5 7 2 2" xfId="19330" xr:uid="{50CC1352-8AC8-49D2-9F5A-7E5041336F41}"/>
    <cellStyle name="Comma 4 5 7 3" xfId="15119" xr:uid="{1B289F4D-39ED-421D-9CD2-F95F2F5B67DB}"/>
    <cellStyle name="Comma 4 5 7 4" xfId="24369" xr:uid="{B8D3EBF8-6DF5-4034-81DA-D168A58DF34B}"/>
    <cellStyle name="Comma 4 5 7 5" xfId="10908" xr:uid="{ADC50F7B-3191-4B2C-A2C1-976C78619EFD}"/>
    <cellStyle name="Comma 4 5 8" xfId="2707" xr:uid="{00000000-0005-0000-0000-0000500A0000}"/>
    <cellStyle name="Comma 4 5 9" xfId="2789" xr:uid="{00000000-0005-0000-0000-0000510A0000}"/>
    <cellStyle name="Comma 4 5 9 2" xfId="7014" xr:uid="{00000000-0005-0000-0000-0000520A0000}"/>
    <cellStyle name="Comma 4 5 9 2 2" xfId="19647" xr:uid="{60A850DF-5DA2-4F7F-A144-DADF263024DF}"/>
    <cellStyle name="Comma 4 5 9 3" xfId="15436" xr:uid="{96A8162D-60DF-41F0-AB34-313E338FBB86}"/>
    <cellStyle name="Comma 4 5 9 4" xfId="24686" xr:uid="{052F0D27-881E-46EA-99F1-5CF9F3D9E1E9}"/>
    <cellStyle name="Comma 4 5 9 5" xfId="11225" xr:uid="{EA2CA50C-F077-41F0-8513-A01A988021E2}"/>
    <cellStyle name="Comma 4 6" xfId="159" xr:uid="{00000000-0005-0000-0000-0000530A0000}"/>
    <cellStyle name="Comma 4 6 10" xfId="21477" xr:uid="{C2D6B10D-0308-42FB-A65F-A39F3ADCF221}"/>
    <cellStyle name="Comma 4 6 11" xfId="13055" xr:uid="{7E035F09-ACA6-42A7-AA78-18DEE6471F60}"/>
    <cellStyle name="Comma 4 6 12" xfId="22305" xr:uid="{2ECB2019-EB98-4975-924A-BDEE44403CF8}"/>
    <cellStyle name="Comma 4 6 13" xfId="8844" xr:uid="{36E91506-ED27-4722-B047-7D92D11232D4}"/>
    <cellStyle name="Comma 4 6 2" xfId="697" xr:uid="{00000000-0005-0000-0000-0000540A0000}"/>
    <cellStyle name="Comma 4 6 2 2" xfId="2968" xr:uid="{00000000-0005-0000-0000-0000550A0000}"/>
    <cellStyle name="Comma 4 6 2 2 2" xfId="7192" xr:uid="{00000000-0005-0000-0000-0000560A0000}"/>
    <cellStyle name="Comma 4 6 2 2 2 2" xfId="19825" xr:uid="{41007908-8125-490E-AC69-5D4C7E377335}"/>
    <cellStyle name="Comma 4 6 2 2 3" xfId="15614" xr:uid="{C39BDE58-0502-47C4-B6D3-B5B5A60AD890}"/>
    <cellStyle name="Comma 4 6 2 2 4" xfId="24864" xr:uid="{1BAA67AF-E229-4E53-8B2E-1B228B0654FA}"/>
    <cellStyle name="Comma 4 6 2 2 5" xfId="11403" xr:uid="{2DCA1382-EFD8-4A93-AC57-39B23F372498}"/>
    <cellStyle name="Comma 4 6 2 3" xfId="5047" xr:uid="{00000000-0005-0000-0000-0000570A0000}"/>
    <cellStyle name="Comma 4 6 2 3 2" xfId="17680" xr:uid="{BDF53190-F757-478B-ACC6-2DDBACED96D1}"/>
    <cellStyle name="Comma 4 6 2 4" xfId="21890" xr:uid="{9B48DFA7-52D6-40E4-9228-1FA98F290AE0}"/>
    <cellStyle name="Comma 4 6 2 5" xfId="13469" xr:uid="{9FA621E5-3644-4D4C-A3C4-51955C9A992D}"/>
    <cellStyle name="Comma 4 6 2 6" xfId="22719" xr:uid="{4840B366-0368-4B9E-AB61-ABC7193473A0}"/>
    <cellStyle name="Comma 4 6 2 7" xfId="9258" xr:uid="{B18754A0-4D03-4300-B2D1-61A850F97854}"/>
    <cellStyle name="Comma 4 6 3" xfId="1150" xr:uid="{00000000-0005-0000-0000-0000580A0000}"/>
    <cellStyle name="Comma 4 6 3 2" xfId="3381" xr:uid="{00000000-0005-0000-0000-0000590A0000}"/>
    <cellStyle name="Comma 4 6 3 2 2" xfId="7605" xr:uid="{00000000-0005-0000-0000-00005A0A0000}"/>
    <cellStyle name="Comma 4 6 3 2 2 2" xfId="20238" xr:uid="{85B6AE20-3252-4B90-8666-9F8557F12EF6}"/>
    <cellStyle name="Comma 4 6 3 2 3" xfId="16027" xr:uid="{D02A672C-D513-48D1-BFBD-DCA358B3942E}"/>
    <cellStyle name="Comma 4 6 3 2 4" xfId="25277" xr:uid="{D2A380BE-E153-4F2B-916F-C3B10DD44461}"/>
    <cellStyle name="Comma 4 6 3 2 5" xfId="11816" xr:uid="{2524550A-6160-42A1-B181-016DC75C30FC}"/>
    <cellStyle name="Comma 4 6 3 3" xfId="5460" xr:uid="{00000000-0005-0000-0000-00005B0A0000}"/>
    <cellStyle name="Comma 4 6 3 3 2" xfId="18093" xr:uid="{EB1F0ADA-537F-461B-8462-0A86336480B1}"/>
    <cellStyle name="Comma 4 6 3 4" xfId="13882" xr:uid="{9388E931-ADD7-44FD-AC5D-D6E99C6995F7}"/>
    <cellStyle name="Comma 4 6 3 5" xfId="23132" xr:uid="{385B1CEF-BE3D-4077-94A4-21ABB77B31BF}"/>
    <cellStyle name="Comma 4 6 3 6" xfId="9671" xr:uid="{87E9DAB7-3949-478F-8359-BC2FCFDF5ADD}"/>
    <cellStyle name="Comma 4 6 4" xfId="1564" xr:uid="{00000000-0005-0000-0000-00005C0A0000}"/>
    <cellStyle name="Comma 4 6 4 2" xfId="3794" xr:uid="{00000000-0005-0000-0000-00005D0A0000}"/>
    <cellStyle name="Comma 4 6 4 2 2" xfId="8018" xr:uid="{00000000-0005-0000-0000-00005E0A0000}"/>
    <cellStyle name="Comma 4 6 4 2 2 2" xfId="20651" xr:uid="{693DA3F0-F398-4D0E-8C2B-8A0CC33E5AAD}"/>
    <cellStyle name="Comma 4 6 4 2 3" xfId="16440" xr:uid="{BD023940-DA83-4801-830A-70F86271F633}"/>
    <cellStyle name="Comma 4 6 4 2 4" xfId="25690" xr:uid="{4991AC3A-0FA5-4148-A591-BA89D3852363}"/>
    <cellStyle name="Comma 4 6 4 2 5" xfId="12229" xr:uid="{8366B947-2B58-47B1-81C5-BA01C6F8E0B4}"/>
    <cellStyle name="Comma 4 6 4 3" xfId="5873" xr:uid="{00000000-0005-0000-0000-00005F0A0000}"/>
    <cellStyle name="Comma 4 6 4 3 2" xfId="18506" xr:uid="{E9B5B385-4EDA-4C64-B552-B6FD7915391A}"/>
    <cellStyle name="Comma 4 6 4 4" xfId="14295" xr:uid="{A3195711-CFAC-4CF3-992A-8D10267C93E0}"/>
    <cellStyle name="Comma 4 6 4 5" xfId="23545" xr:uid="{A539C403-D6EC-4217-B891-33BC3F55B0F2}"/>
    <cellStyle name="Comma 4 6 4 6" xfId="10084" xr:uid="{969E0B78-FA95-4A47-83D2-01058149E8CE}"/>
    <cellStyle name="Comma 4 6 5" xfId="1978" xr:uid="{00000000-0005-0000-0000-0000600A0000}"/>
    <cellStyle name="Comma 4 6 5 2" xfId="4207" xr:uid="{00000000-0005-0000-0000-0000610A0000}"/>
    <cellStyle name="Comma 4 6 5 2 2" xfId="8431" xr:uid="{00000000-0005-0000-0000-0000620A0000}"/>
    <cellStyle name="Comma 4 6 5 2 2 2" xfId="21064" xr:uid="{CD9A23CB-83ED-47C6-BCC7-BDF761207DB4}"/>
    <cellStyle name="Comma 4 6 5 2 3" xfId="16853" xr:uid="{2765A47A-DBF3-47DD-8FC0-B8D6DEBE1286}"/>
    <cellStyle name="Comma 4 6 5 2 4" xfId="26103" xr:uid="{E056620D-FAAC-4174-894F-21B291EE2586}"/>
    <cellStyle name="Comma 4 6 5 2 5" xfId="12642" xr:uid="{E3080BDA-7E8D-481A-A888-394336C7737A}"/>
    <cellStyle name="Comma 4 6 5 3" xfId="6286" xr:uid="{00000000-0005-0000-0000-0000630A0000}"/>
    <cellStyle name="Comma 4 6 5 3 2" xfId="18919" xr:uid="{A0020C9F-DA9C-4EEE-9946-770CCA7B2B19}"/>
    <cellStyle name="Comma 4 6 5 4" xfId="14708" xr:uid="{3E164457-B89B-4335-8CC7-C1002FE167F9}"/>
    <cellStyle name="Comma 4 6 5 5" xfId="23958" xr:uid="{29063162-48ED-4B11-9A86-FFF24E39D6DC}"/>
    <cellStyle name="Comma 4 6 5 6" xfId="10497" xr:uid="{554A0919-3BFB-44A7-A265-64FE67F0E83F}"/>
    <cellStyle name="Comma 4 6 6" xfId="2413" xr:uid="{00000000-0005-0000-0000-0000640A0000}"/>
    <cellStyle name="Comma 4 6 6 2" xfId="6699" xr:uid="{00000000-0005-0000-0000-0000650A0000}"/>
    <cellStyle name="Comma 4 6 6 2 2" xfId="19332" xr:uid="{EDBA322B-C3CC-4C3D-92FF-3523D4C581EC}"/>
    <cellStyle name="Comma 4 6 6 3" xfId="15121" xr:uid="{DD9075ED-6FA7-4AD2-BAB6-3999E6C467CD}"/>
    <cellStyle name="Comma 4 6 6 4" xfId="24371" xr:uid="{CEAF9B50-AECF-4C63-92B2-9B3D011D5B9B}"/>
    <cellStyle name="Comma 4 6 6 5" xfId="10910" xr:uid="{CD3E8FE0-5B0D-4BAF-86B0-318EC4763231}"/>
    <cellStyle name="Comma 4 6 7" xfId="2709" xr:uid="{00000000-0005-0000-0000-0000660A0000}"/>
    <cellStyle name="Comma 4 6 8" xfId="2791" xr:uid="{00000000-0005-0000-0000-0000670A0000}"/>
    <cellStyle name="Comma 4 6 8 2" xfId="7016" xr:uid="{00000000-0005-0000-0000-0000680A0000}"/>
    <cellStyle name="Comma 4 6 8 2 2" xfId="19649" xr:uid="{E334DB57-E7A4-4B6B-85A6-509A6D7E46DD}"/>
    <cellStyle name="Comma 4 6 8 3" xfId="15438" xr:uid="{2BA9EE44-1FE9-48D5-A772-073914D681AA}"/>
    <cellStyle name="Comma 4 6 8 4" xfId="24688" xr:uid="{2EA5B24B-34C0-4449-99B4-0D3A3648331D}"/>
    <cellStyle name="Comma 4 6 8 5" xfId="11227" xr:uid="{261FD581-58AC-4B3D-99B3-B92AD901CBDE}"/>
    <cellStyle name="Comma 4 6 9" xfId="4633" xr:uid="{00000000-0005-0000-0000-0000690A0000}"/>
    <cellStyle name="Comma 4 6 9 2" xfId="17266" xr:uid="{0385EC79-D46B-4194-A7FE-1E664F73B573}"/>
    <cellStyle name="Comma 4 7" xfId="160" xr:uid="{00000000-0005-0000-0000-00006A0A0000}"/>
    <cellStyle name="Comma 4 7 10" xfId="21478" xr:uid="{68FA1A06-B1E6-403B-88BE-0A175496CA7D}"/>
    <cellStyle name="Comma 4 7 11" xfId="13056" xr:uid="{7302602D-B811-4E06-975E-CDCAD0196727}"/>
    <cellStyle name="Comma 4 7 12" xfId="22306" xr:uid="{0D474E8B-4616-4886-A055-0B9E04B9CD72}"/>
    <cellStyle name="Comma 4 7 13" xfId="8845" xr:uid="{44B55995-12D1-44E8-B5DE-FDB5D02F0257}"/>
    <cellStyle name="Comma 4 7 2" xfId="698" xr:uid="{00000000-0005-0000-0000-00006B0A0000}"/>
    <cellStyle name="Comma 4 7 2 2" xfId="2969" xr:uid="{00000000-0005-0000-0000-00006C0A0000}"/>
    <cellStyle name="Comma 4 7 2 2 2" xfId="7193" xr:uid="{00000000-0005-0000-0000-00006D0A0000}"/>
    <cellStyle name="Comma 4 7 2 2 2 2" xfId="19826" xr:uid="{02CC3F9B-296D-46AB-BF65-37F041FF36F6}"/>
    <cellStyle name="Comma 4 7 2 2 3" xfId="15615" xr:uid="{A006729B-D6B6-4807-AAA6-926A078A2894}"/>
    <cellStyle name="Comma 4 7 2 2 4" xfId="24865" xr:uid="{76C5E874-34A6-4762-A8E5-99E025AC1946}"/>
    <cellStyle name="Comma 4 7 2 2 5" xfId="11404" xr:uid="{D5FA3BEB-F38F-4CD8-929B-BAA12A36A79C}"/>
    <cellStyle name="Comma 4 7 2 3" xfId="5048" xr:uid="{00000000-0005-0000-0000-00006E0A0000}"/>
    <cellStyle name="Comma 4 7 2 3 2" xfId="17681" xr:uid="{64C749A3-8D1B-47E4-BDBC-DE4ECD741F65}"/>
    <cellStyle name="Comma 4 7 2 4" xfId="21891" xr:uid="{601238D6-AD16-4A3C-8AA8-772F750D578E}"/>
    <cellStyle name="Comma 4 7 2 5" xfId="13470" xr:uid="{B802BCE8-5A2B-4171-B9E6-32D145662D5C}"/>
    <cellStyle name="Comma 4 7 2 6" xfId="22720" xr:uid="{77C5FB25-9182-4C9B-9083-E2E235B522CD}"/>
    <cellStyle name="Comma 4 7 2 7" xfId="9259" xr:uid="{83F2B3D9-4167-49D7-A862-A54254D397EA}"/>
    <cellStyle name="Comma 4 7 3" xfId="1151" xr:uid="{00000000-0005-0000-0000-00006F0A0000}"/>
    <cellStyle name="Comma 4 7 3 2" xfId="3382" xr:uid="{00000000-0005-0000-0000-0000700A0000}"/>
    <cellStyle name="Comma 4 7 3 2 2" xfId="7606" xr:uid="{00000000-0005-0000-0000-0000710A0000}"/>
    <cellStyle name="Comma 4 7 3 2 2 2" xfId="20239" xr:uid="{9DA0E3B8-B3FC-4B87-AEB2-0DD85EEE9F14}"/>
    <cellStyle name="Comma 4 7 3 2 3" xfId="16028" xr:uid="{0388C912-C128-47E1-8CC3-A4B5E9BA435F}"/>
    <cellStyle name="Comma 4 7 3 2 4" xfId="25278" xr:uid="{94D38633-8E1D-424B-A8F5-D597E1E39C7B}"/>
    <cellStyle name="Comma 4 7 3 2 5" xfId="11817" xr:uid="{55E0CF0F-9ED8-473A-9C3F-4E3456F9ABBA}"/>
    <cellStyle name="Comma 4 7 3 3" xfId="5461" xr:uid="{00000000-0005-0000-0000-0000720A0000}"/>
    <cellStyle name="Comma 4 7 3 3 2" xfId="18094" xr:uid="{A5A0919B-1BBB-4299-A15A-6AAF18EA50C3}"/>
    <cellStyle name="Comma 4 7 3 4" xfId="13883" xr:uid="{A9A8BA04-FDEB-4DDA-9C09-0B1F671F11B1}"/>
    <cellStyle name="Comma 4 7 3 5" xfId="23133" xr:uid="{D07DD456-92C0-4894-BB0D-11286652FD8D}"/>
    <cellStyle name="Comma 4 7 3 6" xfId="9672" xr:uid="{C4A4C978-CFFC-4D0E-99F5-0F81075C74E7}"/>
    <cellStyle name="Comma 4 7 4" xfId="1565" xr:uid="{00000000-0005-0000-0000-0000730A0000}"/>
    <cellStyle name="Comma 4 7 4 2" xfId="3795" xr:uid="{00000000-0005-0000-0000-0000740A0000}"/>
    <cellStyle name="Comma 4 7 4 2 2" xfId="8019" xr:uid="{00000000-0005-0000-0000-0000750A0000}"/>
    <cellStyle name="Comma 4 7 4 2 2 2" xfId="20652" xr:uid="{E470C968-E1FE-41A9-A6B7-5D2D925295E6}"/>
    <cellStyle name="Comma 4 7 4 2 3" xfId="16441" xr:uid="{891CD060-961A-4359-80D6-4AD22D5645CB}"/>
    <cellStyle name="Comma 4 7 4 2 4" xfId="25691" xr:uid="{54100994-BC35-4FDE-B09F-1E9EF3A48B98}"/>
    <cellStyle name="Comma 4 7 4 2 5" xfId="12230" xr:uid="{9C01FD22-DB5E-4458-9400-22A43F34346D}"/>
    <cellStyle name="Comma 4 7 4 3" xfId="5874" xr:uid="{00000000-0005-0000-0000-0000760A0000}"/>
    <cellStyle name="Comma 4 7 4 3 2" xfId="18507" xr:uid="{8E4C9B11-3B00-479D-9B98-FBD2DF08EC66}"/>
    <cellStyle name="Comma 4 7 4 4" xfId="14296" xr:uid="{F7C23F27-FBAC-4E81-AFCC-21F1D968240E}"/>
    <cellStyle name="Comma 4 7 4 5" xfId="23546" xr:uid="{E2448E62-B12A-4526-96BE-30460B3BBAC1}"/>
    <cellStyle name="Comma 4 7 4 6" xfId="10085" xr:uid="{4E9B5453-5E70-4A3F-9ADD-37DFCDC05D96}"/>
    <cellStyle name="Comma 4 7 5" xfId="1979" xr:uid="{00000000-0005-0000-0000-0000770A0000}"/>
    <cellStyle name="Comma 4 7 5 2" xfId="4208" xr:uid="{00000000-0005-0000-0000-0000780A0000}"/>
    <cellStyle name="Comma 4 7 5 2 2" xfId="8432" xr:uid="{00000000-0005-0000-0000-0000790A0000}"/>
    <cellStyle name="Comma 4 7 5 2 2 2" xfId="21065" xr:uid="{272B6CA0-6CBB-4E14-9248-333E51F5BAF3}"/>
    <cellStyle name="Comma 4 7 5 2 3" xfId="16854" xr:uid="{B43AB71C-45E9-4272-B40F-4F18011ED8A3}"/>
    <cellStyle name="Comma 4 7 5 2 4" xfId="26104" xr:uid="{5780B720-1CE7-4BFA-8C5A-D313CFC79E1C}"/>
    <cellStyle name="Comma 4 7 5 2 5" xfId="12643" xr:uid="{F69A7808-BB13-4AE4-A575-B1F52A97A6A7}"/>
    <cellStyle name="Comma 4 7 5 3" xfId="6287" xr:uid="{00000000-0005-0000-0000-00007A0A0000}"/>
    <cellStyle name="Comma 4 7 5 3 2" xfId="18920" xr:uid="{2FFF6C2B-6DE5-4465-A992-20346AA8CC2A}"/>
    <cellStyle name="Comma 4 7 5 4" xfId="14709" xr:uid="{98E27586-B633-4261-A470-2CFBFC4F8AD2}"/>
    <cellStyle name="Comma 4 7 5 5" xfId="23959" xr:uid="{3B8DF0C0-5E6B-41C0-B6D8-F7D002945B7F}"/>
    <cellStyle name="Comma 4 7 5 6" xfId="10498" xr:uid="{CF2E7F1E-5BAF-4840-BE8A-0EEC68841B33}"/>
    <cellStyle name="Comma 4 7 6" xfId="2414" xr:uid="{00000000-0005-0000-0000-00007B0A0000}"/>
    <cellStyle name="Comma 4 7 6 2" xfId="6700" xr:uid="{00000000-0005-0000-0000-00007C0A0000}"/>
    <cellStyle name="Comma 4 7 6 2 2" xfId="19333" xr:uid="{F09D6B45-2C2B-4457-9AA5-BACF9DF2BDD0}"/>
    <cellStyle name="Comma 4 7 6 3" xfId="15122" xr:uid="{EDF10F54-54C4-43EB-8DA9-9D9BBFA7F88F}"/>
    <cellStyle name="Comma 4 7 6 4" xfId="24372" xr:uid="{388FCAA1-56D0-4614-8985-EE801064AEB6}"/>
    <cellStyle name="Comma 4 7 6 5" xfId="10911" xr:uid="{DCEC26F3-D31F-47CB-8E24-677C5CE6CA4F}"/>
    <cellStyle name="Comma 4 7 7" xfId="2710" xr:uid="{00000000-0005-0000-0000-00007D0A0000}"/>
    <cellStyle name="Comma 4 7 8" xfId="2792" xr:uid="{00000000-0005-0000-0000-00007E0A0000}"/>
    <cellStyle name="Comma 4 7 8 2" xfId="7017" xr:uid="{00000000-0005-0000-0000-00007F0A0000}"/>
    <cellStyle name="Comma 4 7 8 2 2" xfId="19650" xr:uid="{E7B08998-C685-413F-AA90-70F6CA101A61}"/>
    <cellStyle name="Comma 4 7 8 3" xfId="15439" xr:uid="{A917389D-E3E9-49C0-96F6-9FF091B5DDB3}"/>
    <cellStyle name="Comma 4 7 8 4" xfId="24689" xr:uid="{DE2699E0-D7F0-4BB5-8D51-161AB6679643}"/>
    <cellStyle name="Comma 4 7 8 5" xfId="11228" xr:uid="{5A419FA3-48FA-4536-9099-E23CF1E42D7A}"/>
    <cellStyle name="Comma 4 7 9" xfId="4634" xr:uid="{00000000-0005-0000-0000-0000800A0000}"/>
    <cellStyle name="Comma 4 7 9 2" xfId="17267" xr:uid="{E7DEE716-8821-4BFE-9162-F9B977640D8C}"/>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9651" xr:uid="{A40E9C2E-6569-4065-B692-CDB0F8A9F035}"/>
    <cellStyle name="Currency 3 2 2 10 3" xfId="15440" xr:uid="{67AC03F4-8C9D-4470-B5DA-3613D5CB8EEC}"/>
    <cellStyle name="Currency 3 2 2 10 4" xfId="24690" xr:uid="{9268D4E3-FF0A-42B4-92E4-2E6EAD9F54D3}"/>
    <cellStyle name="Currency 3 2 2 10 5" xfId="11229" xr:uid="{1C09ADC6-E1C3-4E38-9892-59625C75BD77}"/>
    <cellStyle name="Currency 3 2 2 11" xfId="4635" xr:uid="{00000000-0005-0000-0000-0000A50A0000}"/>
    <cellStyle name="Currency 3 2 2 11 2" xfId="17268" xr:uid="{C743C82C-78B3-4E74-AED0-A0CC0B11F47C}"/>
    <cellStyle name="Currency 3 2 2 12" xfId="21479" xr:uid="{03B18B75-C5CB-4E7A-A2E8-1DDA626DA0E1}"/>
    <cellStyle name="Currency 3 2 2 13" xfId="13057" xr:uid="{15A62658-DDBB-4FA9-A3E8-119B5D293C9C}"/>
    <cellStyle name="Currency 3 2 2 14" xfId="22307" xr:uid="{089E23DE-E4E9-4900-AF1D-3D3039F8B06C}"/>
    <cellStyle name="Currency 3 2 2 15" xfId="8846" xr:uid="{9307258D-B0A9-4D80-A7A5-CF67ACE55494}"/>
    <cellStyle name="Currency 3 2 2 2" xfId="179" xr:uid="{00000000-0005-0000-0000-0000A60A0000}"/>
    <cellStyle name="Currency 3 2 2 2 10" xfId="4636" xr:uid="{00000000-0005-0000-0000-0000A70A0000}"/>
    <cellStyle name="Currency 3 2 2 2 10 2" xfId="17269" xr:uid="{7DC18DDC-B4C0-4E65-AB70-C255888ED015}"/>
    <cellStyle name="Currency 3 2 2 2 11" xfId="21480" xr:uid="{AC6A6FDF-9268-4569-80B5-323F430BF1B9}"/>
    <cellStyle name="Currency 3 2 2 2 12" xfId="13058" xr:uid="{A47D87DE-752E-4C30-AA11-53333C579A91}"/>
    <cellStyle name="Currency 3 2 2 2 13" xfId="22308" xr:uid="{2482B7E6-A9EE-49E2-BB01-FB691FB00552}"/>
    <cellStyle name="Currency 3 2 2 2 14" xfId="8847" xr:uid="{7A80C965-1734-4C26-B274-C6EC6298F1E8}"/>
    <cellStyle name="Currency 3 2 2 2 2" xfId="180" xr:uid="{00000000-0005-0000-0000-0000A80A0000}"/>
    <cellStyle name="Currency 3 2 2 2 2 10" xfId="21481" xr:uid="{1905F907-1840-4ACF-A1A5-98E14D09658D}"/>
    <cellStyle name="Currency 3 2 2 2 2 11" xfId="13059" xr:uid="{1EF96A9E-FC3A-4992-93BC-091ECD8C6F96}"/>
    <cellStyle name="Currency 3 2 2 2 2 12" xfId="22309" xr:uid="{0DAC2639-2D52-4D84-B9D8-52BD55DC992D}"/>
    <cellStyle name="Currency 3 2 2 2 2 13" xfId="8848" xr:uid="{0AEAA4A5-6A49-4E55-87BD-3FD7E194B704}"/>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9829" xr:uid="{4C6B48FE-C68C-4B3C-8E51-14B3CB409B55}"/>
    <cellStyle name="Currency 3 2 2 2 2 2 2 3" xfId="15618" xr:uid="{E8586266-E80F-4FCF-97C2-625A3AA6FFD1}"/>
    <cellStyle name="Currency 3 2 2 2 2 2 2 4" xfId="24868" xr:uid="{EFC2464D-8746-478C-AE72-ABA5D49C4D31}"/>
    <cellStyle name="Currency 3 2 2 2 2 2 2 5" xfId="11407" xr:uid="{36B38D73-4240-4348-8E05-84E93C7B8A00}"/>
    <cellStyle name="Currency 3 2 2 2 2 2 3" xfId="5051" xr:uid="{00000000-0005-0000-0000-0000AC0A0000}"/>
    <cellStyle name="Currency 3 2 2 2 2 2 3 2" xfId="17684" xr:uid="{E3F365B8-1E63-4EAD-BE5A-DF8D47677EDE}"/>
    <cellStyle name="Currency 3 2 2 2 2 2 4" xfId="21894" xr:uid="{EBDE45CB-EDF7-45F2-BE08-4A84285FFF47}"/>
    <cellStyle name="Currency 3 2 2 2 2 2 5" xfId="13473" xr:uid="{4B6E9D82-A17D-42D3-A51D-DF1820BADFCC}"/>
    <cellStyle name="Currency 3 2 2 2 2 2 6" xfId="22723" xr:uid="{CC0885B8-F57E-421E-9CAA-5C2A37526C74}"/>
    <cellStyle name="Currency 3 2 2 2 2 2 7" xfId="9262" xr:uid="{92947629-45FD-4288-8AF0-CAE47D70930F}"/>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20242" xr:uid="{13D7B469-8358-461E-A59B-0EFE03747A51}"/>
    <cellStyle name="Currency 3 2 2 2 2 3 2 3" xfId="16031" xr:uid="{9E2419D1-50EC-4245-BB98-30585790B340}"/>
    <cellStyle name="Currency 3 2 2 2 2 3 2 4" xfId="25281" xr:uid="{CCCB4A82-3B2B-444E-AE22-01BBBC1CB921}"/>
    <cellStyle name="Currency 3 2 2 2 2 3 2 5" xfId="11820" xr:uid="{7E74B9A0-A8C5-4043-9638-457155FE86CB}"/>
    <cellStyle name="Currency 3 2 2 2 2 3 3" xfId="5464" xr:uid="{00000000-0005-0000-0000-0000B00A0000}"/>
    <cellStyle name="Currency 3 2 2 2 2 3 3 2" xfId="18097" xr:uid="{90625B4F-3BE6-491B-BD41-03362414E0FC}"/>
    <cellStyle name="Currency 3 2 2 2 2 3 4" xfId="13886" xr:uid="{079A364C-2699-4174-8468-CB73B7A6BC06}"/>
    <cellStyle name="Currency 3 2 2 2 2 3 5" xfId="23136" xr:uid="{09AC61CE-1481-41F3-B0A3-A12264481891}"/>
    <cellStyle name="Currency 3 2 2 2 2 3 6" xfId="9675" xr:uid="{85DF3100-5EE9-48A9-B6AE-26C0EB93055F}"/>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20655" xr:uid="{1F7DC806-6112-485F-9ED9-D860719FEDE4}"/>
    <cellStyle name="Currency 3 2 2 2 2 4 2 3" xfId="16444" xr:uid="{A6F07CF6-C846-4528-971F-335D5B19C254}"/>
    <cellStyle name="Currency 3 2 2 2 2 4 2 4" xfId="25694" xr:uid="{5BC16860-A326-4D09-BC4F-5474F53D11C2}"/>
    <cellStyle name="Currency 3 2 2 2 2 4 2 5" xfId="12233" xr:uid="{036D8F17-3540-4AB7-AF27-7E013D20BC32}"/>
    <cellStyle name="Currency 3 2 2 2 2 4 3" xfId="5877" xr:uid="{00000000-0005-0000-0000-0000B40A0000}"/>
    <cellStyle name="Currency 3 2 2 2 2 4 3 2" xfId="18510" xr:uid="{7C77FBD5-29AA-4F8C-BE43-862135C0E066}"/>
    <cellStyle name="Currency 3 2 2 2 2 4 4" xfId="14299" xr:uid="{2BDD0EB4-9012-4619-B0D5-BBE3C15B2A9D}"/>
    <cellStyle name="Currency 3 2 2 2 2 4 5" xfId="23549" xr:uid="{E1A99C52-AE33-4CD6-A6B9-D5730638167B}"/>
    <cellStyle name="Currency 3 2 2 2 2 4 6" xfId="10088" xr:uid="{AFE40253-3772-4797-A5F7-ECCEFE38B59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21068" xr:uid="{E75EC81D-9AAB-470F-AFAF-22C0F0C8499F}"/>
    <cellStyle name="Currency 3 2 2 2 2 5 2 3" xfId="16857" xr:uid="{296FCF35-97AA-438D-B0C7-B9BAA894BBAA}"/>
    <cellStyle name="Currency 3 2 2 2 2 5 2 4" xfId="26107" xr:uid="{D4920A33-E381-4F9A-BA6B-040B8F4CB1C2}"/>
    <cellStyle name="Currency 3 2 2 2 2 5 2 5" xfId="12646" xr:uid="{DC065A98-9032-441A-AF96-9A2234FDF6A2}"/>
    <cellStyle name="Currency 3 2 2 2 2 5 3" xfId="6290" xr:uid="{00000000-0005-0000-0000-0000B80A0000}"/>
    <cellStyle name="Currency 3 2 2 2 2 5 3 2" xfId="18923" xr:uid="{28811171-7587-4878-8921-62F754F4ECD5}"/>
    <cellStyle name="Currency 3 2 2 2 2 5 4" xfId="14712" xr:uid="{D7963EBA-E997-41B3-B12B-A867E3DA138D}"/>
    <cellStyle name="Currency 3 2 2 2 2 5 5" xfId="23962" xr:uid="{30266EA2-3F3A-4856-88FD-EE93632F76B8}"/>
    <cellStyle name="Currency 3 2 2 2 2 5 6" xfId="10501" xr:uid="{5EDC5911-AE1F-44DA-AEDE-0E803EB9B544}"/>
    <cellStyle name="Currency 3 2 2 2 2 6" xfId="2417" xr:uid="{00000000-0005-0000-0000-0000B90A0000}"/>
    <cellStyle name="Currency 3 2 2 2 2 6 2" xfId="6703" xr:uid="{00000000-0005-0000-0000-0000BA0A0000}"/>
    <cellStyle name="Currency 3 2 2 2 2 6 2 2" xfId="19336" xr:uid="{F75888DD-E858-4AC7-91A2-39CF4B539166}"/>
    <cellStyle name="Currency 3 2 2 2 2 6 3" xfId="15125" xr:uid="{C59DAFA3-2106-42D2-9CA2-85222FD4B899}"/>
    <cellStyle name="Currency 3 2 2 2 2 6 4" xfId="24375" xr:uid="{BD8375BB-239A-4A90-8D75-751A9BC5E6CC}"/>
    <cellStyle name="Currency 3 2 2 2 2 6 5" xfId="10914" xr:uid="{4F79EE83-3D5D-4F5B-94B2-7DA4E05D90C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9653" xr:uid="{D6535D29-2C44-404E-90C1-07372D9A0086}"/>
    <cellStyle name="Currency 3 2 2 2 2 8 3" xfId="15442" xr:uid="{4724C972-B093-4A40-8CF9-3459895B989B}"/>
    <cellStyle name="Currency 3 2 2 2 2 8 4" xfId="24692" xr:uid="{57781E75-F4BD-4C18-8E4F-91D3E2FD44F3}"/>
    <cellStyle name="Currency 3 2 2 2 2 8 5" xfId="11231" xr:uid="{FF99ABCB-3C3E-497A-A2E1-E3769470DE1B}"/>
    <cellStyle name="Currency 3 2 2 2 2 9" xfId="4637" xr:uid="{00000000-0005-0000-0000-0000BE0A0000}"/>
    <cellStyle name="Currency 3 2 2 2 2 9 2" xfId="17270" xr:uid="{0021473B-760A-4A28-B721-2D913C2D6203}"/>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9828" xr:uid="{A1FACA18-66BB-494F-8473-815FCDD0E330}"/>
    <cellStyle name="Currency 3 2 2 2 3 2 3" xfId="15617" xr:uid="{131A76C0-B3C1-4FCA-8BF1-1C11969C150E}"/>
    <cellStyle name="Currency 3 2 2 2 3 2 4" xfId="24867" xr:uid="{419F6717-5571-476E-80D1-B347A50D6599}"/>
    <cellStyle name="Currency 3 2 2 2 3 2 5" xfId="11406" xr:uid="{958673A8-412F-490F-BD8C-81A397C63C5C}"/>
    <cellStyle name="Currency 3 2 2 2 3 3" xfId="5050" xr:uid="{00000000-0005-0000-0000-0000C20A0000}"/>
    <cellStyle name="Currency 3 2 2 2 3 3 2" xfId="17683" xr:uid="{2432E4A7-BD20-4ABC-922A-19F69E74A172}"/>
    <cellStyle name="Currency 3 2 2 2 3 4" xfId="21893" xr:uid="{AEE09C36-98A9-4152-B062-F4592E7E4B04}"/>
    <cellStyle name="Currency 3 2 2 2 3 5" xfId="13472" xr:uid="{7D8CC7AE-4105-4C62-A321-9DC7F4CCAF95}"/>
    <cellStyle name="Currency 3 2 2 2 3 6" xfId="22722" xr:uid="{373950A3-65EC-44BD-9D54-BEB75EC851E3}"/>
    <cellStyle name="Currency 3 2 2 2 3 7" xfId="9261" xr:uid="{29AAAE7E-C262-41D3-8C7C-0576BB28FBE4}"/>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20241" xr:uid="{BCB9BFF5-CE40-4AB3-BB6F-631CC3E3F7BC}"/>
    <cellStyle name="Currency 3 2 2 2 4 2 3" xfId="16030" xr:uid="{6C67EEEC-5058-44F5-8E32-B224943C05C4}"/>
    <cellStyle name="Currency 3 2 2 2 4 2 4" xfId="25280" xr:uid="{6E386F18-B2A7-4789-B41A-663DCE0CDF3C}"/>
    <cellStyle name="Currency 3 2 2 2 4 2 5" xfId="11819" xr:uid="{C3A39C0A-CFAF-4F1C-B337-2F4FCB0E1FF6}"/>
    <cellStyle name="Currency 3 2 2 2 4 3" xfId="5463" xr:uid="{00000000-0005-0000-0000-0000C60A0000}"/>
    <cellStyle name="Currency 3 2 2 2 4 3 2" xfId="18096" xr:uid="{2D472836-440C-4288-8BFE-AA11174F3635}"/>
    <cellStyle name="Currency 3 2 2 2 4 4" xfId="13885" xr:uid="{78BB6217-C693-4094-A818-9A6B3FB9D6D3}"/>
    <cellStyle name="Currency 3 2 2 2 4 5" xfId="23135" xr:uid="{15E4FEE8-7C46-4412-BFC2-46167AEED0DC}"/>
    <cellStyle name="Currency 3 2 2 2 4 6" xfId="9674" xr:uid="{AADA977A-06FC-4C30-B5DB-DC859EA966B4}"/>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20654" xr:uid="{25A16171-F8BC-44A8-97C4-FFF518831D62}"/>
    <cellStyle name="Currency 3 2 2 2 5 2 3" xfId="16443" xr:uid="{B7F5D5F7-7EC3-4F1D-B80C-FB6BC4D4BE00}"/>
    <cellStyle name="Currency 3 2 2 2 5 2 4" xfId="25693" xr:uid="{091F2FBB-BF95-47BA-B929-4F51CEEAAFF1}"/>
    <cellStyle name="Currency 3 2 2 2 5 2 5" xfId="12232" xr:uid="{3F75AAC5-3BFB-4E70-AD58-E827ABF74F9C}"/>
    <cellStyle name="Currency 3 2 2 2 5 3" xfId="5876" xr:uid="{00000000-0005-0000-0000-0000CA0A0000}"/>
    <cellStyle name="Currency 3 2 2 2 5 3 2" xfId="18509" xr:uid="{5A3E77DA-551C-4B41-98D6-BBFEBA30557F}"/>
    <cellStyle name="Currency 3 2 2 2 5 4" xfId="14298" xr:uid="{CD469F5E-C7E6-41DC-9FB6-32F8A3838882}"/>
    <cellStyle name="Currency 3 2 2 2 5 5" xfId="23548" xr:uid="{0D7B1A69-1D60-453B-9720-E83F91EC96AF}"/>
    <cellStyle name="Currency 3 2 2 2 5 6" xfId="10087" xr:uid="{3FA609CB-F0F5-423F-8BC5-C81D7E3D6D79}"/>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21067" xr:uid="{6D890C15-4DD6-4BD9-9A73-4AD8E243668C}"/>
    <cellStyle name="Currency 3 2 2 2 6 2 3" xfId="16856" xr:uid="{6C593915-6213-4960-81FB-D8045612B004}"/>
    <cellStyle name="Currency 3 2 2 2 6 2 4" xfId="26106" xr:uid="{C12A2B6B-D69C-4CE1-83D5-29BB92ACE7AC}"/>
    <cellStyle name="Currency 3 2 2 2 6 2 5" xfId="12645" xr:uid="{9448FFC2-A7DD-43F2-A1B1-722B1A629C39}"/>
    <cellStyle name="Currency 3 2 2 2 6 3" xfId="6289" xr:uid="{00000000-0005-0000-0000-0000CE0A0000}"/>
    <cellStyle name="Currency 3 2 2 2 6 3 2" xfId="18922" xr:uid="{833175A1-77AB-4FD6-A800-75D8F7E303F4}"/>
    <cellStyle name="Currency 3 2 2 2 6 4" xfId="14711" xr:uid="{15C67D74-7DD7-4817-817F-5B3DC3109B22}"/>
    <cellStyle name="Currency 3 2 2 2 6 5" xfId="23961" xr:uid="{4020DBC3-7B3F-49B3-88EA-721CBB2DDB78}"/>
    <cellStyle name="Currency 3 2 2 2 6 6" xfId="10500" xr:uid="{F394A86A-7E63-4FBD-A68A-E17CEEDB9408}"/>
    <cellStyle name="Currency 3 2 2 2 7" xfId="2416" xr:uid="{00000000-0005-0000-0000-0000CF0A0000}"/>
    <cellStyle name="Currency 3 2 2 2 7 2" xfId="6702" xr:uid="{00000000-0005-0000-0000-0000D00A0000}"/>
    <cellStyle name="Currency 3 2 2 2 7 2 2" xfId="19335" xr:uid="{39E3B0EF-367E-4973-A047-39C4B7B3BD41}"/>
    <cellStyle name="Currency 3 2 2 2 7 3" xfId="15124" xr:uid="{D5F8171C-BBA6-4138-9192-04873DA4805D}"/>
    <cellStyle name="Currency 3 2 2 2 7 4" xfId="24374" xr:uid="{057FC035-AAC6-43EF-988F-3E672649AC49}"/>
    <cellStyle name="Currency 3 2 2 2 7 5" xfId="10913" xr:uid="{DFF34D4A-C914-42BE-BB0E-21C5638B52DD}"/>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9652" xr:uid="{321773D7-0950-4D94-B9AA-8AA90D29A0E4}"/>
    <cellStyle name="Currency 3 2 2 2 9 3" xfId="15441" xr:uid="{52C3B2FF-1A3B-425E-A33C-1691D7F4D289}"/>
    <cellStyle name="Currency 3 2 2 2 9 4" xfId="24691" xr:uid="{94D0FFD1-6EE8-4C8C-8865-C1C16C69EADD}"/>
    <cellStyle name="Currency 3 2 2 2 9 5" xfId="11230" xr:uid="{B32F702D-E6E8-41C1-B45C-EC32CF105017}"/>
    <cellStyle name="Currency 3 2 2 3" xfId="181" xr:uid="{00000000-0005-0000-0000-0000D40A0000}"/>
    <cellStyle name="Currency 3 2 2 3 10" xfId="21482" xr:uid="{B4D5056D-6781-4521-BB92-ED94F5E08332}"/>
    <cellStyle name="Currency 3 2 2 3 11" xfId="13060" xr:uid="{F51F4705-8340-42B0-ADAD-2C9BF6AA9859}"/>
    <cellStyle name="Currency 3 2 2 3 12" xfId="22310" xr:uid="{D2D0712A-3243-43DA-AFF6-19F353085CEF}"/>
    <cellStyle name="Currency 3 2 2 3 13" xfId="8849" xr:uid="{8E53D587-B6D8-44AA-BF02-06EF42CDCE01}"/>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9830" xr:uid="{047B2718-100B-49B7-8814-55DA07D0A887}"/>
    <cellStyle name="Currency 3 2 2 3 2 2 3" xfId="15619" xr:uid="{8253E2BB-1551-49F0-8023-11794BB2F2A4}"/>
    <cellStyle name="Currency 3 2 2 3 2 2 4" xfId="24869" xr:uid="{2646E4D9-BEBA-41E0-B4DB-75153FF830EE}"/>
    <cellStyle name="Currency 3 2 2 3 2 2 5" xfId="11408" xr:uid="{CDB4A2F8-DE93-4E14-8CEC-60E0F8291FBB}"/>
    <cellStyle name="Currency 3 2 2 3 2 3" xfId="5052" xr:uid="{00000000-0005-0000-0000-0000D80A0000}"/>
    <cellStyle name="Currency 3 2 2 3 2 3 2" xfId="17685" xr:uid="{B95040EC-9A82-4AF6-B438-04ACD892BE7C}"/>
    <cellStyle name="Currency 3 2 2 3 2 4" xfId="21895" xr:uid="{7536D3B9-65D3-4BF8-8BBF-1EB493BFBD28}"/>
    <cellStyle name="Currency 3 2 2 3 2 5" xfId="13474" xr:uid="{7C12A589-4527-4BB7-8C39-E8D53446C03B}"/>
    <cellStyle name="Currency 3 2 2 3 2 6" xfId="22724" xr:uid="{27C7BB3E-3C54-4773-A7B5-732E8A1A8ACC}"/>
    <cellStyle name="Currency 3 2 2 3 2 7" xfId="9263" xr:uid="{325DA6C9-B8C4-48E3-9F94-099C731D7036}"/>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20243" xr:uid="{15CB81D4-B0E1-4A90-9491-FDCA79433907}"/>
    <cellStyle name="Currency 3 2 2 3 3 2 3" xfId="16032" xr:uid="{A28A9B2A-3414-47D1-863C-5E275AAFDCD3}"/>
    <cellStyle name="Currency 3 2 2 3 3 2 4" xfId="25282" xr:uid="{A6DD52AA-4AC1-429C-9325-61DB7B19C64D}"/>
    <cellStyle name="Currency 3 2 2 3 3 2 5" xfId="11821" xr:uid="{C4778941-1CF6-46A9-AA3D-CC04637009C9}"/>
    <cellStyle name="Currency 3 2 2 3 3 3" xfId="5465" xr:uid="{00000000-0005-0000-0000-0000DC0A0000}"/>
    <cellStyle name="Currency 3 2 2 3 3 3 2" xfId="18098" xr:uid="{04B013C7-5879-4BF3-B849-C21B4F12F4BC}"/>
    <cellStyle name="Currency 3 2 2 3 3 4" xfId="13887" xr:uid="{07EE2B70-7DCC-4DFB-A563-B76B0177C281}"/>
    <cellStyle name="Currency 3 2 2 3 3 5" xfId="23137" xr:uid="{68B8E23E-6A6A-4E89-BD1A-821E1B0CD0C6}"/>
    <cellStyle name="Currency 3 2 2 3 3 6" xfId="9676" xr:uid="{BA15C29B-5952-48F1-80F6-F834F80AD3B1}"/>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20656" xr:uid="{0C963BD7-03B9-4C76-AE57-DE08EA191251}"/>
    <cellStyle name="Currency 3 2 2 3 4 2 3" xfId="16445" xr:uid="{C6061E74-31B2-4C28-A2DB-B074AB08E516}"/>
    <cellStyle name="Currency 3 2 2 3 4 2 4" xfId="25695" xr:uid="{3B11620C-E752-450A-B383-0E12613E98D7}"/>
    <cellStyle name="Currency 3 2 2 3 4 2 5" xfId="12234" xr:uid="{F2966AC6-5CAE-485A-9BC6-6C4B00C3DBD0}"/>
    <cellStyle name="Currency 3 2 2 3 4 3" xfId="5878" xr:uid="{00000000-0005-0000-0000-0000E00A0000}"/>
    <cellStyle name="Currency 3 2 2 3 4 3 2" xfId="18511" xr:uid="{A2227445-B492-4AC9-BF94-98DA2C4D7868}"/>
    <cellStyle name="Currency 3 2 2 3 4 4" xfId="14300" xr:uid="{EC7FD650-0C31-4D8D-B152-F207FAC62AF6}"/>
    <cellStyle name="Currency 3 2 2 3 4 5" xfId="23550" xr:uid="{14C5D671-CDC9-421C-90DB-47DDEBEEBD64}"/>
    <cellStyle name="Currency 3 2 2 3 4 6" xfId="10089" xr:uid="{CFC3A6EA-56C8-4A69-9F87-FF6D3F1752CB}"/>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21069" xr:uid="{E2FED11D-6271-46E2-8883-AE1618B5AAE1}"/>
    <cellStyle name="Currency 3 2 2 3 5 2 3" xfId="16858" xr:uid="{9E7C1506-ABE1-4519-A399-7785590FCFF3}"/>
    <cellStyle name="Currency 3 2 2 3 5 2 4" xfId="26108" xr:uid="{8807444D-00E9-4714-A8BE-ADBE37C160AC}"/>
    <cellStyle name="Currency 3 2 2 3 5 2 5" xfId="12647" xr:uid="{F820D2C8-34AF-46A7-AEC6-934A6DC1C15A}"/>
    <cellStyle name="Currency 3 2 2 3 5 3" xfId="6291" xr:uid="{00000000-0005-0000-0000-0000E40A0000}"/>
    <cellStyle name="Currency 3 2 2 3 5 3 2" xfId="18924" xr:uid="{2937C3E2-3E7D-4E75-8DEB-91598C4A756F}"/>
    <cellStyle name="Currency 3 2 2 3 5 4" xfId="14713" xr:uid="{6E604587-FF96-4189-B6FE-8F6C536C88A3}"/>
    <cellStyle name="Currency 3 2 2 3 5 5" xfId="23963" xr:uid="{36E02BCE-BD3C-457B-A00A-8990A478B6D2}"/>
    <cellStyle name="Currency 3 2 2 3 5 6" xfId="10502" xr:uid="{A5473C6E-ED97-4F6A-B170-1504D79E6B85}"/>
    <cellStyle name="Currency 3 2 2 3 6" xfId="2418" xr:uid="{00000000-0005-0000-0000-0000E50A0000}"/>
    <cellStyle name="Currency 3 2 2 3 6 2" xfId="6704" xr:uid="{00000000-0005-0000-0000-0000E60A0000}"/>
    <cellStyle name="Currency 3 2 2 3 6 2 2" xfId="19337" xr:uid="{C388E30F-5D12-4342-B7B8-E9806087D15A}"/>
    <cellStyle name="Currency 3 2 2 3 6 3" xfId="15126" xr:uid="{830C02DD-58AB-4230-AC2A-99AA3EC15DED}"/>
    <cellStyle name="Currency 3 2 2 3 6 4" xfId="24376" xr:uid="{BED3E1BC-C4A9-439A-ADDA-3FBD965968DD}"/>
    <cellStyle name="Currency 3 2 2 3 6 5" xfId="10915" xr:uid="{74F710E7-6418-4FEF-B8B6-AD5810ED7DE5}"/>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9654" xr:uid="{A336A481-D49F-4FDF-B23F-AF39A8D59F86}"/>
    <cellStyle name="Currency 3 2 2 3 8 3" xfId="15443" xr:uid="{E8366579-4C9B-4CE6-8F71-365F5FFD2BCC}"/>
    <cellStyle name="Currency 3 2 2 3 8 4" xfId="24693" xr:uid="{F66BE29B-CCC9-4AF8-BE13-5FFE3D2957CC}"/>
    <cellStyle name="Currency 3 2 2 3 8 5" xfId="11232" xr:uid="{6DBAD3CE-A00D-4F43-BCB7-491BEF80FEFA}"/>
    <cellStyle name="Currency 3 2 2 3 9" xfId="4638" xr:uid="{00000000-0005-0000-0000-0000EA0A0000}"/>
    <cellStyle name="Currency 3 2 2 3 9 2" xfId="17271" xr:uid="{C8B55C77-7ADB-4078-8194-874453E8AE4B}"/>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9827" xr:uid="{E421F6CF-D912-49C0-B5D4-4371F4C5B65F}"/>
    <cellStyle name="Currency 3 2 2 4 2 3" xfId="15616" xr:uid="{6AAB34A6-572B-4D24-8166-63242F82749A}"/>
    <cellStyle name="Currency 3 2 2 4 2 4" xfId="24866" xr:uid="{AEAB4C61-3FAF-45C0-AE63-250DDCDB59A6}"/>
    <cellStyle name="Currency 3 2 2 4 2 5" xfId="11405" xr:uid="{FFDF5AB7-659D-4206-87BA-84C9B8E10E0B}"/>
    <cellStyle name="Currency 3 2 2 4 3" xfId="5049" xr:uid="{00000000-0005-0000-0000-0000EE0A0000}"/>
    <cellStyle name="Currency 3 2 2 4 3 2" xfId="17682" xr:uid="{761DA413-370A-4AD5-B18B-AE12B44B9325}"/>
    <cellStyle name="Currency 3 2 2 4 4" xfId="21892" xr:uid="{16EF3CCB-B298-4E7A-922B-78826BE5435B}"/>
    <cellStyle name="Currency 3 2 2 4 5" xfId="13471" xr:uid="{0FA87316-16E3-416D-AA44-400FB473642F}"/>
    <cellStyle name="Currency 3 2 2 4 6" xfId="22721" xr:uid="{B94EC60C-C2D1-4385-92E0-808682CEACF4}"/>
    <cellStyle name="Currency 3 2 2 4 7" xfId="9260" xr:uid="{EB1537EC-8663-4351-89D0-68DECEE364AC}"/>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20240" xr:uid="{0735A0B3-C116-44E4-BB37-E4276017ECB9}"/>
    <cellStyle name="Currency 3 2 2 5 2 3" xfId="16029" xr:uid="{501510BF-B1B4-47C9-9600-159D2A11B1A7}"/>
    <cellStyle name="Currency 3 2 2 5 2 4" xfId="25279" xr:uid="{9B30B770-CAFD-42EF-8B63-DBB6AC582CC9}"/>
    <cellStyle name="Currency 3 2 2 5 2 5" xfId="11818" xr:uid="{7D73F6BF-7B59-4D95-B2D7-8037F1ECE6E7}"/>
    <cellStyle name="Currency 3 2 2 5 3" xfId="5462" xr:uid="{00000000-0005-0000-0000-0000F20A0000}"/>
    <cellStyle name="Currency 3 2 2 5 3 2" xfId="18095" xr:uid="{D21155DE-63E9-4552-8BF5-49B54253B4FA}"/>
    <cellStyle name="Currency 3 2 2 5 4" xfId="13884" xr:uid="{19602AD6-30F3-4393-9322-86FA10B97437}"/>
    <cellStyle name="Currency 3 2 2 5 5" xfId="23134" xr:uid="{31151E8D-C817-41AD-97D3-9EE8CFF75F02}"/>
    <cellStyle name="Currency 3 2 2 5 6" xfId="9673" xr:uid="{D123966E-1175-46A6-AD13-7FB4FA84B915}"/>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20653" xr:uid="{4988E5D8-1E69-48FC-AF71-6B9C5486FE03}"/>
    <cellStyle name="Currency 3 2 2 6 2 3" xfId="16442" xr:uid="{2AECAA4F-858D-4196-A912-6E13C8EEAF66}"/>
    <cellStyle name="Currency 3 2 2 6 2 4" xfId="25692" xr:uid="{BCA51E7C-7C69-41EF-8888-C520A71D42C6}"/>
    <cellStyle name="Currency 3 2 2 6 2 5" xfId="12231" xr:uid="{5E06566A-9DC8-4903-ABB9-1952D542F477}"/>
    <cellStyle name="Currency 3 2 2 6 3" xfId="5875" xr:uid="{00000000-0005-0000-0000-0000F60A0000}"/>
    <cellStyle name="Currency 3 2 2 6 3 2" xfId="18508" xr:uid="{D89818B4-9019-4FF5-9A43-1E4125C8723E}"/>
    <cellStyle name="Currency 3 2 2 6 4" xfId="14297" xr:uid="{154E1006-8062-4F11-92A3-61DADCF8DB08}"/>
    <cellStyle name="Currency 3 2 2 6 5" xfId="23547" xr:uid="{E4912761-0590-4DE0-A083-C2ACD037593A}"/>
    <cellStyle name="Currency 3 2 2 6 6" xfId="10086" xr:uid="{BA0A6A52-890A-42CF-9FD6-6DA46717D1E2}"/>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21066" xr:uid="{083AE027-A6D6-4EC2-BD23-BA30B98AC316}"/>
    <cellStyle name="Currency 3 2 2 7 2 3" xfId="16855" xr:uid="{2AAA5B65-CE98-4528-95F9-98A406D62B0A}"/>
    <cellStyle name="Currency 3 2 2 7 2 4" xfId="26105" xr:uid="{292ED5B0-A11C-47D0-A639-91871CA41707}"/>
    <cellStyle name="Currency 3 2 2 7 2 5" xfId="12644" xr:uid="{52AF00A1-5781-466B-9179-1ACA39DDBEE7}"/>
    <cellStyle name="Currency 3 2 2 7 3" xfId="6288" xr:uid="{00000000-0005-0000-0000-0000FA0A0000}"/>
    <cellStyle name="Currency 3 2 2 7 3 2" xfId="18921" xr:uid="{B98DE985-8A9F-495E-97E0-E6FD7416ABE3}"/>
    <cellStyle name="Currency 3 2 2 7 4" xfId="14710" xr:uid="{950781F9-01FF-45D5-882D-5E777A9B2D78}"/>
    <cellStyle name="Currency 3 2 2 7 5" xfId="23960" xr:uid="{F767C1A0-E6CD-4607-A7C9-953EA4BD0F18}"/>
    <cellStyle name="Currency 3 2 2 7 6" xfId="10499" xr:uid="{9903BE37-706E-43ED-B62E-6B6003A3CC64}"/>
    <cellStyle name="Currency 3 2 2 8" xfId="2415" xr:uid="{00000000-0005-0000-0000-0000FB0A0000}"/>
    <cellStyle name="Currency 3 2 2 8 2" xfId="6701" xr:uid="{00000000-0005-0000-0000-0000FC0A0000}"/>
    <cellStyle name="Currency 3 2 2 8 2 2" xfId="19334" xr:uid="{704999B5-B1CA-48A4-9602-C5808160CC07}"/>
    <cellStyle name="Currency 3 2 2 8 3" xfId="15123" xr:uid="{AA33A524-49F1-4895-9371-C1F8497AB4FF}"/>
    <cellStyle name="Currency 3 2 2 8 4" xfId="24373" xr:uid="{324319D9-5BD9-448F-A12A-8C02C34CE23D}"/>
    <cellStyle name="Currency 3 2 2 8 5" xfId="10912" xr:uid="{E0D0285B-B48F-485C-B00E-60209E8B7D20}"/>
    <cellStyle name="Currency 3 2 2 9" xfId="2712" xr:uid="{00000000-0005-0000-0000-0000FD0A0000}"/>
    <cellStyle name="Currency 3 2 3" xfId="182" xr:uid="{00000000-0005-0000-0000-0000FE0A0000}"/>
    <cellStyle name="Currency 3 2 3 10" xfId="4639" xr:uid="{00000000-0005-0000-0000-0000FF0A0000}"/>
    <cellStyle name="Currency 3 2 3 10 2" xfId="17272" xr:uid="{952FB8E9-8FCA-46A9-9849-5F8E4720EB45}"/>
    <cellStyle name="Currency 3 2 3 11" xfId="21483" xr:uid="{BD3FFF13-ADB5-40AB-878D-C10613EBAD34}"/>
    <cellStyle name="Currency 3 2 3 12" xfId="13061" xr:uid="{4AAFE6DD-89B3-4DF4-9212-22AF1BDA28AA}"/>
    <cellStyle name="Currency 3 2 3 13" xfId="22311" xr:uid="{D1A7E65C-558D-4605-862E-2FEE45D97B27}"/>
    <cellStyle name="Currency 3 2 3 14" xfId="8850" xr:uid="{59E370B6-5F41-4EA2-A3CE-D144005690C8}"/>
    <cellStyle name="Currency 3 2 3 2" xfId="183" xr:uid="{00000000-0005-0000-0000-0000000B0000}"/>
    <cellStyle name="Currency 3 2 3 2 10" xfId="21484" xr:uid="{46AAAD50-E42D-4D7A-8B21-0683B4A66F44}"/>
    <cellStyle name="Currency 3 2 3 2 11" xfId="13062" xr:uid="{C67FDCF2-9BD9-4C67-9808-3F933F5CDDC9}"/>
    <cellStyle name="Currency 3 2 3 2 12" xfId="22312" xr:uid="{406E34A8-70F3-4795-986B-D55DF0F36D1E}"/>
    <cellStyle name="Currency 3 2 3 2 13" xfId="8851" xr:uid="{E7902493-779D-46F8-A9A2-ECFEE01E4DCB}"/>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9832" xr:uid="{11D0F3A8-E786-4A75-B32A-D519F9E2DE65}"/>
    <cellStyle name="Currency 3 2 3 2 2 2 3" xfId="15621" xr:uid="{D8885B4F-27E1-4429-A92A-474B5A65ADAF}"/>
    <cellStyle name="Currency 3 2 3 2 2 2 4" xfId="24871" xr:uid="{65E7824A-61F3-4347-AFB2-8539917913CD}"/>
    <cellStyle name="Currency 3 2 3 2 2 2 5" xfId="11410" xr:uid="{F3E5D231-9B7D-4D44-81CF-2B9DA19DAEE1}"/>
    <cellStyle name="Currency 3 2 3 2 2 3" xfId="5054" xr:uid="{00000000-0005-0000-0000-0000040B0000}"/>
    <cellStyle name="Currency 3 2 3 2 2 3 2" xfId="17687" xr:uid="{E1C734CA-AE06-46EF-96F3-4582589631C2}"/>
    <cellStyle name="Currency 3 2 3 2 2 4" xfId="21897" xr:uid="{2DB7BA77-73C6-40B5-A03D-957AA01F6B83}"/>
    <cellStyle name="Currency 3 2 3 2 2 5" xfId="13476" xr:uid="{A997D640-30C5-4681-B2BD-EE371E1CE984}"/>
    <cellStyle name="Currency 3 2 3 2 2 6" xfId="22726" xr:uid="{3915C717-86E2-40F0-AB5A-0AB4E7373CA6}"/>
    <cellStyle name="Currency 3 2 3 2 2 7" xfId="9265" xr:uid="{17953BE5-FC46-45B4-9920-39D6AF813BF2}"/>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20245" xr:uid="{803B9CF0-AAA0-409C-8E65-5F93DAE978FA}"/>
    <cellStyle name="Currency 3 2 3 2 3 2 3" xfId="16034" xr:uid="{6E48A46A-C60D-4A9B-938A-A5AD4F442241}"/>
    <cellStyle name="Currency 3 2 3 2 3 2 4" xfId="25284" xr:uid="{B0E4FDB8-8596-410A-8766-157348F332A3}"/>
    <cellStyle name="Currency 3 2 3 2 3 2 5" xfId="11823" xr:uid="{1A651F42-3EAF-4598-A29B-B543967896A7}"/>
    <cellStyle name="Currency 3 2 3 2 3 3" xfId="5467" xr:uid="{00000000-0005-0000-0000-0000080B0000}"/>
    <cellStyle name="Currency 3 2 3 2 3 3 2" xfId="18100" xr:uid="{19048442-B28C-4EDF-9A85-8E574219171E}"/>
    <cellStyle name="Currency 3 2 3 2 3 4" xfId="13889" xr:uid="{812DBC44-730C-4604-BB73-B63E80909B38}"/>
    <cellStyle name="Currency 3 2 3 2 3 5" xfId="23139" xr:uid="{F769540B-B077-4BFE-AD76-427E6ADBC005}"/>
    <cellStyle name="Currency 3 2 3 2 3 6" xfId="9678" xr:uid="{B57BF7A8-46E9-4754-99CB-664D4DA6F888}"/>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20658" xr:uid="{83C88B6D-019B-4793-AD50-795690A23A96}"/>
    <cellStyle name="Currency 3 2 3 2 4 2 3" xfId="16447" xr:uid="{4E642737-3E66-45CE-8D46-EF678B0A168C}"/>
    <cellStyle name="Currency 3 2 3 2 4 2 4" xfId="25697" xr:uid="{7A9889EA-F4D0-401E-B80A-0242E96D5BD1}"/>
    <cellStyle name="Currency 3 2 3 2 4 2 5" xfId="12236" xr:uid="{988D5287-E7CE-4625-82C0-5EE87420375E}"/>
    <cellStyle name="Currency 3 2 3 2 4 3" xfId="5880" xr:uid="{00000000-0005-0000-0000-00000C0B0000}"/>
    <cellStyle name="Currency 3 2 3 2 4 3 2" xfId="18513" xr:uid="{F1F0673E-F54D-4E0C-9DB7-CC9DE540BE48}"/>
    <cellStyle name="Currency 3 2 3 2 4 4" xfId="14302" xr:uid="{59A62FA2-D981-4C54-883A-5E534CDB3776}"/>
    <cellStyle name="Currency 3 2 3 2 4 5" xfId="23552" xr:uid="{A674C45A-1F47-496F-8CA2-3E00F7856B50}"/>
    <cellStyle name="Currency 3 2 3 2 4 6" xfId="10091" xr:uid="{E6C82FA0-B48A-4699-B5CC-DBF28DE12F61}"/>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21071" xr:uid="{784A96B2-CAF5-4DBD-AED8-48AB372FB808}"/>
    <cellStyle name="Currency 3 2 3 2 5 2 3" xfId="16860" xr:uid="{8DB34E58-83F4-41A2-AF4F-675EAB714728}"/>
    <cellStyle name="Currency 3 2 3 2 5 2 4" xfId="26110" xr:uid="{4058B1CA-7C45-4D30-8F71-1A4F4180BB9E}"/>
    <cellStyle name="Currency 3 2 3 2 5 2 5" xfId="12649" xr:uid="{B503B418-78B3-4D85-9BF7-9784CAA941A5}"/>
    <cellStyle name="Currency 3 2 3 2 5 3" xfId="6293" xr:uid="{00000000-0005-0000-0000-0000100B0000}"/>
    <cellStyle name="Currency 3 2 3 2 5 3 2" xfId="18926" xr:uid="{C97DB99B-573E-4011-911D-6C9946DF9141}"/>
    <cellStyle name="Currency 3 2 3 2 5 4" xfId="14715" xr:uid="{6529B118-290A-4EBB-A971-7C217145F32B}"/>
    <cellStyle name="Currency 3 2 3 2 5 5" xfId="23965" xr:uid="{DBA22BAA-CA3B-4DA5-81C9-D469340A7D4D}"/>
    <cellStyle name="Currency 3 2 3 2 5 6" xfId="10504" xr:uid="{59D4385F-BE84-4BBD-AC12-301BE2757B7B}"/>
    <cellStyle name="Currency 3 2 3 2 6" xfId="2420" xr:uid="{00000000-0005-0000-0000-0000110B0000}"/>
    <cellStyle name="Currency 3 2 3 2 6 2" xfId="6706" xr:uid="{00000000-0005-0000-0000-0000120B0000}"/>
    <cellStyle name="Currency 3 2 3 2 6 2 2" xfId="19339" xr:uid="{FDA5D4DB-EB63-4C21-8DF6-A7B34973F531}"/>
    <cellStyle name="Currency 3 2 3 2 6 3" xfId="15128" xr:uid="{34DF1420-55FA-4595-9804-923229863232}"/>
    <cellStyle name="Currency 3 2 3 2 6 4" xfId="24378" xr:uid="{85D0BEA0-A256-4A8D-852A-A1751A870BDA}"/>
    <cellStyle name="Currency 3 2 3 2 6 5" xfId="10917" xr:uid="{F667ED35-04EA-4E33-A829-E43605CEA6B7}"/>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9656" xr:uid="{1D791331-42FE-47CC-B88B-7CCFB4BB78BA}"/>
    <cellStyle name="Currency 3 2 3 2 8 3" xfId="15445" xr:uid="{0205813C-2E82-470B-A79C-70B401328156}"/>
    <cellStyle name="Currency 3 2 3 2 8 4" xfId="24695" xr:uid="{CA6C1D00-DC2A-43A2-983A-536DBFECE3F0}"/>
    <cellStyle name="Currency 3 2 3 2 8 5" xfId="11234" xr:uid="{93A5CFFE-35A7-493F-AE39-701F416AF528}"/>
    <cellStyle name="Currency 3 2 3 2 9" xfId="4640" xr:uid="{00000000-0005-0000-0000-0000160B0000}"/>
    <cellStyle name="Currency 3 2 3 2 9 2" xfId="17273" xr:uid="{2314A31D-E2AF-413F-86A3-D10AF784AF03}"/>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9831" xr:uid="{9A0D22AB-29B3-4716-B43E-E4D92C170F96}"/>
    <cellStyle name="Currency 3 2 3 3 2 3" xfId="15620" xr:uid="{2B0019A1-693A-4C2B-8E36-C817A6C9C941}"/>
    <cellStyle name="Currency 3 2 3 3 2 4" xfId="24870" xr:uid="{8E7C058C-9CB1-4C63-A333-150D08CA12FF}"/>
    <cellStyle name="Currency 3 2 3 3 2 5" xfId="11409" xr:uid="{6B08E4ED-2677-4F9C-88CF-58E2193C562E}"/>
    <cellStyle name="Currency 3 2 3 3 3" xfId="5053" xr:uid="{00000000-0005-0000-0000-00001A0B0000}"/>
    <cellStyle name="Currency 3 2 3 3 3 2" xfId="17686" xr:uid="{1A39AF8C-5664-4931-95C3-08D3C8B41C8D}"/>
    <cellStyle name="Currency 3 2 3 3 4" xfId="21896" xr:uid="{7C409F9B-1BA1-4F19-B2BA-5E33009D615E}"/>
    <cellStyle name="Currency 3 2 3 3 5" xfId="13475" xr:uid="{5BCF069C-A961-48DB-950C-F8E25D3833E7}"/>
    <cellStyle name="Currency 3 2 3 3 6" xfId="22725" xr:uid="{C447DCB8-1BF6-4318-B6CB-E44A9B2CF052}"/>
    <cellStyle name="Currency 3 2 3 3 7" xfId="9264" xr:uid="{9B63C71C-CFA0-4A05-A707-EB3A0340AA0E}"/>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20244" xr:uid="{85ACBD4B-53FA-4A23-AAB1-4D1D8202F826}"/>
    <cellStyle name="Currency 3 2 3 4 2 3" xfId="16033" xr:uid="{41F6FE24-EDE2-443E-B0A0-C186545928BC}"/>
    <cellStyle name="Currency 3 2 3 4 2 4" xfId="25283" xr:uid="{9B0FA5AE-EBB0-4BA5-A835-C9D8C952EEE3}"/>
    <cellStyle name="Currency 3 2 3 4 2 5" xfId="11822" xr:uid="{A3CD0531-2C30-4C49-8E0E-8A9E7694183D}"/>
    <cellStyle name="Currency 3 2 3 4 3" xfId="5466" xr:uid="{00000000-0005-0000-0000-00001E0B0000}"/>
    <cellStyle name="Currency 3 2 3 4 3 2" xfId="18099" xr:uid="{C5903C32-31D7-459E-8028-8EB3494A180C}"/>
    <cellStyle name="Currency 3 2 3 4 4" xfId="13888" xr:uid="{B6E8DEB2-098A-4C6E-B79E-7244670F2F68}"/>
    <cellStyle name="Currency 3 2 3 4 5" xfId="23138" xr:uid="{59E89297-E23A-40E1-92AD-D137CA622187}"/>
    <cellStyle name="Currency 3 2 3 4 6" xfId="9677" xr:uid="{65F4C400-C17E-4F80-BF82-C1A3845F9EE1}"/>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20657" xr:uid="{E0601686-9393-4F24-84EC-8D2EE746DFC0}"/>
    <cellStyle name="Currency 3 2 3 5 2 3" xfId="16446" xr:uid="{782849A8-E3DE-40E4-A8FA-112EB3F0976F}"/>
    <cellStyle name="Currency 3 2 3 5 2 4" xfId="25696" xr:uid="{340A5DC7-0EC2-4CD4-BBF7-A8816F5C21FF}"/>
    <cellStyle name="Currency 3 2 3 5 2 5" xfId="12235" xr:uid="{33FDE81E-D191-4998-AFED-85FD510F9DF8}"/>
    <cellStyle name="Currency 3 2 3 5 3" xfId="5879" xr:uid="{00000000-0005-0000-0000-0000220B0000}"/>
    <cellStyle name="Currency 3 2 3 5 3 2" xfId="18512" xr:uid="{4F97F285-9281-432E-8038-769C9C4B85D7}"/>
    <cellStyle name="Currency 3 2 3 5 4" xfId="14301" xr:uid="{95FB2D6A-DBE0-497F-B559-F285B9551E5A}"/>
    <cellStyle name="Currency 3 2 3 5 5" xfId="23551" xr:uid="{A0B6E342-4DD7-4F4A-BA08-983609ED14FE}"/>
    <cellStyle name="Currency 3 2 3 5 6" xfId="10090" xr:uid="{7F227B21-5737-4983-A4AB-DF76A5ED2709}"/>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21070" xr:uid="{EDDD4F37-DB83-474F-BE05-B4EA6E4998A6}"/>
    <cellStyle name="Currency 3 2 3 6 2 3" xfId="16859" xr:uid="{61573434-2EBE-4C9D-A6FC-FBB2666EAC88}"/>
    <cellStyle name="Currency 3 2 3 6 2 4" xfId="26109" xr:uid="{0CDF9A6D-59D2-465E-9CFB-62C2787E08C1}"/>
    <cellStyle name="Currency 3 2 3 6 2 5" xfId="12648" xr:uid="{47FA378B-2F64-45FC-88C6-BD7D10785D5F}"/>
    <cellStyle name="Currency 3 2 3 6 3" xfId="6292" xr:uid="{00000000-0005-0000-0000-0000260B0000}"/>
    <cellStyle name="Currency 3 2 3 6 3 2" xfId="18925" xr:uid="{25A5488C-3CFA-47C0-8A3C-95F6280DC8F7}"/>
    <cellStyle name="Currency 3 2 3 6 4" xfId="14714" xr:uid="{EF89F298-8773-4ADF-92AC-41738E0612DB}"/>
    <cellStyle name="Currency 3 2 3 6 5" xfId="23964" xr:uid="{572C5A45-B10E-460C-8BF0-B12C20C630A1}"/>
    <cellStyle name="Currency 3 2 3 6 6" xfId="10503" xr:uid="{D33A41F7-078F-4B8A-858E-409551570836}"/>
    <cellStyle name="Currency 3 2 3 7" xfId="2419" xr:uid="{00000000-0005-0000-0000-0000270B0000}"/>
    <cellStyle name="Currency 3 2 3 7 2" xfId="6705" xr:uid="{00000000-0005-0000-0000-0000280B0000}"/>
    <cellStyle name="Currency 3 2 3 7 2 2" xfId="19338" xr:uid="{A04A7FD0-9D38-47D4-B18E-13E95CBC4CD9}"/>
    <cellStyle name="Currency 3 2 3 7 3" xfId="15127" xr:uid="{279DDD58-0206-4562-8E5F-670A37DF4EF4}"/>
    <cellStyle name="Currency 3 2 3 7 4" xfId="24377" xr:uid="{E20345FA-D58D-418F-821F-ADF318FC4FAF}"/>
    <cellStyle name="Currency 3 2 3 7 5" xfId="10916" xr:uid="{1A673C2A-3291-4C2D-B85A-CC9E01FC996D}"/>
    <cellStyle name="Currency 3 2 3 8" xfId="2716" xr:uid="{00000000-0005-0000-0000-0000290B0000}"/>
    <cellStyle name="Currency 3 2 3 9" xfId="2797" xr:uid="{00000000-0005-0000-0000-00002A0B0000}"/>
    <cellStyle name="Currency 3 2 3 9 2" xfId="7022" xr:uid="{00000000-0005-0000-0000-00002B0B0000}"/>
    <cellStyle name="Currency 3 2 3 9 2 2" xfId="19655" xr:uid="{5CA8ECE5-2A41-4FCC-817D-B97405C9A736}"/>
    <cellStyle name="Currency 3 2 3 9 3" xfId="15444" xr:uid="{6E7F0DA2-6288-40AC-9165-6774E8D0023A}"/>
    <cellStyle name="Currency 3 2 3 9 4" xfId="24694" xr:uid="{0121C8A6-92CD-45DA-BD43-BF7739F9446A}"/>
    <cellStyle name="Currency 3 2 3 9 5" xfId="11233" xr:uid="{392C6482-36FE-43CF-9497-4B934F77D4A4}"/>
    <cellStyle name="Currency 3 2 4" xfId="184" xr:uid="{00000000-0005-0000-0000-00002C0B0000}"/>
    <cellStyle name="Currency 3 2 4 10" xfId="21485" xr:uid="{D9029AF9-9867-4B9E-B467-9365B09B67C8}"/>
    <cellStyle name="Currency 3 2 4 11" xfId="13063" xr:uid="{52F831F2-5923-466F-B9D5-4E79604D160C}"/>
    <cellStyle name="Currency 3 2 4 12" xfId="22313" xr:uid="{287A995E-8174-4FC5-B02A-8D5CA6072732}"/>
    <cellStyle name="Currency 3 2 4 13" xfId="8852" xr:uid="{EF3DF642-A903-4D49-AFB0-BA1556A48454}"/>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9833" xr:uid="{6376CE12-C936-4B08-802D-7552B7BC76B7}"/>
    <cellStyle name="Currency 3 2 4 2 2 3" xfId="15622" xr:uid="{4CDB2B13-90F3-41D5-A29B-3E5EFFFBE1B2}"/>
    <cellStyle name="Currency 3 2 4 2 2 4" xfId="24872" xr:uid="{0DCB80C8-55DE-435C-9DC7-F50E8CDE5E15}"/>
    <cellStyle name="Currency 3 2 4 2 2 5" xfId="11411" xr:uid="{BD400FEE-4F3E-45C3-B5E2-C4F35C778114}"/>
    <cellStyle name="Currency 3 2 4 2 3" xfId="5055" xr:uid="{00000000-0005-0000-0000-0000300B0000}"/>
    <cellStyle name="Currency 3 2 4 2 3 2" xfId="17688" xr:uid="{4AA0E820-4CC2-482E-8D26-B010A5B1E2A8}"/>
    <cellStyle name="Currency 3 2 4 2 4" xfId="21898" xr:uid="{E5E35F6C-CEEB-456F-89B5-88F2C7261AEB}"/>
    <cellStyle name="Currency 3 2 4 2 5" xfId="13477" xr:uid="{EA1E51BF-2DF4-41A1-A781-097579C52F82}"/>
    <cellStyle name="Currency 3 2 4 2 6" xfId="22727" xr:uid="{4C2173E6-4A59-43FF-BF74-C79783B3791B}"/>
    <cellStyle name="Currency 3 2 4 2 7" xfId="9266" xr:uid="{1383ECB1-B536-446A-B6BC-08E216BF6486}"/>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20246" xr:uid="{1A848AF9-05B7-4AB9-802F-88404EA2DF2B}"/>
    <cellStyle name="Currency 3 2 4 3 2 3" xfId="16035" xr:uid="{9047015B-A344-4B84-8651-54EA25092D0F}"/>
    <cellStyle name="Currency 3 2 4 3 2 4" xfId="25285" xr:uid="{D3A2AD59-3B42-464F-BE5E-62E8B6B1B2C1}"/>
    <cellStyle name="Currency 3 2 4 3 2 5" xfId="11824" xr:uid="{010EECD8-AE13-412A-938E-C8F02BCE0C3E}"/>
    <cellStyle name="Currency 3 2 4 3 3" xfId="5468" xr:uid="{00000000-0005-0000-0000-0000340B0000}"/>
    <cellStyle name="Currency 3 2 4 3 3 2" xfId="18101" xr:uid="{E6345922-718A-4D2F-B271-0D5BEAE55037}"/>
    <cellStyle name="Currency 3 2 4 3 4" xfId="13890" xr:uid="{1D6EE3A3-9434-44AA-8C6C-DD2297F96BB6}"/>
    <cellStyle name="Currency 3 2 4 3 5" xfId="23140" xr:uid="{011226CC-3FCE-4635-A3CA-A1E368C61C6A}"/>
    <cellStyle name="Currency 3 2 4 3 6" xfId="9679" xr:uid="{D443D163-6ABB-4D6D-9F71-592B06BA9FD1}"/>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20659" xr:uid="{556168DC-49E9-4CFF-B00B-B317E4E38D37}"/>
    <cellStyle name="Currency 3 2 4 4 2 3" xfId="16448" xr:uid="{829F74CF-ED65-498F-BA3A-44D0DC4DC143}"/>
    <cellStyle name="Currency 3 2 4 4 2 4" xfId="25698" xr:uid="{ACD5B688-7FF5-4817-BB24-815C1618C74C}"/>
    <cellStyle name="Currency 3 2 4 4 2 5" xfId="12237" xr:uid="{F986D181-47A3-46CD-AC89-F8C1A378ED53}"/>
    <cellStyle name="Currency 3 2 4 4 3" xfId="5881" xr:uid="{00000000-0005-0000-0000-0000380B0000}"/>
    <cellStyle name="Currency 3 2 4 4 3 2" xfId="18514" xr:uid="{85B38E61-716A-43DF-B531-7AB4062D7D56}"/>
    <cellStyle name="Currency 3 2 4 4 4" xfId="14303" xr:uid="{C317FA6E-4502-4AA2-B151-06EFD366EC71}"/>
    <cellStyle name="Currency 3 2 4 4 5" xfId="23553" xr:uid="{C18B3DC5-B2BC-465B-AF78-A705C5DCBECC}"/>
    <cellStyle name="Currency 3 2 4 4 6" xfId="10092" xr:uid="{7345C86F-4FCB-4A4A-ADD1-3871FC5C864C}"/>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21072" xr:uid="{1EE8449E-1C44-4105-B781-890F7319B397}"/>
    <cellStyle name="Currency 3 2 4 5 2 3" xfId="16861" xr:uid="{8AF3EE85-04B5-4377-BF76-B0328BCABFB0}"/>
    <cellStyle name="Currency 3 2 4 5 2 4" xfId="26111" xr:uid="{6237C596-F88D-4F78-A3FB-0873808CF4E9}"/>
    <cellStyle name="Currency 3 2 4 5 2 5" xfId="12650" xr:uid="{125EF76E-4F04-43FE-884C-564D28F9BEAF}"/>
    <cellStyle name="Currency 3 2 4 5 3" xfId="6294" xr:uid="{00000000-0005-0000-0000-00003C0B0000}"/>
    <cellStyle name="Currency 3 2 4 5 3 2" xfId="18927" xr:uid="{0EA1EC12-1E28-4088-9B54-FBC92FC5AAE9}"/>
    <cellStyle name="Currency 3 2 4 5 4" xfId="14716" xr:uid="{2652FE6B-0229-4EEB-BE00-57503E9A827B}"/>
    <cellStyle name="Currency 3 2 4 5 5" xfId="23966" xr:uid="{E7703FFE-663A-4804-8349-E33F002A8D72}"/>
    <cellStyle name="Currency 3 2 4 5 6" xfId="10505" xr:uid="{B8FD35FA-A325-4064-8759-6A7698EF2DEE}"/>
    <cellStyle name="Currency 3 2 4 6" xfId="2421" xr:uid="{00000000-0005-0000-0000-00003D0B0000}"/>
    <cellStyle name="Currency 3 2 4 6 2" xfId="6707" xr:uid="{00000000-0005-0000-0000-00003E0B0000}"/>
    <cellStyle name="Currency 3 2 4 6 2 2" xfId="19340" xr:uid="{2663DD50-4A6B-4CC4-912D-C8175EF73A9A}"/>
    <cellStyle name="Currency 3 2 4 6 3" xfId="15129" xr:uid="{C4408684-D847-43DD-8797-57A9F1F6F9DD}"/>
    <cellStyle name="Currency 3 2 4 6 4" xfId="24379" xr:uid="{761DB248-FB09-4C39-9FCA-9C33C3B370E2}"/>
    <cellStyle name="Currency 3 2 4 6 5" xfId="10918" xr:uid="{8759F872-41CE-452F-AB2D-22ED5A131EF5}"/>
    <cellStyle name="Currency 3 2 4 7" xfId="2718" xr:uid="{00000000-0005-0000-0000-00003F0B0000}"/>
    <cellStyle name="Currency 3 2 4 8" xfId="2799" xr:uid="{00000000-0005-0000-0000-0000400B0000}"/>
    <cellStyle name="Currency 3 2 4 8 2" xfId="7024" xr:uid="{00000000-0005-0000-0000-0000410B0000}"/>
    <cellStyle name="Currency 3 2 4 8 2 2" xfId="19657" xr:uid="{EF0306D7-B67F-47D2-85E2-EBBDA64028D8}"/>
    <cellStyle name="Currency 3 2 4 8 3" xfId="15446" xr:uid="{D20AD490-F79E-4990-8432-1D9A0C56BE74}"/>
    <cellStyle name="Currency 3 2 4 8 4" xfId="24696" xr:uid="{CB354319-DB76-48E1-AD28-C7B90EA94750}"/>
    <cellStyle name="Currency 3 2 4 8 5" xfId="11235" xr:uid="{99DDDEA9-0022-4EDA-B922-E79804E966E5}"/>
    <cellStyle name="Currency 3 2 4 9" xfId="4641" xr:uid="{00000000-0005-0000-0000-0000420B0000}"/>
    <cellStyle name="Currency 3 2 4 9 2" xfId="17274" xr:uid="{F3ED1DC8-B902-488E-A610-90AC1D74C5EF}"/>
    <cellStyle name="Currency 3 2 5" xfId="185" xr:uid="{00000000-0005-0000-0000-0000430B0000}"/>
    <cellStyle name="Currency 3 2 5 10" xfId="21486" xr:uid="{223B26C9-441E-4B4A-9BB3-6889F471AEDD}"/>
    <cellStyle name="Currency 3 2 5 11" xfId="13064" xr:uid="{250278FD-85E2-4B7F-89DF-9F4A736ABC4D}"/>
    <cellStyle name="Currency 3 2 5 12" xfId="22314" xr:uid="{00F9EB1E-67AD-44F0-981B-4D7A86AA678A}"/>
    <cellStyle name="Currency 3 2 5 13" xfId="8853" xr:uid="{81A24344-C3B1-4F93-B16D-E580A84E7477}"/>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9834" xr:uid="{3E488CED-D22A-4953-BD3A-95B4DB02CF4C}"/>
    <cellStyle name="Currency 3 2 5 2 2 3" xfId="15623" xr:uid="{CA4DC385-968F-4025-9840-375E4BEFD600}"/>
    <cellStyle name="Currency 3 2 5 2 2 4" xfId="24873" xr:uid="{6232D101-BA12-48E8-AA38-C1F4C59B90F9}"/>
    <cellStyle name="Currency 3 2 5 2 2 5" xfId="11412" xr:uid="{7692934E-0C70-4C8D-AED2-21AEEF244E81}"/>
    <cellStyle name="Currency 3 2 5 2 3" xfId="5056" xr:uid="{00000000-0005-0000-0000-0000470B0000}"/>
    <cellStyle name="Currency 3 2 5 2 3 2" xfId="17689" xr:uid="{29EA3B11-55FD-4E7F-B6E3-53183B801932}"/>
    <cellStyle name="Currency 3 2 5 2 4" xfId="21899" xr:uid="{8E0A926F-1D44-4E5D-9DA9-04AA474BBF46}"/>
    <cellStyle name="Currency 3 2 5 2 5" xfId="13478" xr:uid="{EE8E0BB4-8877-4107-A355-C922BC48C0CA}"/>
    <cellStyle name="Currency 3 2 5 2 6" xfId="22728" xr:uid="{D031CE02-9652-428A-9471-EDABAFEF7D37}"/>
    <cellStyle name="Currency 3 2 5 2 7" xfId="9267" xr:uid="{B72E9D4D-06A7-465A-AD86-404EDBE4F0CA}"/>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20247" xr:uid="{01DBA4D8-C1F2-4E67-BF6C-D96C58388827}"/>
    <cellStyle name="Currency 3 2 5 3 2 3" xfId="16036" xr:uid="{565FADEF-85E1-4708-9DD4-B50ED997ACB3}"/>
    <cellStyle name="Currency 3 2 5 3 2 4" xfId="25286" xr:uid="{7DF4F826-71C8-4F91-AA60-AA7DFFB2E4A1}"/>
    <cellStyle name="Currency 3 2 5 3 2 5" xfId="11825" xr:uid="{233491A1-1DAE-4162-B149-B54A1F8E9858}"/>
    <cellStyle name="Currency 3 2 5 3 3" xfId="5469" xr:uid="{00000000-0005-0000-0000-00004B0B0000}"/>
    <cellStyle name="Currency 3 2 5 3 3 2" xfId="18102" xr:uid="{B3BE7263-3C45-4D8B-8E1A-17512267CB6E}"/>
    <cellStyle name="Currency 3 2 5 3 4" xfId="13891" xr:uid="{A834D03D-472C-424B-9BD6-956E1A08A46F}"/>
    <cellStyle name="Currency 3 2 5 3 5" xfId="23141" xr:uid="{2E032FA6-E971-4417-8DE2-8DAC58A6C0C8}"/>
    <cellStyle name="Currency 3 2 5 3 6" xfId="9680" xr:uid="{0D305A8B-693B-40BF-AD4F-76786D9197DF}"/>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20660" xr:uid="{540432CF-CB2C-450E-95D2-6A6F54BB4727}"/>
    <cellStyle name="Currency 3 2 5 4 2 3" xfId="16449" xr:uid="{85E80E31-96BF-460B-B039-5A8CD3B0B268}"/>
    <cellStyle name="Currency 3 2 5 4 2 4" xfId="25699" xr:uid="{9118C29A-7F1D-45DF-9ABA-A0810691242E}"/>
    <cellStyle name="Currency 3 2 5 4 2 5" xfId="12238" xr:uid="{20C3CE8D-3713-4103-A825-FC44E8DCDBC3}"/>
    <cellStyle name="Currency 3 2 5 4 3" xfId="5882" xr:uid="{00000000-0005-0000-0000-00004F0B0000}"/>
    <cellStyle name="Currency 3 2 5 4 3 2" xfId="18515" xr:uid="{B0330185-5680-430E-9E1C-6637FA36DB6D}"/>
    <cellStyle name="Currency 3 2 5 4 4" xfId="14304" xr:uid="{D0098D3D-6B5A-4ED5-9923-7A49A205A485}"/>
    <cellStyle name="Currency 3 2 5 4 5" xfId="23554" xr:uid="{4BBB6CBE-B737-4543-86AF-EBDC20D78A50}"/>
    <cellStyle name="Currency 3 2 5 4 6" xfId="10093" xr:uid="{8DCF9125-B791-454B-89C9-370984A5D248}"/>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21073" xr:uid="{8B7678A5-EE50-4D4F-8C3C-37AE0884AD99}"/>
    <cellStyle name="Currency 3 2 5 5 2 3" xfId="16862" xr:uid="{A93BFBEE-8FDD-46F1-A39C-040546AFC865}"/>
    <cellStyle name="Currency 3 2 5 5 2 4" xfId="26112" xr:uid="{64660C21-8D71-4484-B80D-F2DEAAABD0E6}"/>
    <cellStyle name="Currency 3 2 5 5 2 5" xfId="12651" xr:uid="{A219C47F-59EE-4F62-ACA2-68D8703B5B73}"/>
    <cellStyle name="Currency 3 2 5 5 3" xfId="6295" xr:uid="{00000000-0005-0000-0000-0000530B0000}"/>
    <cellStyle name="Currency 3 2 5 5 3 2" xfId="18928" xr:uid="{31F3F04D-E03F-41FB-A037-02A29F954D05}"/>
    <cellStyle name="Currency 3 2 5 5 4" xfId="14717" xr:uid="{1A52B9A0-694D-49CA-BEBC-C10DA121F682}"/>
    <cellStyle name="Currency 3 2 5 5 5" xfId="23967" xr:uid="{F39C33E7-8D4D-4C9A-A5DD-BCBD8A885E7E}"/>
    <cellStyle name="Currency 3 2 5 5 6" xfId="10506" xr:uid="{405FBCF9-732E-4949-8BCF-4FF71697F98A}"/>
    <cellStyle name="Currency 3 2 5 6" xfId="2422" xr:uid="{00000000-0005-0000-0000-0000540B0000}"/>
    <cellStyle name="Currency 3 2 5 6 2" xfId="6708" xr:uid="{00000000-0005-0000-0000-0000550B0000}"/>
    <cellStyle name="Currency 3 2 5 6 2 2" xfId="19341" xr:uid="{133F38D3-911E-4589-B1FE-6C7E414B9029}"/>
    <cellStyle name="Currency 3 2 5 6 3" xfId="15130" xr:uid="{4E9E5615-EE13-444B-8FBD-07B0528CC943}"/>
    <cellStyle name="Currency 3 2 5 6 4" xfId="24380" xr:uid="{A69EEA5C-15C3-4DBE-8B6A-4F3BE5231A60}"/>
    <cellStyle name="Currency 3 2 5 6 5" xfId="10919" xr:uid="{FD8623FF-8D82-4E1E-8510-8FC7571C0323}"/>
    <cellStyle name="Currency 3 2 5 7" xfId="2719" xr:uid="{00000000-0005-0000-0000-0000560B0000}"/>
    <cellStyle name="Currency 3 2 5 8" xfId="2800" xr:uid="{00000000-0005-0000-0000-0000570B0000}"/>
    <cellStyle name="Currency 3 2 5 8 2" xfId="7025" xr:uid="{00000000-0005-0000-0000-0000580B0000}"/>
    <cellStyle name="Currency 3 2 5 8 2 2" xfId="19658" xr:uid="{EC443E25-A938-4A00-BAB2-20FCA4D218C1}"/>
    <cellStyle name="Currency 3 2 5 8 3" xfId="15447" xr:uid="{A2F3040B-F765-4E61-B451-DAF075DFFD55}"/>
    <cellStyle name="Currency 3 2 5 8 4" xfId="24697" xr:uid="{5B64D002-4265-46D4-90B3-530E601ABF56}"/>
    <cellStyle name="Currency 3 2 5 8 5" xfId="11236" xr:uid="{E65BEA78-C121-4DB2-A472-77C0DEAC1145}"/>
    <cellStyle name="Currency 3 2 5 9" xfId="4642" xr:uid="{00000000-0005-0000-0000-0000590B0000}"/>
    <cellStyle name="Currency 3 2 5 9 2" xfId="17275" xr:uid="{37EE3DD2-6D8F-41C5-8033-CBDC5CCE295D}"/>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9659" xr:uid="{0C65B3BB-10E1-4E51-B77D-B5F81C0CE2C2}"/>
    <cellStyle name="Currency 5 2 2 2 10 3" xfId="15448" xr:uid="{96368A82-E5D2-41E7-B8E9-658A7C02ACE8}"/>
    <cellStyle name="Currency 5 2 2 2 10 4" xfId="24698" xr:uid="{984C3FFE-3E73-4C68-99A6-968660A77B22}"/>
    <cellStyle name="Currency 5 2 2 2 10 5" xfId="11237" xr:uid="{EACD6160-8346-44CC-A244-A2F9DEDC7052}"/>
    <cellStyle name="Currency 5 2 2 2 11" xfId="4643" xr:uid="{00000000-0005-0000-0000-00006C0B0000}"/>
    <cellStyle name="Currency 5 2 2 2 11 2" xfId="17276" xr:uid="{FB690FC0-C5DB-4271-883F-C1C588BC4E25}"/>
    <cellStyle name="Currency 5 2 2 2 12" xfId="21487" xr:uid="{935A6442-A68B-403A-A8EB-FAABA5CDBD57}"/>
    <cellStyle name="Currency 5 2 2 2 13" xfId="13065" xr:uid="{1DB1B50F-871B-49D1-9343-F993D58A9327}"/>
    <cellStyle name="Currency 5 2 2 2 14" xfId="22315" xr:uid="{C22AA0AA-82AF-44FB-8DC4-23CE2D730F9B}"/>
    <cellStyle name="Currency 5 2 2 2 15" xfId="8854" xr:uid="{0CA24D27-25AC-430E-B2BE-424C53CA9C55}"/>
    <cellStyle name="Currency 5 2 2 2 2" xfId="197" xr:uid="{00000000-0005-0000-0000-00006D0B0000}"/>
    <cellStyle name="Currency 5 2 2 2 2 10" xfId="4644" xr:uid="{00000000-0005-0000-0000-00006E0B0000}"/>
    <cellStyle name="Currency 5 2 2 2 2 10 2" xfId="17277" xr:uid="{F9515961-61AA-431D-9D42-1AFED1F960EF}"/>
    <cellStyle name="Currency 5 2 2 2 2 11" xfId="21488" xr:uid="{E3280323-9E64-46F5-AC1B-CA26D0776826}"/>
    <cellStyle name="Currency 5 2 2 2 2 12" xfId="13066" xr:uid="{19EA4BDD-080A-4C66-8724-9DF197FAEABE}"/>
    <cellStyle name="Currency 5 2 2 2 2 13" xfId="22316" xr:uid="{9CE83464-A23D-47E8-A107-A660CF513723}"/>
    <cellStyle name="Currency 5 2 2 2 2 14" xfId="8855" xr:uid="{B662B882-2085-47C9-87D9-C28BBE82F419}"/>
    <cellStyle name="Currency 5 2 2 2 2 2" xfId="198" xr:uid="{00000000-0005-0000-0000-00006F0B0000}"/>
    <cellStyle name="Currency 5 2 2 2 2 2 10" xfId="21489" xr:uid="{80C60879-2DAD-464B-9EF7-3B5756A3C760}"/>
    <cellStyle name="Currency 5 2 2 2 2 2 11" xfId="13067" xr:uid="{126B545B-8EAF-4EB3-A5A6-8AAC0F0BEBA7}"/>
    <cellStyle name="Currency 5 2 2 2 2 2 12" xfId="22317" xr:uid="{1EE1D9D1-C5C2-497C-8048-85DA037B5EBC}"/>
    <cellStyle name="Currency 5 2 2 2 2 2 13" xfId="8856" xr:uid="{C1BFEAE5-F0A3-4CB1-8C39-9AAEBE385BE9}"/>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9837" xr:uid="{19777948-B7C3-4EEC-8BDD-DF41643F2538}"/>
    <cellStyle name="Currency 5 2 2 2 2 2 2 2 3" xfId="15626" xr:uid="{4B6C463F-36DA-443A-A48C-295942A902A6}"/>
    <cellStyle name="Currency 5 2 2 2 2 2 2 2 4" xfId="24876" xr:uid="{2269095D-0F5A-40AB-BD3C-C4D27B0928BC}"/>
    <cellStyle name="Currency 5 2 2 2 2 2 2 2 5" xfId="11415" xr:uid="{46BE0751-28BD-402C-95C7-E444E3D59E41}"/>
    <cellStyle name="Currency 5 2 2 2 2 2 2 3" xfId="5059" xr:uid="{00000000-0005-0000-0000-0000730B0000}"/>
    <cellStyle name="Currency 5 2 2 2 2 2 2 3 2" xfId="17692" xr:uid="{A56A2CE1-BF88-4827-A65F-DC4885080EF0}"/>
    <cellStyle name="Currency 5 2 2 2 2 2 2 4" xfId="21902" xr:uid="{8C330A15-90B5-45CB-8B5F-37F2911FD28C}"/>
    <cellStyle name="Currency 5 2 2 2 2 2 2 5" xfId="13481" xr:uid="{B1D5BE4D-8EEB-4482-B74A-0E82995D8B4C}"/>
    <cellStyle name="Currency 5 2 2 2 2 2 2 6" xfId="22731" xr:uid="{C548E0CE-1DFB-4A81-9B54-F060A5C01BFB}"/>
    <cellStyle name="Currency 5 2 2 2 2 2 2 7" xfId="9270" xr:uid="{1727EE6C-337A-447C-9082-F6C21D077E3A}"/>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20250" xr:uid="{90C9CC12-056F-43CD-B053-0100B62A5BF8}"/>
    <cellStyle name="Currency 5 2 2 2 2 2 3 2 3" xfId="16039" xr:uid="{44CBBAD6-173A-4288-8765-9A44D77D5D97}"/>
    <cellStyle name="Currency 5 2 2 2 2 2 3 2 4" xfId="25289" xr:uid="{E9C6BD70-DBFD-4109-BD0F-D698A3B59444}"/>
    <cellStyle name="Currency 5 2 2 2 2 2 3 2 5" xfId="11828" xr:uid="{423AC09E-7DDE-43C8-A1B9-7185F8043D96}"/>
    <cellStyle name="Currency 5 2 2 2 2 2 3 3" xfId="5472" xr:uid="{00000000-0005-0000-0000-0000770B0000}"/>
    <cellStyle name="Currency 5 2 2 2 2 2 3 3 2" xfId="18105" xr:uid="{91AB74D9-3BF4-4FD7-A2D9-0697D2C1CDC0}"/>
    <cellStyle name="Currency 5 2 2 2 2 2 3 4" xfId="13894" xr:uid="{498C9A8A-A139-4843-9E0F-81157889565E}"/>
    <cellStyle name="Currency 5 2 2 2 2 2 3 5" xfId="23144" xr:uid="{D5FB761C-98D1-4A50-825B-B4F9DBFAF308}"/>
    <cellStyle name="Currency 5 2 2 2 2 2 3 6" xfId="9683" xr:uid="{DA3132DD-B204-4FB3-9896-B494CB439A3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20663" xr:uid="{FB20954B-F4FA-4F46-AE1D-C66E54271922}"/>
    <cellStyle name="Currency 5 2 2 2 2 2 4 2 3" xfId="16452" xr:uid="{38D84EB3-D914-455F-9C9B-2543128623B3}"/>
    <cellStyle name="Currency 5 2 2 2 2 2 4 2 4" xfId="25702" xr:uid="{363D4BA6-3EDD-4FFF-8DD2-D49683D6D830}"/>
    <cellStyle name="Currency 5 2 2 2 2 2 4 2 5" xfId="12241" xr:uid="{780F69A3-1A91-4305-A477-2D32AFC94CCD}"/>
    <cellStyle name="Currency 5 2 2 2 2 2 4 3" xfId="5885" xr:uid="{00000000-0005-0000-0000-00007B0B0000}"/>
    <cellStyle name="Currency 5 2 2 2 2 2 4 3 2" xfId="18518" xr:uid="{B4D4CE60-5577-480E-97FB-0086287891B2}"/>
    <cellStyle name="Currency 5 2 2 2 2 2 4 4" xfId="14307" xr:uid="{8B2CC6F1-ADBC-47C4-8F22-E77C49D2F3C2}"/>
    <cellStyle name="Currency 5 2 2 2 2 2 4 5" xfId="23557" xr:uid="{DBE6F601-9573-4DAA-9607-2DD1385682CA}"/>
    <cellStyle name="Currency 5 2 2 2 2 2 4 6" xfId="10096" xr:uid="{3C58EA2D-608D-448C-89AD-91EB8E9260D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21076" xr:uid="{6C24989A-D1AD-459B-8D8F-E08B1F45C26C}"/>
    <cellStyle name="Currency 5 2 2 2 2 2 5 2 3" xfId="16865" xr:uid="{1329CE0C-58D0-45CD-8F58-D2FB438EFF26}"/>
    <cellStyle name="Currency 5 2 2 2 2 2 5 2 4" xfId="26115" xr:uid="{BEA28D94-80E0-4B32-BAC4-CC193197406D}"/>
    <cellStyle name="Currency 5 2 2 2 2 2 5 2 5" xfId="12654" xr:uid="{8336E5FA-1C98-4251-A7AF-6AD93E0E264B}"/>
    <cellStyle name="Currency 5 2 2 2 2 2 5 3" xfId="6298" xr:uid="{00000000-0005-0000-0000-00007F0B0000}"/>
    <cellStyle name="Currency 5 2 2 2 2 2 5 3 2" xfId="18931" xr:uid="{D9D15A75-A38C-404A-8D97-DE22C1439C8E}"/>
    <cellStyle name="Currency 5 2 2 2 2 2 5 4" xfId="14720" xr:uid="{3A007C17-EB57-485A-B781-96E5BA5172AF}"/>
    <cellStyle name="Currency 5 2 2 2 2 2 5 5" xfId="23970" xr:uid="{CE041E48-26CF-4EB8-A8CC-EA880154C727}"/>
    <cellStyle name="Currency 5 2 2 2 2 2 5 6" xfId="10509" xr:uid="{C56EB513-1A05-4071-9AD1-BCACF8577A0B}"/>
    <cellStyle name="Currency 5 2 2 2 2 2 6" xfId="2425" xr:uid="{00000000-0005-0000-0000-0000800B0000}"/>
    <cellStyle name="Currency 5 2 2 2 2 2 6 2" xfId="6711" xr:uid="{00000000-0005-0000-0000-0000810B0000}"/>
    <cellStyle name="Currency 5 2 2 2 2 2 6 2 2" xfId="19344" xr:uid="{D8BAB3C4-1B46-4178-8727-ECB345642EE9}"/>
    <cellStyle name="Currency 5 2 2 2 2 2 6 3" xfId="15133" xr:uid="{02B6966E-9F9D-4D87-822F-6F80CDDCE39E}"/>
    <cellStyle name="Currency 5 2 2 2 2 2 6 4" xfId="24383" xr:uid="{11A04F7F-D03E-417C-B292-826D7DD958E1}"/>
    <cellStyle name="Currency 5 2 2 2 2 2 6 5" xfId="10922" xr:uid="{EE51E29C-5CCD-4F14-8D64-B11F197B3D13}"/>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9661" xr:uid="{4F809A9E-F917-4B8F-AC24-52C076F05470}"/>
    <cellStyle name="Currency 5 2 2 2 2 2 8 3" xfId="15450" xr:uid="{120291FE-48A2-4E2F-8663-E18B04204AB0}"/>
    <cellStyle name="Currency 5 2 2 2 2 2 8 4" xfId="24700" xr:uid="{D8CC29CC-D871-4B11-982B-218CD5F97E38}"/>
    <cellStyle name="Currency 5 2 2 2 2 2 8 5" xfId="11239" xr:uid="{FB50D840-1CF9-4F08-AE9F-ADB4EED03A42}"/>
    <cellStyle name="Currency 5 2 2 2 2 2 9" xfId="4645" xr:uid="{00000000-0005-0000-0000-0000850B0000}"/>
    <cellStyle name="Currency 5 2 2 2 2 2 9 2" xfId="17278" xr:uid="{076E948A-410B-496A-B5A1-5216FEAA9D45}"/>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9836" xr:uid="{62C47605-1DFF-4FD8-8960-975A538FEB79}"/>
    <cellStyle name="Currency 5 2 2 2 2 3 2 3" xfId="15625" xr:uid="{B2CF55E6-141F-48A3-99E8-D3755AE0A22E}"/>
    <cellStyle name="Currency 5 2 2 2 2 3 2 4" xfId="24875" xr:uid="{A0EACDA6-81A4-480F-A05A-72BE8044D42C}"/>
    <cellStyle name="Currency 5 2 2 2 2 3 2 5" xfId="11414" xr:uid="{E844F744-06C7-4EDA-96CD-65DDF02208FD}"/>
    <cellStyle name="Currency 5 2 2 2 2 3 3" xfId="5058" xr:uid="{00000000-0005-0000-0000-0000890B0000}"/>
    <cellStyle name="Currency 5 2 2 2 2 3 3 2" xfId="17691" xr:uid="{54BBB1FA-3E22-4D14-A0CF-B0A82C47017D}"/>
    <cellStyle name="Currency 5 2 2 2 2 3 4" xfId="21901" xr:uid="{DDC763B6-8FE0-4AB0-BDD9-219824C1C657}"/>
    <cellStyle name="Currency 5 2 2 2 2 3 5" xfId="13480" xr:uid="{8F744A31-3E10-4A88-8933-95E9FD5DF324}"/>
    <cellStyle name="Currency 5 2 2 2 2 3 6" xfId="22730" xr:uid="{6DE1437B-521B-4D13-99BA-B225F476F937}"/>
    <cellStyle name="Currency 5 2 2 2 2 3 7" xfId="9269" xr:uid="{173C1E4E-6065-472E-B6EA-9BC0BC0C588C}"/>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20249" xr:uid="{510E0BBD-E57B-4B7B-BD6C-582FB22BADEA}"/>
    <cellStyle name="Currency 5 2 2 2 2 4 2 3" xfId="16038" xr:uid="{C019566A-6001-4BF3-907B-B080CB16721F}"/>
    <cellStyle name="Currency 5 2 2 2 2 4 2 4" xfId="25288" xr:uid="{E94BB34D-B768-4DEF-8D09-3C30497AC539}"/>
    <cellStyle name="Currency 5 2 2 2 2 4 2 5" xfId="11827" xr:uid="{9044C0B8-90B9-44B7-9F64-D19A3322D61A}"/>
    <cellStyle name="Currency 5 2 2 2 2 4 3" xfId="5471" xr:uid="{00000000-0005-0000-0000-00008D0B0000}"/>
    <cellStyle name="Currency 5 2 2 2 2 4 3 2" xfId="18104" xr:uid="{906ECBD0-DA7F-4156-A23E-FCBC13A75182}"/>
    <cellStyle name="Currency 5 2 2 2 2 4 4" xfId="13893" xr:uid="{603820BC-F787-4763-9329-BC1CEA81B317}"/>
    <cellStyle name="Currency 5 2 2 2 2 4 5" xfId="23143" xr:uid="{2EF04453-A74E-4DC3-962A-6F9CDE6A0FC9}"/>
    <cellStyle name="Currency 5 2 2 2 2 4 6" xfId="9682" xr:uid="{337BCEC3-6EB7-407C-95F1-1D326E870867}"/>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20662" xr:uid="{FAD15EE2-3BA8-40AF-8DA8-5356D546BA22}"/>
    <cellStyle name="Currency 5 2 2 2 2 5 2 3" xfId="16451" xr:uid="{7B447101-97C7-4B50-A6F5-89B4DD266CD9}"/>
    <cellStyle name="Currency 5 2 2 2 2 5 2 4" xfId="25701" xr:uid="{C06FA09B-F301-4269-9CBC-3A8B833E769D}"/>
    <cellStyle name="Currency 5 2 2 2 2 5 2 5" xfId="12240" xr:uid="{30FC5B4F-1A55-4E2B-9313-EBFADA5B1B04}"/>
    <cellStyle name="Currency 5 2 2 2 2 5 3" xfId="5884" xr:uid="{00000000-0005-0000-0000-0000910B0000}"/>
    <cellStyle name="Currency 5 2 2 2 2 5 3 2" xfId="18517" xr:uid="{41D3BECC-B925-40AD-BE31-FBDEB256D6C0}"/>
    <cellStyle name="Currency 5 2 2 2 2 5 4" xfId="14306" xr:uid="{169F8500-4BEC-4FDB-87B4-4C8AB58DB247}"/>
    <cellStyle name="Currency 5 2 2 2 2 5 5" xfId="23556" xr:uid="{FA5C0DF3-D912-4880-99C6-DFE36EA8D7A4}"/>
    <cellStyle name="Currency 5 2 2 2 2 5 6" xfId="10095" xr:uid="{BECF9459-30A2-40A1-9BA9-A46E7E7CB768}"/>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21075" xr:uid="{25CA932E-1F2A-487F-A42F-4CC6A4DAFB2A}"/>
    <cellStyle name="Currency 5 2 2 2 2 6 2 3" xfId="16864" xr:uid="{6865236D-CEB6-47AD-8992-814B7AAEE8FE}"/>
    <cellStyle name="Currency 5 2 2 2 2 6 2 4" xfId="26114" xr:uid="{5CEBA865-F893-4E9D-BF6D-87256637133E}"/>
    <cellStyle name="Currency 5 2 2 2 2 6 2 5" xfId="12653" xr:uid="{D2B08979-186F-4EA5-AE4B-6013EF70404F}"/>
    <cellStyle name="Currency 5 2 2 2 2 6 3" xfId="6297" xr:uid="{00000000-0005-0000-0000-0000950B0000}"/>
    <cellStyle name="Currency 5 2 2 2 2 6 3 2" xfId="18930" xr:uid="{BD3A9064-D6EC-4010-A6B7-2D64948336F6}"/>
    <cellStyle name="Currency 5 2 2 2 2 6 4" xfId="14719" xr:uid="{70055DFF-DF4F-4722-AFE4-4354116764EF}"/>
    <cellStyle name="Currency 5 2 2 2 2 6 5" xfId="23969" xr:uid="{810217A7-ACE2-4FB2-95D7-F249A00269C5}"/>
    <cellStyle name="Currency 5 2 2 2 2 6 6" xfId="10508" xr:uid="{26A6AE8E-9D3B-42E8-83A4-ED23AA1A16B1}"/>
    <cellStyle name="Currency 5 2 2 2 2 7" xfId="2424" xr:uid="{00000000-0005-0000-0000-0000960B0000}"/>
    <cellStyle name="Currency 5 2 2 2 2 7 2" xfId="6710" xr:uid="{00000000-0005-0000-0000-0000970B0000}"/>
    <cellStyle name="Currency 5 2 2 2 2 7 2 2" xfId="19343" xr:uid="{125354F8-87FF-4BC7-BA96-2B6F2AE660A7}"/>
    <cellStyle name="Currency 5 2 2 2 2 7 3" xfId="15132" xr:uid="{99E051EB-6930-4F4E-82D9-FE1FE1593B6D}"/>
    <cellStyle name="Currency 5 2 2 2 2 7 4" xfId="24382" xr:uid="{E03A124F-3341-41FF-AD41-332C38FB048B}"/>
    <cellStyle name="Currency 5 2 2 2 2 7 5" xfId="10921" xr:uid="{F6243072-8906-4197-A1DE-16F535099A8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9660" xr:uid="{B46D83FD-EB2C-463C-8279-920D91165533}"/>
    <cellStyle name="Currency 5 2 2 2 2 9 3" xfId="15449" xr:uid="{2F6E3372-C3E5-493D-B177-61A66789087E}"/>
    <cellStyle name="Currency 5 2 2 2 2 9 4" xfId="24699" xr:uid="{450AC4B5-0F9D-42BA-9030-AEC469650439}"/>
    <cellStyle name="Currency 5 2 2 2 2 9 5" xfId="11238" xr:uid="{4D69E915-BA69-440D-82C6-B8D4BE78CC0A}"/>
    <cellStyle name="Currency 5 2 2 2 3" xfId="199" xr:uid="{00000000-0005-0000-0000-00009B0B0000}"/>
    <cellStyle name="Currency 5 2 2 2 3 10" xfId="21490" xr:uid="{CCE6DA15-6F8C-4CE6-9089-1A7A0F59E614}"/>
    <cellStyle name="Currency 5 2 2 2 3 11" xfId="13068" xr:uid="{E272A6AD-3BD6-4254-8F51-3EC566878DB1}"/>
    <cellStyle name="Currency 5 2 2 2 3 12" xfId="22318" xr:uid="{08CF2E34-E9DA-40A4-8E60-9F5552A5F341}"/>
    <cellStyle name="Currency 5 2 2 2 3 13" xfId="8857" xr:uid="{F90B637D-9726-4C7F-8DDD-D4230019D592}"/>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9838" xr:uid="{B0555877-A029-4055-A6D7-283291CA8484}"/>
    <cellStyle name="Currency 5 2 2 2 3 2 2 3" xfId="15627" xr:uid="{8F13C92A-90E9-4B90-BD0B-464F9A43F1C2}"/>
    <cellStyle name="Currency 5 2 2 2 3 2 2 4" xfId="24877" xr:uid="{B41B2184-671C-4BD3-B2C7-5FFD65D96EF5}"/>
    <cellStyle name="Currency 5 2 2 2 3 2 2 5" xfId="11416" xr:uid="{456BD98D-7E3A-459C-B48E-E4ECB280D10C}"/>
    <cellStyle name="Currency 5 2 2 2 3 2 3" xfId="5060" xr:uid="{00000000-0005-0000-0000-00009F0B0000}"/>
    <cellStyle name="Currency 5 2 2 2 3 2 3 2" xfId="17693" xr:uid="{FC3C81D0-76DA-4DB3-92FB-2E97216B55A3}"/>
    <cellStyle name="Currency 5 2 2 2 3 2 4" xfId="21903" xr:uid="{5AE40AA2-383F-47A4-8A34-84164CAFA168}"/>
    <cellStyle name="Currency 5 2 2 2 3 2 5" xfId="13482" xr:uid="{437F82E6-A6DF-4D9A-88CB-2869A87008EC}"/>
    <cellStyle name="Currency 5 2 2 2 3 2 6" xfId="22732" xr:uid="{67ACED1A-BDA8-4720-95CE-57B843A4C7D8}"/>
    <cellStyle name="Currency 5 2 2 2 3 2 7" xfId="9271" xr:uid="{7AF2672E-5445-41AB-A0A6-EAFA0A9C71DC}"/>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20251" xr:uid="{E93B628A-946B-4F2E-9868-261103740923}"/>
    <cellStyle name="Currency 5 2 2 2 3 3 2 3" xfId="16040" xr:uid="{48405E96-6073-4A8B-85A4-DAF7180F66E7}"/>
    <cellStyle name="Currency 5 2 2 2 3 3 2 4" xfId="25290" xr:uid="{C9916D99-0D19-45A5-8FF4-229C592E567C}"/>
    <cellStyle name="Currency 5 2 2 2 3 3 2 5" xfId="11829" xr:uid="{7F477890-0077-4EC2-8BCD-5885647F7BD7}"/>
    <cellStyle name="Currency 5 2 2 2 3 3 3" xfId="5473" xr:uid="{00000000-0005-0000-0000-0000A30B0000}"/>
    <cellStyle name="Currency 5 2 2 2 3 3 3 2" xfId="18106" xr:uid="{F21E8F66-3299-48C3-99F5-371FFC3CFA15}"/>
    <cellStyle name="Currency 5 2 2 2 3 3 4" xfId="13895" xr:uid="{93874127-6DFF-4943-A50A-01E090B0EC33}"/>
    <cellStyle name="Currency 5 2 2 2 3 3 5" xfId="23145" xr:uid="{443BA268-D324-49BA-A40F-F1822E0FCFF5}"/>
    <cellStyle name="Currency 5 2 2 2 3 3 6" xfId="9684" xr:uid="{846EF224-E324-46AF-A3E0-3A93F54EEB52}"/>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20664" xr:uid="{EA49E8CC-C996-42EB-B28F-8BED8E2B361B}"/>
    <cellStyle name="Currency 5 2 2 2 3 4 2 3" xfId="16453" xr:uid="{49F774E5-53F2-426A-AEF9-F0262F5D033B}"/>
    <cellStyle name="Currency 5 2 2 2 3 4 2 4" xfId="25703" xr:uid="{DCD7B043-AFB5-40E5-8442-F24D2B24149A}"/>
    <cellStyle name="Currency 5 2 2 2 3 4 2 5" xfId="12242" xr:uid="{2AB91F76-212D-479D-9585-1C50C1CF651A}"/>
    <cellStyle name="Currency 5 2 2 2 3 4 3" xfId="5886" xr:uid="{00000000-0005-0000-0000-0000A70B0000}"/>
    <cellStyle name="Currency 5 2 2 2 3 4 3 2" xfId="18519" xr:uid="{9E141EEF-F677-473C-B833-CDB8A525DF03}"/>
    <cellStyle name="Currency 5 2 2 2 3 4 4" xfId="14308" xr:uid="{DEEB1F65-FEDE-43AE-9C35-DF9259FB0CAA}"/>
    <cellStyle name="Currency 5 2 2 2 3 4 5" xfId="23558" xr:uid="{19A86B6E-2231-4FE5-91E1-E49F6A2B6EA7}"/>
    <cellStyle name="Currency 5 2 2 2 3 4 6" xfId="10097" xr:uid="{B95D3756-82A4-40FA-9FD4-28162DB04AFF}"/>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21077" xr:uid="{CACE4CAD-61A4-4401-A21D-A6D1AF220063}"/>
    <cellStyle name="Currency 5 2 2 2 3 5 2 3" xfId="16866" xr:uid="{5139B53B-8E1C-489B-8130-E7C940FE38F3}"/>
    <cellStyle name="Currency 5 2 2 2 3 5 2 4" xfId="26116" xr:uid="{AA0C8E47-197D-4BA8-8465-A279E28B7B06}"/>
    <cellStyle name="Currency 5 2 2 2 3 5 2 5" xfId="12655" xr:uid="{528D44EF-698D-4A1A-AC42-D927A507F410}"/>
    <cellStyle name="Currency 5 2 2 2 3 5 3" xfId="6299" xr:uid="{00000000-0005-0000-0000-0000AB0B0000}"/>
    <cellStyle name="Currency 5 2 2 2 3 5 3 2" xfId="18932" xr:uid="{E8AE5704-CB47-40A6-94D1-2DB77F134B84}"/>
    <cellStyle name="Currency 5 2 2 2 3 5 4" xfId="14721" xr:uid="{9E32F6BD-64E1-4590-9767-C4010A21CD83}"/>
    <cellStyle name="Currency 5 2 2 2 3 5 5" xfId="23971" xr:uid="{DB91351B-0015-4C5B-838B-A2889E69DAF2}"/>
    <cellStyle name="Currency 5 2 2 2 3 5 6" xfId="10510" xr:uid="{DF36933A-1222-4E60-B6C3-349F8954E914}"/>
    <cellStyle name="Currency 5 2 2 2 3 6" xfId="2426" xr:uid="{00000000-0005-0000-0000-0000AC0B0000}"/>
    <cellStyle name="Currency 5 2 2 2 3 6 2" xfId="6712" xr:uid="{00000000-0005-0000-0000-0000AD0B0000}"/>
    <cellStyle name="Currency 5 2 2 2 3 6 2 2" xfId="19345" xr:uid="{D5035C2B-ABC8-4BD4-823B-BCEB37DADDCF}"/>
    <cellStyle name="Currency 5 2 2 2 3 6 3" xfId="15134" xr:uid="{3B20B95C-4AB1-4B52-980F-F06D5447FDF1}"/>
    <cellStyle name="Currency 5 2 2 2 3 6 4" xfId="24384" xr:uid="{694A5CED-743E-4E4F-A352-4FE9038AC1AD}"/>
    <cellStyle name="Currency 5 2 2 2 3 6 5" xfId="10923" xr:uid="{7D317553-0914-4B54-A2F1-D07C00D78D5A}"/>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9662" xr:uid="{E861E3F6-42E4-4414-B5F5-795668E2BF48}"/>
    <cellStyle name="Currency 5 2 2 2 3 8 3" xfId="15451" xr:uid="{AA599BBF-7486-4243-BD6D-299C5AB13C38}"/>
    <cellStyle name="Currency 5 2 2 2 3 8 4" xfId="24701" xr:uid="{D11EEF53-7D89-4927-AC1B-D8791AB10041}"/>
    <cellStyle name="Currency 5 2 2 2 3 8 5" xfId="11240" xr:uid="{2A020CF7-2576-4BB0-879F-AD8CC05D4821}"/>
    <cellStyle name="Currency 5 2 2 2 3 9" xfId="4646" xr:uid="{00000000-0005-0000-0000-0000B10B0000}"/>
    <cellStyle name="Currency 5 2 2 2 3 9 2" xfId="17279" xr:uid="{072B3A93-BBCC-40A6-ABB5-49CEAC25C121}"/>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9835" xr:uid="{37476128-D7AB-4474-BCD7-BE76CB070BB1}"/>
    <cellStyle name="Currency 5 2 2 2 4 2 3" xfId="15624" xr:uid="{89923D73-A800-4361-B38F-C110C38C35B1}"/>
    <cellStyle name="Currency 5 2 2 2 4 2 4" xfId="24874" xr:uid="{BFF4ACB1-BE5C-4039-8A49-3F1974562B51}"/>
    <cellStyle name="Currency 5 2 2 2 4 2 5" xfId="11413" xr:uid="{8BCE4182-710E-44E5-A2E6-DF7CA1730B2D}"/>
    <cellStyle name="Currency 5 2 2 2 4 3" xfId="5057" xr:uid="{00000000-0005-0000-0000-0000B50B0000}"/>
    <cellStyle name="Currency 5 2 2 2 4 3 2" xfId="17690" xr:uid="{2A737934-9ECA-4032-8CB7-5976615C0404}"/>
    <cellStyle name="Currency 5 2 2 2 4 4" xfId="21900" xr:uid="{433DC65E-5369-438A-9B61-C9939746BA9B}"/>
    <cellStyle name="Currency 5 2 2 2 4 5" xfId="13479" xr:uid="{B2466BF8-6C4D-4107-8393-1ACDF1866DEE}"/>
    <cellStyle name="Currency 5 2 2 2 4 6" xfId="22729" xr:uid="{C2234FA5-EC38-46D3-A68B-94F18D0FA0BF}"/>
    <cellStyle name="Currency 5 2 2 2 4 7" xfId="9268" xr:uid="{6A2E413D-70C8-4BDC-AE75-2D667766086F}"/>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20248" xr:uid="{908B9C62-9DD7-43BC-BF21-AD02D55059C3}"/>
    <cellStyle name="Currency 5 2 2 2 5 2 3" xfId="16037" xr:uid="{12D3DDE2-16D3-4E5B-B7AC-E7478540472D}"/>
    <cellStyle name="Currency 5 2 2 2 5 2 4" xfId="25287" xr:uid="{01935CE3-340F-4BA8-A1C2-E009E161DF53}"/>
    <cellStyle name="Currency 5 2 2 2 5 2 5" xfId="11826" xr:uid="{75E48467-6CE2-4187-8A5F-E23A922AEA87}"/>
    <cellStyle name="Currency 5 2 2 2 5 3" xfId="5470" xr:uid="{00000000-0005-0000-0000-0000B90B0000}"/>
    <cellStyle name="Currency 5 2 2 2 5 3 2" xfId="18103" xr:uid="{F561F0A2-ACB7-4504-B53B-C247A12B7ADD}"/>
    <cellStyle name="Currency 5 2 2 2 5 4" xfId="13892" xr:uid="{CD7C8F94-56CC-409D-8A60-9CA70A246CB6}"/>
    <cellStyle name="Currency 5 2 2 2 5 5" xfId="23142" xr:uid="{41F91AC0-C827-47B4-BF87-062C6E58CF59}"/>
    <cellStyle name="Currency 5 2 2 2 5 6" xfId="9681" xr:uid="{A60D28A6-FBF3-4980-926F-03ACDFDA2C59}"/>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20661" xr:uid="{7133B7A1-4892-44A7-A962-356FCC56E339}"/>
    <cellStyle name="Currency 5 2 2 2 6 2 3" xfId="16450" xr:uid="{9785A2B8-16F3-46BD-84A8-FDE5CD64D25D}"/>
    <cellStyle name="Currency 5 2 2 2 6 2 4" xfId="25700" xr:uid="{44B237E9-AC03-4F11-B2DF-46A7BD7E0C9E}"/>
    <cellStyle name="Currency 5 2 2 2 6 2 5" xfId="12239" xr:uid="{30530EFC-A74B-4FA7-8EB3-F7E6E5DB9340}"/>
    <cellStyle name="Currency 5 2 2 2 6 3" xfId="5883" xr:uid="{00000000-0005-0000-0000-0000BD0B0000}"/>
    <cellStyle name="Currency 5 2 2 2 6 3 2" xfId="18516" xr:uid="{10816F7B-FB99-480A-819E-57C3C4E8B6F0}"/>
    <cellStyle name="Currency 5 2 2 2 6 4" xfId="14305" xr:uid="{175EEC63-8ECD-4113-BC02-8F73D1BC02E2}"/>
    <cellStyle name="Currency 5 2 2 2 6 5" xfId="23555" xr:uid="{C4A98D6C-113E-4FAF-B8DF-E69F6DBCE2E3}"/>
    <cellStyle name="Currency 5 2 2 2 6 6" xfId="10094" xr:uid="{A4664DB2-A4ED-421C-A7BC-528712EC2871}"/>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21074" xr:uid="{3AD5E2F2-3FCA-4A10-A1A3-97A1C7BCE3F1}"/>
    <cellStyle name="Currency 5 2 2 2 7 2 3" xfId="16863" xr:uid="{2D661382-D93C-49D9-8AC6-18CEADE51697}"/>
    <cellStyle name="Currency 5 2 2 2 7 2 4" xfId="26113" xr:uid="{895D6B31-97E7-44A7-874A-FBDE0B305933}"/>
    <cellStyle name="Currency 5 2 2 2 7 2 5" xfId="12652" xr:uid="{04B25690-C9CD-477C-997E-2B4C42AFB927}"/>
    <cellStyle name="Currency 5 2 2 2 7 3" xfId="6296" xr:uid="{00000000-0005-0000-0000-0000C10B0000}"/>
    <cellStyle name="Currency 5 2 2 2 7 3 2" xfId="18929" xr:uid="{7A51586A-6FFA-4A12-A546-09111B36E9EA}"/>
    <cellStyle name="Currency 5 2 2 2 7 4" xfId="14718" xr:uid="{EA179007-E203-4919-911B-02A11C910D02}"/>
    <cellStyle name="Currency 5 2 2 2 7 5" xfId="23968" xr:uid="{629E9BF2-18FF-4B9A-AA6A-B6C5C7906915}"/>
    <cellStyle name="Currency 5 2 2 2 7 6" xfId="10507" xr:uid="{5CE884EE-D380-42F2-AB3A-A0D635A97D79}"/>
    <cellStyle name="Currency 5 2 2 2 8" xfId="2423" xr:uid="{00000000-0005-0000-0000-0000C20B0000}"/>
    <cellStyle name="Currency 5 2 2 2 8 2" xfId="6709" xr:uid="{00000000-0005-0000-0000-0000C30B0000}"/>
    <cellStyle name="Currency 5 2 2 2 8 2 2" xfId="19342" xr:uid="{724F6552-A791-4792-B1EB-1027A3A43620}"/>
    <cellStyle name="Currency 5 2 2 2 8 3" xfId="15131" xr:uid="{80C2AD5C-A72E-4231-909D-D96293A9DBCA}"/>
    <cellStyle name="Currency 5 2 2 2 8 4" xfId="24381" xr:uid="{7A937E99-4B6B-4395-A8A5-9E920DE11DF1}"/>
    <cellStyle name="Currency 5 2 2 2 8 5" xfId="10920" xr:uid="{3F5E7DAF-5D08-4929-8312-CFF74A9EF1F1}"/>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7280" xr:uid="{02145DDD-6C01-4BFA-8FDB-A6EE32BF9A6D}"/>
    <cellStyle name="Currency 5 2 2 3 11" xfId="21491" xr:uid="{8A00B522-E944-4697-ABA2-CABE277BB738}"/>
    <cellStyle name="Currency 5 2 2 3 12" xfId="13069" xr:uid="{6FB2A0EA-242F-4F77-B85E-3741F20BD030}"/>
    <cellStyle name="Currency 5 2 2 3 13" xfId="22319" xr:uid="{B5326DB7-E44B-4369-AAA5-B63C2E693731}"/>
    <cellStyle name="Currency 5 2 2 3 14" xfId="8858" xr:uid="{B5D2F674-9DA4-41A2-BE77-1386C6126A53}"/>
    <cellStyle name="Currency 5 2 2 3 2" xfId="201" xr:uid="{00000000-0005-0000-0000-0000C70B0000}"/>
    <cellStyle name="Currency 5 2 2 3 2 10" xfId="21492" xr:uid="{1CC234ED-ADCE-49BD-8253-6A0A809D3D54}"/>
    <cellStyle name="Currency 5 2 2 3 2 11" xfId="13070" xr:uid="{372D4399-9521-46D1-A8D0-771676F747EB}"/>
    <cellStyle name="Currency 5 2 2 3 2 12" xfId="22320" xr:uid="{09760550-D486-401C-BFD0-0182319EA904}"/>
    <cellStyle name="Currency 5 2 2 3 2 13" xfId="8859" xr:uid="{08B5CDF0-8E6F-4AED-A668-13FA5A602812}"/>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9840" xr:uid="{47010833-0766-4080-800A-165B9FC44DE5}"/>
    <cellStyle name="Currency 5 2 2 3 2 2 2 3" xfId="15629" xr:uid="{ED2603FC-E0DC-4647-83CF-CDCC368505D8}"/>
    <cellStyle name="Currency 5 2 2 3 2 2 2 4" xfId="24879" xr:uid="{335139E9-F592-428F-97A1-F726CFA95ADE}"/>
    <cellStyle name="Currency 5 2 2 3 2 2 2 5" xfId="11418" xr:uid="{861798E5-547C-4648-8465-87FD920EAEDF}"/>
    <cellStyle name="Currency 5 2 2 3 2 2 3" xfId="5062" xr:uid="{00000000-0005-0000-0000-0000CB0B0000}"/>
    <cellStyle name="Currency 5 2 2 3 2 2 3 2" xfId="17695" xr:uid="{42A7DC38-24E6-4F75-BAF8-7062C9C6AD46}"/>
    <cellStyle name="Currency 5 2 2 3 2 2 4" xfId="21905" xr:uid="{8F35AC55-7F4B-46EF-976F-3EDA6935A3EB}"/>
    <cellStyle name="Currency 5 2 2 3 2 2 5" xfId="13484" xr:uid="{5E3A8631-8A78-4BBF-A6BB-0628B1DA657E}"/>
    <cellStyle name="Currency 5 2 2 3 2 2 6" xfId="22734" xr:uid="{E62D56A0-060D-438B-8FC3-456BEC03B6F6}"/>
    <cellStyle name="Currency 5 2 2 3 2 2 7" xfId="9273" xr:uid="{CDA9533C-C9D5-4060-AC17-462CB61CE6C5}"/>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20253" xr:uid="{B8518B78-68A4-4711-93B2-B2BE0DA45273}"/>
    <cellStyle name="Currency 5 2 2 3 2 3 2 3" xfId="16042" xr:uid="{85511CAA-0D42-4F39-B099-08529E8BE8DD}"/>
    <cellStyle name="Currency 5 2 2 3 2 3 2 4" xfId="25292" xr:uid="{518E4B28-B20C-42BF-ACA4-3C78FEA76585}"/>
    <cellStyle name="Currency 5 2 2 3 2 3 2 5" xfId="11831" xr:uid="{3DAD3F78-81B8-4FF6-87B6-228541C88409}"/>
    <cellStyle name="Currency 5 2 2 3 2 3 3" xfId="5475" xr:uid="{00000000-0005-0000-0000-0000CF0B0000}"/>
    <cellStyle name="Currency 5 2 2 3 2 3 3 2" xfId="18108" xr:uid="{66950BCA-6669-42A8-AF53-C373F2B69446}"/>
    <cellStyle name="Currency 5 2 2 3 2 3 4" xfId="13897" xr:uid="{16E82E48-3390-4A1A-9FBC-2EED4ED0C6DF}"/>
    <cellStyle name="Currency 5 2 2 3 2 3 5" xfId="23147" xr:uid="{0ED35481-1E5B-49D9-BA47-FDE0C3C702B1}"/>
    <cellStyle name="Currency 5 2 2 3 2 3 6" xfId="9686" xr:uid="{9547F357-08AA-4751-9930-3DED7E72DE87}"/>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20666" xr:uid="{768B9BA8-2663-4AA6-9CD0-867E7A4AFF74}"/>
    <cellStyle name="Currency 5 2 2 3 2 4 2 3" xfId="16455" xr:uid="{26F6E7F8-E1F4-4E47-AB00-FC4CFABE912B}"/>
    <cellStyle name="Currency 5 2 2 3 2 4 2 4" xfId="25705" xr:uid="{B8A3892C-F53A-4E0B-8C7F-249C7EBCFE7A}"/>
    <cellStyle name="Currency 5 2 2 3 2 4 2 5" xfId="12244" xr:uid="{899628AE-576A-443F-A631-972224D88DC0}"/>
    <cellStyle name="Currency 5 2 2 3 2 4 3" xfId="5888" xr:uid="{00000000-0005-0000-0000-0000D30B0000}"/>
    <cellStyle name="Currency 5 2 2 3 2 4 3 2" xfId="18521" xr:uid="{EB4C291A-4CD8-4576-B6FD-A4854E6192D6}"/>
    <cellStyle name="Currency 5 2 2 3 2 4 4" xfId="14310" xr:uid="{79DF02B5-BB1C-47EC-92DB-C3E07CDA4E3B}"/>
    <cellStyle name="Currency 5 2 2 3 2 4 5" xfId="23560" xr:uid="{3846A409-9F58-4D17-A08E-859DD82B48C1}"/>
    <cellStyle name="Currency 5 2 2 3 2 4 6" xfId="10099" xr:uid="{2DB94765-CC48-44BA-A7E7-506AD71A1F03}"/>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21079" xr:uid="{99572A58-2702-4314-BD10-3CD8D11EC332}"/>
    <cellStyle name="Currency 5 2 2 3 2 5 2 3" xfId="16868" xr:uid="{7B138C3B-9C51-4EAE-8D92-14D5F287C2A2}"/>
    <cellStyle name="Currency 5 2 2 3 2 5 2 4" xfId="26118" xr:uid="{53ADE817-162B-445D-A546-C484892709C1}"/>
    <cellStyle name="Currency 5 2 2 3 2 5 2 5" xfId="12657" xr:uid="{01EA57F8-B680-4A3F-BCD3-90051E1154DF}"/>
    <cellStyle name="Currency 5 2 2 3 2 5 3" xfId="6301" xr:uid="{00000000-0005-0000-0000-0000D70B0000}"/>
    <cellStyle name="Currency 5 2 2 3 2 5 3 2" xfId="18934" xr:uid="{B4A2A3A1-CF69-48EC-978E-2EE8B4E882C1}"/>
    <cellStyle name="Currency 5 2 2 3 2 5 4" xfId="14723" xr:uid="{2068E910-65BE-4ED6-B002-705BBAF53739}"/>
    <cellStyle name="Currency 5 2 2 3 2 5 5" xfId="23973" xr:uid="{DE2C7C4B-2C48-43FA-9758-01F52469FCD6}"/>
    <cellStyle name="Currency 5 2 2 3 2 5 6" xfId="10512" xr:uid="{2A1CFB73-7A40-4587-A462-E45B6E665461}"/>
    <cellStyle name="Currency 5 2 2 3 2 6" xfId="2428" xr:uid="{00000000-0005-0000-0000-0000D80B0000}"/>
    <cellStyle name="Currency 5 2 2 3 2 6 2" xfId="6714" xr:uid="{00000000-0005-0000-0000-0000D90B0000}"/>
    <cellStyle name="Currency 5 2 2 3 2 6 2 2" xfId="19347" xr:uid="{332313DE-EA56-48A7-8222-A9775406D23F}"/>
    <cellStyle name="Currency 5 2 2 3 2 6 3" xfId="15136" xr:uid="{31719A48-5AB3-47D3-BBFA-EED5E8231387}"/>
    <cellStyle name="Currency 5 2 2 3 2 6 4" xfId="24386" xr:uid="{F360F428-0A4E-4F75-AFBA-5B108475F3C5}"/>
    <cellStyle name="Currency 5 2 2 3 2 6 5" xfId="10925" xr:uid="{F585A30A-5886-4CE0-8CF9-F0856B2B1828}"/>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9664" xr:uid="{4090CEE8-4BBF-4732-A7E7-B3964810F524}"/>
    <cellStyle name="Currency 5 2 2 3 2 8 3" xfId="15453" xr:uid="{2E213B19-ED38-43AC-9212-53786D669B09}"/>
    <cellStyle name="Currency 5 2 2 3 2 8 4" xfId="24703" xr:uid="{0575790E-C2A3-4A7F-BF62-F11C8D6AFA91}"/>
    <cellStyle name="Currency 5 2 2 3 2 8 5" xfId="11242" xr:uid="{054FE3C7-A614-4787-8432-73903DD967C8}"/>
    <cellStyle name="Currency 5 2 2 3 2 9" xfId="4648" xr:uid="{00000000-0005-0000-0000-0000DD0B0000}"/>
    <cellStyle name="Currency 5 2 2 3 2 9 2" xfId="17281" xr:uid="{028CF4AC-4749-40D0-B6F3-B3A85539AE9D}"/>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9839" xr:uid="{37047AE1-550F-4611-9A82-B186FAE21AF7}"/>
    <cellStyle name="Currency 5 2 2 3 3 2 3" xfId="15628" xr:uid="{019CEBEE-5657-43E6-A9E3-3033BC735718}"/>
    <cellStyle name="Currency 5 2 2 3 3 2 4" xfId="24878" xr:uid="{A62FF785-FF8E-4580-A81E-C9B711E76E2A}"/>
    <cellStyle name="Currency 5 2 2 3 3 2 5" xfId="11417" xr:uid="{752D79E7-D934-4CEB-8A9B-1F862BFEBAEC}"/>
    <cellStyle name="Currency 5 2 2 3 3 3" xfId="5061" xr:uid="{00000000-0005-0000-0000-0000E10B0000}"/>
    <cellStyle name="Currency 5 2 2 3 3 3 2" xfId="17694" xr:uid="{8D47AED8-A19B-4C61-ACD4-96D242B0053E}"/>
    <cellStyle name="Currency 5 2 2 3 3 4" xfId="21904" xr:uid="{78081B6D-82A1-4A34-ABAB-186D0DFDBB52}"/>
    <cellStyle name="Currency 5 2 2 3 3 5" xfId="13483" xr:uid="{FEC74420-3ED4-47A0-B798-191237D14B5F}"/>
    <cellStyle name="Currency 5 2 2 3 3 6" xfId="22733" xr:uid="{6A1DF10A-F88C-49C2-ACE3-9B04EF284D0C}"/>
    <cellStyle name="Currency 5 2 2 3 3 7" xfId="9272" xr:uid="{C7AEDBB5-0DB9-46DF-B915-B74B7E8035DE}"/>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20252" xr:uid="{3D3B7D78-FC7B-4516-AEA5-40CF856AFBDE}"/>
    <cellStyle name="Currency 5 2 2 3 4 2 3" xfId="16041" xr:uid="{56562126-9146-4208-A67B-8BD69D14AF98}"/>
    <cellStyle name="Currency 5 2 2 3 4 2 4" xfId="25291" xr:uid="{758DC6CA-5E84-49BD-9A59-67490FAE953E}"/>
    <cellStyle name="Currency 5 2 2 3 4 2 5" xfId="11830" xr:uid="{179A2BDF-DE9C-40CE-B2DF-FFDB8286E9A3}"/>
    <cellStyle name="Currency 5 2 2 3 4 3" xfId="5474" xr:uid="{00000000-0005-0000-0000-0000E50B0000}"/>
    <cellStyle name="Currency 5 2 2 3 4 3 2" xfId="18107" xr:uid="{63B3AFC4-3C09-4A6D-BE0C-336026786663}"/>
    <cellStyle name="Currency 5 2 2 3 4 4" xfId="13896" xr:uid="{87567545-B8CE-4E86-9170-2E7847225930}"/>
    <cellStyle name="Currency 5 2 2 3 4 5" xfId="23146" xr:uid="{AD3CFF68-8265-40A0-8692-3C1A2C603C48}"/>
    <cellStyle name="Currency 5 2 2 3 4 6" xfId="9685" xr:uid="{36182E00-6A24-43DA-8DAB-4FEF0BED52AE}"/>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20665" xr:uid="{981AD37D-F148-48F2-A3C6-415581B22628}"/>
    <cellStyle name="Currency 5 2 2 3 5 2 3" xfId="16454" xr:uid="{17F29EEC-3EBE-4B20-8536-E5BF05FDA749}"/>
    <cellStyle name="Currency 5 2 2 3 5 2 4" xfId="25704" xr:uid="{06B97B03-1253-4A19-8281-E446AA8542B9}"/>
    <cellStyle name="Currency 5 2 2 3 5 2 5" xfId="12243" xr:uid="{F469DA8D-9BA3-4A65-BF3A-B10006542103}"/>
    <cellStyle name="Currency 5 2 2 3 5 3" xfId="5887" xr:uid="{00000000-0005-0000-0000-0000E90B0000}"/>
    <cellStyle name="Currency 5 2 2 3 5 3 2" xfId="18520" xr:uid="{4625805A-DF38-41E7-ABF6-C268839E529C}"/>
    <cellStyle name="Currency 5 2 2 3 5 4" xfId="14309" xr:uid="{99F5B7A9-6D07-4254-A7BA-6C821A58389E}"/>
    <cellStyle name="Currency 5 2 2 3 5 5" xfId="23559" xr:uid="{A334630F-C554-49BE-9F5D-5D61966F86C5}"/>
    <cellStyle name="Currency 5 2 2 3 5 6" xfId="10098" xr:uid="{199B5043-677D-43D2-8690-0003BA1ABB5A}"/>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21078" xr:uid="{80645091-6E3D-4CA4-B064-BC57CE79587E}"/>
    <cellStyle name="Currency 5 2 2 3 6 2 3" xfId="16867" xr:uid="{AAC47752-EDD7-4C62-9DC4-F871496C20D8}"/>
    <cellStyle name="Currency 5 2 2 3 6 2 4" xfId="26117" xr:uid="{AB61CED0-C2FD-4DC1-A891-F45F1A0BABBD}"/>
    <cellStyle name="Currency 5 2 2 3 6 2 5" xfId="12656" xr:uid="{D7856585-95F7-48EA-A056-D7175079B2BC}"/>
    <cellStyle name="Currency 5 2 2 3 6 3" xfId="6300" xr:uid="{00000000-0005-0000-0000-0000ED0B0000}"/>
    <cellStyle name="Currency 5 2 2 3 6 3 2" xfId="18933" xr:uid="{3AEB3F3B-58F5-4DF7-9C6E-AB19FAA5D65E}"/>
    <cellStyle name="Currency 5 2 2 3 6 4" xfId="14722" xr:uid="{0DACD14A-6622-443E-917C-B021B5B09CD7}"/>
    <cellStyle name="Currency 5 2 2 3 6 5" xfId="23972" xr:uid="{5E760874-0196-41C3-8376-388194292D24}"/>
    <cellStyle name="Currency 5 2 2 3 6 6" xfId="10511" xr:uid="{F9CA99F1-2394-4430-AC33-CF7BDE24079E}"/>
    <cellStyle name="Currency 5 2 2 3 7" xfId="2427" xr:uid="{00000000-0005-0000-0000-0000EE0B0000}"/>
    <cellStyle name="Currency 5 2 2 3 7 2" xfId="6713" xr:uid="{00000000-0005-0000-0000-0000EF0B0000}"/>
    <cellStyle name="Currency 5 2 2 3 7 2 2" xfId="19346" xr:uid="{58D7EB43-AE4E-4D4E-B953-455DC7C7399F}"/>
    <cellStyle name="Currency 5 2 2 3 7 3" xfId="15135" xr:uid="{D9CFE19F-4F90-4904-A3E2-8DBAAF5C9DAA}"/>
    <cellStyle name="Currency 5 2 2 3 7 4" xfId="24385" xr:uid="{3CBE6508-BACA-4755-8DE1-60EF9FE2E54F}"/>
    <cellStyle name="Currency 5 2 2 3 7 5" xfId="10924" xr:uid="{5C7838B7-4263-4A9A-B7EC-30DA4C355766}"/>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9663" xr:uid="{2C968329-87DA-4EF1-A223-4C444386BDE0}"/>
    <cellStyle name="Currency 5 2 2 3 9 3" xfId="15452" xr:uid="{C90E9EB6-2D3C-40F6-ABD3-3A2B4A9AA4E6}"/>
    <cellStyle name="Currency 5 2 2 3 9 4" xfId="24702" xr:uid="{F7D9BE05-1D36-4C0B-9112-76A4424BFCB8}"/>
    <cellStyle name="Currency 5 2 2 3 9 5" xfId="11241" xr:uid="{40A7E587-F1FD-4F43-8D42-8E2BF7CC8D98}"/>
    <cellStyle name="Currency 5 2 2 4" xfId="202" xr:uid="{00000000-0005-0000-0000-0000F30B0000}"/>
    <cellStyle name="Currency 5 2 2 4 10" xfId="21493" xr:uid="{FB8DD429-E405-4299-8640-7CEB971D021B}"/>
    <cellStyle name="Currency 5 2 2 4 11" xfId="13071" xr:uid="{91C4383F-723B-4221-94FD-EAE1A76AA582}"/>
    <cellStyle name="Currency 5 2 2 4 12" xfId="22321" xr:uid="{DDA1E1AF-55EF-4867-9923-A8D9FD316CDF}"/>
    <cellStyle name="Currency 5 2 2 4 13" xfId="8860" xr:uid="{3D150267-93F3-4B3B-90E0-827CDC1FCDDB}"/>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9841" xr:uid="{3982D4E7-1659-4D73-87E7-45EC6B6D4DFB}"/>
    <cellStyle name="Currency 5 2 2 4 2 2 3" xfId="15630" xr:uid="{9A94BF13-1884-4C76-BBDB-B16947DDFB1C}"/>
    <cellStyle name="Currency 5 2 2 4 2 2 4" xfId="24880" xr:uid="{E405427C-9E72-43E3-87E1-5776C57C6CC5}"/>
    <cellStyle name="Currency 5 2 2 4 2 2 5" xfId="11419" xr:uid="{9BCA81BC-E9BF-4601-82B3-9A9ED3936484}"/>
    <cellStyle name="Currency 5 2 2 4 2 3" xfId="5063" xr:uid="{00000000-0005-0000-0000-0000F70B0000}"/>
    <cellStyle name="Currency 5 2 2 4 2 3 2" xfId="17696" xr:uid="{BEDF1E28-0928-48CA-A208-8FF1C91B2775}"/>
    <cellStyle name="Currency 5 2 2 4 2 4" xfId="21906" xr:uid="{C98762F0-E89F-46E2-AC46-EDA7448EF17A}"/>
    <cellStyle name="Currency 5 2 2 4 2 5" xfId="13485" xr:uid="{5C467F12-AB8A-45E1-95AD-900C15325C32}"/>
    <cellStyle name="Currency 5 2 2 4 2 6" xfId="22735" xr:uid="{FDC2863E-AC92-4541-A7C4-C2E690042F87}"/>
    <cellStyle name="Currency 5 2 2 4 2 7" xfId="9274" xr:uid="{13E17C8C-D63A-4B54-8CBC-95EC109CC244}"/>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20254" xr:uid="{C7C018DD-1B0F-4712-AF17-1F4B56853F4D}"/>
    <cellStyle name="Currency 5 2 2 4 3 2 3" xfId="16043" xr:uid="{C61868B9-73EA-4662-BFF3-36CD35F46B14}"/>
    <cellStyle name="Currency 5 2 2 4 3 2 4" xfId="25293" xr:uid="{7FF263EC-0606-4DDA-BAE9-05CD20D35B17}"/>
    <cellStyle name="Currency 5 2 2 4 3 2 5" xfId="11832" xr:uid="{36552F57-ECC8-45EE-BD4D-6DF6111799D3}"/>
    <cellStyle name="Currency 5 2 2 4 3 3" xfId="5476" xr:uid="{00000000-0005-0000-0000-0000FB0B0000}"/>
    <cellStyle name="Currency 5 2 2 4 3 3 2" xfId="18109" xr:uid="{5861360A-D805-4FDB-8D7D-45F47DEFA659}"/>
    <cellStyle name="Currency 5 2 2 4 3 4" xfId="13898" xr:uid="{F4C45034-F49A-4B31-AB27-1A7E6FA92B2D}"/>
    <cellStyle name="Currency 5 2 2 4 3 5" xfId="23148" xr:uid="{CD6FE3FE-4F1C-4F7F-A07D-39A3011964A9}"/>
    <cellStyle name="Currency 5 2 2 4 3 6" xfId="9687" xr:uid="{21DD01E3-6B6B-40DB-83D0-77D54C4C94C3}"/>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20667" xr:uid="{9235F679-FAA8-45D9-8F4D-3825B5986A52}"/>
    <cellStyle name="Currency 5 2 2 4 4 2 3" xfId="16456" xr:uid="{FB45CB67-5042-4577-9A81-6C2FB1A6793F}"/>
    <cellStyle name="Currency 5 2 2 4 4 2 4" xfId="25706" xr:uid="{7A15CEF5-DFB4-4BA7-BF02-EA1D6D71206E}"/>
    <cellStyle name="Currency 5 2 2 4 4 2 5" xfId="12245" xr:uid="{43073DBF-AC3B-47BD-BEAE-7F2C1438561B}"/>
    <cellStyle name="Currency 5 2 2 4 4 3" xfId="5889" xr:uid="{00000000-0005-0000-0000-0000FF0B0000}"/>
    <cellStyle name="Currency 5 2 2 4 4 3 2" xfId="18522" xr:uid="{8F59E9C7-6D27-454C-8FB2-2DE234A7B1BA}"/>
    <cellStyle name="Currency 5 2 2 4 4 4" xfId="14311" xr:uid="{E4BE4C40-894B-4EBD-BF8A-531E9EB4FA9B}"/>
    <cellStyle name="Currency 5 2 2 4 4 5" xfId="23561" xr:uid="{9677F907-FE01-4E18-AADE-97729003FC4F}"/>
    <cellStyle name="Currency 5 2 2 4 4 6" xfId="10100" xr:uid="{F5C5490D-9524-4C74-91AA-9216E1796662}"/>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21080" xr:uid="{A217EF22-AF34-4B48-B70D-56FEC1125C1A}"/>
    <cellStyle name="Currency 5 2 2 4 5 2 3" xfId="16869" xr:uid="{4F053BAB-7DD3-43ED-97A2-C85E5B157705}"/>
    <cellStyle name="Currency 5 2 2 4 5 2 4" xfId="26119" xr:uid="{05F4C340-D058-410D-9457-9D8E987CCA15}"/>
    <cellStyle name="Currency 5 2 2 4 5 2 5" xfId="12658" xr:uid="{C8A07E7C-6BC4-48E5-9D43-A03C80A2069E}"/>
    <cellStyle name="Currency 5 2 2 4 5 3" xfId="6302" xr:uid="{00000000-0005-0000-0000-0000030C0000}"/>
    <cellStyle name="Currency 5 2 2 4 5 3 2" xfId="18935" xr:uid="{830B8ED6-92F8-4404-B292-B3C28A3407E1}"/>
    <cellStyle name="Currency 5 2 2 4 5 4" xfId="14724" xr:uid="{7D037A62-C48A-48FA-B18C-63314D92EBEB}"/>
    <cellStyle name="Currency 5 2 2 4 5 5" xfId="23974" xr:uid="{EB810F30-CF85-453F-8382-7FDB3C9D52D3}"/>
    <cellStyle name="Currency 5 2 2 4 5 6" xfId="10513" xr:uid="{411AB0EF-09A7-40E2-8104-4F7D96B3C8B7}"/>
    <cellStyle name="Currency 5 2 2 4 6" xfId="2429" xr:uid="{00000000-0005-0000-0000-0000040C0000}"/>
    <cellStyle name="Currency 5 2 2 4 6 2" xfId="6715" xr:uid="{00000000-0005-0000-0000-0000050C0000}"/>
    <cellStyle name="Currency 5 2 2 4 6 2 2" xfId="19348" xr:uid="{91A24E72-981C-480B-8A5C-4112ACFE693E}"/>
    <cellStyle name="Currency 5 2 2 4 6 3" xfId="15137" xr:uid="{FAC3421A-4B5A-4451-9397-151321D208FC}"/>
    <cellStyle name="Currency 5 2 2 4 6 4" xfId="24387" xr:uid="{19C84BBB-091E-4BF2-8D99-1934F4849691}"/>
    <cellStyle name="Currency 5 2 2 4 6 5" xfId="10926" xr:uid="{1FF85DC9-85AB-4C7D-B100-77F15E511135}"/>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9665" xr:uid="{B00EF877-B5CB-479C-9AFC-1D292D70D375}"/>
    <cellStyle name="Currency 5 2 2 4 8 3" xfId="15454" xr:uid="{8A116A4A-91AC-4F72-AFDC-E6201D756BE0}"/>
    <cellStyle name="Currency 5 2 2 4 8 4" xfId="24704" xr:uid="{A374230B-D17B-453D-9E33-25544216D31E}"/>
    <cellStyle name="Currency 5 2 2 4 8 5" xfId="11243" xr:uid="{A5C11D11-268B-4970-8BF5-7E9CFCE2266A}"/>
    <cellStyle name="Currency 5 2 2 4 9" xfId="4649" xr:uid="{00000000-0005-0000-0000-0000090C0000}"/>
    <cellStyle name="Currency 5 2 2 4 9 2" xfId="17282" xr:uid="{566EE42E-3DE2-418D-9644-9A5EE7DCF45A}"/>
    <cellStyle name="Currency 5 2 2 5" xfId="203" xr:uid="{00000000-0005-0000-0000-00000A0C0000}"/>
    <cellStyle name="Currency 5 2 2 5 10" xfId="21494" xr:uid="{DA57F3F4-A1FB-4B78-ADA6-D31E648F0A52}"/>
    <cellStyle name="Currency 5 2 2 5 11" xfId="13072" xr:uid="{F3F922D3-D583-4B60-8FD4-539745134E7A}"/>
    <cellStyle name="Currency 5 2 2 5 12" xfId="22322" xr:uid="{EE217590-AFEA-4392-BA80-1B99639B051A}"/>
    <cellStyle name="Currency 5 2 2 5 13" xfId="8861" xr:uid="{B71B4BA1-131D-4128-AAFF-CEA11DFD0466}"/>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9842" xr:uid="{CD45CBD8-C618-4CDF-95B2-35D4675A1D97}"/>
    <cellStyle name="Currency 5 2 2 5 2 2 3" xfId="15631" xr:uid="{771AAAB2-24A9-406A-8156-8B410851183E}"/>
    <cellStyle name="Currency 5 2 2 5 2 2 4" xfId="24881" xr:uid="{0935B9CF-DB84-434D-9B0D-D12511BD3E44}"/>
    <cellStyle name="Currency 5 2 2 5 2 2 5" xfId="11420" xr:uid="{C0DD91E1-CD67-4235-A8DF-23ED59230297}"/>
    <cellStyle name="Currency 5 2 2 5 2 3" xfId="5064" xr:uid="{00000000-0005-0000-0000-00000E0C0000}"/>
    <cellStyle name="Currency 5 2 2 5 2 3 2" xfId="17697" xr:uid="{DEBA6D59-A3E3-4BA9-9AEE-9A74E8B5CB53}"/>
    <cellStyle name="Currency 5 2 2 5 2 4" xfId="21907" xr:uid="{76F8213B-6C31-4789-991F-FE35CC2C1DFE}"/>
    <cellStyle name="Currency 5 2 2 5 2 5" xfId="13486" xr:uid="{EF0BCDCB-BDED-4DD8-9980-D858D61A4A55}"/>
    <cellStyle name="Currency 5 2 2 5 2 6" xfId="22736" xr:uid="{AF53D626-B7EF-42B2-AE83-B1DA548C05D0}"/>
    <cellStyle name="Currency 5 2 2 5 2 7" xfId="9275" xr:uid="{89EB6EF9-E009-41E6-BD5B-D7E6679E661E}"/>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20255" xr:uid="{D397B7D7-263F-4DEB-9B0F-A5005A6922F7}"/>
    <cellStyle name="Currency 5 2 2 5 3 2 3" xfId="16044" xr:uid="{09A045A0-B81A-47E0-B719-99713CCED31C}"/>
    <cellStyle name="Currency 5 2 2 5 3 2 4" xfId="25294" xr:uid="{256DC294-B595-4DB8-9C35-2EDF23839067}"/>
    <cellStyle name="Currency 5 2 2 5 3 2 5" xfId="11833" xr:uid="{2E34B03F-08B9-4ECB-8C4B-16CC8704BE76}"/>
    <cellStyle name="Currency 5 2 2 5 3 3" xfId="5477" xr:uid="{00000000-0005-0000-0000-0000120C0000}"/>
    <cellStyle name="Currency 5 2 2 5 3 3 2" xfId="18110" xr:uid="{CC9CC314-F52B-407D-A99F-5443BDBC0D87}"/>
    <cellStyle name="Currency 5 2 2 5 3 4" xfId="13899" xr:uid="{8106BEF6-88F5-4AB2-BF0A-C4040B8586C8}"/>
    <cellStyle name="Currency 5 2 2 5 3 5" xfId="23149" xr:uid="{05FD09E5-FDA9-4715-BA44-65B213F4A4D9}"/>
    <cellStyle name="Currency 5 2 2 5 3 6" xfId="9688" xr:uid="{319977C7-83B7-4F81-A50B-DD3E16AE207B}"/>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20668" xr:uid="{50DA3E35-3FDE-4355-AA04-FDA59B5260BE}"/>
    <cellStyle name="Currency 5 2 2 5 4 2 3" xfId="16457" xr:uid="{38605FE5-92A6-4EC9-A213-4B8909242947}"/>
    <cellStyle name="Currency 5 2 2 5 4 2 4" xfId="25707" xr:uid="{FE780EB7-95F2-4404-B823-66EDEA23EF5C}"/>
    <cellStyle name="Currency 5 2 2 5 4 2 5" xfId="12246" xr:uid="{8D6DFAFA-620C-41FB-B1D0-39ECC1447F38}"/>
    <cellStyle name="Currency 5 2 2 5 4 3" xfId="5890" xr:uid="{00000000-0005-0000-0000-0000160C0000}"/>
    <cellStyle name="Currency 5 2 2 5 4 3 2" xfId="18523" xr:uid="{54C75350-13F5-4211-A450-28B956CCDEB7}"/>
    <cellStyle name="Currency 5 2 2 5 4 4" xfId="14312" xr:uid="{B71134C0-F7A3-4F2B-BFFA-C0AAB39E7F95}"/>
    <cellStyle name="Currency 5 2 2 5 4 5" xfId="23562" xr:uid="{2EC63D2D-A856-4FA2-8DE3-8F43E7602610}"/>
    <cellStyle name="Currency 5 2 2 5 4 6" xfId="10101" xr:uid="{5A21F1AF-0F2E-40D7-803B-D6B8D0BADB4D}"/>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21081" xr:uid="{269730DD-9950-45D1-9DB2-9BE63472CE8F}"/>
    <cellStyle name="Currency 5 2 2 5 5 2 3" xfId="16870" xr:uid="{9D0DA9B4-A6E1-47EB-BF5A-A4C12B92D468}"/>
    <cellStyle name="Currency 5 2 2 5 5 2 4" xfId="26120" xr:uid="{A2D978D7-4216-4A57-8675-8B33E74D7D9A}"/>
    <cellStyle name="Currency 5 2 2 5 5 2 5" xfId="12659" xr:uid="{098B802A-6F1B-4F25-A660-AE3146A432A1}"/>
    <cellStyle name="Currency 5 2 2 5 5 3" xfId="6303" xr:uid="{00000000-0005-0000-0000-00001A0C0000}"/>
    <cellStyle name="Currency 5 2 2 5 5 3 2" xfId="18936" xr:uid="{5082D44A-7069-4B09-8431-9076F9630E6C}"/>
    <cellStyle name="Currency 5 2 2 5 5 4" xfId="14725" xr:uid="{3B01F107-0385-4383-B61B-351C9F6C90D0}"/>
    <cellStyle name="Currency 5 2 2 5 5 5" xfId="23975" xr:uid="{D69B5AF0-7FD7-473B-8456-5D0C069962F6}"/>
    <cellStyle name="Currency 5 2 2 5 5 6" xfId="10514" xr:uid="{DFC0843C-D141-4A28-90F1-8A3D053CED6A}"/>
    <cellStyle name="Currency 5 2 2 5 6" xfId="2430" xr:uid="{00000000-0005-0000-0000-00001B0C0000}"/>
    <cellStyle name="Currency 5 2 2 5 6 2" xfId="6716" xr:uid="{00000000-0005-0000-0000-00001C0C0000}"/>
    <cellStyle name="Currency 5 2 2 5 6 2 2" xfId="19349" xr:uid="{E1AECA5F-59BF-4146-9233-7977D4CC401B}"/>
    <cellStyle name="Currency 5 2 2 5 6 3" xfId="15138" xr:uid="{72FB11FE-ACF3-42B4-84A5-78E26AC83E08}"/>
    <cellStyle name="Currency 5 2 2 5 6 4" xfId="24388" xr:uid="{27CE456B-43E7-4D62-8F13-096C2496F392}"/>
    <cellStyle name="Currency 5 2 2 5 6 5" xfId="10927" xr:uid="{A2B7D4FD-D394-45F2-A8ED-52B9C54AE69C}"/>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9666" xr:uid="{21C84921-789C-4C56-920A-B4EB3443752B}"/>
    <cellStyle name="Currency 5 2 2 5 8 3" xfId="15455" xr:uid="{715C5ADC-04E5-4DF0-9E55-739AD216BA30}"/>
    <cellStyle name="Currency 5 2 2 5 8 4" xfId="24705" xr:uid="{1742DAC2-D91C-4867-88BC-315918E608DF}"/>
    <cellStyle name="Currency 5 2 2 5 8 5" xfId="11244" xr:uid="{CFB3F730-0810-4FFC-A0CE-038DA814E78B}"/>
    <cellStyle name="Currency 5 2 2 5 9" xfId="4650" xr:uid="{00000000-0005-0000-0000-0000200C0000}"/>
    <cellStyle name="Currency 5 2 2 5 9 2" xfId="17283" xr:uid="{8A05B0B2-52D9-4F30-9B38-217A5D4F703F}"/>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7284" xr:uid="{F8D21337-E1B4-4894-9C18-D2EC2E3D7908}"/>
    <cellStyle name="Currency 5 2 4 11" xfId="21495" xr:uid="{4883AC1F-D152-4C55-A8BB-DCBA4155B960}"/>
    <cellStyle name="Currency 5 2 4 12" xfId="13073" xr:uid="{B3BD9B86-9E9B-44AE-B719-266F557C961E}"/>
    <cellStyle name="Currency 5 2 4 13" xfId="22323" xr:uid="{D1280FBD-0981-40EC-B9B3-717C700105EC}"/>
    <cellStyle name="Currency 5 2 4 14" xfId="8862" xr:uid="{70B6EFB6-D486-4AFE-B0F2-12FB8EC86F58}"/>
    <cellStyle name="Currency 5 2 4 2" xfId="206" xr:uid="{00000000-0005-0000-0000-0000250C0000}"/>
    <cellStyle name="Currency 5 2 4 2 10" xfId="21496" xr:uid="{02833356-0D24-463C-90FC-7C4BBD1E7678}"/>
    <cellStyle name="Currency 5 2 4 2 11" xfId="13074" xr:uid="{02A70A65-3448-4B3B-9771-31934476CD0A}"/>
    <cellStyle name="Currency 5 2 4 2 12" xfId="22324" xr:uid="{033F63B6-EB60-4A31-957D-9C219061251F}"/>
    <cellStyle name="Currency 5 2 4 2 13" xfId="8863" xr:uid="{D59DF8CF-1A3F-4659-9A8B-E61363F0D5F1}"/>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9844" xr:uid="{548B4A83-D84E-42A7-9906-2CE8951D76A0}"/>
    <cellStyle name="Currency 5 2 4 2 2 2 3" xfId="15633" xr:uid="{DEA715C3-E0CA-4901-99CC-5E115271D2F0}"/>
    <cellStyle name="Currency 5 2 4 2 2 2 4" xfId="24883" xr:uid="{504E76E5-7A7E-4954-B095-C06DE465948C}"/>
    <cellStyle name="Currency 5 2 4 2 2 2 5" xfId="11422" xr:uid="{E16B6836-3C5F-45D1-A97F-8851C86A717F}"/>
    <cellStyle name="Currency 5 2 4 2 2 3" xfId="5066" xr:uid="{00000000-0005-0000-0000-0000290C0000}"/>
    <cellStyle name="Currency 5 2 4 2 2 3 2" xfId="17699" xr:uid="{88F7809B-74BA-460F-9708-1E056287364A}"/>
    <cellStyle name="Currency 5 2 4 2 2 4" xfId="21909" xr:uid="{ECBEA9F7-1E25-4B45-91B5-76B47FE0D05D}"/>
    <cellStyle name="Currency 5 2 4 2 2 5" xfId="13488" xr:uid="{D170BA2E-7CD1-4EFC-AE10-1BD770472B1F}"/>
    <cellStyle name="Currency 5 2 4 2 2 6" xfId="22738" xr:uid="{84A6E3E8-0DA5-47B2-B9F3-F03BEFA7D768}"/>
    <cellStyle name="Currency 5 2 4 2 2 7" xfId="9277" xr:uid="{7CD8EF21-D757-494A-8320-3E49F1D2A8C4}"/>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20257" xr:uid="{BF7460D3-5A24-43D5-9DA7-A75175A928D2}"/>
    <cellStyle name="Currency 5 2 4 2 3 2 3" xfId="16046" xr:uid="{62E09BE1-DEA0-4A0C-A70F-F27892191920}"/>
    <cellStyle name="Currency 5 2 4 2 3 2 4" xfId="25296" xr:uid="{051272B6-89D4-4CAD-BB31-222062093410}"/>
    <cellStyle name="Currency 5 2 4 2 3 2 5" xfId="11835" xr:uid="{1715EF9E-5A67-4486-A214-65DD3EA57897}"/>
    <cellStyle name="Currency 5 2 4 2 3 3" xfId="5479" xr:uid="{00000000-0005-0000-0000-00002D0C0000}"/>
    <cellStyle name="Currency 5 2 4 2 3 3 2" xfId="18112" xr:uid="{4F34C6A8-A4B4-4D8A-98B1-39F086F9AE53}"/>
    <cellStyle name="Currency 5 2 4 2 3 4" xfId="13901" xr:uid="{539C8D14-818C-4785-ACA1-BFD52FE5CA3C}"/>
    <cellStyle name="Currency 5 2 4 2 3 5" xfId="23151" xr:uid="{08B4D1C7-D831-4BDD-B7CE-B312EEB82F5C}"/>
    <cellStyle name="Currency 5 2 4 2 3 6" xfId="9690" xr:uid="{37EFE73A-BF79-4E68-A8B8-9078FEAF70A6}"/>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20670" xr:uid="{E55B85C1-57AE-4620-A42F-C7E9C0210DCF}"/>
    <cellStyle name="Currency 5 2 4 2 4 2 3" xfId="16459" xr:uid="{96C259C0-E574-428B-A337-FFB42B49F1EC}"/>
    <cellStyle name="Currency 5 2 4 2 4 2 4" xfId="25709" xr:uid="{F5D39C64-47BF-42D6-9266-CC2DECB6A12E}"/>
    <cellStyle name="Currency 5 2 4 2 4 2 5" xfId="12248" xr:uid="{0985EA72-6A08-4CA7-9A6A-6F690D31AC92}"/>
    <cellStyle name="Currency 5 2 4 2 4 3" xfId="5892" xr:uid="{00000000-0005-0000-0000-0000310C0000}"/>
    <cellStyle name="Currency 5 2 4 2 4 3 2" xfId="18525" xr:uid="{10536CE1-045D-4B6E-808B-76F74A20FBFB}"/>
    <cellStyle name="Currency 5 2 4 2 4 4" xfId="14314" xr:uid="{C27D22B4-EAF8-41E1-8401-6303B6F62724}"/>
    <cellStyle name="Currency 5 2 4 2 4 5" xfId="23564" xr:uid="{6EE41AC1-C840-43D3-86BA-EA6BE39BB544}"/>
    <cellStyle name="Currency 5 2 4 2 4 6" xfId="10103" xr:uid="{EE5BEB93-07F5-4934-B778-AA420FD0D20B}"/>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21083" xr:uid="{E0CCE194-49F6-4038-9B8F-BC8BE936C049}"/>
    <cellStyle name="Currency 5 2 4 2 5 2 3" xfId="16872" xr:uid="{A776F63E-BE00-4BAD-B65F-8CFE717C0B15}"/>
    <cellStyle name="Currency 5 2 4 2 5 2 4" xfId="26122" xr:uid="{0BAE41C1-A635-401B-8A04-0B6964B7CB75}"/>
    <cellStyle name="Currency 5 2 4 2 5 2 5" xfId="12661" xr:uid="{71CC21DB-B958-41CB-910C-F8AC26339AD6}"/>
    <cellStyle name="Currency 5 2 4 2 5 3" xfId="6305" xr:uid="{00000000-0005-0000-0000-0000350C0000}"/>
    <cellStyle name="Currency 5 2 4 2 5 3 2" xfId="18938" xr:uid="{79BEDD5D-956B-4A2B-9482-57F9B7907FB5}"/>
    <cellStyle name="Currency 5 2 4 2 5 4" xfId="14727" xr:uid="{67937E60-4A86-4905-8775-78F3D01EAC84}"/>
    <cellStyle name="Currency 5 2 4 2 5 5" xfId="23977" xr:uid="{1BBDAAEE-2EDA-427D-A6A7-9D79C571BCEE}"/>
    <cellStyle name="Currency 5 2 4 2 5 6" xfId="10516" xr:uid="{60125FE9-1C92-4C69-BE2A-F2A9373023E6}"/>
    <cellStyle name="Currency 5 2 4 2 6" xfId="2432" xr:uid="{00000000-0005-0000-0000-0000360C0000}"/>
    <cellStyle name="Currency 5 2 4 2 6 2" xfId="6718" xr:uid="{00000000-0005-0000-0000-0000370C0000}"/>
    <cellStyle name="Currency 5 2 4 2 6 2 2" xfId="19351" xr:uid="{4D05E1D4-0A7F-4D9D-A942-56F4D1B9443B}"/>
    <cellStyle name="Currency 5 2 4 2 6 3" xfId="15140" xr:uid="{666D9746-57D5-4D49-9AA4-61C80ED82A01}"/>
    <cellStyle name="Currency 5 2 4 2 6 4" xfId="24390" xr:uid="{E6594E1A-9252-45A5-9447-0D113BA6DC22}"/>
    <cellStyle name="Currency 5 2 4 2 6 5" xfId="10929" xr:uid="{F4D36A7A-20ED-4D0B-99CB-8D449636FBA3}"/>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9668" xr:uid="{2E64F2B5-5EDF-49EF-B92F-9D1D6AF4DD32}"/>
    <cellStyle name="Currency 5 2 4 2 8 3" xfId="15457" xr:uid="{7F066DD0-7283-46D6-B4A8-272C4D76092C}"/>
    <cellStyle name="Currency 5 2 4 2 8 4" xfId="24707" xr:uid="{3AC78CE5-EFC0-48CF-B912-E81A267DBED2}"/>
    <cellStyle name="Currency 5 2 4 2 8 5" xfId="11246" xr:uid="{8AEC5963-A588-447D-84AA-6117016487CF}"/>
    <cellStyle name="Currency 5 2 4 2 9" xfId="4652" xr:uid="{00000000-0005-0000-0000-00003B0C0000}"/>
    <cellStyle name="Currency 5 2 4 2 9 2" xfId="17285" xr:uid="{31CFFDCB-0E36-4D56-98E2-E9189B43C9C0}"/>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9843" xr:uid="{DC2CA8BF-6EEC-47E1-8524-863CCFC9AA00}"/>
    <cellStyle name="Currency 5 2 4 3 2 3" xfId="15632" xr:uid="{6F8834C6-1FCF-49C1-8404-A89AC460B663}"/>
    <cellStyle name="Currency 5 2 4 3 2 4" xfId="24882" xr:uid="{1FB1EA8B-C4ED-459B-921F-96ADDD8B38DF}"/>
    <cellStyle name="Currency 5 2 4 3 2 5" xfId="11421" xr:uid="{BABA03CD-6068-4607-B221-2CD1FA4C1285}"/>
    <cellStyle name="Currency 5 2 4 3 3" xfId="5065" xr:uid="{00000000-0005-0000-0000-00003F0C0000}"/>
    <cellStyle name="Currency 5 2 4 3 3 2" xfId="17698" xr:uid="{A24EC81D-3CCD-4458-A824-C4B7FD1859A2}"/>
    <cellStyle name="Currency 5 2 4 3 4" xfId="21908" xr:uid="{5D2F4578-69C7-4295-9391-A787299E5EBF}"/>
    <cellStyle name="Currency 5 2 4 3 5" xfId="13487" xr:uid="{A55F4479-6F7E-479B-9405-7E65F91A7CBE}"/>
    <cellStyle name="Currency 5 2 4 3 6" xfId="22737" xr:uid="{AE0A302C-6D5A-469C-8E3D-B545E51D52C6}"/>
    <cellStyle name="Currency 5 2 4 3 7" xfId="9276" xr:uid="{21A171BF-1410-4671-A88C-D50E61F6A01D}"/>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20256" xr:uid="{E53C6694-3179-4136-8F6D-F95793230B19}"/>
    <cellStyle name="Currency 5 2 4 4 2 3" xfId="16045" xr:uid="{69EB3AB4-F256-4B2E-A5AD-A5BA08771446}"/>
    <cellStyle name="Currency 5 2 4 4 2 4" xfId="25295" xr:uid="{BA99FCAA-EBBA-4A63-85E2-D973E5887282}"/>
    <cellStyle name="Currency 5 2 4 4 2 5" xfId="11834" xr:uid="{DE579A30-BBC0-410C-AA63-E6B393B44059}"/>
    <cellStyle name="Currency 5 2 4 4 3" xfId="5478" xr:uid="{00000000-0005-0000-0000-0000430C0000}"/>
    <cellStyle name="Currency 5 2 4 4 3 2" xfId="18111" xr:uid="{597D2AEF-DC43-4CB3-9BD2-0E5406CA2B39}"/>
    <cellStyle name="Currency 5 2 4 4 4" xfId="13900" xr:uid="{146844CF-F792-4B78-9259-06F9AB00B662}"/>
    <cellStyle name="Currency 5 2 4 4 5" xfId="23150" xr:uid="{C135D64A-A93A-4C85-8041-BC92327C6C50}"/>
    <cellStyle name="Currency 5 2 4 4 6" xfId="9689" xr:uid="{EAA99341-9BCC-40EF-9DA9-D57A7624E041}"/>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20669" xr:uid="{985212CB-758B-408A-9E5C-F3756678D24D}"/>
    <cellStyle name="Currency 5 2 4 5 2 3" xfId="16458" xr:uid="{88884437-E471-47E1-B636-5FC90B2EBC71}"/>
    <cellStyle name="Currency 5 2 4 5 2 4" xfId="25708" xr:uid="{420D074B-D204-4D48-99A6-67B5C9BD0B53}"/>
    <cellStyle name="Currency 5 2 4 5 2 5" xfId="12247" xr:uid="{A497665B-B073-49CF-A5C9-5B939E65329B}"/>
    <cellStyle name="Currency 5 2 4 5 3" xfId="5891" xr:uid="{00000000-0005-0000-0000-0000470C0000}"/>
    <cellStyle name="Currency 5 2 4 5 3 2" xfId="18524" xr:uid="{F57EB2FF-58AE-4B8E-B4FA-EA5FA44A740F}"/>
    <cellStyle name="Currency 5 2 4 5 4" xfId="14313" xr:uid="{9E347F5A-412C-428B-B213-12B851B1181C}"/>
    <cellStyle name="Currency 5 2 4 5 5" xfId="23563" xr:uid="{FFFC45E1-4975-416F-B9E0-0693984D7DC4}"/>
    <cellStyle name="Currency 5 2 4 5 6" xfId="10102" xr:uid="{D66D1E02-B9E0-4CF1-8E16-1D8847969A6E}"/>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21082" xr:uid="{84951BC2-793B-4618-8929-24781AE23CCD}"/>
    <cellStyle name="Currency 5 2 4 6 2 3" xfId="16871" xr:uid="{2B47BAA9-F5DD-4F66-BA72-C3E6D597F2BF}"/>
    <cellStyle name="Currency 5 2 4 6 2 4" xfId="26121" xr:uid="{8321DAB0-D275-4533-B8BD-F7BBDDF92275}"/>
    <cellStyle name="Currency 5 2 4 6 2 5" xfId="12660" xr:uid="{DD45FAB3-3530-43D4-97E2-F6C693CBC2E3}"/>
    <cellStyle name="Currency 5 2 4 6 3" xfId="6304" xr:uid="{00000000-0005-0000-0000-00004B0C0000}"/>
    <cellStyle name="Currency 5 2 4 6 3 2" xfId="18937" xr:uid="{BED2692B-2938-43F7-BD60-BBC2A0BB8159}"/>
    <cellStyle name="Currency 5 2 4 6 4" xfId="14726" xr:uid="{9D7FB9D6-232D-4752-9BE6-F46A723B4A65}"/>
    <cellStyle name="Currency 5 2 4 6 5" xfId="23976" xr:uid="{3B40AAC2-DA12-4FF3-B756-CD95C8618C9E}"/>
    <cellStyle name="Currency 5 2 4 6 6" xfId="10515" xr:uid="{53B4348F-B1A4-4BFD-95AF-E5E850D7FFC6}"/>
    <cellStyle name="Currency 5 2 4 7" xfId="2431" xr:uid="{00000000-0005-0000-0000-00004C0C0000}"/>
    <cellStyle name="Currency 5 2 4 7 2" xfId="6717" xr:uid="{00000000-0005-0000-0000-00004D0C0000}"/>
    <cellStyle name="Currency 5 2 4 7 2 2" xfId="19350" xr:uid="{3E0DED4A-A3B2-4EB3-9ACD-AFD4520E8D20}"/>
    <cellStyle name="Currency 5 2 4 7 3" xfId="15139" xr:uid="{169BDAB1-5308-4C47-A068-8A2D8D9ADCF5}"/>
    <cellStyle name="Currency 5 2 4 7 4" xfId="24389" xr:uid="{6C6DEF8A-9C89-44A3-959C-09AF2C6DA742}"/>
    <cellStyle name="Currency 5 2 4 7 5" xfId="10928" xr:uid="{A27351CD-2C63-436B-BCE8-15DDFD271564}"/>
    <cellStyle name="Currency 5 2 4 8" xfId="2728" xr:uid="{00000000-0005-0000-0000-00004E0C0000}"/>
    <cellStyle name="Currency 5 2 4 9" xfId="2809" xr:uid="{00000000-0005-0000-0000-00004F0C0000}"/>
    <cellStyle name="Currency 5 2 4 9 2" xfId="7034" xr:uid="{00000000-0005-0000-0000-0000500C0000}"/>
    <cellStyle name="Currency 5 2 4 9 2 2" xfId="19667" xr:uid="{8C84E331-1D5C-409D-A52A-00CC6ADC8E54}"/>
    <cellStyle name="Currency 5 2 4 9 3" xfId="15456" xr:uid="{A5396E86-1FA6-4A86-86F5-FE4061496FB9}"/>
    <cellStyle name="Currency 5 2 4 9 4" xfId="24706" xr:uid="{8529FD2B-BCD4-44E8-A2D2-BFBB8BF920CF}"/>
    <cellStyle name="Currency 5 2 4 9 5" xfId="11245" xr:uid="{A512C6DC-7BB6-45C9-8EC5-16866294DB36}"/>
    <cellStyle name="Currency 5 2 5" xfId="207" xr:uid="{00000000-0005-0000-0000-0000510C0000}"/>
    <cellStyle name="Currency 5 2 5 10" xfId="21497" xr:uid="{52583BEC-A14B-4129-8475-0A40960B57F9}"/>
    <cellStyle name="Currency 5 2 5 11" xfId="13075" xr:uid="{8B5B6CBA-E73A-407D-AE79-CE3CE40C017E}"/>
    <cellStyle name="Currency 5 2 5 12" xfId="22325" xr:uid="{FC59BC4F-A859-48C2-BD36-5CAA5F943EB2}"/>
    <cellStyle name="Currency 5 2 5 13" xfId="8864" xr:uid="{B817A6AE-E6EC-4731-9009-0F017B92AFF2}"/>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9845" xr:uid="{B2725022-B9AA-4721-AF79-3C1378C420FA}"/>
    <cellStyle name="Currency 5 2 5 2 2 3" xfId="15634" xr:uid="{3074C64E-C8AD-43DF-98D7-BAAF893402C3}"/>
    <cellStyle name="Currency 5 2 5 2 2 4" xfId="24884" xr:uid="{07661F4E-CCE4-4DE2-BA45-1F45559621C3}"/>
    <cellStyle name="Currency 5 2 5 2 2 5" xfId="11423" xr:uid="{7FCFBBC4-C6B4-446E-B877-C4D1451F7ADE}"/>
    <cellStyle name="Currency 5 2 5 2 3" xfId="5067" xr:uid="{00000000-0005-0000-0000-0000550C0000}"/>
    <cellStyle name="Currency 5 2 5 2 3 2" xfId="17700" xr:uid="{C8C77A83-3D17-4828-B75D-017F39DF44FC}"/>
    <cellStyle name="Currency 5 2 5 2 4" xfId="21910" xr:uid="{8C9C6E08-020B-4497-AB25-A1EAE8F36BCF}"/>
    <cellStyle name="Currency 5 2 5 2 5" xfId="13489" xr:uid="{1ABD4F1A-A489-4939-836C-9F7C6481B178}"/>
    <cellStyle name="Currency 5 2 5 2 6" xfId="22739" xr:uid="{9205E119-23CE-4EE6-9957-0B3AB295A0D3}"/>
    <cellStyle name="Currency 5 2 5 2 7" xfId="9278" xr:uid="{55488B93-E3B1-4E10-96C1-2DB485E058C0}"/>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20258" xr:uid="{625F2C3A-89F9-44E1-97A6-3CF06EBDA5DC}"/>
    <cellStyle name="Currency 5 2 5 3 2 3" xfId="16047" xr:uid="{438BD0D2-3474-4F11-9B06-A6EF4BCB9F4C}"/>
    <cellStyle name="Currency 5 2 5 3 2 4" xfId="25297" xr:uid="{C014E8B3-8CD0-4A41-B593-358D0C5DD2B5}"/>
    <cellStyle name="Currency 5 2 5 3 2 5" xfId="11836" xr:uid="{312EB109-C8BD-42EA-99FF-05F802FEC2F6}"/>
    <cellStyle name="Currency 5 2 5 3 3" xfId="5480" xr:uid="{00000000-0005-0000-0000-0000590C0000}"/>
    <cellStyle name="Currency 5 2 5 3 3 2" xfId="18113" xr:uid="{D25D96BA-8FF5-46C2-98BB-94FCF068F73C}"/>
    <cellStyle name="Currency 5 2 5 3 4" xfId="13902" xr:uid="{C1C48ED5-E94A-4672-A917-3F2E95C1B408}"/>
    <cellStyle name="Currency 5 2 5 3 5" xfId="23152" xr:uid="{2CADB7AE-3D73-4F96-B18E-4DA69A093061}"/>
    <cellStyle name="Currency 5 2 5 3 6" xfId="9691" xr:uid="{1548E7A9-07E1-402D-A8E6-B893AFFCDA38}"/>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20671" xr:uid="{3CB282CA-1124-4B0D-B4FF-DAA998A66F52}"/>
    <cellStyle name="Currency 5 2 5 4 2 3" xfId="16460" xr:uid="{FC62988C-751B-47E5-A75D-C046DFBF012C}"/>
    <cellStyle name="Currency 5 2 5 4 2 4" xfId="25710" xr:uid="{FDE5116A-F684-4E4F-A5E9-0F9C54BF36D7}"/>
    <cellStyle name="Currency 5 2 5 4 2 5" xfId="12249" xr:uid="{D2A2CA4C-05A0-4236-AC9F-DB9EDE3540CE}"/>
    <cellStyle name="Currency 5 2 5 4 3" xfId="5893" xr:uid="{00000000-0005-0000-0000-00005D0C0000}"/>
    <cellStyle name="Currency 5 2 5 4 3 2" xfId="18526" xr:uid="{8A5BB614-C175-4B93-B436-0302C0F7743B}"/>
    <cellStyle name="Currency 5 2 5 4 4" xfId="14315" xr:uid="{5E2FD9A2-04C2-4C5D-A15C-47A2F5320972}"/>
    <cellStyle name="Currency 5 2 5 4 5" xfId="23565" xr:uid="{15C4564E-7296-4F49-A1B3-571B59218A51}"/>
    <cellStyle name="Currency 5 2 5 4 6" xfId="10104" xr:uid="{0EC9F7F4-3DD2-45C4-8473-C26C53BA285F}"/>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21084" xr:uid="{DC146C6A-2851-413A-95E6-289D0ECA1374}"/>
    <cellStyle name="Currency 5 2 5 5 2 3" xfId="16873" xr:uid="{F8FF1A28-CA19-42B0-A5C4-0180108FA4D9}"/>
    <cellStyle name="Currency 5 2 5 5 2 4" xfId="26123" xr:uid="{DB93103F-4652-4770-B0BB-21B324C730D0}"/>
    <cellStyle name="Currency 5 2 5 5 2 5" xfId="12662" xr:uid="{7C3A1C6C-7085-4E27-8072-E0EF3F5975C3}"/>
    <cellStyle name="Currency 5 2 5 5 3" xfId="6306" xr:uid="{00000000-0005-0000-0000-0000610C0000}"/>
    <cellStyle name="Currency 5 2 5 5 3 2" xfId="18939" xr:uid="{5562C354-6636-4FFA-B28A-FF47F9007756}"/>
    <cellStyle name="Currency 5 2 5 5 4" xfId="14728" xr:uid="{144637ED-C619-42F2-AA3D-651AA1F045C6}"/>
    <cellStyle name="Currency 5 2 5 5 5" xfId="23978" xr:uid="{06FCD36A-3FF6-4D4A-8174-22B1B6CC8C12}"/>
    <cellStyle name="Currency 5 2 5 5 6" xfId="10517" xr:uid="{EEF5DF63-3813-4D96-B441-195AA8356E74}"/>
    <cellStyle name="Currency 5 2 5 6" xfId="2433" xr:uid="{00000000-0005-0000-0000-0000620C0000}"/>
    <cellStyle name="Currency 5 2 5 6 2" xfId="6719" xr:uid="{00000000-0005-0000-0000-0000630C0000}"/>
    <cellStyle name="Currency 5 2 5 6 2 2" xfId="19352" xr:uid="{79817A1A-C2CF-4CD8-A8F7-B31F926BC089}"/>
    <cellStyle name="Currency 5 2 5 6 3" xfId="15141" xr:uid="{E30F9ABF-3687-4828-BE82-512DE7B7203C}"/>
    <cellStyle name="Currency 5 2 5 6 4" xfId="24391" xr:uid="{C47DEF4C-917F-4332-A874-D3709A9404BB}"/>
    <cellStyle name="Currency 5 2 5 6 5" xfId="10930" xr:uid="{7EBE7372-F6C9-43E1-BEF2-08EE05F7503C}"/>
    <cellStyle name="Currency 5 2 5 7" xfId="2730" xr:uid="{00000000-0005-0000-0000-0000640C0000}"/>
    <cellStyle name="Currency 5 2 5 8" xfId="2811" xr:uid="{00000000-0005-0000-0000-0000650C0000}"/>
    <cellStyle name="Currency 5 2 5 8 2" xfId="7036" xr:uid="{00000000-0005-0000-0000-0000660C0000}"/>
    <cellStyle name="Currency 5 2 5 8 2 2" xfId="19669" xr:uid="{2BF608A7-128F-4F5A-8427-E3066DE87076}"/>
    <cellStyle name="Currency 5 2 5 8 3" xfId="15458" xr:uid="{D48E90C1-C4B1-4E64-AE91-4637DC2B7327}"/>
    <cellStyle name="Currency 5 2 5 8 4" xfId="24708" xr:uid="{CC52093B-36E5-408F-8F62-65E275F7FBA9}"/>
    <cellStyle name="Currency 5 2 5 8 5" xfId="11247" xr:uid="{FFB90F00-51D8-478C-A98B-39504B9B10C2}"/>
    <cellStyle name="Currency 5 2 5 9" xfId="4653" xr:uid="{00000000-0005-0000-0000-0000670C0000}"/>
    <cellStyle name="Currency 5 2 5 9 2" xfId="17286" xr:uid="{84A95AD6-A2C4-4E28-B0CE-25A6E342C53A}"/>
    <cellStyle name="Currency 5 2 6" xfId="208" xr:uid="{00000000-0005-0000-0000-0000680C0000}"/>
    <cellStyle name="Currency 5 2 6 10" xfId="21498" xr:uid="{A8577583-8EBB-4D86-9851-0790D480D6DA}"/>
    <cellStyle name="Currency 5 2 6 11" xfId="13076" xr:uid="{70CE2F6E-6CDD-4AB4-9118-C066F21430A6}"/>
    <cellStyle name="Currency 5 2 6 12" xfId="22326" xr:uid="{457D2562-54BC-447B-9F8D-D9E81CAF1EC4}"/>
    <cellStyle name="Currency 5 2 6 13" xfId="8865" xr:uid="{B75081C1-6C92-4634-BB12-984ABCFBD8B9}"/>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9846" xr:uid="{F30D7E42-A2E4-4344-B1E2-017F46E30999}"/>
    <cellStyle name="Currency 5 2 6 2 2 3" xfId="15635" xr:uid="{CE3C2DC8-7FFC-4E6F-A482-8D86D92BFEBF}"/>
    <cellStyle name="Currency 5 2 6 2 2 4" xfId="24885" xr:uid="{F3DDF70C-8962-423D-8F0D-5C36C64830D1}"/>
    <cellStyle name="Currency 5 2 6 2 2 5" xfId="11424" xr:uid="{0C8B58A8-E55F-4BC4-8D31-E4C24197855E}"/>
    <cellStyle name="Currency 5 2 6 2 3" xfId="5068" xr:uid="{00000000-0005-0000-0000-00006C0C0000}"/>
    <cellStyle name="Currency 5 2 6 2 3 2" xfId="17701" xr:uid="{7CB14436-CD57-46FB-AAF4-5092886A480F}"/>
    <cellStyle name="Currency 5 2 6 2 4" xfId="21911" xr:uid="{F29C8A2F-74CF-43AC-85C6-68CDF7896923}"/>
    <cellStyle name="Currency 5 2 6 2 5" xfId="13490" xr:uid="{B611C68F-0E46-4BC4-94F2-21B9095B1712}"/>
    <cellStyle name="Currency 5 2 6 2 6" xfId="22740" xr:uid="{A5D0BD0C-298A-41C6-A059-0ED231675356}"/>
    <cellStyle name="Currency 5 2 6 2 7" xfId="9279" xr:uid="{09DD1EB8-98DF-47A8-B856-75ABB7DCE0C3}"/>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20259" xr:uid="{E66C77A4-C1F6-4C1D-9EF4-6FCDE4B4638F}"/>
    <cellStyle name="Currency 5 2 6 3 2 3" xfId="16048" xr:uid="{75010B2E-9E6A-4073-9F59-748997BE0EDC}"/>
    <cellStyle name="Currency 5 2 6 3 2 4" xfId="25298" xr:uid="{8F952C03-41BB-4B69-A831-E2C82C832471}"/>
    <cellStyle name="Currency 5 2 6 3 2 5" xfId="11837" xr:uid="{41C6356B-1568-4C16-A98E-E51506FE7CFC}"/>
    <cellStyle name="Currency 5 2 6 3 3" xfId="5481" xr:uid="{00000000-0005-0000-0000-0000700C0000}"/>
    <cellStyle name="Currency 5 2 6 3 3 2" xfId="18114" xr:uid="{7CC96CC8-E2E2-4DD1-AAF5-2359747508A0}"/>
    <cellStyle name="Currency 5 2 6 3 4" xfId="13903" xr:uid="{F838BAD6-DF43-4F97-9DD4-2E40E668A880}"/>
    <cellStyle name="Currency 5 2 6 3 5" xfId="23153" xr:uid="{74AADB88-4C91-48DC-8686-E8D4FDD270DE}"/>
    <cellStyle name="Currency 5 2 6 3 6" xfId="9692" xr:uid="{154B7A1A-042D-4849-8168-FE5C833CA560}"/>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20672" xr:uid="{5179691F-C79C-422E-888A-D5977E537667}"/>
    <cellStyle name="Currency 5 2 6 4 2 3" xfId="16461" xr:uid="{8133F75D-CD91-4F66-80D6-179B29C1C473}"/>
    <cellStyle name="Currency 5 2 6 4 2 4" xfId="25711" xr:uid="{5DDC2BD7-417D-48A0-BA4E-A1F7AB53D9DC}"/>
    <cellStyle name="Currency 5 2 6 4 2 5" xfId="12250" xr:uid="{3A231441-6322-4DFF-A7C5-CA58B0176F10}"/>
    <cellStyle name="Currency 5 2 6 4 3" xfId="5894" xr:uid="{00000000-0005-0000-0000-0000740C0000}"/>
    <cellStyle name="Currency 5 2 6 4 3 2" xfId="18527" xr:uid="{5C6FA86A-6153-41EF-A985-2F480A078B00}"/>
    <cellStyle name="Currency 5 2 6 4 4" xfId="14316" xr:uid="{08F00240-6F5A-4C10-80B9-AEBAC2958D30}"/>
    <cellStyle name="Currency 5 2 6 4 5" xfId="23566" xr:uid="{D36F1D32-6B80-4C55-A5A1-C1AD30C646E9}"/>
    <cellStyle name="Currency 5 2 6 4 6" xfId="10105" xr:uid="{C4FDAFBE-FBDB-43AF-89E6-B0F4FBA5E2F1}"/>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21085" xr:uid="{B7E20AC9-EE2F-43AF-B623-41C93089CEF9}"/>
    <cellStyle name="Currency 5 2 6 5 2 3" xfId="16874" xr:uid="{20DD0635-7F15-4723-951A-450D9BA6EDA9}"/>
    <cellStyle name="Currency 5 2 6 5 2 4" xfId="26124" xr:uid="{0936E6C9-494B-47DC-A45D-8C6B88EB8564}"/>
    <cellStyle name="Currency 5 2 6 5 2 5" xfId="12663" xr:uid="{80E96014-33E1-4A84-A36C-CBA2FA4E884F}"/>
    <cellStyle name="Currency 5 2 6 5 3" xfId="6307" xr:uid="{00000000-0005-0000-0000-0000780C0000}"/>
    <cellStyle name="Currency 5 2 6 5 3 2" xfId="18940" xr:uid="{6466F3F2-2AC5-4BEF-BF1D-FEE32149E6CE}"/>
    <cellStyle name="Currency 5 2 6 5 4" xfId="14729" xr:uid="{7C8219C8-1396-46F4-9B0C-50E43064EC13}"/>
    <cellStyle name="Currency 5 2 6 5 5" xfId="23979" xr:uid="{E92C0D9F-4E9C-40CD-8D85-D2399CE7A4F6}"/>
    <cellStyle name="Currency 5 2 6 5 6" xfId="10518" xr:uid="{EECC089B-CF7D-4B88-9C9D-D24AFE718C8E}"/>
    <cellStyle name="Currency 5 2 6 6" xfId="2434" xr:uid="{00000000-0005-0000-0000-0000790C0000}"/>
    <cellStyle name="Currency 5 2 6 6 2" xfId="6720" xr:uid="{00000000-0005-0000-0000-00007A0C0000}"/>
    <cellStyle name="Currency 5 2 6 6 2 2" xfId="19353" xr:uid="{2340EBB3-5356-4BE6-B4AB-FF79096C42DD}"/>
    <cellStyle name="Currency 5 2 6 6 3" xfId="15142" xr:uid="{7E5B06CD-E1FA-455B-A118-A6F2C8251BD4}"/>
    <cellStyle name="Currency 5 2 6 6 4" xfId="24392" xr:uid="{07348583-7D8F-4553-AF23-5C492A0EA48F}"/>
    <cellStyle name="Currency 5 2 6 6 5" xfId="10931" xr:uid="{344CFE73-CF73-4830-81FB-C2933DB4ADDE}"/>
    <cellStyle name="Currency 5 2 6 7" xfId="2731" xr:uid="{00000000-0005-0000-0000-00007B0C0000}"/>
    <cellStyle name="Currency 5 2 6 8" xfId="2812" xr:uid="{00000000-0005-0000-0000-00007C0C0000}"/>
    <cellStyle name="Currency 5 2 6 8 2" xfId="7037" xr:uid="{00000000-0005-0000-0000-00007D0C0000}"/>
    <cellStyle name="Currency 5 2 6 8 2 2" xfId="19670" xr:uid="{5CFCDE3E-07AC-4D4D-9DEB-B501C26E2157}"/>
    <cellStyle name="Currency 5 2 6 8 3" xfId="15459" xr:uid="{552E92EA-CAB2-4927-8B6E-F6199F49FAE6}"/>
    <cellStyle name="Currency 5 2 6 8 4" xfId="24709" xr:uid="{6D09AE2C-96EA-4F45-ACB1-FD4EEA8749AB}"/>
    <cellStyle name="Currency 5 2 6 8 5" xfId="11248" xr:uid="{9D10122B-9C90-48FA-B33C-E6AFB50AF5B1}"/>
    <cellStyle name="Currency 5 2 6 9" xfId="4654" xr:uid="{00000000-0005-0000-0000-00007E0C0000}"/>
    <cellStyle name="Currency 5 2 6 9 2" xfId="17287" xr:uid="{F4EAF7C5-08CA-45ED-9AF1-D558B920370E}"/>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9671" xr:uid="{34EEF344-7B43-44EE-876C-57B5FEF1B34B}"/>
    <cellStyle name="Currency 5 3 2 10 3" xfId="15460" xr:uid="{79509F0A-067C-4165-B26B-6998715E592C}"/>
    <cellStyle name="Currency 5 3 2 10 4" xfId="24710" xr:uid="{81071247-0045-4F86-87DA-E8509B25E290}"/>
    <cellStyle name="Currency 5 3 2 10 5" xfId="11249" xr:uid="{B11E6053-D114-482F-9E8E-E20318A68E41}"/>
    <cellStyle name="Currency 5 3 2 11" xfId="4655" xr:uid="{00000000-0005-0000-0000-0000840C0000}"/>
    <cellStyle name="Currency 5 3 2 11 2" xfId="17288" xr:uid="{26EDB98C-E657-49CD-9C7B-CC28629037C2}"/>
    <cellStyle name="Currency 5 3 2 12" xfId="21499" xr:uid="{80F8FD70-DED2-4DFF-B5CC-BCA7AAC03216}"/>
    <cellStyle name="Currency 5 3 2 13" xfId="13077" xr:uid="{E8ACFA7E-BB03-49A4-A374-32002859D197}"/>
    <cellStyle name="Currency 5 3 2 14" xfId="22327" xr:uid="{174D1D98-E258-4ACD-965A-548F87EBBDC3}"/>
    <cellStyle name="Currency 5 3 2 15" xfId="8866" xr:uid="{3578C497-F30E-4763-91BF-8D223BFB1C1A}"/>
    <cellStyle name="Currency 5 3 2 2" xfId="211" xr:uid="{00000000-0005-0000-0000-0000850C0000}"/>
    <cellStyle name="Currency 5 3 2 2 10" xfId="4656" xr:uid="{00000000-0005-0000-0000-0000860C0000}"/>
    <cellStyle name="Currency 5 3 2 2 10 2" xfId="17289" xr:uid="{AFEBDA88-779F-464A-83E9-B5A9B6B3D054}"/>
    <cellStyle name="Currency 5 3 2 2 11" xfId="21500" xr:uid="{F1C9027D-E5D2-4F3B-8D87-0677A118A4F1}"/>
    <cellStyle name="Currency 5 3 2 2 12" xfId="13078" xr:uid="{E9BDADB3-517B-41FD-A420-964F764EAC56}"/>
    <cellStyle name="Currency 5 3 2 2 13" xfId="22328" xr:uid="{36EEB894-B476-419A-A67E-EFA40EA35AB6}"/>
    <cellStyle name="Currency 5 3 2 2 14" xfId="8867" xr:uid="{890D2445-F560-4B74-8A6D-A0B4A753484E}"/>
    <cellStyle name="Currency 5 3 2 2 2" xfId="212" xr:uid="{00000000-0005-0000-0000-0000870C0000}"/>
    <cellStyle name="Currency 5 3 2 2 2 10" xfId="21501" xr:uid="{0D1D2D85-AEAE-4804-9A6B-0D4A493E94C5}"/>
    <cellStyle name="Currency 5 3 2 2 2 11" xfId="13079" xr:uid="{022C1FA8-2ECB-40B3-830D-54CEDBDF6F3A}"/>
    <cellStyle name="Currency 5 3 2 2 2 12" xfId="22329" xr:uid="{5FB7834C-867B-4BD4-969C-3C550E11AFCD}"/>
    <cellStyle name="Currency 5 3 2 2 2 13" xfId="8868" xr:uid="{97A0D8BC-9F97-4E4E-945C-C1398B44B0EB}"/>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9849" xr:uid="{32ECCEA3-DBEC-4606-A4E3-455B79EAF47E}"/>
    <cellStyle name="Currency 5 3 2 2 2 2 2 3" xfId="15638" xr:uid="{15931A03-598E-49E6-B94E-F1293252693E}"/>
    <cellStyle name="Currency 5 3 2 2 2 2 2 4" xfId="24888" xr:uid="{6CB5A87A-5F81-4EC6-8802-E5EE70B71959}"/>
    <cellStyle name="Currency 5 3 2 2 2 2 2 5" xfId="11427" xr:uid="{C5065343-8FA5-49B1-9572-C6F2C6A33672}"/>
    <cellStyle name="Currency 5 3 2 2 2 2 3" xfId="5071" xr:uid="{00000000-0005-0000-0000-00008B0C0000}"/>
    <cellStyle name="Currency 5 3 2 2 2 2 3 2" xfId="17704" xr:uid="{32DDFD89-A289-4A03-9BE1-5AAFEC3755C9}"/>
    <cellStyle name="Currency 5 3 2 2 2 2 4" xfId="21914" xr:uid="{703104C0-8293-4C67-9569-E064F1AEDEF7}"/>
    <cellStyle name="Currency 5 3 2 2 2 2 5" xfId="13493" xr:uid="{84339BC3-3ECD-4C8D-9A60-7736130DC3F1}"/>
    <cellStyle name="Currency 5 3 2 2 2 2 6" xfId="22743" xr:uid="{362B2A58-9CEA-4943-A9A8-553411A0B7A8}"/>
    <cellStyle name="Currency 5 3 2 2 2 2 7" xfId="9282" xr:uid="{C561617A-39EF-4C50-9AAA-262862BEEC0C}"/>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20262" xr:uid="{B3094F93-1C5F-46DC-B1CE-B98AD9DFBC2A}"/>
    <cellStyle name="Currency 5 3 2 2 2 3 2 3" xfId="16051" xr:uid="{1A26D517-D1C7-4329-8BCE-2253A6578BF8}"/>
    <cellStyle name="Currency 5 3 2 2 2 3 2 4" xfId="25301" xr:uid="{16BEF864-6035-4326-903D-01B990E4026F}"/>
    <cellStyle name="Currency 5 3 2 2 2 3 2 5" xfId="11840" xr:uid="{055558A3-81EC-41E1-AFC8-0D8346842E33}"/>
    <cellStyle name="Currency 5 3 2 2 2 3 3" xfId="5484" xr:uid="{00000000-0005-0000-0000-00008F0C0000}"/>
    <cellStyle name="Currency 5 3 2 2 2 3 3 2" xfId="18117" xr:uid="{3B7D990B-0DF2-4C43-8786-FFBB9E8459C9}"/>
    <cellStyle name="Currency 5 3 2 2 2 3 4" xfId="13906" xr:uid="{37833B71-AB8A-4695-8ED4-8BC184250309}"/>
    <cellStyle name="Currency 5 3 2 2 2 3 5" xfId="23156" xr:uid="{25EA6900-17ED-4BB8-B025-C5891102F95E}"/>
    <cellStyle name="Currency 5 3 2 2 2 3 6" xfId="9695" xr:uid="{25916908-FA2A-4651-9C3F-ACFAE8FA4A0E}"/>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20675" xr:uid="{7685D6FC-9E34-4FFA-B7E4-0047904D11EB}"/>
    <cellStyle name="Currency 5 3 2 2 2 4 2 3" xfId="16464" xr:uid="{BC7630F4-91DD-44D5-A4FF-05B5073DC7F4}"/>
    <cellStyle name="Currency 5 3 2 2 2 4 2 4" xfId="25714" xr:uid="{34A96212-D9DD-44B9-B030-56FBAEDD1C95}"/>
    <cellStyle name="Currency 5 3 2 2 2 4 2 5" xfId="12253" xr:uid="{C182E8A1-3D4A-4993-8D77-9A31D2929514}"/>
    <cellStyle name="Currency 5 3 2 2 2 4 3" xfId="5897" xr:uid="{00000000-0005-0000-0000-0000930C0000}"/>
    <cellStyle name="Currency 5 3 2 2 2 4 3 2" xfId="18530" xr:uid="{18B3A444-CFA1-482F-B815-39CD1FE6394B}"/>
    <cellStyle name="Currency 5 3 2 2 2 4 4" xfId="14319" xr:uid="{30B7B8C2-C0B1-420D-964A-D09A6D2BB595}"/>
    <cellStyle name="Currency 5 3 2 2 2 4 5" xfId="23569" xr:uid="{0B4BCBCB-9E63-47CB-9E67-AB025745C962}"/>
    <cellStyle name="Currency 5 3 2 2 2 4 6" xfId="10108" xr:uid="{C9734C1F-54C6-4104-B52A-C49A74C5EB18}"/>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21088" xr:uid="{95117D91-139A-49A3-AD46-B7858B9CCEB5}"/>
    <cellStyle name="Currency 5 3 2 2 2 5 2 3" xfId="16877" xr:uid="{B2ED8B9B-F3D6-4D75-997E-B421C312D552}"/>
    <cellStyle name="Currency 5 3 2 2 2 5 2 4" xfId="26127" xr:uid="{B02E659A-F349-4212-9BCC-4F0F2F4AB579}"/>
    <cellStyle name="Currency 5 3 2 2 2 5 2 5" xfId="12666" xr:uid="{227F3ED6-B33A-47D4-B12A-951DE5143D59}"/>
    <cellStyle name="Currency 5 3 2 2 2 5 3" xfId="6310" xr:uid="{00000000-0005-0000-0000-0000970C0000}"/>
    <cellStyle name="Currency 5 3 2 2 2 5 3 2" xfId="18943" xr:uid="{9B2A6A1E-3E00-4C45-92A8-F8763EC0D576}"/>
    <cellStyle name="Currency 5 3 2 2 2 5 4" xfId="14732" xr:uid="{4BF9B790-FFDD-41CD-BF2C-57F7DA0B56A9}"/>
    <cellStyle name="Currency 5 3 2 2 2 5 5" xfId="23982" xr:uid="{296E16B8-9300-47BD-833B-A1743E5B6F6A}"/>
    <cellStyle name="Currency 5 3 2 2 2 5 6" xfId="10521" xr:uid="{715263F8-04C8-4D32-8B5D-D7557B18257A}"/>
    <cellStyle name="Currency 5 3 2 2 2 6" xfId="2437" xr:uid="{00000000-0005-0000-0000-0000980C0000}"/>
    <cellStyle name="Currency 5 3 2 2 2 6 2" xfId="6723" xr:uid="{00000000-0005-0000-0000-0000990C0000}"/>
    <cellStyle name="Currency 5 3 2 2 2 6 2 2" xfId="19356" xr:uid="{C5956B03-9C08-47C6-BA3E-75977C72D012}"/>
    <cellStyle name="Currency 5 3 2 2 2 6 3" xfId="15145" xr:uid="{B98C07D9-73F5-4B18-9896-950D93699E8B}"/>
    <cellStyle name="Currency 5 3 2 2 2 6 4" xfId="24395" xr:uid="{7887D879-227A-41E2-8D5A-28B1430BAB5A}"/>
    <cellStyle name="Currency 5 3 2 2 2 6 5" xfId="10934" xr:uid="{C527EC96-4225-402D-B655-6BEA69B7349D}"/>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9673" xr:uid="{D57A57EC-FE29-4F0C-B5E0-5EEB40430F4E}"/>
    <cellStyle name="Currency 5 3 2 2 2 8 3" xfId="15462" xr:uid="{1E8EF79F-A608-4788-B6B4-B68ED9BF9C97}"/>
    <cellStyle name="Currency 5 3 2 2 2 8 4" xfId="24712" xr:uid="{52DD9FED-FA5A-4FA0-81FE-A106B312D2DB}"/>
    <cellStyle name="Currency 5 3 2 2 2 8 5" xfId="11251" xr:uid="{140FC10C-332B-465E-8517-F3412650BDCE}"/>
    <cellStyle name="Currency 5 3 2 2 2 9" xfId="4657" xr:uid="{00000000-0005-0000-0000-00009D0C0000}"/>
    <cellStyle name="Currency 5 3 2 2 2 9 2" xfId="17290" xr:uid="{E054F116-4F53-46D4-AAD1-4454B9FEA51A}"/>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9848" xr:uid="{83B50277-D785-4E0A-A7DD-DB3A7E059B32}"/>
    <cellStyle name="Currency 5 3 2 2 3 2 3" xfId="15637" xr:uid="{6C1F521B-2F54-401C-B025-D77ADF0F6B79}"/>
    <cellStyle name="Currency 5 3 2 2 3 2 4" xfId="24887" xr:uid="{16BA09D0-948A-42F9-ADA0-D754CA3BB208}"/>
    <cellStyle name="Currency 5 3 2 2 3 2 5" xfId="11426" xr:uid="{4DE64AAC-28EB-489F-96E3-B31D34F7F2D7}"/>
    <cellStyle name="Currency 5 3 2 2 3 3" xfId="5070" xr:uid="{00000000-0005-0000-0000-0000A10C0000}"/>
    <cellStyle name="Currency 5 3 2 2 3 3 2" xfId="17703" xr:uid="{12B22785-DD05-4D12-B66E-3E1735165ACF}"/>
    <cellStyle name="Currency 5 3 2 2 3 4" xfId="21913" xr:uid="{94339910-5F32-452A-B172-C53D54924D29}"/>
    <cellStyle name="Currency 5 3 2 2 3 5" xfId="13492" xr:uid="{04BBDEBF-5DC7-44CB-8D35-1F96EEABC7C9}"/>
    <cellStyle name="Currency 5 3 2 2 3 6" xfId="22742" xr:uid="{024B5CDF-BA7E-4CC3-B462-3681F4E4CA7B}"/>
    <cellStyle name="Currency 5 3 2 2 3 7" xfId="9281" xr:uid="{5172FDE4-B341-4B58-94CB-237E6ABE5E35}"/>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20261" xr:uid="{FA27701E-247E-48FE-9110-4AF044C13FD8}"/>
    <cellStyle name="Currency 5 3 2 2 4 2 3" xfId="16050" xr:uid="{9E50414E-3DB5-433E-AD67-D54DB1FC7383}"/>
    <cellStyle name="Currency 5 3 2 2 4 2 4" xfId="25300" xr:uid="{8B2E6EF7-2E6E-4C5C-8BFB-B3F48D00AF80}"/>
    <cellStyle name="Currency 5 3 2 2 4 2 5" xfId="11839" xr:uid="{1D99935A-DBA6-4844-BD9C-5C22382FB4C7}"/>
    <cellStyle name="Currency 5 3 2 2 4 3" xfId="5483" xr:uid="{00000000-0005-0000-0000-0000A50C0000}"/>
    <cellStyle name="Currency 5 3 2 2 4 3 2" xfId="18116" xr:uid="{4692B64D-B66A-42D0-8225-3B6362F4C4ED}"/>
    <cellStyle name="Currency 5 3 2 2 4 4" xfId="13905" xr:uid="{E6059069-E42D-42EA-B25B-B79DEA9F64F8}"/>
    <cellStyle name="Currency 5 3 2 2 4 5" xfId="23155" xr:uid="{98B733B0-EFD9-4918-AA2D-9380A885178D}"/>
    <cellStyle name="Currency 5 3 2 2 4 6" xfId="9694" xr:uid="{48E86E69-1C23-49F2-A572-B369CDE8A4F1}"/>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20674" xr:uid="{3D1B946B-706E-4943-864C-79C7B326F14F}"/>
    <cellStyle name="Currency 5 3 2 2 5 2 3" xfId="16463" xr:uid="{A8372A92-CA84-44E3-8E0A-62C85482B853}"/>
    <cellStyle name="Currency 5 3 2 2 5 2 4" xfId="25713" xr:uid="{CE265C55-2862-4BC4-80B9-1181369F3DE2}"/>
    <cellStyle name="Currency 5 3 2 2 5 2 5" xfId="12252" xr:uid="{DD41FDE9-1BED-4C9D-84B1-0C404BEB9687}"/>
    <cellStyle name="Currency 5 3 2 2 5 3" xfId="5896" xr:uid="{00000000-0005-0000-0000-0000A90C0000}"/>
    <cellStyle name="Currency 5 3 2 2 5 3 2" xfId="18529" xr:uid="{DDD1DD3A-9DE1-4B29-82B5-192F7C5BC3CA}"/>
    <cellStyle name="Currency 5 3 2 2 5 4" xfId="14318" xr:uid="{E459C7BA-BE69-48F0-A065-B84AE09E695E}"/>
    <cellStyle name="Currency 5 3 2 2 5 5" xfId="23568" xr:uid="{A5C8F370-1535-4A3F-9ADA-1AEE6E386F19}"/>
    <cellStyle name="Currency 5 3 2 2 5 6" xfId="10107" xr:uid="{59C56337-C7BE-4BAC-A102-6AEBCD049779}"/>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21087" xr:uid="{05B5FD0D-4045-4856-B31B-738CBF57EFF7}"/>
    <cellStyle name="Currency 5 3 2 2 6 2 3" xfId="16876" xr:uid="{90B596FF-C6E9-428E-9464-863A14DB42D3}"/>
    <cellStyle name="Currency 5 3 2 2 6 2 4" xfId="26126" xr:uid="{7CFBB022-4573-43AF-8F0E-04FA12E2FD38}"/>
    <cellStyle name="Currency 5 3 2 2 6 2 5" xfId="12665" xr:uid="{8C8FF389-42B7-43C6-A916-06C30F4EA862}"/>
    <cellStyle name="Currency 5 3 2 2 6 3" xfId="6309" xr:uid="{00000000-0005-0000-0000-0000AD0C0000}"/>
    <cellStyle name="Currency 5 3 2 2 6 3 2" xfId="18942" xr:uid="{2B2B732C-D6D7-42A3-BCD3-B712832F9575}"/>
    <cellStyle name="Currency 5 3 2 2 6 4" xfId="14731" xr:uid="{C4E78460-37F6-46BB-8815-CE5030707AEC}"/>
    <cellStyle name="Currency 5 3 2 2 6 5" xfId="23981" xr:uid="{65CEF286-16AC-43B9-8D7E-349A29E99B63}"/>
    <cellStyle name="Currency 5 3 2 2 6 6" xfId="10520" xr:uid="{EF0A6753-3FCC-4567-B002-07089CE36C03}"/>
    <cellStyle name="Currency 5 3 2 2 7" xfId="2436" xr:uid="{00000000-0005-0000-0000-0000AE0C0000}"/>
    <cellStyle name="Currency 5 3 2 2 7 2" xfId="6722" xr:uid="{00000000-0005-0000-0000-0000AF0C0000}"/>
    <cellStyle name="Currency 5 3 2 2 7 2 2" xfId="19355" xr:uid="{18534939-DE41-4479-AA15-C2859BCA7BC1}"/>
    <cellStyle name="Currency 5 3 2 2 7 3" xfId="15144" xr:uid="{3D4243BC-D246-461C-9941-F834255693E5}"/>
    <cellStyle name="Currency 5 3 2 2 7 4" xfId="24394" xr:uid="{FA1436EF-C61A-4CB2-9D86-9BE68DD2EEC1}"/>
    <cellStyle name="Currency 5 3 2 2 7 5" xfId="10933" xr:uid="{E63CF807-F87A-4D8A-A2E9-6E28801B837D}"/>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9672" xr:uid="{E3335913-7281-41A3-9C09-A4EA29FA563D}"/>
    <cellStyle name="Currency 5 3 2 2 9 3" xfId="15461" xr:uid="{E191AB86-269F-41B9-997A-550C01D0A47D}"/>
    <cellStyle name="Currency 5 3 2 2 9 4" xfId="24711" xr:uid="{38D48688-E1B8-46C5-B639-47B5AC5A77D8}"/>
    <cellStyle name="Currency 5 3 2 2 9 5" xfId="11250" xr:uid="{B221A363-91AB-44BC-A5CA-DDBF5219799B}"/>
    <cellStyle name="Currency 5 3 2 3" xfId="213" xr:uid="{00000000-0005-0000-0000-0000B30C0000}"/>
    <cellStyle name="Currency 5 3 2 3 10" xfId="21502" xr:uid="{334CE196-69D1-4215-A460-05D35A62EFEC}"/>
    <cellStyle name="Currency 5 3 2 3 11" xfId="13080" xr:uid="{22846C02-7CA1-473C-B379-3B484FFBFE49}"/>
    <cellStyle name="Currency 5 3 2 3 12" xfId="22330" xr:uid="{ACD6D3E0-61EE-4A3E-8727-0D069E52B05E}"/>
    <cellStyle name="Currency 5 3 2 3 13" xfId="8869" xr:uid="{A8CE9198-7CB6-4492-AB23-FC624013A7B8}"/>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9850" xr:uid="{18E50806-911A-46AA-861A-F73DF45EBA31}"/>
    <cellStyle name="Currency 5 3 2 3 2 2 3" xfId="15639" xr:uid="{9C01CC40-F737-4AE6-AFFC-32A3280C7F1E}"/>
    <cellStyle name="Currency 5 3 2 3 2 2 4" xfId="24889" xr:uid="{C438FAB7-B745-4BC5-BBEF-38F72EE6D240}"/>
    <cellStyle name="Currency 5 3 2 3 2 2 5" xfId="11428" xr:uid="{16C68B17-7B9A-43D5-A964-1AE1ED03E105}"/>
    <cellStyle name="Currency 5 3 2 3 2 3" xfId="5072" xr:uid="{00000000-0005-0000-0000-0000B70C0000}"/>
    <cellStyle name="Currency 5 3 2 3 2 3 2" xfId="17705" xr:uid="{9D59A206-2266-4201-94E2-CA29FD3A0192}"/>
    <cellStyle name="Currency 5 3 2 3 2 4" xfId="21915" xr:uid="{55587848-4E8F-46CB-A461-CAC63DAE3DA6}"/>
    <cellStyle name="Currency 5 3 2 3 2 5" xfId="13494" xr:uid="{D035861D-D8FB-4BCC-9576-CD5A774A6271}"/>
    <cellStyle name="Currency 5 3 2 3 2 6" xfId="22744" xr:uid="{2C2AB901-EFF7-4176-A688-05B0D249C8F6}"/>
    <cellStyle name="Currency 5 3 2 3 2 7" xfId="9283" xr:uid="{C7A82534-23D9-4C8B-B739-2D04B30ABC1A}"/>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20263" xr:uid="{9710EF62-14F4-41B2-A4AB-2C31931D3E0B}"/>
    <cellStyle name="Currency 5 3 2 3 3 2 3" xfId="16052" xr:uid="{0FE98608-6E01-46E8-92E4-5D3A36B19398}"/>
    <cellStyle name="Currency 5 3 2 3 3 2 4" xfId="25302" xr:uid="{EBD8268D-48A9-43C3-9466-086A6DC0200D}"/>
    <cellStyle name="Currency 5 3 2 3 3 2 5" xfId="11841" xr:uid="{31831421-1A2E-49EC-BD2A-3F4E47FA0E28}"/>
    <cellStyle name="Currency 5 3 2 3 3 3" xfId="5485" xr:uid="{00000000-0005-0000-0000-0000BB0C0000}"/>
    <cellStyle name="Currency 5 3 2 3 3 3 2" xfId="18118" xr:uid="{0D077A0B-62A1-4F20-8157-38F1425F3831}"/>
    <cellStyle name="Currency 5 3 2 3 3 4" xfId="13907" xr:uid="{F1427DBE-9CCA-4822-9B1E-93B174217FE6}"/>
    <cellStyle name="Currency 5 3 2 3 3 5" xfId="23157" xr:uid="{46D20961-F8B4-4DB2-ADEF-440D83B8C52B}"/>
    <cellStyle name="Currency 5 3 2 3 3 6" xfId="9696" xr:uid="{52DFDD21-9FCE-4547-90A6-C201DB733D33}"/>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20676" xr:uid="{6EEFD52B-EBF1-43FA-9263-494BB76DFB87}"/>
    <cellStyle name="Currency 5 3 2 3 4 2 3" xfId="16465" xr:uid="{31DA2445-01CA-4249-857D-1181B966C7CF}"/>
    <cellStyle name="Currency 5 3 2 3 4 2 4" xfId="25715" xr:uid="{6CD055FF-6BEE-4A57-BA7D-65B758633BEB}"/>
    <cellStyle name="Currency 5 3 2 3 4 2 5" xfId="12254" xr:uid="{E6A74B00-9929-4270-B401-5023BC8CDE69}"/>
    <cellStyle name="Currency 5 3 2 3 4 3" xfId="5898" xr:uid="{00000000-0005-0000-0000-0000BF0C0000}"/>
    <cellStyle name="Currency 5 3 2 3 4 3 2" xfId="18531" xr:uid="{96D89C91-329D-4824-A50C-671789094376}"/>
    <cellStyle name="Currency 5 3 2 3 4 4" xfId="14320" xr:uid="{0626E6F9-969A-4495-A3F2-206DCD98CAB6}"/>
    <cellStyle name="Currency 5 3 2 3 4 5" xfId="23570" xr:uid="{F61CC31A-FB4F-428B-8415-327D117A0934}"/>
    <cellStyle name="Currency 5 3 2 3 4 6" xfId="10109" xr:uid="{B1E90EBE-6AC4-4646-9834-2B9629224E8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21089" xr:uid="{3DD9B4EB-4F9C-45CD-B841-3F95DF7E387F}"/>
    <cellStyle name="Currency 5 3 2 3 5 2 3" xfId="16878" xr:uid="{533EE053-BF63-4172-B710-4796A4371ABB}"/>
    <cellStyle name="Currency 5 3 2 3 5 2 4" xfId="26128" xr:uid="{0DE0CAC8-69EE-40A4-989F-BADADF731C4A}"/>
    <cellStyle name="Currency 5 3 2 3 5 2 5" xfId="12667" xr:uid="{79987D70-52F0-4161-879F-105D723728FB}"/>
    <cellStyle name="Currency 5 3 2 3 5 3" xfId="6311" xr:uid="{00000000-0005-0000-0000-0000C30C0000}"/>
    <cellStyle name="Currency 5 3 2 3 5 3 2" xfId="18944" xr:uid="{B7FB25A3-D884-4EA6-B954-FFE6F06DBF9B}"/>
    <cellStyle name="Currency 5 3 2 3 5 4" xfId="14733" xr:uid="{B9C62B6C-4858-445F-B6AB-A9F671C090FF}"/>
    <cellStyle name="Currency 5 3 2 3 5 5" xfId="23983" xr:uid="{BE013642-39E6-4C8F-A953-898DC7BDC137}"/>
    <cellStyle name="Currency 5 3 2 3 5 6" xfId="10522" xr:uid="{C7366FB8-33E5-4C92-85FA-5C0116EF4043}"/>
    <cellStyle name="Currency 5 3 2 3 6" xfId="2438" xr:uid="{00000000-0005-0000-0000-0000C40C0000}"/>
    <cellStyle name="Currency 5 3 2 3 6 2" xfId="6724" xr:uid="{00000000-0005-0000-0000-0000C50C0000}"/>
    <cellStyle name="Currency 5 3 2 3 6 2 2" xfId="19357" xr:uid="{C6A3C28A-1B89-415C-B08D-D4404782063F}"/>
    <cellStyle name="Currency 5 3 2 3 6 3" xfId="15146" xr:uid="{4E3DAA81-8A90-4696-A1B1-7DCA4F1CEF0B}"/>
    <cellStyle name="Currency 5 3 2 3 6 4" xfId="24396" xr:uid="{1C4E05E9-92CF-4F37-94B4-F0F22040CDDB}"/>
    <cellStyle name="Currency 5 3 2 3 6 5" xfId="10935" xr:uid="{17CB5962-AD63-48B5-B02C-BFA8FE43EFDE}"/>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9674" xr:uid="{125D9D2F-4427-425E-89BE-3F50B3CBD6E6}"/>
    <cellStyle name="Currency 5 3 2 3 8 3" xfId="15463" xr:uid="{E73E222A-8FD8-4722-AB3E-AF73B6A87EF4}"/>
    <cellStyle name="Currency 5 3 2 3 8 4" xfId="24713" xr:uid="{69F288DA-16BF-43A3-B9EF-FD45395B6E33}"/>
    <cellStyle name="Currency 5 3 2 3 8 5" xfId="11252" xr:uid="{B942846B-98D9-40B0-89EB-73D0F81A55BE}"/>
    <cellStyle name="Currency 5 3 2 3 9" xfId="4658" xr:uid="{00000000-0005-0000-0000-0000C90C0000}"/>
    <cellStyle name="Currency 5 3 2 3 9 2" xfId="17291" xr:uid="{D1793A39-AB89-410E-9794-E8CBBC37F8A9}"/>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9847" xr:uid="{4EF633D4-125D-4A23-87D8-27AB838F4310}"/>
    <cellStyle name="Currency 5 3 2 4 2 3" xfId="15636" xr:uid="{7F63DC8D-079A-4307-B404-CFE500E964E3}"/>
    <cellStyle name="Currency 5 3 2 4 2 4" xfId="24886" xr:uid="{7D1FA54B-1D87-4979-8CFB-19A41B4875D6}"/>
    <cellStyle name="Currency 5 3 2 4 2 5" xfId="11425" xr:uid="{B0428074-71E0-4A52-A77E-3D485AB63E65}"/>
    <cellStyle name="Currency 5 3 2 4 3" xfId="5069" xr:uid="{00000000-0005-0000-0000-0000CD0C0000}"/>
    <cellStyle name="Currency 5 3 2 4 3 2" xfId="17702" xr:uid="{6FC0C4AC-9992-4775-9F17-151FCE91949F}"/>
    <cellStyle name="Currency 5 3 2 4 4" xfId="21912" xr:uid="{BA2BC66B-9933-4709-AE32-733898E3532A}"/>
    <cellStyle name="Currency 5 3 2 4 5" xfId="13491" xr:uid="{76356C7A-B73F-4F70-9398-8BEEEBB73043}"/>
    <cellStyle name="Currency 5 3 2 4 6" xfId="22741" xr:uid="{77339116-F20A-43DD-853A-7337368F2F0C}"/>
    <cellStyle name="Currency 5 3 2 4 7" xfId="9280" xr:uid="{44D1F099-3027-40C3-9C5B-ADD1BD79C5B8}"/>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20260" xr:uid="{7D049742-AAB4-4B7C-9900-B83A60DB114C}"/>
    <cellStyle name="Currency 5 3 2 5 2 3" xfId="16049" xr:uid="{D606BBF4-B5C2-4361-B6A3-3803150034D3}"/>
    <cellStyle name="Currency 5 3 2 5 2 4" xfId="25299" xr:uid="{E25FB78A-8BEC-4961-B5FC-DB8B9EF981D7}"/>
    <cellStyle name="Currency 5 3 2 5 2 5" xfId="11838" xr:uid="{ADED5DD3-D7B3-4F9F-B88E-C252DEA3BCC7}"/>
    <cellStyle name="Currency 5 3 2 5 3" xfId="5482" xr:uid="{00000000-0005-0000-0000-0000D10C0000}"/>
    <cellStyle name="Currency 5 3 2 5 3 2" xfId="18115" xr:uid="{AB9189E8-FA25-484C-9B2C-46B5C413EE27}"/>
    <cellStyle name="Currency 5 3 2 5 4" xfId="13904" xr:uid="{B40A6358-1999-455B-9DFF-94EAD9A65300}"/>
    <cellStyle name="Currency 5 3 2 5 5" xfId="23154" xr:uid="{20222E2A-F9B3-4745-A23B-9C343D08C448}"/>
    <cellStyle name="Currency 5 3 2 5 6" xfId="9693" xr:uid="{E0875C02-6586-43E1-B19F-4A31896D0259}"/>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20673" xr:uid="{322905E6-C54B-464B-82B0-B90414B5403E}"/>
    <cellStyle name="Currency 5 3 2 6 2 3" xfId="16462" xr:uid="{C566AE5D-1581-47AF-B884-557F8DDA74A3}"/>
    <cellStyle name="Currency 5 3 2 6 2 4" xfId="25712" xr:uid="{E3A6E118-DAFD-4E75-97AB-892145A9F251}"/>
    <cellStyle name="Currency 5 3 2 6 2 5" xfId="12251" xr:uid="{EE04E059-5429-47FD-B9C6-ADE5EFA8AAE9}"/>
    <cellStyle name="Currency 5 3 2 6 3" xfId="5895" xr:uid="{00000000-0005-0000-0000-0000D50C0000}"/>
    <cellStyle name="Currency 5 3 2 6 3 2" xfId="18528" xr:uid="{2473F948-BB64-4AE3-A50E-B486D29A5E1C}"/>
    <cellStyle name="Currency 5 3 2 6 4" xfId="14317" xr:uid="{133D86C5-4064-4CFC-A13C-4650D41E1A7A}"/>
    <cellStyle name="Currency 5 3 2 6 5" xfId="23567" xr:uid="{5C703754-D54B-4478-9CBD-56C55FCA5AD2}"/>
    <cellStyle name="Currency 5 3 2 6 6" xfId="10106" xr:uid="{143E7C1C-5836-4904-ACC5-57F2B422C8F9}"/>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21086" xr:uid="{C10553DF-C845-4132-998C-D9A78C224F7C}"/>
    <cellStyle name="Currency 5 3 2 7 2 3" xfId="16875" xr:uid="{D25A5E4F-3360-46E0-BAE4-1E33B079912D}"/>
    <cellStyle name="Currency 5 3 2 7 2 4" xfId="26125" xr:uid="{86F76E45-ED39-4EE3-BF16-9F7E97DC82C5}"/>
    <cellStyle name="Currency 5 3 2 7 2 5" xfId="12664" xr:uid="{2803AE75-5320-4AE6-B547-C5126F67B61E}"/>
    <cellStyle name="Currency 5 3 2 7 3" xfId="6308" xr:uid="{00000000-0005-0000-0000-0000D90C0000}"/>
    <cellStyle name="Currency 5 3 2 7 3 2" xfId="18941" xr:uid="{644234AB-5CE4-48D0-A41D-3636B4817D83}"/>
    <cellStyle name="Currency 5 3 2 7 4" xfId="14730" xr:uid="{9830ECAD-4B8F-4C32-AB07-31036BA0F254}"/>
    <cellStyle name="Currency 5 3 2 7 5" xfId="23980" xr:uid="{67ADA74D-83B2-4332-8053-DC9DBC3B7769}"/>
    <cellStyle name="Currency 5 3 2 7 6" xfId="10519" xr:uid="{9EC90A13-32DD-48C0-8B73-2630C0FDCD3D}"/>
    <cellStyle name="Currency 5 3 2 8" xfId="2435" xr:uid="{00000000-0005-0000-0000-0000DA0C0000}"/>
    <cellStyle name="Currency 5 3 2 8 2" xfId="6721" xr:uid="{00000000-0005-0000-0000-0000DB0C0000}"/>
    <cellStyle name="Currency 5 3 2 8 2 2" xfId="19354" xr:uid="{426DA045-DB69-40FF-863F-B01351B4F96F}"/>
    <cellStyle name="Currency 5 3 2 8 3" xfId="15143" xr:uid="{E433B705-152D-41AC-8D51-53032A085D25}"/>
    <cellStyle name="Currency 5 3 2 8 4" xfId="24393" xr:uid="{E0B040DA-5EEF-4350-9493-1FF647E91349}"/>
    <cellStyle name="Currency 5 3 2 8 5" xfId="10932" xr:uid="{A6CEDF68-B338-4236-8452-20505C552812}"/>
    <cellStyle name="Currency 5 3 2 9" xfId="2732" xr:uid="{00000000-0005-0000-0000-0000DC0C0000}"/>
    <cellStyle name="Currency 5 3 3" xfId="214" xr:uid="{00000000-0005-0000-0000-0000DD0C0000}"/>
    <cellStyle name="Currency 5 3 3 10" xfId="4659" xr:uid="{00000000-0005-0000-0000-0000DE0C0000}"/>
    <cellStyle name="Currency 5 3 3 10 2" xfId="17292" xr:uid="{D59B9D64-DF51-49C3-A494-716869828D60}"/>
    <cellStyle name="Currency 5 3 3 11" xfId="21503" xr:uid="{59A8258C-EC0D-4A14-B6DA-FEAC6EC6905E}"/>
    <cellStyle name="Currency 5 3 3 12" xfId="13081" xr:uid="{2F2E8438-AB1E-4ECC-8B5C-4868F87436F2}"/>
    <cellStyle name="Currency 5 3 3 13" xfId="22331" xr:uid="{F6FC1CE9-85B8-4652-A75F-E53AC2FEA525}"/>
    <cellStyle name="Currency 5 3 3 14" xfId="8870" xr:uid="{82C47698-05D7-4613-B65A-22B887A72563}"/>
    <cellStyle name="Currency 5 3 3 2" xfId="215" xr:uid="{00000000-0005-0000-0000-0000DF0C0000}"/>
    <cellStyle name="Currency 5 3 3 2 10" xfId="21504" xr:uid="{E59CAA6E-A779-4E41-9D77-4AA62E9081EE}"/>
    <cellStyle name="Currency 5 3 3 2 11" xfId="13082" xr:uid="{19F20A3D-F5F0-4765-9855-9350A93756BA}"/>
    <cellStyle name="Currency 5 3 3 2 12" xfId="22332" xr:uid="{71FAF850-4204-4368-BE1F-1845F6FDF082}"/>
    <cellStyle name="Currency 5 3 3 2 13" xfId="8871" xr:uid="{D158BFAD-DACD-4CD0-9D36-337B9C912A57}"/>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9852" xr:uid="{963DDCF3-F4B6-46B4-9219-958B1E00F82C}"/>
    <cellStyle name="Currency 5 3 3 2 2 2 3" xfId="15641" xr:uid="{2898A873-3EAD-4AE9-A8FA-0DAF0645CF20}"/>
    <cellStyle name="Currency 5 3 3 2 2 2 4" xfId="24891" xr:uid="{BBB834D9-9187-4A62-A0D0-B5BA961F1BD1}"/>
    <cellStyle name="Currency 5 3 3 2 2 2 5" xfId="11430" xr:uid="{7A02CB01-4B1A-410E-BED5-AAEF846BCF6C}"/>
    <cellStyle name="Currency 5 3 3 2 2 3" xfId="5074" xr:uid="{00000000-0005-0000-0000-0000E30C0000}"/>
    <cellStyle name="Currency 5 3 3 2 2 3 2" xfId="17707" xr:uid="{0BB00500-8CDF-488A-A7F2-1045722E1748}"/>
    <cellStyle name="Currency 5 3 3 2 2 4" xfId="21917" xr:uid="{9E6FB891-C5FA-40BB-9871-8B1CFA673D53}"/>
    <cellStyle name="Currency 5 3 3 2 2 5" xfId="13496" xr:uid="{5C8805C8-AE5F-4218-851B-AD20A34C6D91}"/>
    <cellStyle name="Currency 5 3 3 2 2 6" xfId="22746" xr:uid="{839E2735-CF40-4879-97EE-71FDD647DE7A}"/>
    <cellStyle name="Currency 5 3 3 2 2 7" xfId="9285" xr:uid="{4CC258F3-0ADD-40F0-B5F1-AD735C4F11E6}"/>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20265" xr:uid="{88920C84-E786-4E31-984C-1BFA5F1F50DE}"/>
    <cellStyle name="Currency 5 3 3 2 3 2 3" xfId="16054" xr:uid="{90C3614A-8B3A-4606-8F90-B71EBB1429B1}"/>
    <cellStyle name="Currency 5 3 3 2 3 2 4" xfId="25304" xr:uid="{BBCA95DD-C464-4577-89DE-6D5F29D5DE06}"/>
    <cellStyle name="Currency 5 3 3 2 3 2 5" xfId="11843" xr:uid="{CD6DCEA5-4652-4C78-8A8B-69E24D077E2A}"/>
    <cellStyle name="Currency 5 3 3 2 3 3" xfId="5487" xr:uid="{00000000-0005-0000-0000-0000E70C0000}"/>
    <cellStyle name="Currency 5 3 3 2 3 3 2" xfId="18120" xr:uid="{187B3D54-A223-47D2-AA28-B002ED0C87E5}"/>
    <cellStyle name="Currency 5 3 3 2 3 4" xfId="13909" xr:uid="{F1AF1CC9-57F1-4628-9203-0467D3AE334E}"/>
    <cellStyle name="Currency 5 3 3 2 3 5" xfId="23159" xr:uid="{3F7D6457-D0C3-4ADA-A4D6-8527F144F2BB}"/>
    <cellStyle name="Currency 5 3 3 2 3 6" xfId="9698" xr:uid="{E3E380ED-1C86-4A0B-9535-4BB817425B2A}"/>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20678" xr:uid="{35482409-D7FC-4C43-BC5E-0054676A38AD}"/>
    <cellStyle name="Currency 5 3 3 2 4 2 3" xfId="16467" xr:uid="{1546A3AA-5CA1-4A2B-A206-67DDDA2352A7}"/>
    <cellStyle name="Currency 5 3 3 2 4 2 4" xfId="25717" xr:uid="{F96E85F1-04F4-4B62-B7C5-34E5C869D0F4}"/>
    <cellStyle name="Currency 5 3 3 2 4 2 5" xfId="12256" xr:uid="{0565C3FA-9BF2-4D60-BC6C-B67595AFFEBE}"/>
    <cellStyle name="Currency 5 3 3 2 4 3" xfId="5900" xr:uid="{00000000-0005-0000-0000-0000EB0C0000}"/>
    <cellStyle name="Currency 5 3 3 2 4 3 2" xfId="18533" xr:uid="{08890F7E-D303-44C2-94AD-DB2CC6037AC7}"/>
    <cellStyle name="Currency 5 3 3 2 4 4" xfId="14322" xr:uid="{AF1CE20A-3921-4FCF-B5EC-B776EC1DB514}"/>
    <cellStyle name="Currency 5 3 3 2 4 5" xfId="23572" xr:uid="{6B82C577-C514-4C18-8A45-78D272FB372D}"/>
    <cellStyle name="Currency 5 3 3 2 4 6" xfId="10111" xr:uid="{315C65CD-ED40-4AAD-A634-8F7C80955F3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21091" xr:uid="{054A94C7-4DBF-4D14-AB40-E9BC7ECDADD2}"/>
    <cellStyle name="Currency 5 3 3 2 5 2 3" xfId="16880" xr:uid="{8681967F-D6FD-457D-95BA-12F89F7A9E96}"/>
    <cellStyle name="Currency 5 3 3 2 5 2 4" xfId="26130" xr:uid="{31AF4C61-9D4F-4260-8CF6-B54709D21139}"/>
    <cellStyle name="Currency 5 3 3 2 5 2 5" xfId="12669" xr:uid="{9DB1C8FC-A121-4CEE-9468-37D638E26CCC}"/>
    <cellStyle name="Currency 5 3 3 2 5 3" xfId="6313" xr:uid="{00000000-0005-0000-0000-0000EF0C0000}"/>
    <cellStyle name="Currency 5 3 3 2 5 3 2" xfId="18946" xr:uid="{71D00310-B5BC-4DDA-888E-A2974B95C82A}"/>
    <cellStyle name="Currency 5 3 3 2 5 4" xfId="14735" xr:uid="{D2F54F81-51BA-4E1E-9D78-2148B35FA7C8}"/>
    <cellStyle name="Currency 5 3 3 2 5 5" xfId="23985" xr:uid="{9FBE1730-6C72-43EA-8D03-D4DF687F6786}"/>
    <cellStyle name="Currency 5 3 3 2 5 6" xfId="10524" xr:uid="{D3D1E046-AE43-4045-9569-BB1D43F42011}"/>
    <cellStyle name="Currency 5 3 3 2 6" xfId="2440" xr:uid="{00000000-0005-0000-0000-0000F00C0000}"/>
    <cellStyle name="Currency 5 3 3 2 6 2" xfId="6726" xr:uid="{00000000-0005-0000-0000-0000F10C0000}"/>
    <cellStyle name="Currency 5 3 3 2 6 2 2" xfId="19359" xr:uid="{4BF59467-C02C-4DDA-9CEE-D10C42AADACC}"/>
    <cellStyle name="Currency 5 3 3 2 6 3" xfId="15148" xr:uid="{90836279-777A-42C8-A1CA-82962A28999D}"/>
    <cellStyle name="Currency 5 3 3 2 6 4" xfId="24398" xr:uid="{D686BE6C-85B2-4432-B8ED-C34D4BB0BBDB}"/>
    <cellStyle name="Currency 5 3 3 2 6 5" xfId="10937" xr:uid="{6C8392A5-5FB8-4DF5-8D8C-3D69EFA39325}"/>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9676" xr:uid="{32CA6311-ECC3-4C62-BE7D-D68101944DEE}"/>
    <cellStyle name="Currency 5 3 3 2 8 3" xfId="15465" xr:uid="{1C747457-2403-4776-9849-E64FC0CED21F}"/>
    <cellStyle name="Currency 5 3 3 2 8 4" xfId="24715" xr:uid="{8E45027A-787C-481B-9458-7ED3EE94E8BD}"/>
    <cellStyle name="Currency 5 3 3 2 8 5" xfId="11254" xr:uid="{1CBA56A4-E852-40B7-83E0-708C5A960FC3}"/>
    <cellStyle name="Currency 5 3 3 2 9" xfId="4660" xr:uid="{00000000-0005-0000-0000-0000F50C0000}"/>
    <cellStyle name="Currency 5 3 3 2 9 2" xfId="17293" xr:uid="{400C2254-B32F-4404-8E63-3587EC8A8C5B}"/>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9851" xr:uid="{53DFB9C3-7B67-4BEA-A7F6-7BA7621D8516}"/>
    <cellStyle name="Currency 5 3 3 3 2 3" xfId="15640" xr:uid="{6330AC75-D40B-4989-8AF5-3E4243A484E4}"/>
    <cellStyle name="Currency 5 3 3 3 2 4" xfId="24890" xr:uid="{EBAB9817-8C29-4428-AAA6-AD528F9BFE02}"/>
    <cellStyle name="Currency 5 3 3 3 2 5" xfId="11429" xr:uid="{D65F10D3-6F5D-4136-8D73-AC4DA7D66C8D}"/>
    <cellStyle name="Currency 5 3 3 3 3" xfId="5073" xr:uid="{00000000-0005-0000-0000-0000F90C0000}"/>
    <cellStyle name="Currency 5 3 3 3 3 2" xfId="17706" xr:uid="{48E2A09E-7D32-4727-9C29-F90B923A349A}"/>
    <cellStyle name="Currency 5 3 3 3 4" xfId="21916" xr:uid="{88A671AA-4CE7-49B8-B284-3990041B4C14}"/>
    <cellStyle name="Currency 5 3 3 3 5" xfId="13495" xr:uid="{A83BB90F-380E-4445-B937-259AF8CF82A4}"/>
    <cellStyle name="Currency 5 3 3 3 6" xfId="22745" xr:uid="{4909EC52-64ED-4483-82F8-A787467EA06F}"/>
    <cellStyle name="Currency 5 3 3 3 7" xfId="9284" xr:uid="{69B8BC4E-CAF4-43BB-93B0-BD9F888FDF6A}"/>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20264" xr:uid="{D8D81A0D-DAF6-47A1-9737-A57893B5747E}"/>
    <cellStyle name="Currency 5 3 3 4 2 3" xfId="16053" xr:uid="{6568ED85-DCD3-4B30-8190-35A54CEA9209}"/>
    <cellStyle name="Currency 5 3 3 4 2 4" xfId="25303" xr:uid="{6C36A244-A88B-4906-9C84-119961521446}"/>
    <cellStyle name="Currency 5 3 3 4 2 5" xfId="11842" xr:uid="{2275E40E-A825-4B7D-B270-2AE592A2F827}"/>
    <cellStyle name="Currency 5 3 3 4 3" xfId="5486" xr:uid="{00000000-0005-0000-0000-0000FD0C0000}"/>
    <cellStyle name="Currency 5 3 3 4 3 2" xfId="18119" xr:uid="{CB647AA3-65EB-457F-8C0B-2E9F05DB4FEA}"/>
    <cellStyle name="Currency 5 3 3 4 4" xfId="13908" xr:uid="{EBEEE28E-578B-4094-94EA-F661D4E5832C}"/>
    <cellStyle name="Currency 5 3 3 4 5" xfId="23158" xr:uid="{02CD09C3-0D1B-4E2B-A6AF-40B68FD7D251}"/>
    <cellStyle name="Currency 5 3 3 4 6" xfId="9697" xr:uid="{A0433C6A-BE46-4493-B318-4689D9F129A3}"/>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20677" xr:uid="{876BA84D-0D6F-45B8-A931-F2292C8C391C}"/>
    <cellStyle name="Currency 5 3 3 5 2 3" xfId="16466" xr:uid="{640F5478-C88A-4CD5-8D0B-0CC53B777568}"/>
    <cellStyle name="Currency 5 3 3 5 2 4" xfId="25716" xr:uid="{07952F00-B5A7-47D1-B2D8-48EBFE2A39A6}"/>
    <cellStyle name="Currency 5 3 3 5 2 5" xfId="12255" xr:uid="{C491BD74-7AD8-4CE4-AE81-7421E6F61278}"/>
    <cellStyle name="Currency 5 3 3 5 3" xfId="5899" xr:uid="{00000000-0005-0000-0000-0000010D0000}"/>
    <cellStyle name="Currency 5 3 3 5 3 2" xfId="18532" xr:uid="{7A4087B5-8760-435C-B28F-817B447CFD61}"/>
    <cellStyle name="Currency 5 3 3 5 4" xfId="14321" xr:uid="{010C436E-8714-4C1F-99BC-A282C3891072}"/>
    <cellStyle name="Currency 5 3 3 5 5" xfId="23571" xr:uid="{CAC6D397-4D4E-4567-9A0C-F7D8913F1A51}"/>
    <cellStyle name="Currency 5 3 3 5 6" xfId="10110" xr:uid="{3B4BCBE8-13D2-498A-A60B-33E92C28B8C9}"/>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21090" xr:uid="{E3102AF0-741E-4EFA-AC53-DE4E1D5A304E}"/>
    <cellStyle name="Currency 5 3 3 6 2 3" xfId="16879" xr:uid="{A1713BF4-6CEE-45B1-BFE3-FC61F94E30BA}"/>
    <cellStyle name="Currency 5 3 3 6 2 4" xfId="26129" xr:uid="{7E9276DF-E485-4165-A0B9-240A6E2BC59E}"/>
    <cellStyle name="Currency 5 3 3 6 2 5" xfId="12668" xr:uid="{F3A03CB5-3C69-47B5-8116-A21C9ACE2352}"/>
    <cellStyle name="Currency 5 3 3 6 3" xfId="6312" xr:uid="{00000000-0005-0000-0000-0000050D0000}"/>
    <cellStyle name="Currency 5 3 3 6 3 2" xfId="18945" xr:uid="{5BA329DC-5465-4CC0-BE56-95BDC5F0C89D}"/>
    <cellStyle name="Currency 5 3 3 6 4" xfId="14734" xr:uid="{5644C064-5472-49F7-AF5A-9F87E26F8234}"/>
    <cellStyle name="Currency 5 3 3 6 5" xfId="23984" xr:uid="{1BEDFFF2-05A5-46D0-A8D5-C9942BA3071A}"/>
    <cellStyle name="Currency 5 3 3 6 6" xfId="10523" xr:uid="{58CA9122-729C-4923-9994-78C682FA7A46}"/>
    <cellStyle name="Currency 5 3 3 7" xfId="2439" xr:uid="{00000000-0005-0000-0000-0000060D0000}"/>
    <cellStyle name="Currency 5 3 3 7 2" xfId="6725" xr:uid="{00000000-0005-0000-0000-0000070D0000}"/>
    <cellStyle name="Currency 5 3 3 7 2 2" xfId="19358" xr:uid="{7E7527DA-9C86-4E2A-B59B-41C5DBC84E06}"/>
    <cellStyle name="Currency 5 3 3 7 3" xfId="15147" xr:uid="{D0027D4A-32DD-4F9A-A79B-CA7B91E33B45}"/>
    <cellStyle name="Currency 5 3 3 7 4" xfId="24397" xr:uid="{E154B6A2-3A68-4A3A-B166-71CE644DA7DA}"/>
    <cellStyle name="Currency 5 3 3 7 5" xfId="10936" xr:uid="{FC8F7B90-063E-4FE6-83CE-829F695A0CA0}"/>
    <cellStyle name="Currency 5 3 3 8" xfId="2736" xr:uid="{00000000-0005-0000-0000-0000080D0000}"/>
    <cellStyle name="Currency 5 3 3 9" xfId="2817" xr:uid="{00000000-0005-0000-0000-0000090D0000}"/>
    <cellStyle name="Currency 5 3 3 9 2" xfId="7042" xr:uid="{00000000-0005-0000-0000-00000A0D0000}"/>
    <cellStyle name="Currency 5 3 3 9 2 2" xfId="19675" xr:uid="{477D317E-4280-4C6F-91C3-F8C922E04CEC}"/>
    <cellStyle name="Currency 5 3 3 9 3" xfId="15464" xr:uid="{5EE930BA-65EA-449D-A95F-9DDA2BCEDD2C}"/>
    <cellStyle name="Currency 5 3 3 9 4" xfId="24714" xr:uid="{3C87DFC2-2C74-4644-8E5B-813054086782}"/>
    <cellStyle name="Currency 5 3 3 9 5" xfId="11253" xr:uid="{461FD22A-DF0D-4DD4-BFE9-97015AC345E8}"/>
    <cellStyle name="Currency 5 3 4" xfId="216" xr:uid="{00000000-0005-0000-0000-00000B0D0000}"/>
    <cellStyle name="Currency 5 3 4 10" xfId="21505" xr:uid="{68A3DE66-C857-4288-AC8B-27BD486AB21C}"/>
    <cellStyle name="Currency 5 3 4 11" xfId="13083" xr:uid="{98CB4CC3-EE01-4CD6-B6CA-F09751BCEC4E}"/>
    <cellStyle name="Currency 5 3 4 12" xfId="22333" xr:uid="{F5752458-CE9B-42A3-A6AB-344BEE31A042}"/>
    <cellStyle name="Currency 5 3 4 13" xfId="8872" xr:uid="{EA1AE814-86C3-4A1F-8519-A5628BD0C831}"/>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9853" xr:uid="{5BD9A018-C2A9-4B42-BFBF-CEE39119DAEA}"/>
    <cellStyle name="Currency 5 3 4 2 2 3" xfId="15642" xr:uid="{45CAE238-96FF-41A4-8483-4AE83FBE8A3E}"/>
    <cellStyle name="Currency 5 3 4 2 2 4" xfId="24892" xr:uid="{D718A259-45A0-48BF-BF68-8EDF35099D27}"/>
    <cellStyle name="Currency 5 3 4 2 2 5" xfId="11431" xr:uid="{6B0A61DF-BB5E-4FEB-9F85-E9EB6E8A0B46}"/>
    <cellStyle name="Currency 5 3 4 2 3" xfId="5075" xr:uid="{00000000-0005-0000-0000-00000F0D0000}"/>
    <cellStyle name="Currency 5 3 4 2 3 2" xfId="17708" xr:uid="{FAFCD194-3D29-440D-A106-B4F9A518E29B}"/>
    <cellStyle name="Currency 5 3 4 2 4" xfId="21918" xr:uid="{F873539A-52D0-4212-90DE-EB9239B22E2F}"/>
    <cellStyle name="Currency 5 3 4 2 5" xfId="13497" xr:uid="{B645BFDE-B4CC-48C3-A506-712F78298AED}"/>
    <cellStyle name="Currency 5 3 4 2 6" xfId="22747" xr:uid="{66E8299A-3C5B-412D-A531-36B8FA9722CA}"/>
    <cellStyle name="Currency 5 3 4 2 7" xfId="9286" xr:uid="{024DCE1E-42BC-47E9-B76F-5C8591651CB5}"/>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20266" xr:uid="{258C237F-483D-4828-B4C9-9D7EC183F436}"/>
    <cellStyle name="Currency 5 3 4 3 2 3" xfId="16055" xr:uid="{32C418D6-F4F6-49EC-A9BF-8BBA38076269}"/>
    <cellStyle name="Currency 5 3 4 3 2 4" xfId="25305" xr:uid="{4FDBB973-80FC-491C-8947-FADD5FB28CB8}"/>
    <cellStyle name="Currency 5 3 4 3 2 5" xfId="11844" xr:uid="{2BA06220-6BA2-4AD8-8894-9DD7555CEAAD}"/>
    <cellStyle name="Currency 5 3 4 3 3" xfId="5488" xr:uid="{00000000-0005-0000-0000-0000130D0000}"/>
    <cellStyle name="Currency 5 3 4 3 3 2" xfId="18121" xr:uid="{E210B811-0C6C-4EDB-A70B-988201C56C0A}"/>
    <cellStyle name="Currency 5 3 4 3 4" xfId="13910" xr:uid="{E9955A3D-0AC4-4184-B9BF-D304EA863AF5}"/>
    <cellStyle name="Currency 5 3 4 3 5" xfId="23160" xr:uid="{03C35057-D71A-4854-AD9B-D49CF6D2D57A}"/>
    <cellStyle name="Currency 5 3 4 3 6" xfId="9699" xr:uid="{F27EED1C-2623-42E6-9D3B-45E4DE85DF24}"/>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20679" xr:uid="{37A1D6CA-009B-4379-AEBD-BAF908636134}"/>
    <cellStyle name="Currency 5 3 4 4 2 3" xfId="16468" xr:uid="{378B05B6-20AC-4665-BDBA-58DB04D5268F}"/>
    <cellStyle name="Currency 5 3 4 4 2 4" xfId="25718" xr:uid="{AC4B58E6-6F00-4C37-9285-6AB82289F1CC}"/>
    <cellStyle name="Currency 5 3 4 4 2 5" xfId="12257" xr:uid="{28009615-10A8-497F-AE62-F3E760CD3B8B}"/>
    <cellStyle name="Currency 5 3 4 4 3" xfId="5901" xr:uid="{00000000-0005-0000-0000-0000170D0000}"/>
    <cellStyle name="Currency 5 3 4 4 3 2" xfId="18534" xr:uid="{E55E976E-4AE0-4278-9481-DB27C4F69E12}"/>
    <cellStyle name="Currency 5 3 4 4 4" xfId="14323" xr:uid="{0CC57AD0-92DF-4D8E-9709-19BB982E973C}"/>
    <cellStyle name="Currency 5 3 4 4 5" xfId="23573" xr:uid="{C3DADDF3-7130-4A31-A72B-244ECCA2F793}"/>
    <cellStyle name="Currency 5 3 4 4 6" xfId="10112" xr:uid="{0F7E32A2-6B90-4AD4-97A9-017EA1E8817D}"/>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21092" xr:uid="{B4511272-ECB6-4C28-8688-68FEDF623FDC}"/>
    <cellStyle name="Currency 5 3 4 5 2 3" xfId="16881" xr:uid="{3C04EF3F-DA4A-4123-A677-023F1F11BEDB}"/>
    <cellStyle name="Currency 5 3 4 5 2 4" xfId="26131" xr:uid="{7BBC9339-C51D-46D4-B495-90F59903D46D}"/>
    <cellStyle name="Currency 5 3 4 5 2 5" xfId="12670" xr:uid="{03A8C29A-56D4-478F-96A1-D79EB24DCEF8}"/>
    <cellStyle name="Currency 5 3 4 5 3" xfId="6314" xr:uid="{00000000-0005-0000-0000-00001B0D0000}"/>
    <cellStyle name="Currency 5 3 4 5 3 2" xfId="18947" xr:uid="{C1918AA0-A130-4DF4-BD3B-E898653FA69F}"/>
    <cellStyle name="Currency 5 3 4 5 4" xfId="14736" xr:uid="{BA060030-79E4-4E88-AF7C-14D71EFE6E87}"/>
    <cellStyle name="Currency 5 3 4 5 5" xfId="23986" xr:uid="{75E987F4-9595-410E-A200-82EC42A07094}"/>
    <cellStyle name="Currency 5 3 4 5 6" xfId="10525" xr:uid="{6C74E5DD-C0FA-4D96-80B7-11A15FDF0A47}"/>
    <cellStyle name="Currency 5 3 4 6" xfId="2441" xr:uid="{00000000-0005-0000-0000-00001C0D0000}"/>
    <cellStyle name="Currency 5 3 4 6 2" xfId="6727" xr:uid="{00000000-0005-0000-0000-00001D0D0000}"/>
    <cellStyle name="Currency 5 3 4 6 2 2" xfId="19360" xr:uid="{A4FA4F81-9757-40EA-BEB9-C31E94796C5D}"/>
    <cellStyle name="Currency 5 3 4 6 3" xfId="15149" xr:uid="{37AB9E0F-A3E8-47CE-9743-9C0C11FBB8F1}"/>
    <cellStyle name="Currency 5 3 4 6 4" xfId="24399" xr:uid="{995DA551-7706-4FF5-BB0D-B522CC2B272E}"/>
    <cellStyle name="Currency 5 3 4 6 5" xfId="10938" xr:uid="{FFDE0E52-318B-475E-A056-D415413B8EC6}"/>
    <cellStyle name="Currency 5 3 4 7" xfId="2738" xr:uid="{00000000-0005-0000-0000-00001E0D0000}"/>
    <cellStyle name="Currency 5 3 4 8" xfId="2819" xr:uid="{00000000-0005-0000-0000-00001F0D0000}"/>
    <cellStyle name="Currency 5 3 4 8 2" xfId="7044" xr:uid="{00000000-0005-0000-0000-0000200D0000}"/>
    <cellStyle name="Currency 5 3 4 8 2 2" xfId="19677" xr:uid="{05F37E60-DF64-40D2-9D9E-56B6133F7F03}"/>
    <cellStyle name="Currency 5 3 4 8 3" xfId="15466" xr:uid="{0B4FAD03-1F91-4BBE-8686-72E937AF9530}"/>
    <cellStyle name="Currency 5 3 4 8 4" xfId="24716" xr:uid="{0E7205C9-DA90-4154-928D-50626F987051}"/>
    <cellStyle name="Currency 5 3 4 8 5" xfId="11255" xr:uid="{0CEE481C-1D35-4222-AFA1-F8700F58EB71}"/>
    <cellStyle name="Currency 5 3 4 9" xfId="4661" xr:uid="{00000000-0005-0000-0000-0000210D0000}"/>
    <cellStyle name="Currency 5 3 4 9 2" xfId="17294" xr:uid="{97FF3385-0EBA-49F4-AFDC-559EC8D441E5}"/>
    <cellStyle name="Currency 5 3 5" xfId="217" xr:uid="{00000000-0005-0000-0000-0000220D0000}"/>
    <cellStyle name="Currency 5 3 5 10" xfId="21506" xr:uid="{B63FBD30-E1D9-4CF2-B658-B42711BBE7F5}"/>
    <cellStyle name="Currency 5 3 5 11" xfId="13084" xr:uid="{4BD54AC4-D8FA-48CB-9D7F-79292A836EF3}"/>
    <cellStyle name="Currency 5 3 5 12" xfId="22334" xr:uid="{1B957B5E-4047-426D-AEAC-55169A1ABAF9}"/>
    <cellStyle name="Currency 5 3 5 13" xfId="8873" xr:uid="{F71A767D-1B7A-4F5D-BE5F-237AD46D51B1}"/>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9854" xr:uid="{5CFC441F-CD99-4936-B11C-398C02EC9A6B}"/>
    <cellStyle name="Currency 5 3 5 2 2 3" xfId="15643" xr:uid="{E25B2F72-7C0A-495C-8738-1E6FAC4E3202}"/>
    <cellStyle name="Currency 5 3 5 2 2 4" xfId="24893" xr:uid="{46E1FB56-7590-466C-8E00-2219AA0CAEC7}"/>
    <cellStyle name="Currency 5 3 5 2 2 5" xfId="11432" xr:uid="{2F75848C-85B2-4DBA-BC4F-1BB6217FAB67}"/>
    <cellStyle name="Currency 5 3 5 2 3" xfId="5076" xr:uid="{00000000-0005-0000-0000-0000260D0000}"/>
    <cellStyle name="Currency 5 3 5 2 3 2" xfId="17709" xr:uid="{A3C35D22-4757-461C-B7EC-0D5194AE02AD}"/>
    <cellStyle name="Currency 5 3 5 2 4" xfId="21919" xr:uid="{AC1A60BF-0A84-43A7-84B6-4888E95A22A0}"/>
    <cellStyle name="Currency 5 3 5 2 5" xfId="13498" xr:uid="{1A42659C-56F4-42DB-AFE4-F696E26054F2}"/>
    <cellStyle name="Currency 5 3 5 2 6" xfId="22748" xr:uid="{6EF6CFFD-08D4-4F37-A866-D778572C0407}"/>
    <cellStyle name="Currency 5 3 5 2 7" xfId="9287" xr:uid="{BA726307-F42E-44B9-B0A3-A660C21CBCCE}"/>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20267" xr:uid="{ED7D7A05-3982-474C-8566-C4CDAAC3D9FD}"/>
    <cellStyle name="Currency 5 3 5 3 2 3" xfId="16056" xr:uid="{7DE2B0F0-6533-4828-A9F7-F1B7D0A27F40}"/>
    <cellStyle name="Currency 5 3 5 3 2 4" xfId="25306" xr:uid="{2F3E12E4-B26C-4324-8B4D-F8A9EE217937}"/>
    <cellStyle name="Currency 5 3 5 3 2 5" xfId="11845" xr:uid="{E5F8E1E4-588A-48FB-AF0A-09094D7A9F42}"/>
    <cellStyle name="Currency 5 3 5 3 3" xfId="5489" xr:uid="{00000000-0005-0000-0000-00002A0D0000}"/>
    <cellStyle name="Currency 5 3 5 3 3 2" xfId="18122" xr:uid="{961E421C-B2B3-40B5-BD4E-3FE86D22D1AB}"/>
    <cellStyle name="Currency 5 3 5 3 4" xfId="13911" xr:uid="{90324D7D-2CB6-4A5E-8007-DFB8961A76D8}"/>
    <cellStyle name="Currency 5 3 5 3 5" xfId="23161" xr:uid="{AD12ABE7-2EB7-404C-926F-F719E30678AC}"/>
    <cellStyle name="Currency 5 3 5 3 6" xfId="9700" xr:uid="{33D32C05-E5F2-4F58-AB15-C7192AD7C411}"/>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20680" xr:uid="{8001F3AB-8C3B-4E93-9998-1FE5A810D5F5}"/>
    <cellStyle name="Currency 5 3 5 4 2 3" xfId="16469" xr:uid="{FE953E54-D83E-4244-A3DC-4E8A259FEF16}"/>
    <cellStyle name="Currency 5 3 5 4 2 4" xfId="25719" xr:uid="{EA74A448-4EC4-4306-A7DE-700AA791682A}"/>
    <cellStyle name="Currency 5 3 5 4 2 5" xfId="12258" xr:uid="{5DF3B02E-668A-4B7B-A719-E2426C85335C}"/>
    <cellStyle name="Currency 5 3 5 4 3" xfId="5902" xr:uid="{00000000-0005-0000-0000-00002E0D0000}"/>
    <cellStyle name="Currency 5 3 5 4 3 2" xfId="18535" xr:uid="{A9207D5A-A640-4BE4-9861-E64B689D472F}"/>
    <cellStyle name="Currency 5 3 5 4 4" xfId="14324" xr:uid="{556D72E6-62F3-4EED-BE79-6B7EC3E29560}"/>
    <cellStyle name="Currency 5 3 5 4 5" xfId="23574" xr:uid="{DD5D9145-B813-4D83-BAB1-2B78CEAE90B2}"/>
    <cellStyle name="Currency 5 3 5 4 6" xfId="10113" xr:uid="{E76E3F0E-2032-4410-AD31-1228076B386E}"/>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21093" xr:uid="{B5CB9DEA-4131-4051-9755-C8338274261C}"/>
    <cellStyle name="Currency 5 3 5 5 2 3" xfId="16882" xr:uid="{C895C386-9137-4D9A-AB62-36EFCE6BC718}"/>
    <cellStyle name="Currency 5 3 5 5 2 4" xfId="26132" xr:uid="{037BEA70-DB3D-490D-9F9E-EC238F61E93E}"/>
    <cellStyle name="Currency 5 3 5 5 2 5" xfId="12671" xr:uid="{ADB80DC7-4330-4351-92AF-0BEEF42F5BAE}"/>
    <cellStyle name="Currency 5 3 5 5 3" xfId="6315" xr:uid="{00000000-0005-0000-0000-0000320D0000}"/>
    <cellStyle name="Currency 5 3 5 5 3 2" xfId="18948" xr:uid="{8302A56F-E08D-49D9-9DA6-944D1331BE12}"/>
    <cellStyle name="Currency 5 3 5 5 4" xfId="14737" xr:uid="{6E904356-AB46-4A11-9DFA-860F544B931F}"/>
    <cellStyle name="Currency 5 3 5 5 5" xfId="23987" xr:uid="{EDD9E3A2-CF1D-4DA0-8B06-39AECA9FE40C}"/>
    <cellStyle name="Currency 5 3 5 5 6" xfId="10526" xr:uid="{098A76DB-0EAE-46E2-BB3C-84953D776751}"/>
    <cellStyle name="Currency 5 3 5 6" xfId="2442" xr:uid="{00000000-0005-0000-0000-0000330D0000}"/>
    <cellStyle name="Currency 5 3 5 6 2" xfId="6728" xr:uid="{00000000-0005-0000-0000-0000340D0000}"/>
    <cellStyle name="Currency 5 3 5 6 2 2" xfId="19361" xr:uid="{27E2FBE9-390C-4F00-A6BE-E870B79C42D9}"/>
    <cellStyle name="Currency 5 3 5 6 3" xfId="15150" xr:uid="{5B7C2C78-B722-4EE3-83D7-0F85E2C430D9}"/>
    <cellStyle name="Currency 5 3 5 6 4" xfId="24400" xr:uid="{44CD8456-C25E-4FF4-92B4-86B73FF46CDA}"/>
    <cellStyle name="Currency 5 3 5 6 5" xfId="10939" xr:uid="{F941B071-7858-44D6-A05B-0B9CCDD5B6CC}"/>
    <cellStyle name="Currency 5 3 5 7" xfId="2739" xr:uid="{00000000-0005-0000-0000-0000350D0000}"/>
    <cellStyle name="Currency 5 3 5 8" xfId="2820" xr:uid="{00000000-0005-0000-0000-0000360D0000}"/>
    <cellStyle name="Currency 5 3 5 8 2" xfId="7045" xr:uid="{00000000-0005-0000-0000-0000370D0000}"/>
    <cellStyle name="Currency 5 3 5 8 2 2" xfId="19678" xr:uid="{5882178E-ECF3-4D3D-819C-5D32FFF68EFA}"/>
    <cellStyle name="Currency 5 3 5 8 3" xfId="15467" xr:uid="{C520DF60-B115-45D2-91C1-6921C3A440F6}"/>
    <cellStyle name="Currency 5 3 5 8 4" xfId="24717" xr:uid="{BCE328D4-1CA8-41DC-BE29-B0F0E662C1AA}"/>
    <cellStyle name="Currency 5 3 5 8 5" xfId="11256" xr:uid="{E9846FD6-70F5-497B-ACC7-EFF49EFAD312}"/>
    <cellStyle name="Currency 5 3 5 9" xfId="4662" xr:uid="{00000000-0005-0000-0000-0000380D0000}"/>
    <cellStyle name="Currency 5 3 5 9 2" xfId="17295" xr:uid="{6658199F-A4C0-40D8-B555-5AE55CD7B9E5}"/>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7296" xr:uid="{E2F5DB97-073D-4D15-9E01-4BA93163C07C}"/>
    <cellStyle name="Currency 5 5 11" xfId="21507" xr:uid="{012517B5-736E-4FFF-86B8-2C686D0964DA}"/>
    <cellStyle name="Currency 5 5 12" xfId="13085" xr:uid="{6EBDB11C-4AA2-401E-8070-7DC30ED5902F}"/>
    <cellStyle name="Currency 5 5 13" xfId="22335" xr:uid="{6FF830B5-CEB9-44BC-99D0-50DA288DA4AA}"/>
    <cellStyle name="Currency 5 5 14" xfId="8874" xr:uid="{9BEBEE53-A845-4003-B04E-A08407C7A6E3}"/>
    <cellStyle name="Currency 5 5 2" xfId="220" xr:uid="{00000000-0005-0000-0000-00003D0D0000}"/>
    <cellStyle name="Currency 5 5 2 10" xfId="21508" xr:uid="{CAC5B144-B084-4624-AE04-1102C5FB55AB}"/>
    <cellStyle name="Currency 5 5 2 11" xfId="13086" xr:uid="{A068F4BC-AFD7-4E81-82FC-9B9B480FB1F4}"/>
    <cellStyle name="Currency 5 5 2 12" xfId="22336" xr:uid="{A722461C-0664-4F29-840A-8C79EB7CB19E}"/>
    <cellStyle name="Currency 5 5 2 13" xfId="8875" xr:uid="{49F7DFB4-9314-440B-9BF5-0B191DFD3E3E}"/>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9856" xr:uid="{82841BE2-8619-4AAA-96CC-F666BB63B90C}"/>
    <cellStyle name="Currency 5 5 2 2 2 3" xfId="15645" xr:uid="{6C58D774-106B-498B-A8DD-A0E6F6E557BB}"/>
    <cellStyle name="Currency 5 5 2 2 2 4" xfId="24895" xr:uid="{D2933AC7-EB4A-4E5A-92D4-EED8D38D9C34}"/>
    <cellStyle name="Currency 5 5 2 2 2 5" xfId="11434" xr:uid="{397E2413-3801-44B2-8E09-204E08CC87AC}"/>
    <cellStyle name="Currency 5 5 2 2 3" xfId="5078" xr:uid="{00000000-0005-0000-0000-0000410D0000}"/>
    <cellStyle name="Currency 5 5 2 2 3 2" xfId="17711" xr:uid="{2C3977C8-C4D4-4207-B134-993132B6A2BA}"/>
    <cellStyle name="Currency 5 5 2 2 4" xfId="21921" xr:uid="{1DFE2080-02D9-4B6E-8011-5443EFF94760}"/>
    <cellStyle name="Currency 5 5 2 2 5" xfId="13500" xr:uid="{ACCF2B5A-11E7-4849-BEB7-768E4AF57557}"/>
    <cellStyle name="Currency 5 5 2 2 6" xfId="22750" xr:uid="{B088ED94-FA45-401E-BC58-BB76EB088740}"/>
    <cellStyle name="Currency 5 5 2 2 7" xfId="9289" xr:uid="{AB735F54-51F1-4F8C-98C7-A41012D3A4F0}"/>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20269" xr:uid="{2BCF24CE-5E3E-4A20-9877-86156F6B1279}"/>
    <cellStyle name="Currency 5 5 2 3 2 3" xfId="16058" xr:uid="{507FC3B0-AF19-4082-B085-4EA405EC3494}"/>
    <cellStyle name="Currency 5 5 2 3 2 4" xfId="25308" xr:uid="{F3BE9050-5360-4841-97A5-D10D06AAD8FD}"/>
    <cellStyle name="Currency 5 5 2 3 2 5" xfId="11847" xr:uid="{5C12D55D-CCEB-4759-8493-1728E4EF0794}"/>
    <cellStyle name="Currency 5 5 2 3 3" xfId="5491" xr:uid="{00000000-0005-0000-0000-0000450D0000}"/>
    <cellStyle name="Currency 5 5 2 3 3 2" xfId="18124" xr:uid="{3A6AC53B-9A6F-4A4C-A582-9FF14650A3F5}"/>
    <cellStyle name="Currency 5 5 2 3 4" xfId="13913" xr:uid="{6B8FD450-2D20-4ADD-8AE3-E501352741A5}"/>
    <cellStyle name="Currency 5 5 2 3 5" xfId="23163" xr:uid="{B5AD22B7-36CA-49B4-858C-FA2AA60EEC63}"/>
    <cellStyle name="Currency 5 5 2 3 6" xfId="9702" xr:uid="{3D835308-6E5B-4310-B6DF-7C582AA01E1F}"/>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20682" xr:uid="{A81BFA44-3F4E-464E-95C5-0DBC3444B5DF}"/>
    <cellStyle name="Currency 5 5 2 4 2 3" xfId="16471" xr:uid="{D7D6E364-4192-47FE-A4F0-EC76452C8648}"/>
    <cellStyle name="Currency 5 5 2 4 2 4" xfId="25721" xr:uid="{A95881E0-0DF5-4457-A380-52764EB06B73}"/>
    <cellStyle name="Currency 5 5 2 4 2 5" xfId="12260" xr:uid="{3217D42E-8257-47F5-BE0F-DD04EBD619B7}"/>
    <cellStyle name="Currency 5 5 2 4 3" xfId="5904" xr:uid="{00000000-0005-0000-0000-0000490D0000}"/>
    <cellStyle name="Currency 5 5 2 4 3 2" xfId="18537" xr:uid="{65B9E888-3AAE-4791-A6AA-75535FECF2E4}"/>
    <cellStyle name="Currency 5 5 2 4 4" xfId="14326" xr:uid="{FA2978BE-0A16-498C-A229-238DD0C5F35A}"/>
    <cellStyle name="Currency 5 5 2 4 5" xfId="23576" xr:uid="{0DBD656B-F659-415F-87D0-EE51125C135A}"/>
    <cellStyle name="Currency 5 5 2 4 6" xfId="10115" xr:uid="{DDA1DE07-D5DC-4F16-9F96-8DFF58FF94C6}"/>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21095" xr:uid="{3697FE7E-8D91-43C3-A867-4BD8052706EC}"/>
    <cellStyle name="Currency 5 5 2 5 2 3" xfId="16884" xr:uid="{9293E99F-8A31-4426-95F8-A73B8DB895F4}"/>
    <cellStyle name="Currency 5 5 2 5 2 4" xfId="26134" xr:uid="{92DC8B3B-827E-43BF-8D3C-A65C7527CE5E}"/>
    <cellStyle name="Currency 5 5 2 5 2 5" xfId="12673" xr:uid="{66606954-0923-42A9-B89F-AAD331134938}"/>
    <cellStyle name="Currency 5 5 2 5 3" xfId="6317" xr:uid="{00000000-0005-0000-0000-00004D0D0000}"/>
    <cellStyle name="Currency 5 5 2 5 3 2" xfId="18950" xr:uid="{DE5A8CBE-249C-495F-B147-0E9E72AAD8A4}"/>
    <cellStyle name="Currency 5 5 2 5 4" xfId="14739" xr:uid="{63E16591-1179-4407-836B-F57679DCBA57}"/>
    <cellStyle name="Currency 5 5 2 5 5" xfId="23989" xr:uid="{C0A7BAA1-46BC-47BF-BF20-8F21B7CA1E77}"/>
    <cellStyle name="Currency 5 5 2 5 6" xfId="10528" xr:uid="{99EF9C25-C4F8-4E0C-9BEB-E7CAE9E517D5}"/>
    <cellStyle name="Currency 5 5 2 6" xfId="2444" xr:uid="{00000000-0005-0000-0000-00004E0D0000}"/>
    <cellStyle name="Currency 5 5 2 6 2" xfId="6730" xr:uid="{00000000-0005-0000-0000-00004F0D0000}"/>
    <cellStyle name="Currency 5 5 2 6 2 2" xfId="19363" xr:uid="{C140BBE1-0173-49C3-BC52-51CC95F4DC5A}"/>
    <cellStyle name="Currency 5 5 2 6 3" xfId="15152" xr:uid="{0E9BA97A-4F88-4858-9A82-D66535274412}"/>
    <cellStyle name="Currency 5 5 2 6 4" xfId="24402" xr:uid="{FAF35C56-0064-4230-8C45-9AF821CC201E}"/>
    <cellStyle name="Currency 5 5 2 6 5" xfId="10941" xr:uid="{A894E9B5-6E37-4374-9B64-0AA88C63243D}"/>
    <cellStyle name="Currency 5 5 2 7" xfId="2741" xr:uid="{00000000-0005-0000-0000-0000500D0000}"/>
    <cellStyle name="Currency 5 5 2 8" xfId="2822" xr:uid="{00000000-0005-0000-0000-0000510D0000}"/>
    <cellStyle name="Currency 5 5 2 8 2" xfId="7047" xr:uid="{00000000-0005-0000-0000-0000520D0000}"/>
    <cellStyle name="Currency 5 5 2 8 2 2" xfId="19680" xr:uid="{A7F92451-CF59-4C38-BF4D-7110B4E5925C}"/>
    <cellStyle name="Currency 5 5 2 8 3" xfId="15469" xr:uid="{21F80AB1-C02E-4269-BC0C-D97C7C7FC953}"/>
    <cellStyle name="Currency 5 5 2 8 4" xfId="24719" xr:uid="{BB13B7A6-8734-4F55-867E-C8B7AA0ED43F}"/>
    <cellStyle name="Currency 5 5 2 8 5" xfId="11258" xr:uid="{C7CC3011-1512-496D-8D77-61E0EB8AA3F1}"/>
    <cellStyle name="Currency 5 5 2 9" xfId="4664" xr:uid="{00000000-0005-0000-0000-0000530D0000}"/>
    <cellStyle name="Currency 5 5 2 9 2" xfId="17297" xr:uid="{7C4878A8-4F08-47E4-BABB-752C0A000BB3}"/>
    <cellStyle name="Currency 5 5 3" xfId="746" xr:uid="{00000000-0005-0000-0000-0000540D0000}"/>
    <cellStyle name="Currency 5 5 3 2" xfId="2998" xr:uid="{00000000-0005-0000-0000-0000550D0000}"/>
    <cellStyle name="Currency 5 5 3 2 2" xfId="7222" xr:uid="{00000000-0005-0000-0000-0000560D0000}"/>
    <cellStyle name="Currency 5 5 3 2 2 2" xfId="19855" xr:uid="{E169F82A-240E-48C2-8C25-9226BD82103D}"/>
    <cellStyle name="Currency 5 5 3 2 3" xfId="15644" xr:uid="{B810F754-E2D3-4AF9-B8DF-2CA98BBE000A}"/>
    <cellStyle name="Currency 5 5 3 2 4" xfId="24894" xr:uid="{E2DA0439-04AC-4333-AB7A-7D67F724E301}"/>
    <cellStyle name="Currency 5 5 3 2 5" xfId="11433" xr:uid="{AA5868B4-BF6F-4D4A-A369-89DB5746E120}"/>
    <cellStyle name="Currency 5 5 3 3" xfId="5077" xr:uid="{00000000-0005-0000-0000-0000570D0000}"/>
    <cellStyle name="Currency 5 5 3 3 2" xfId="17710" xr:uid="{A55F042C-5CF9-4EFA-A453-C850D1DB344D}"/>
    <cellStyle name="Currency 5 5 3 4" xfId="21920" xr:uid="{9C26ACE2-5A37-4FBE-AD81-A9AA004421BD}"/>
    <cellStyle name="Currency 5 5 3 5" xfId="13499" xr:uid="{1FD98F06-4EFC-43BA-82D1-ADC736BAF4CB}"/>
    <cellStyle name="Currency 5 5 3 6" xfId="22749" xr:uid="{C402A8F6-C667-4AA2-A5D5-7240B44CECA9}"/>
    <cellStyle name="Currency 5 5 3 7" xfId="9288" xr:uid="{8C641303-26FF-493A-8709-D30CF6F6EC38}"/>
    <cellStyle name="Currency 5 5 4" xfId="1180" xr:uid="{00000000-0005-0000-0000-0000580D0000}"/>
    <cellStyle name="Currency 5 5 4 2" xfId="3411" xr:uid="{00000000-0005-0000-0000-0000590D0000}"/>
    <cellStyle name="Currency 5 5 4 2 2" xfId="7635" xr:uid="{00000000-0005-0000-0000-00005A0D0000}"/>
    <cellStyle name="Currency 5 5 4 2 2 2" xfId="20268" xr:uid="{EC04C4E8-82D0-41AE-A836-003858BDF417}"/>
    <cellStyle name="Currency 5 5 4 2 3" xfId="16057" xr:uid="{511304E5-17AC-404D-BD1E-79132D414316}"/>
    <cellStyle name="Currency 5 5 4 2 4" xfId="25307" xr:uid="{0DA13D48-3BA1-4EB6-97C5-71FF695DB54E}"/>
    <cellStyle name="Currency 5 5 4 2 5" xfId="11846" xr:uid="{1774EF48-0EF5-431B-9433-6BA8260E6384}"/>
    <cellStyle name="Currency 5 5 4 3" xfId="5490" xr:uid="{00000000-0005-0000-0000-00005B0D0000}"/>
    <cellStyle name="Currency 5 5 4 3 2" xfId="18123" xr:uid="{0E489ED7-8160-4416-B809-7BF913DEF497}"/>
    <cellStyle name="Currency 5 5 4 4" xfId="13912" xr:uid="{347484E9-2821-4D2A-9CF5-2A5E32862217}"/>
    <cellStyle name="Currency 5 5 4 5" xfId="23162" xr:uid="{86F85A37-AE9C-4498-A602-DE53D8527B3E}"/>
    <cellStyle name="Currency 5 5 4 6" xfId="9701" xr:uid="{907F8CBC-5EB6-4729-8255-E3B20C1E6EDA}"/>
    <cellStyle name="Currency 5 5 5" xfId="1594" xr:uid="{00000000-0005-0000-0000-00005C0D0000}"/>
    <cellStyle name="Currency 5 5 5 2" xfId="3824" xr:uid="{00000000-0005-0000-0000-00005D0D0000}"/>
    <cellStyle name="Currency 5 5 5 2 2" xfId="8048" xr:uid="{00000000-0005-0000-0000-00005E0D0000}"/>
    <cellStyle name="Currency 5 5 5 2 2 2" xfId="20681" xr:uid="{27F908BA-975E-4EA9-8295-31E3BB0E5577}"/>
    <cellStyle name="Currency 5 5 5 2 3" xfId="16470" xr:uid="{8F0482F1-534D-40CB-8F10-A1C2AF0346F5}"/>
    <cellStyle name="Currency 5 5 5 2 4" xfId="25720" xr:uid="{915DBB71-5C26-45D8-AE15-06C41D72EDF2}"/>
    <cellStyle name="Currency 5 5 5 2 5" xfId="12259" xr:uid="{76B8F3DA-AD0F-4A6F-8E46-D4A2A83196A5}"/>
    <cellStyle name="Currency 5 5 5 3" xfId="5903" xr:uid="{00000000-0005-0000-0000-00005F0D0000}"/>
    <cellStyle name="Currency 5 5 5 3 2" xfId="18536" xr:uid="{1CD50BA0-3CEA-4C6B-A130-8396F26BF500}"/>
    <cellStyle name="Currency 5 5 5 4" xfId="14325" xr:uid="{05C59360-EB1F-480F-831E-D61B31723C5E}"/>
    <cellStyle name="Currency 5 5 5 5" xfId="23575" xr:uid="{0AA1DF00-1B67-4148-8483-01CA05A57778}"/>
    <cellStyle name="Currency 5 5 5 6" xfId="10114" xr:uid="{31B9B34E-9D24-4104-859B-F85EE230BD41}"/>
    <cellStyle name="Currency 5 5 6" xfId="2008" xr:uid="{00000000-0005-0000-0000-0000600D0000}"/>
    <cellStyle name="Currency 5 5 6 2" xfId="4237" xr:uid="{00000000-0005-0000-0000-0000610D0000}"/>
    <cellStyle name="Currency 5 5 6 2 2" xfId="8461" xr:uid="{00000000-0005-0000-0000-0000620D0000}"/>
    <cellStyle name="Currency 5 5 6 2 2 2" xfId="21094" xr:uid="{5DEFC2B7-AFF9-4FC9-AD97-52949530F7EE}"/>
    <cellStyle name="Currency 5 5 6 2 3" xfId="16883" xr:uid="{B3F5C1AD-8582-4FE9-8147-695F4C43B479}"/>
    <cellStyle name="Currency 5 5 6 2 4" xfId="26133" xr:uid="{53C86A5A-6B57-4052-A27A-98202908E394}"/>
    <cellStyle name="Currency 5 5 6 2 5" xfId="12672" xr:uid="{00F22B05-4CDD-4CDC-A7F4-1248A6C8256E}"/>
    <cellStyle name="Currency 5 5 6 3" xfId="6316" xr:uid="{00000000-0005-0000-0000-0000630D0000}"/>
    <cellStyle name="Currency 5 5 6 3 2" xfId="18949" xr:uid="{E68C9048-AA5C-49BD-80D7-805DDD795527}"/>
    <cellStyle name="Currency 5 5 6 4" xfId="14738" xr:uid="{98945A9B-364F-4CBF-85F8-6C9F190E3F30}"/>
    <cellStyle name="Currency 5 5 6 5" xfId="23988" xr:uid="{14745E90-CC07-41B9-8D0A-1FF9C13E5BA4}"/>
    <cellStyle name="Currency 5 5 6 6" xfId="10527" xr:uid="{83401F49-3EEC-4B1F-AC16-9B41733F229C}"/>
    <cellStyle name="Currency 5 5 7" xfId="2443" xr:uid="{00000000-0005-0000-0000-0000640D0000}"/>
    <cellStyle name="Currency 5 5 7 2" xfId="6729" xr:uid="{00000000-0005-0000-0000-0000650D0000}"/>
    <cellStyle name="Currency 5 5 7 2 2" xfId="19362" xr:uid="{E669E6C1-1983-4343-A01C-75FCBB567116}"/>
    <cellStyle name="Currency 5 5 7 3" xfId="15151" xr:uid="{30FEEDA9-36A8-4C4F-AF38-A8C051FC5E83}"/>
    <cellStyle name="Currency 5 5 7 4" xfId="24401" xr:uid="{5C664D0A-7FFC-45B4-A088-E8AC1047F8C6}"/>
    <cellStyle name="Currency 5 5 7 5" xfId="10940" xr:uid="{08CB3377-7B68-44C7-8FE2-EF6F6E1A0BC0}"/>
    <cellStyle name="Currency 5 5 8" xfId="2740" xr:uid="{00000000-0005-0000-0000-0000660D0000}"/>
    <cellStyle name="Currency 5 5 9" xfId="2821" xr:uid="{00000000-0005-0000-0000-0000670D0000}"/>
    <cellStyle name="Currency 5 5 9 2" xfId="7046" xr:uid="{00000000-0005-0000-0000-0000680D0000}"/>
    <cellStyle name="Currency 5 5 9 2 2" xfId="19679" xr:uid="{2AF5F0AE-21C9-459D-90F0-9579E7131CED}"/>
    <cellStyle name="Currency 5 5 9 3" xfId="15468" xr:uid="{A7746761-19A9-45B2-B300-2D6ABE55FD74}"/>
    <cellStyle name="Currency 5 5 9 4" xfId="24718" xr:uid="{7CDE61CC-47CF-425A-A724-5ACB0FBF22A9}"/>
    <cellStyle name="Currency 5 5 9 5" xfId="11257" xr:uid="{C9846A11-28FC-47E3-8EEE-57234517FE5C}"/>
    <cellStyle name="Currency 5 6" xfId="221" xr:uid="{00000000-0005-0000-0000-0000690D0000}"/>
    <cellStyle name="Currency 5 6 10" xfId="21509" xr:uid="{B625B3A5-9A36-4E34-9264-4683A7A4CE18}"/>
    <cellStyle name="Currency 5 6 11" xfId="13087" xr:uid="{9989D3BC-07DB-4E66-A6B5-1CD68E3A2811}"/>
    <cellStyle name="Currency 5 6 12" xfId="22337" xr:uid="{17B727C7-3C19-4AAE-B02A-0F8D1E162F9C}"/>
    <cellStyle name="Currency 5 6 13" xfId="8876" xr:uid="{1F1AAA2B-5EB8-404C-8A68-78F30DD9DE30}"/>
    <cellStyle name="Currency 5 6 2" xfId="748" xr:uid="{00000000-0005-0000-0000-00006A0D0000}"/>
    <cellStyle name="Currency 5 6 2 2" xfId="3000" xr:uid="{00000000-0005-0000-0000-00006B0D0000}"/>
    <cellStyle name="Currency 5 6 2 2 2" xfId="7224" xr:uid="{00000000-0005-0000-0000-00006C0D0000}"/>
    <cellStyle name="Currency 5 6 2 2 2 2" xfId="19857" xr:uid="{46288A68-7231-4042-B6F9-AAD2BD0FC0AA}"/>
    <cellStyle name="Currency 5 6 2 2 3" xfId="15646" xr:uid="{22939C83-E63B-4398-B8E4-3FAA658C3B0C}"/>
    <cellStyle name="Currency 5 6 2 2 4" xfId="24896" xr:uid="{0AD3C137-281D-4986-8A5F-F8E0DDD2263C}"/>
    <cellStyle name="Currency 5 6 2 2 5" xfId="11435" xr:uid="{FDE9029E-212C-4445-8E76-9BF8DFE4696F}"/>
    <cellStyle name="Currency 5 6 2 3" xfId="5079" xr:uid="{00000000-0005-0000-0000-00006D0D0000}"/>
    <cellStyle name="Currency 5 6 2 3 2" xfId="17712" xr:uid="{6171A053-1B71-4866-91C5-17CD95834A72}"/>
    <cellStyle name="Currency 5 6 2 4" xfId="21922" xr:uid="{DFFA9626-044B-43E6-9240-6FD129373AF5}"/>
    <cellStyle name="Currency 5 6 2 5" xfId="13501" xr:uid="{531441E2-5E90-40CA-AEA3-15212E87FA94}"/>
    <cellStyle name="Currency 5 6 2 6" xfId="22751" xr:uid="{2EF6B3B2-5DE2-4245-BEDE-7DC806EF39C3}"/>
    <cellStyle name="Currency 5 6 2 7" xfId="9290" xr:uid="{3C2741E9-34F8-44DA-8D81-DA64C2325A12}"/>
    <cellStyle name="Currency 5 6 3" xfId="1182" xr:uid="{00000000-0005-0000-0000-00006E0D0000}"/>
    <cellStyle name="Currency 5 6 3 2" xfId="3413" xr:uid="{00000000-0005-0000-0000-00006F0D0000}"/>
    <cellStyle name="Currency 5 6 3 2 2" xfId="7637" xr:uid="{00000000-0005-0000-0000-0000700D0000}"/>
    <cellStyle name="Currency 5 6 3 2 2 2" xfId="20270" xr:uid="{66C10F2D-FDDD-4670-81C0-041B3FCE5D70}"/>
    <cellStyle name="Currency 5 6 3 2 3" xfId="16059" xr:uid="{7476D4A4-CA8A-443B-8509-8EE136D603DF}"/>
    <cellStyle name="Currency 5 6 3 2 4" xfId="25309" xr:uid="{B5B39A9A-8CCB-444A-8DBE-603E56F9ADB7}"/>
    <cellStyle name="Currency 5 6 3 2 5" xfId="11848" xr:uid="{B8A1DC61-AE22-4A38-87B6-689F9088FEDF}"/>
    <cellStyle name="Currency 5 6 3 3" xfId="5492" xr:uid="{00000000-0005-0000-0000-0000710D0000}"/>
    <cellStyle name="Currency 5 6 3 3 2" xfId="18125" xr:uid="{8C1B0EC6-3B25-4566-8BC3-E23D846EB763}"/>
    <cellStyle name="Currency 5 6 3 4" xfId="13914" xr:uid="{19E28EC0-B21C-4FA7-87B3-25EA7D3DE0DE}"/>
    <cellStyle name="Currency 5 6 3 5" xfId="23164" xr:uid="{6E990488-B708-4B03-A204-C0EE5314D8B4}"/>
    <cellStyle name="Currency 5 6 3 6" xfId="9703" xr:uid="{EDB2D47F-6D90-4BCB-B219-458DEF5E1C92}"/>
    <cellStyle name="Currency 5 6 4" xfId="1596" xr:uid="{00000000-0005-0000-0000-0000720D0000}"/>
    <cellStyle name="Currency 5 6 4 2" xfId="3826" xr:uid="{00000000-0005-0000-0000-0000730D0000}"/>
    <cellStyle name="Currency 5 6 4 2 2" xfId="8050" xr:uid="{00000000-0005-0000-0000-0000740D0000}"/>
    <cellStyle name="Currency 5 6 4 2 2 2" xfId="20683" xr:uid="{16BD3F90-A942-4F31-A7C2-A9F6504CE6C7}"/>
    <cellStyle name="Currency 5 6 4 2 3" xfId="16472" xr:uid="{9DCBA23E-CBF7-4B59-ADC1-330419155D2E}"/>
    <cellStyle name="Currency 5 6 4 2 4" xfId="25722" xr:uid="{BB5DCEF3-4A9F-469A-8F59-E63836D1E832}"/>
    <cellStyle name="Currency 5 6 4 2 5" xfId="12261" xr:uid="{AF89CCF9-1943-4823-86FD-2AB71C80647A}"/>
    <cellStyle name="Currency 5 6 4 3" xfId="5905" xr:uid="{00000000-0005-0000-0000-0000750D0000}"/>
    <cellStyle name="Currency 5 6 4 3 2" xfId="18538" xr:uid="{E71C0ECC-6738-4F33-9FF0-F7D31DF5AFC0}"/>
    <cellStyle name="Currency 5 6 4 4" xfId="14327" xr:uid="{198CA9BF-2933-4079-A5B7-7436556CCA87}"/>
    <cellStyle name="Currency 5 6 4 5" xfId="23577" xr:uid="{02D1FD43-92DA-4814-AAEF-6F6EE1DC221D}"/>
    <cellStyle name="Currency 5 6 4 6" xfId="10116" xr:uid="{32BA3452-2690-40FD-98FF-CD32DE339F1E}"/>
    <cellStyle name="Currency 5 6 5" xfId="2010" xr:uid="{00000000-0005-0000-0000-0000760D0000}"/>
    <cellStyle name="Currency 5 6 5 2" xfId="4239" xr:uid="{00000000-0005-0000-0000-0000770D0000}"/>
    <cellStyle name="Currency 5 6 5 2 2" xfId="8463" xr:uid="{00000000-0005-0000-0000-0000780D0000}"/>
    <cellStyle name="Currency 5 6 5 2 2 2" xfId="21096" xr:uid="{491D8F3E-A8FE-4B83-AF94-97FA123660BF}"/>
    <cellStyle name="Currency 5 6 5 2 3" xfId="16885" xr:uid="{B2E1E55D-2DA1-4D83-B192-9F2AF3A2EB67}"/>
    <cellStyle name="Currency 5 6 5 2 4" xfId="26135" xr:uid="{1AE7866F-48C9-4D14-AA76-D1F5E9716E0F}"/>
    <cellStyle name="Currency 5 6 5 2 5" xfId="12674" xr:uid="{2606AAA6-CFD9-4361-B468-87A54D3550B7}"/>
    <cellStyle name="Currency 5 6 5 3" xfId="6318" xr:uid="{00000000-0005-0000-0000-0000790D0000}"/>
    <cellStyle name="Currency 5 6 5 3 2" xfId="18951" xr:uid="{759CDD1B-1B73-4C1E-83A5-826F75132C05}"/>
    <cellStyle name="Currency 5 6 5 4" xfId="14740" xr:uid="{EC7B39CF-D9CA-4CE8-A063-29971F6C9F6F}"/>
    <cellStyle name="Currency 5 6 5 5" xfId="23990" xr:uid="{239DBA51-73FA-4491-AD52-7F8C024348B0}"/>
    <cellStyle name="Currency 5 6 5 6" xfId="10529" xr:uid="{0155807E-8633-45A9-80F5-D5522B624ABF}"/>
    <cellStyle name="Currency 5 6 6" xfId="2445" xr:uid="{00000000-0005-0000-0000-00007A0D0000}"/>
    <cellStyle name="Currency 5 6 6 2" xfId="6731" xr:uid="{00000000-0005-0000-0000-00007B0D0000}"/>
    <cellStyle name="Currency 5 6 6 2 2" xfId="19364" xr:uid="{1A295D8A-918C-43D6-A4C0-F922909FD622}"/>
    <cellStyle name="Currency 5 6 6 3" xfId="15153" xr:uid="{B04F3974-0005-4326-AB33-4E5AA8970102}"/>
    <cellStyle name="Currency 5 6 6 4" xfId="24403" xr:uid="{3998D653-C473-4407-8663-95F5B06FAC2B}"/>
    <cellStyle name="Currency 5 6 6 5" xfId="10942" xr:uid="{FF7F7D01-0AB0-4655-9F6C-2586F69720AB}"/>
    <cellStyle name="Currency 5 6 7" xfId="2742" xr:uid="{00000000-0005-0000-0000-00007C0D0000}"/>
    <cellStyle name="Currency 5 6 8" xfId="2823" xr:uid="{00000000-0005-0000-0000-00007D0D0000}"/>
    <cellStyle name="Currency 5 6 8 2" xfId="7048" xr:uid="{00000000-0005-0000-0000-00007E0D0000}"/>
    <cellStyle name="Currency 5 6 8 2 2" xfId="19681" xr:uid="{84F3D55C-CEE0-4EFD-AF4E-36A6B1AC0B8A}"/>
    <cellStyle name="Currency 5 6 8 3" xfId="15470" xr:uid="{9C1BE0E3-53CA-45F2-880D-C509403EDAEE}"/>
    <cellStyle name="Currency 5 6 8 4" xfId="24720" xr:uid="{9D161A8D-6F3C-402E-B258-397F81E524E6}"/>
    <cellStyle name="Currency 5 6 8 5" xfId="11259" xr:uid="{DAA2F407-81F6-4D5D-A034-CAAD1E3EE155}"/>
    <cellStyle name="Currency 5 6 9" xfId="4665" xr:uid="{00000000-0005-0000-0000-00007F0D0000}"/>
    <cellStyle name="Currency 5 6 9 2" xfId="17298" xr:uid="{3E38294C-BCF3-4C2F-AEFE-6C5DF0A6C942}"/>
    <cellStyle name="Currency 5 7" xfId="222" xr:uid="{00000000-0005-0000-0000-0000800D0000}"/>
    <cellStyle name="Currency 5 7 10" xfId="21510" xr:uid="{4E0D6DE1-77E0-45D4-ADE6-A8EC80C6A593}"/>
    <cellStyle name="Currency 5 7 11" xfId="13088" xr:uid="{23CDF854-FD27-490A-BFD2-C8D8619CABD9}"/>
    <cellStyle name="Currency 5 7 12" xfId="22338" xr:uid="{2F9326C5-D0A0-47FE-8CD9-EDFB0CCA0225}"/>
    <cellStyle name="Currency 5 7 13" xfId="8877" xr:uid="{48CF20FC-860A-4964-A5F7-F0C70D15AB60}"/>
    <cellStyle name="Currency 5 7 2" xfId="749" xr:uid="{00000000-0005-0000-0000-0000810D0000}"/>
    <cellStyle name="Currency 5 7 2 2" xfId="3001" xr:uid="{00000000-0005-0000-0000-0000820D0000}"/>
    <cellStyle name="Currency 5 7 2 2 2" xfId="7225" xr:uid="{00000000-0005-0000-0000-0000830D0000}"/>
    <cellStyle name="Currency 5 7 2 2 2 2" xfId="19858" xr:uid="{3CB4CC17-FCAF-4622-A142-DC01553793C4}"/>
    <cellStyle name="Currency 5 7 2 2 3" xfId="15647" xr:uid="{242B2068-E928-4288-ACF8-65AA3ECE6841}"/>
    <cellStyle name="Currency 5 7 2 2 4" xfId="24897" xr:uid="{453546B7-1885-4013-B6DE-F65896F70E52}"/>
    <cellStyle name="Currency 5 7 2 2 5" xfId="11436" xr:uid="{17AA84E2-348F-4A71-9AA9-1BB562E8060E}"/>
    <cellStyle name="Currency 5 7 2 3" xfId="5080" xr:uid="{00000000-0005-0000-0000-0000840D0000}"/>
    <cellStyle name="Currency 5 7 2 3 2" xfId="17713" xr:uid="{8F4C1CDC-5D42-4297-A624-A56182B60FF6}"/>
    <cellStyle name="Currency 5 7 2 4" xfId="21923" xr:uid="{1546A7E2-78FB-4D35-8290-95A28BE6E290}"/>
    <cellStyle name="Currency 5 7 2 5" xfId="13502" xr:uid="{1C2090F5-579D-42BC-A125-1EE1C11C724B}"/>
    <cellStyle name="Currency 5 7 2 6" xfId="22752" xr:uid="{D1A49C28-2B8C-4F7C-B783-946A5AD25729}"/>
    <cellStyle name="Currency 5 7 2 7" xfId="9291" xr:uid="{D035D426-54AE-4247-BEAB-9803987F468D}"/>
    <cellStyle name="Currency 5 7 3" xfId="1183" xr:uid="{00000000-0005-0000-0000-0000850D0000}"/>
    <cellStyle name="Currency 5 7 3 2" xfId="3414" xr:uid="{00000000-0005-0000-0000-0000860D0000}"/>
    <cellStyle name="Currency 5 7 3 2 2" xfId="7638" xr:uid="{00000000-0005-0000-0000-0000870D0000}"/>
    <cellStyle name="Currency 5 7 3 2 2 2" xfId="20271" xr:uid="{5408518B-34F7-4D70-9F54-CBDCFABD7A07}"/>
    <cellStyle name="Currency 5 7 3 2 3" xfId="16060" xr:uid="{1C2B3571-D469-4C1B-B012-B775D056F67E}"/>
    <cellStyle name="Currency 5 7 3 2 4" xfId="25310" xr:uid="{7A11FFE2-7C14-43C4-9F10-3FB86057402F}"/>
    <cellStyle name="Currency 5 7 3 2 5" xfId="11849" xr:uid="{0C62BA66-3A6F-4FEC-AF9D-7D9658FD9593}"/>
    <cellStyle name="Currency 5 7 3 3" xfId="5493" xr:uid="{00000000-0005-0000-0000-0000880D0000}"/>
    <cellStyle name="Currency 5 7 3 3 2" xfId="18126" xr:uid="{E8587C99-410B-469F-9204-63B47DB9420E}"/>
    <cellStyle name="Currency 5 7 3 4" xfId="13915" xr:uid="{3C8316E2-B170-4CE6-8F8E-56A10B1A80F5}"/>
    <cellStyle name="Currency 5 7 3 5" xfId="23165" xr:uid="{23AF0F61-DEA4-4F6D-9931-ACA4105616BB}"/>
    <cellStyle name="Currency 5 7 3 6" xfId="9704" xr:uid="{D98F8306-CAA1-491B-8871-D10F222AE9FC}"/>
    <cellStyle name="Currency 5 7 4" xfId="1597" xr:uid="{00000000-0005-0000-0000-0000890D0000}"/>
    <cellStyle name="Currency 5 7 4 2" xfId="3827" xr:uid="{00000000-0005-0000-0000-00008A0D0000}"/>
    <cellStyle name="Currency 5 7 4 2 2" xfId="8051" xr:uid="{00000000-0005-0000-0000-00008B0D0000}"/>
    <cellStyle name="Currency 5 7 4 2 2 2" xfId="20684" xr:uid="{E87BA567-A0E2-4304-88F0-2250C01D99E4}"/>
    <cellStyle name="Currency 5 7 4 2 3" xfId="16473" xr:uid="{6CF787CA-B001-468D-A90C-EF34A56BBBC0}"/>
    <cellStyle name="Currency 5 7 4 2 4" xfId="25723" xr:uid="{41759F00-8C89-4F09-B553-C6AF517F6BDA}"/>
    <cellStyle name="Currency 5 7 4 2 5" xfId="12262" xr:uid="{699EEEDA-DD67-43E6-8EA0-FE15762B4031}"/>
    <cellStyle name="Currency 5 7 4 3" xfId="5906" xr:uid="{00000000-0005-0000-0000-00008C0D0000}"/>
    <cellStyle name="Currency 5 7 4 3 2" xfId="18539" xr:uid="{525C5470-ACFA-4E28-9F42-01DE0C3709F6}"/>
    <cellStyle name="Currency 5 7 4 4" xfId="14328" xr:uid="{B581AA40-B0FC-4908-A528-2CF9664EB299}"/>
    <cellStyle name="Currency 5 7 4 5" xfId="23578" xr:uid="{4F9B5B6E-5C53-417B-BF1F-DC5465C1BA20}"/>
    <cellStyle name="Currency 5 7 4 6" xfId="10117" xr:uid="{F317BDF3-80C2-485B-AA3F-A2D395B61028}"/>
    <cellStyle name="Currency 5 7 5" xfId="2011" xr:uid="{00000000-0005-0000-0000-00008D0D0000}"/>
    <cellStyle name="Currency 5 7 5 2" xfId="4240" xr:uid="{00000000-0005-0000-0000-00008E0D0000}"/>
    <cellStyle name="Currency 5 7 5 2 2" xfId="8464" xr:uid="{00000000-0005-0000-0000-00008F0D0000}"/>
    <cellStyle name="Currency 5 7 5 2 2 2" xfId="21097" xr:uid="{D56E7742-6A61-4DFF-82FF-DD6389A0F3AA}"/>
    <cellStyle name="Currency 5 7 5 2 3" xfId="16886" xr:uid="{1FC6F312-46D7-4402-A0AD-B70F8C4777B6}"/>
    <cellStyle name="Currency 5 7 5 2 4" xfId="26136" xr:uid="{F3C9A7B0-79D8-4B46-AA75-5BC40877F1E8}"/>
    <cellStyle name="Currency 5 7 5 2 5" xfId="12675" xr:uid="{48221332-953F-4B34-A70B-476979A8A41C}"/>
    <cellStyle name="Currency 5 7 5 3" xfId="6319" xr:uid="{00000000-0005-0000-0000-0000900D0000}"/>
    <cellStyle name="Currency 5 7 5 3 2" xfId="18952" xr:uid="{36DBC824-A66B-4E53-922C-9535F738A9CA}"/>
    <cellStyle name="Currency 5 7 5 4" xfId="14741" xr:uid="{0FDFD5CB-72CA-4A8D-8B38-1B0AD37B3B10}"/>
    <cellStyle name="Currency 5 7 5 5" xfId="23991" xr:uid="{DE916920-EE8B-4402-B3DE-04C0D37D3750}"/>
    <cellStyle name="Currency 5 7 5 6" xfId="10530" xr:uid="{6AE8075F-17F5-49CB-B148-D3DF7B267969}"/>
    <cellStyle name="Currency 5 7 6" xfId="2446" xr:uid="{00000000-0005-0000-0000-0000910D0000}"/>
    <cellStyle name="Currency 5 7 6 2" xfId="6732" xr:uid="{00000000-0005-0000-0000-0000920D0000}"/>
    <cellStyle name="Currency 5 7 6 2 2" xfId="19365" xr:uid="{0B96AC4F-5D15-435A-BF43-8A146EACD8A0}"/>
    <cellStyle name="Currency 5 7 6 3" xfId="15154" xr:uid="{E1C63794-1736-4F6A-AB2C-F64941EAA855}"/>
    <cellStyle name="Currency 5 7 6 4" xfId="24404" xr:uid="{1420A396-2DE3-4E19-9155-1480D10F53ED}"/>
    <cellStyle name="Currency 5 7 6 5" xfId="10943" xr:uid="{F45CE42B-0779-490C-AAC5-60CAEA4BEB63}"/>
    <cellStyle name="Currency 5 7 7" xfId="2743" xr:uid="{00000000-0005-0000-0000-0000930D0000}"/>
    <cellStyle name="Currency 5 7 8" xfId="2824" xr:uid="{00000000-0005-0000-0000-0000940D0000}"/>
    <cellStyle name="Currency 5 7 8 2" xfId="7049" xr:uid="{00000000-0005-0000-0000-0000950D0000}"/>
    <cellStyle name="Currency 5 7 8 2 2" xfId="19682" xr:uid="{6537D4F5-E379-4839-809C-044E0657DB6F}"/>
    <cellStyle name="Currency 5 7 8 3" xfId="15471" xr:uid="{04E4890A-B959-4BB8-8437-E2404E513591}"/>
    <cellStyle name="Currency 5 7 8 4" xfId="24721" xr:uid="{34AD43B4-F0B2-4771-8BA7-5F2AC8CC92A2}"/>
    <cellStyle name="Currency 5 7 8 5" xfId="11260" xr:uid="{4230B68A-83C1-43E6-8C01-BCCBF7F86B5E}"/>
    <cellStyle name="Currency 5 7 9" xfId="4666" xr:uid="{00000000-0005-0000-0000-0000960D0000}"/>
    <cellStyle name="Currency 5 7 9 2" xfId="17299" xr:uid="{E79A8171-D4B0-48B9-888D-26153BBF382A}"/>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2 3 2" xfId="21924" xr:uid="{64CC5FDE-7EBA-4131-BFF6-244BB69790F7}"/>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9366" xr:uid="{43CA9F4C-FE88-4C68-B9AB-66A3F0892F80}"/>
    <cellStyle name="Normal 12 10 3" xfId="15155" xr:uid="{2096865B-EDEE-4F4B-A548-2B4887ADFE47}"/>
    <cellStyle name="Normal 12 10 4" xfId="24405" xr:uid="{4B03D8FA-EF5E-43CE-A94A-0746DA713C04}"/>
    <cellStyle name="Normal 12 10 5" xfId="10944" xr:uid="{BDA43D48-6D2C-45D9-A475-658FD97FA105}"/>
    <cellStyle name="Normal 12 11" xfId="4667" xr:uid="{00000000-0005-0000-0000-0000CC0D0000}"/>
    <cellStyle name="Normal 12 11 2" xfId="17300" xr:uid="{3F8ABAD0-3287-43D9-AC46-1101322B298E}"/>
    <cellStyle name="Normal 12 12" xfId="21511" xr:uid="{A73B556D-AFE9-4572-86CE-5D1C2382C9C3}"/>
    <cellStyle name="Normal 12 13" xfId="13089" xr:uid="{D2748106-AA16-40B4-B7AF-5D485C984BE4}"/>
    <cellStyle name="Normal 12 14" xfId="22339" xr:uid="{55FC0BE3-9655-4244-9897-FD5A45B76792}"/>
    <cellStyle name="Normal 12 15" xfId="8878" xr:uid="{FEA06AB5-F37B-404A-AA51-8DE21F5EB2CC}"/>
    <cellStyle name="Normal 12 2" xfId="260" xr:uid="{00000000-0005-0000-0000-0000CD0D0000}"/>
    <cellStyle name="Normal 12 2 10" xfId="21512" xr:uid="{65AB474F-3E6C-4CDF-875F-DB2FB6645EDA}"/>
    <cellStyle name="Normal 12 2 11" xfId="13090" xr:uid="{784B4E79-766F-4D4D-8A63-DF437C8C811A}"/>
    <cellStyle name="Normal 12 2 12" xfId="22340" xr:uid="{7885F537-B096-40C3-ADD7-9E4063290099}"/>
    <cellStyle name="Normal 12 2 13" xfId="8879" xr:uid="{056A3935-DF09-46A6-9F55-9C4ADAA0A5A8}"/>
    <cellStyle name="Normal 12 2 2" xfId="261" xr:uid="{00000000-0005-0000-0000-0000CE0D0000}"/>
    <cellStyle name="Normal 12 2 2 10" xfId="13091" xr:uid="{ACF174F8-BE3A-42A4-BECC-6DF92EBFA713}"/>
    <cellStyle name="Normal 12 2 2 11" xfId="22341" xr:uid="{9F9CDF0F-D968-4E96-A644-6F11DBF0D021}"/>
    <cellStyle name="Normal 12 2 2 12" xfId="8880" xr:uid="{CE749E8E-0B6E-4839-9115-C325C85545AF}"/>
    <cellStyle name="Normal 12 2 2 2" xfId="262" xr:uid="{00000000-0005-0000-0000-0000CF0D0000}"/>
    <cellStyle name="Normal 12 2 2 2 10" xfId="22342" xr:uid="{AEEDB527-8529-4678-8FAA-9889508F22AD}"/>
    <cellStyle name="Normal 12 2 2 2 11" xfId="8881" xr:uid="{51C242CF-41C5-4B09-8BAD-48EEDC46570B}"/>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9862" xr:uid="{BFF82B27-B1C4-402A-B267-9532848A58AF}"/>
    <cellStyle name="Normal 12 2 2 2 2 2 3" xfId="15651" xr:uid="{14DFCE98-C95A-4D98-A3CD-1E612E4B72D3}"/>
    <cellStyle name="Normal 12 2 2 2 2 2 4" xfId="24901" xr:uid="{1286394D-C021-4D1C-A76E-64216738D743}"/>
    <cellStyle name="Normal 12 2 2 2 2 2 5" xfId="11440" xr:uid="{ADEF149D-96B4-45CE-8427-8993FC9F175E}"/>
    <cellStyle name="Normal 12 2 2 2 2 3" xfId="5084" xr:uid="{00000000-0005-0000-0000-0000D30D0000}"/>
    <cellStyle name="Normal 12 2 2 2 2 3 2" xfId="17717" xr:uid="{4C34B32B-1EC3-43F4-B272-04E40DFB13A3}"/>
    <cellStyle name="Normal 12 2 2 2 2 4" xfId="21928" xr:uid="{D7D5A3B1-5473-420D-80CD-1BCC0780D4BE}"/>
    <cellStyle name="Normal 12 2 2 2 2 5" xfId="13506" xr:uid="{1AC2A74A-5CA3-4AB4-9C7B-57CC90B5D893}"/>
    <cellStyle name="Normal 12 2 2 2 2 6" xfId="22756" xr:uid="{A7DDF9EF-4929-481E-BDCE-D0A6E06077B3}"/>
    <cellStyle name="Normal 12 2 2 2 2 7" xfId="9295" xr:uid="{20A88906-1A29-4910-A76A-781280E3DDB2}"/>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20275" xr:uid="{09033194-D057-410C-9A38-3DED1F5225F0}"/>
    <cellStyle name="Normal 12 2 2 2 3 2 3" xfId="16064" xr:uid="{24532F5E-3D07-44DF-943B-456B4226C924}"/>
    <cellStyle name="Normal 12 2 2 2 3 2 4" xfId="25314" xr:uid="{C3A401C0-E021-4032-86E1-02DC02A1631F}"/>
    <cellStyle name="Normal 12 2 2 2 3 2 5" xfId="11853" xr:uid="{D5423392-BAC3-4C55-AC7A-792F6EC86674}"/>
    <cellStyle name="Normal 12 2 2 2 3 3" xfId="5497" xr:uid="{00000000-0005-0000-0000-0000D70D0000}"/>
    <cellStyle name="Normal 12 2 2 2 3 3 2" xfId="18130" xr:uid="{661689A3-7695-4741-B742-54B62C290E58}"/>
    <cellStyle name="Normal 12 2 2 2 3 4" xfId="13919" xr:uid="{16048FD5-3534-45F6-9A65-E23692EB4926}"/>
    <cellStyle name="Normal 12 2 2 2 3 5" xfId="23169" xr:uid="{F5F12F00-CA38-4C1A-8285-18C95B9BBDD1}"/>
    <cellStyle name="Normal 12 2 2 2 3 6" xfId="9708" xr:uid="{361588BE-6D0C-41FE-B309-D3F41AF3E3E9}"/>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20688" xr:uid="{C258AEF8-84FD-4EFA-91CF-D783E0C93760}"/>
    <cellStyle name="Normal 12 2 2 2 4 2 3" xfId="16477" xr:uid="{91D9E077-7DB5-4F4B-9BF9-774628355D2A}"/>
    <cellStyle name="Normal 12 2 2 2 4 2 4" xfId="25727" xr:uid="{F194659C-DF9F-45D5-B400-D746AA096FBE}"/>
    <cellStyle name="Normal 12 2 2 2 4 2 5" xfId="12266" xr:uid="{BD043C4E-1AA5-44BC-AA94-80D7D6B148C4}"/>
    <cellStyle name="Normal 12 2 2 2 4 3" xfId="5910" xr:uid="{00000000-0005-0000-0000-0000DB0D0000}"/>
    <cellStyle name="Normal 12 2 2 2 4 3 2" xfId="18543" xr:uid="{09013ADD-FC1D-47D1-8BF6-C5890D026509}"/>
    <cellStyle name="Normal 12 2 2 2 4 4" xfId="14332" xr:uid="{12AB7267-BEE0-4199-8472-F236B1B2BF98}"/>
    <cellStyle name="Normal 12 2 2 2 4 5" xfId="23582" xr:uid="{F8E78B03-C2C5-4520-BC22-C46AFA961E86}"/>
    <cellStyle name="Normal 12 2 2 2 4 6" xfId="10121" xr:uid="{8700D7F3-838C-48A9-88B5-682845D1FFB8}"/>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21101" xr:uid="{9AAE5EE9-8329-4B93-9267-E28443C3D487}"/>
    <cellStyle name="Normal 12 2 2 2 5 2 3" xfId="16890" xr:uid="{721596D4-9694-4425-914F-200220E4834B}"/>
    <cellStyle name="Normal 12 2 2 2 5 2 4" xfId="26140" xr:uid="{41047E36-CCEC-4911-9A0A-C2B79EB38956}"/>
    <cellStyle name="Normal 12 2 2 2 5 2 5" xfId="12679" xr:uid="{9ED2956B-40F7-4B2B-8A77-8645D2B66EFD}"/>
    <cellStyle name="Normal 12 2 2 2 5 3" xfId="6323" xr:uid="{00000000-0005-0000-0000-0000DF0D0000}"/>
    <cellStyle name="Normal 12 2 2 2 5 3 2" xfId="18956" xr:uid="{0070CE22-7C4B-4BF6-80CD-9C8BC9C52093}"/>
    <cellStyle name="Normal 12 2 2 2 5 4" xfId="14745" xr:uid="{D908F347-F283-42B2-8838-D4ABE79601A8}"/>
    <cellStyle name="Normal 12 2 2 2 5 5" xfId="23995" xr:uid="{4EA611C0-BB4D-4B52-8E2F-91FA3E8C437E}"/>
    <cellStyle name="Normal 12 2 2 2 5 6" xfId="10534" xr:uid="{2650937A-9AB6-487A-94DF-3C2F647EF626}"/>
    <cellStyle name="Normal 12 2 2 2 6" xfId="2451" xr:uid="{00000000-0005-0000-0000-0000E00D0000}"/>
    <cellStyle name="Normal 12 2 2 2 6 2" xfId="6736" xr:uid="{00000000-0005-0000-0000-0000E10D0000}"/>
    <cellStyle name="Normal 12 2 2 2 6 2 2" xfId="19369" xr:uid="{F278F3E1-8910-4B48-B785-49A811430396}"/>
    <cellStyle name="Normal 12 2 2 2 6 3" xfId="15158" xr:uid="{2C3D167D-38B0-4C8D-98BB-5CAFBC6F8E88}"/>
    <cellStyle name="Normal 12 2 2 2 6 4" xfId="24408" xr:uid="{128C274D-03E8-4763-8509-5B1F4358E639}"/>
    <cellStyle name="Normal 12 2 2 2 6 5" xfId="10947" xr:uid="{4AB17798-4E9B-4733-B5E9-F22AC9CE0941}"/>
    <cellStyle name="Normal 12 2 2 2 7" xfId="4670" xr:uid="{00000000-0005-0000-0000-0000E20D0000}"/>
    <cellStyle name="Normal 12 2 2 2 7 2" xfId="17303" xr:uid="{B6E05800-9894-49E0-805D-E73D6B175E66}"/>
    <cellStyle name="Normal 12 2 2 2 8" xfId="21514" xr:uid="{2A2997F9-5DC5-4C7C-9032-A26CEF686489}"/>
    <cellStyle name="Normal 12 2 2 2 9" xfId="13092" xr:uid="{C3E31EE2-8271-41F4-8646-4A80828753DF}"/>
    <cellStyle name="Normal 12 2 2 3" xfId="763" xr:uid="{00000000-0005-0000-0000-0000E30D0000}"/>
    <cellStyle name="Normal 12 2 2 3 2" xfId="3004" xr:uid="{00000000-0005-0000-0000-0000E40D0000}"/>
    <cellStyle name="Normal 12 2 2 3 2 2" xfId="7228" xr:uid="{00000000-0005-0000-0000-0000E50D0000}"/>
    <cellStyle name="Normal 12 2 2 3 2 2 2" xfId="19861" xr:uid="{63E4EA26-06C0-436F-A8EC-35E3A597A9DA}"/>
    <cellStyle name="Normal 12 2 2 3 2 3" xfId="15650" xr:uid="{4778376C-BF1E-42D6-9C24-88FC3D363BFB}"/>
    <cellStyle name="Normal 12 2 2 3 2 4" xfId="24900" xr:uid="{2A7D5F63-AC75-412A-AEFD-AFF0CB64129E}"/>
    <cellStyle name="Normal 12 2 2 3 2 5" xfId="11439" xr:uid="{E8C4B08D-B315-4D88-8FCE-EFB5BB5CE000}"/>
    <cellStyle name="Normal 12 2 2 3 3" xfId="5083" xr:uid="{00000000-0005-0000-0000-0000E60D0000}"/>
    <cellStyle name="Normal 12 2 2 3 3 2" xfId="17716" xr:uid="{CF39226A-FEE1-4BA4-ACF6-4242C42FD56B}"/>
    <cellStyle name="Normal 12 2 2 3 4" xfId="21927" xr:uid="{0C4F515D-BCD9-4A24-B0EF-E0E85CD87FA5}"/>
    <cellStyle name="Normal 12 2 2 3 5" xfId="13505" xr:uid="{01D4BF79-F367-41A2-8752-B7C63B9E34C8}"/>
    <cellStyle name="Normal 12 2 2 3 6" xfId="22755" xr:uid="{7B902359-8535-4554-88A2-1DE416C31953}"/>
    <cellStyle name="Normal 12 2 2 3 7" xfId="9294" xr:uid="{38D93467-EE7E-4FF6-B883-35FDB889F1BE}"/>
    <cellStyle name="Normal 12 2 2 4" xfId="1186" xr:uid="{00000000-0005-0000-0000-0000E70D0000}"/>
    <cellStyle name="Normal 12 2 2 4 2" xfId="3417" xr:uid="{00000000-0005-0000-0000-0000E80D0000}"/>
    <cellStyle name="Normal 12 2 2 4 2 2" xfId="7641" xr:uid="{00000000-0005-0000-0000-0000E90D0000}"/>
    <cellStyle name="Normal 12 2 2 4 2 2 2" xfId="20274" xr:uid="{7D3A9A6C-FE25-4951-807B-DF23F9A4C2D3}"/>
    <cellStyle name="Normal 12 2 2 4 2 3" xfId="16063" xr:uid="{F4B45C4C-9557-4B4A-977F-76550FAD1A69}"/>
    <cellStyle name="Normal 12 2 2 4 2 4" xfId="25313" xr:uid="{43389952-CCBC-463F-B6DE-13F2C547128E}"/>
    <cellStyle name="Normal 12 2 2 4 2 5" xfId="11852" xr:uid="{362F6878-A4B4-4347-8186-460ABF3D8A5E}"/>
    <cellStyle name="Normal 12 2 2 4 3" xfId="5496" xr:uid="{00000000-0005-0000-0000-0000EA0D0000}"/>
    <cellStyle name="Normal 12 2 2 4 3 2" xfId="18129" xr:uid="{8719AD77-521A-4853-AC19-87B6CE453410}"/>
    <cellStyle name="Normal 12 2 2 4 4" xfId="13918" xr:uid="{638B409E-58BD-4AD6-9DA5-4D2ABE799161}"/>
    <cellStyle name="Normal 12 2 2 4 5" xfId="23168" xr:uid="{0DFC6F1D-278A-4CC6-AE56-66A1EEA4F185}"/>
    <cellStyle name="Normal 12 2 2 4 6" xfId="9707" xr:uid="{01E8ABFB-3BC9-4D85-8C61-F892C24EBBC6}"/>
    <cellStyle name="Normal 12 2 2 5" xfId="1600" xr:uid="{00000000-0005-0000-0000-0000EB0D0000}"/>
    <cellStyle name="Normal 12 2 2 5 2" xfId="3830" xr:uid="{00000000-0005-0000-0000-0000EC0D0000}"/>
    <cellStyle name="Normal 12 2 2 5 2 2" xfId="8054" xr:uid="{00000000-0005-0000-0000-0000ED0D0000}"/>
    <cellStyle name="Normal 12 2 2 5 2 2 2" xfId="20687" xr:uid="{4E9744F8-6C60-4740-B1CD-B3EA0E9AA888}"/>
    <cellStyle name="Normal 12 2 2 5 2 3" xfId="16476" xr:uid="{FE473986-1C06-481F-B5BB-A341DFD143EA}"/>
    <cellStyle name="Normal 12 2 2 5 2 4" xfId="25726" xr:uid="{6319F3C0-FD2E-434F-9705-1D2F53250873}"/>
    <cellStyle name="Normal 12 2 2 5 2 5" xfId="12265" xr:uid="{6E418E8B-C8D2-4B45-91FB-9136EA2D5BC9}"/>
    <cellStyle name="Normal 12 2 2 5 3" xfId="5909" xr:uid="{00000000-0005-0000-0000-0000EE0D0000}"/>
    <cellStyle name="Normal 12 2 2 5 3 2" xfId="18542" xr:uid="{BB3289C3-7D0C-49C4-A1E3-99EC0E60A3CF}"/>
    <cellStyle name="Normal 12 2 2 5 4" xfId="14331" xr:uid="{FAA92D56-F929-4043-BD2A-B5E188B86C6B}"/>
    <cellStyle name="Normal 12 2 2 5 5" xfId="23581" xr:uid="{F178F4D2-B905-4E6D-B1A7-9C904D764DC9}"/>
    <cellStyle name="Normal 12 2 2 5 6" xfId="10120" xr:uid="{44609DCC-9DFC-44CA-8C0C-F91155A6E898}"/>
    <cellStyle name="Normal 12 2 2 6" xfId="2014" xr:uid="{00000000-0005-0000-0000-0000EF0D0000}"/>
    <cellStyle name="Normal 12 2 2 6 2" xfId="4243" xr:uid="{00000000-0005-0000-0000-0000F00D0000}"/>
    <cellStyle name="Normal 12 2 2 6 2 2" xfId="8467" xr:uid="{00000000-0005-0000-0000-0000F10D0000}"/>
    <cellStyle name="Normal 12 2 2 6 2 2 2" xfId="21100" xr:uid="{EB1BB29D-D211-49E6-B0B4-8156E0620A94}"/>
    <cellStyle name="Normal 12 2 2 6 2 3" xfId="16889" xr:uid="{02B583B3-D080-4539-8629-A822E61AEFA9}"/>
    <cellStyle name="Normal 12 2 2 6 2 4" xfId="26139" xr:uid="{B125E20C-9F99-41F1-9A3E-EC63C17FA725}"/>
    <cellStyle name="Normal 12 2 2 6 2 5" xfId="12678" xr:uid="{38C18D52-D3DF-465C-B79C-D501BC8B24BC}"/>
    <cellStyle name="Normal 12 2 2 6 3" xfId="6322" xr:uid="{00000000-0005-0000-0000-0000F20D0000}"/>
    <cellStyle name="Normal 12 2 2 6 3 2" xfId="18955" xr:uid="{E2089214-4679-464A-8752-48BA3E1FDE61}"/>
    <cellStyle name="Normal 12 2 2 6 4" xfId="14744" xr:uid="{F8E8F148-6352-4930-B364-CAE6C8F6E25F}"/>
    <cellStyle name="Normal 12 2 2 6 5" xfId="23994" xr:uid="{84C6E7FE-6DCE-4C53-9B4E-D506864BA642}"/>
    <cellStyle name="Normal 12 2 2 6 6" xfId="10533" xr:uid="{E0E058CA-DF72-45DD-AED4-09BA304BDAA0}"/>
    <cellStyle name="Normal 12 2 2 7" xfId="2450" xr:uid="{00000000-0005-0000-0000-0000F30D0000}"/>
    <cellStyle name="Normal 12 2 2 7 2" xfId="6735" xr:uid="{00000000-0005-0000-0000-0000F40D0000}"/>
    <cellStyle name="Normal 12 2 2 7 2 2" xfId="19368" xr:uid="{4FB4BB76-8FF5-4E5B-9A8D-F8280CA53D8A}"/>
    <cellStyle name="Normal 12 2 2 7 3" xfId="15157" xr:uid="{49566E32-49E3-44AA-9739-EBAC55E447F7}"/>
    <cellStyle name="Normal 12 2 2 7 4" xfId="24407" xr:uid="{1656B0E7-F8FF-41EF-A2D2-D042F5500FA1}"/>
    <cellStyle name="Normal 12 2 2 7 5" xfId="10946" xr:uid="{D09421DF-2897-4688-ACE4-95DCF185EFAB}"/>
    <cellStyle name="Normal 12 2 2 8" xfId="4669" xr:uid="{00000000-0005-0000-0000-0000F50D0000}"/>
    <cellStyle name="Normal 12 2 2 8 2" xfId="17302" xr:uid="{F6DFD8B4-3D5B-4E06-8F2C-4BC132C02039}"/>
    <cellStyle name="Normal 12 2 2 9" xfId="21513" xr:uid="{9E437340-2C6E-4467-A15C-EB94BAE01237}"/>
    <cellStyle name="Normal 12 2 3" xfId="263" xr:uid="{00000000-0005-0000-0000-0000F60D0000}"/>
    <cellStyle name="Normal 12 2 3 10" xfId="22343" xr:uid="{D2EF6122-C540-438A-AF59-20B7FB7155D0}"/>
    <cellStyle name="Normal 12 2 3 11" xfId="8882" xr:uid="{9533BE77-26D7-4659-8FF2-C1574C600280}"/>
    <cellStyle name="Normal 12 2 3 2" xfId="765" xr:uid="{00000000-0005-0000-0000-0000F70D0000}"/>
    <cellStyle name="Normal 12 2 3 2 2" xfId="3006" xr:uid="{00000000-0005-0000-0000-0000F80D0000}"/>
    <cellStyle name="Normal 12 2 3 2 2 2" xfId="7230" xr:uid="{00000000-0005-0000-0000-0000F90D0000}"/>
    <cellStyle name="Normal 12 2 3 2 2 2 2" xfId="19863" xr:uid="{608C6B45-7944-4B11-9D08-6F2A7D00AE70}"/>
    <cellStyle name="Normal 12 2 3 2 2 3" xfId="15652" xr:uid="{D4E2A020-CB72-483E-B6CE-D9CF432B4D8D}"/>
    <cellStyle name="Normal 12 2 3 2 2 4" xfId="24902" xr:uid="{945C6C2F-0789-49CA-8B25-9082CE6F4C99}"/>
    <cellStyle name="Normal 12 2 3 2 2 5" xfId="11441" xr:uid="{768B9311-86A3-42B6-A02D-3B7E3088376D}"/>
    <cellStyle name="Normal 12 2 3 2 3" xfId="5085" xr:uid="{00000000-0005-0000-0000-0000FA0D0000}"/>
    <cellStyle name="Normal 12 2 3 2 3 2" xfId="17718" xr:uid="{216D10C4-758E-4D5D-B406-7B885B0C1550}"/>
    <cellStyle name="Normal 12 2 3 2 4" xfId="21929" xr:uid="{7B9B10BB-65C7-4658-93DB-0AFD14973F7A}"/>
    <cellStyle name="Normal 12 2 3 2 5" xfId="13507" xr:uid="{F8C4DA17-3C70-4DD0-99FC-FD595B5BC305}"/>
    <cellStyle name="Normal 12 2 3 2 6" xfId="22757" xr:uid="{9027A336-346C-43A5-A9F0-3680F2F0BC22}"/>
    <cellStyle name="Normal 12 2 3 2 7" xfId="9296" xr:uid="{D82D208A-610F-4CDC-8603-BBD41E30331E}"/>
    <cellStyle name="Normal 12 2 3 3" xfId="1188" xr:uid="{00000000-0005-0000-0000-0000FB0D0000}"/>
    <cellStyle name="Normal 12 2 3 3 2" xfId="3419" xr:uid="{00000000-0005-0000-0000-0000FC0D0000}"/>
    <cellStyle name="Normal 12 2 3 3 2 2" xfId="7643" xr:uid="{00000000-0005-0000-0000-0000FD0D0000}"/>
    <cellStyle name="Normal 12 2 3 3 2 2 2" xfId="20276" xr:uid="{E49A8E06-88B3-4A84-8C65-14D5F174CB52}"/>
    <cellStyle name="Normal 12 2 3 3 2 3" xfId="16065" xr:uid="{E36C40C2-8878-4D2D-A6E3-0F0DE19283D9}"/>
    <cellStyle name="Normal 12 2 3 3 2 4" xfId="25315" xr:uid="{6C2C144D-4730-474E-BFC9-3569767ABA84}"/>
    <cellStyle name="Normal 12 2 3 3 2 5" xfId="11854" xr:uid="{D8C9CBCD-B419-418F-BF46-0D76973E3556}"/>
    <cellStyle name="Normal 12 2 3 3 3" xfId="5498" xr:uid="{00000000-0005-0000-0000-0000FE0D0000}"/>
    <cellStyle name="Normal 12 2 3 3 3 2" xfId="18131" xr:uid="{A8773126-07D9-42EE-AD96-FFDCCD0BB300}"/>
    <cellStyle name="Normal 12 2 3 3 4" xfId="13920" xr:uid="{B1574D34-BFA8-4969-9820-BD8DA675E9CD}"/>
    <cellStyle name="Normal 12 2 3 3 5" xfId="23170" xr:uid="{C477AD32-ECC7-4CF0-B0BB-6B75DE392E0D}"/>
    <cellStyle name="Normal 12 2 3 3 6" xfId="9709" xr:uid="{5AF7CA1C-3998-46FD-808D-750A9C7A7CF8}"/>
    <cellStyle name="Normal 12 2 3 4" xfId="1602" xr:uid="{00000000-0005-0000-0000-0000FF0D0000}"/>
    <cellStyle name="Normal 12 2 3 4 2" xfId="3832" xr:uid="{00000000-0005-0000-0000-0000000E0000}"/>
    <cellStyle name="Normal 12 2 3 4 2 2" xfId="8056" xr:uid="{00000000-0005-0000-0000-0000010E0000}"/>
    <cellStyle name="Normal 12 2 3 4 2 2 2" xfId="20689" xr:uid="{A0DD11BA-9EBA-4F5E-B5B2-1CA5642A2103}"/>
    <cellStyle name="Normal 12 2 3 4 2 3" xfId="16478" xr:uid="{4D1DD51B-991A-4565-9651-5875C9A07BAF}"/>
    <cellStyle name="Normal 12 2 3 4 2 4" xfId="25728" xr:uid="{DCA53CDA-3451-4F31-8F63-27F65C3EA53C}"/>
    <cellStyle name="Normal 12 2 3 4 2 5" xfId="12267" xr:uid="{F4841905-39B0-485B-9BAD-788FBDD9E8ED}"/>
    <cellStyle name="Normal 12 2 3 4 3" xfId="5911" xr:uid="{00000000-0005-0000-0000-0000020E0000}"/>
    <cellStyle name="Normal 12 2 3 4 3 2" xfId="18544" xr:uid="{CF77AA6F-F0A1-4213-BE3F-A05BF09E9426}"/>
    <cellStyle name="Normal 12 2 3 4 4" xfId="14333" xr:uid="{885143D8-69E2-4616-B5DA-5145D5C9DA69}"/>
    <cellStyle name="Normal 12 2 3 4 5" xfId="23583" xr:uid="{96D623F3-73BE-41A5-827F-C642A2F6067A}"/>
    <cellStyle name="Normal 12 2 3 4 6" xfId="10122" xr:uid="{60CD335C-9EFA-4B29-8F40-3497B77EABCA}"/>
    <cellStyle name="Normal 12 2 3 5" xfId="2016" xr:uid="{00000000-0005-0000-0000-0000030E0000}"/>
    <cellStyle name="Normal 12 2 3 5 2" xfId="4245" xr:uid="{00000000-0005-0000-0000-0000040E0000}"/>
    <cellStyle name="Normal 12 2 3 5 2 2" xfId="8469" xr:uid="{00000000-0005-0000-0000-0000050E0000}"/>
    <cellStyle name="Normal 12 2 3 5 2 2 2" xfId="21102" xr:uid="{FD2A0080-DFF6-463C-A2B3-E3FC0BED0247}"/>
    <cellStyle name="Normal 12 2 3 5 2 3" xfId="16891" xr:uid="{4AD17C85-4545-4FC5-B1C4-F75301455A7B}"/>
    <cellStyle name="Normal 12 2 3 5 2 4" xfId="26141" xr:uid="{93C237A7-5224-4BD6-ABA7-C674D6397F1B}"/>
    <cellStyle name="Normal 12 2 3 5 2 5" xfId="12680" xr:uid="{2EBF9609-848D-4369-B759-FB930E17D184}"/>
    <cellStyle name="Normal 12 2 3 5 3" xfId="6324" xr:uid="{00000000-0005-0000-0000-0000060E0000}"/>
    <cellStyle name="Normal 12 2 3 5 3 2" xfId="18957" xr:uid="{F82ECF7C-6914-4D98-BD87-A21C159B54FE}"/>
    <cellStyle name="Normal 12 2 3 5 4" xfId="14746" xr:uid="{0720C090-66E3-43F4-8D87-42865C4CEDDC}"/>
    <cellStyle name="Normal 12 2 3 5 5" xfId="23996" xr:uid="{C981EB61-5043-48D2-AD38-B21A73FAE030}"/>
    <cellStyle name="Normal 12 2 3 5 6" xfId="10535" xr:uid="{7805E585-86C9-4644-9EB8-CE1A83674E71}"/>
    <cellStyle name="Normal 12 2 3 6" xfId="2452" xr:uid="{00000000-0005-0000-0000-0000070E0000}"/>
    <cellStyle name="Normal 12 2 3 6 2" xfId="6737" xr:uid="{00000000-0005-0000-0000-0000080E0000}"/>
    <cellStyle name="Normal 12 2 3 6 2 2" xfId="19370" xr:uid="{42821D0F-0431-4BFB-9F38-EB3E16D61B78}"/>
    <cellStyle name="Normal 12 2 3 6 3" xfId="15159" xr:uid="{EB18B2F6-E9EE-4009-A325-0E01DB7E76E5}"/>
    <cellStyle name="Normal 12 2 3 6 4" xfId="24409" xr:uid="{C87DB11E-10EB-4C12-9ACA-AFD175044C98}"/>
    <cellStyle name="Normal 12 2 3 6 5" xfId="10948" xr:uid="{0625972E-68D4-4539-A097-324CEBC89B49}"/>
    <cellStyle name="Normal 12 2 3 7" xfId="4671" xr:uid="{00000000-0005-0000-0000-0000090E0000}"/>
    <cellStyle name="Normal 12 2 3 7 2" xfId="17304" xr:uid="{05A117B2-8423-4D20-B40F-EF573137448E}"/>
    <cellStyle name="Normal 12 2 3 8" xfId="21515" xr:uid="{0FE972F6-4236-4703-9D22-83C4270DAEE2}"/>
    <cellStyle name="Normal 12 2 3 9" xfId="13093" xr:uid="{4DF99F62-E54B-4A9A-9F0C-0835493894BA}"/>
    <cellStyle name="Normal 12 2 4" xfId="762" xr:uid="{00000000-0005-0000-0000-00000A0E0000}"/>
    <cellStyle name="Normal 12 2 4 2" xfId="3003" xr:uid="{00000000-0005-0000-0000-00000B0E0000}"/>
    <cellStyle name="Normal 12 2 4 2 2" xfId="7227" xr:uid="{00000000-0005-0000-0000-00000C0E0000}"/>
    <cellStyle name="Normal 12 2 4 2 2 2" xfId="19860" xr:uid="{CA65C393-7E62-48BA-BC06-194CB3FC24E9}"/>
    <cellStyle name="Normal 12 2 4 2 3" xfId="15649" xr:uid="{4901B46C-9298-4D24-8337-FF13BC2B398C}"/>
    <cellStyle name="Normal 12 2 4 2 4" xfId="24899" xr:uid="{3C1489E9-E667-4E0F-A0D9-1248FA2FAAE4}"/>
    <cellStyle name="Normal 12 2 4 2 5" xfId="11438" xr:uid="{7386328C-9903-41C8-9ED8-FA1FD392CE55}"/>
    <cellStyle name="Normal 12 2 4 3" xfId="5082" xr:uid="{00000000-0005-0000-0000-00000D0E0000}"/>
    <cellStyle name="Normal 12 2 4 3 2" xfId="17715" xr:uid="{9CCD286D-C49D-4F04-88E7-21992C424149}"/>
    <cellStyle name="Normal 12 2 4 4" xfId="21926" xr:uid="{79846132-F2E2-4D71-BF9F-422C2F3D456C}"/>
    <cellStyle name="Normal 12 2 4 5" xfId="13504" xr:uid="{2EBE3FCC-16B1-4AA6-B1C8-E81DD929937D}"/>
    <cellStyle name="Normal 12 2 4 6" xfId="22754" xr:uid="{7BD48D91-A687-481C-BAA0-3CBD8184AC00}"/>
    <cellStyle name="Normal 12 2 4 7" xfId="9293" xr:uid="{EB78DD18-03E1-4AC4-9BC6-88156C9B3F79}"/>
    <cellStyle name="Normal 12 2 5" xfId="1185" xr:uid="{00000000-0005-0000-0000-00000E0E0000}"/>
    <cellStyle name="Normal 12 2 5 2" xfId="3416" xr:uid="{00000000-0005-0000-0000-00000F0E0000}"/>
    <cellStyle name="Normal 12 2 5 2 2" xfId="7640" xr:uid="{00000000-0005-0000-0000-0000100E0000}"/>
    <cellStyle name="Normal 12 2 5 2 2 2" xfId="20273" xr:uid="{2BA280E4-0ADF-4A39-9A1A-B24737F60D5C}"/>
    <cellStyle name="Normal 12 2 5 2 3" xfId="16062" xr:uid="{72FB9F2C-71E6-4504-B788-3E99ACAB3972}"/>
    <cellStyle name="Normal 12 2 5 2 4" xfId="25312" xr:uid="{0D36DD0C-3F45-48B3-B732-B56D90E87929}"/>
    <cellStyle name="Normal 12 2 5 2 5" xfId="11851" xr:uid="{D025778C-38D2-4A61-B098-74C87B51A3DF}"/>
    <cellStyle name="Normal 12 2 5 3" xfId="5495" xr:uid="{00000000-0005-0000-0000-0000110E0000}"/>
    <cellStyle name="Normal 12 2 5 3 2" xfId="18128" xr:uid="{43C8A8F9-E08F-4FCE-839F-BF416BC89633}"/>
    <cellStyle name="Normal 12 2 5 4" xfId="13917" xr:uid="{3815CDBA-A119-40DC-A7C1-97D88846A209}"/>
    <cellStyle name="Normal 12 2 5 5" xfId="23167" xr:uid="{021C798C-FBB0-4FB6-8CA7-5403401D27FC}"/>
    <cellStyle name="Normal 12 2 5 6" xfId="9706" xr:uid="{9CE069E8-F5E4-46C8-8B8E-BB58097E2B94}"/>
    <cellStyle name="Normal 12 2 6" xfId="1599" xr:uid="{00000000-0005-0000-0000-0000120E0000}"/>
    <cellStyle name="Normal 12 2 6 2" xfId="3829" xr:uid="{00000000-0005-0000-0000-0000130E0000}"/>
    <cellStyle name="Normal 12 2 6 2 2" xfId="8053" xr:uid="{00000000-0005-0000-0000-0000140E0000}"/>
    <cellStyle name="Normal 12 2 6 2 2 2" xfId="20686" xr:uid="{F56D5DDB-72FE-4668-8B15-CE41F83135C3}"/>
    <cellStyle name="Normal 12 2 6 2 3" xfId="16475" xr:uid="{0068C61E-ADB9-4969-A0D0-8ED3D60166C8}"/>
    <cellStyle name="Normal 12 2 6 2 4" xfId="25725" xr:uid="{74D38C4A-461E-41FF-899C-0FA63BE58E1B}"/>
    <cellStyle name="Normal 12 2 6 2 5" xfId="12264" xr:uid="{CF90EEE2-F592-4DD3-A335-173DF8849846}"/>
    <cellStyle name="Normal 12 2 6 3" xfId="5908" xr:uid="{00000000-0005-0000-0000-0000150E0000}"/>
    <cellStyle name="Normal 12 2 6 3 2" xfId="18541" xr:uid="{D16FB50E-482D-4811-B7D8-D495328EE3AE}"/>
    <cellStyle name="Normal 12 2 6 4" xfId="14330" xr:uid="{E7261D92-D7AE-48C5-ACC6-E0F08F47ED15}"/>
    <cellStyle name="Normal 12 2 6 5" xfId="23580" xr:uid="{5809FE06-95DB-4363-9B1F-68B767A4452A}"/>
    <cellStyle name="Normal 12 2 6 6" xfId="10119" xr:uid="{8EC6DD3F-DBCE-4922-B335-A7C370D1D3C8}"/>
    <cellStyle name="Normal 12 2 7" xfId="2013" xr:uid="{00000000-0005-0000-0000-0000160E0000}"/>
    <cellStyle name="Normal 12 2 7 2" xfId="4242" xr:uid="{00000000-0005-0000-0000-0000170E0000}"/>
    <cellStyle name="Normal 12 2 7 2 2" xfId="8466" xr:uid="{00000000-0005-0000-0000-0000180E0000}"/>
    <cellStyle name="Normal 12 2 7 2 2 2" xfId="21099" xr:uid="{8A41F389-6710-49D3-85C6-D9B985A09DDA}"/>
    <cellStyle name="Normal 12 2 7 2 3" xfId="16888" xr:uid="{C8BE07A4-14D1-4BBD-9EE6-9B83114A4039}"/>
    <cellStyle name="Normal 12 2 7 2 4" xfId="26138" xr:uid="{27F78AE1-1A6E-468C-8A37-A06313B19800}"/>
    <cellStyle name="Normal 12 2 7 2 5" xfId="12677" xr:uid="{9C3017D2-9192-4C7F-BA17-E53EDFB61247}"/>
    <cellStyle name="Normal 12 2 7 3" xfId="6321" xr:uid="{00000000-0005-0000-0000-0000190E0000}"/>
    <cellStyle name="Normal 12 2 7 3 2" xfId="18954" xr:uid="{1CD792F7-157D-46A8-8794-4184CB3AA962}"/>
    <cellStyle name="Normal 12 2 7 4" xfId="14743" xr:uid="{BFD912AC-31F9-44C4-8BA2-DFBE7B4EB3CA}"/>
    <cellStyle name="Normal 12 2 7 5" xfId="23993" xr:uid="{4829B0C9-25AE-4C60-A514-D131BED053A4}"/>
    <cellStyle name="Normal 12 2 7 6" xfId="10532" xr:uid="{70265FC8-CCF4-4041-A085-6B9AFAD100CD}"/>
    <cellStyle name="Normal 12 2 8" xfId="2449" xr:uid="{00000000-0005-0000-0000-00001A0E0000}"/>
    <cellStyle name="Normal 12 2 8 2" xfId="6734" xr:uid="{00000000-0005-0000-0000-00001B0E0000}"/>
    <cellStyle name="Normal 12 2 8 2 2" xfId="19367" xr:uid="{BB483D21-E7C3-4474-B77F-B4C1629A0EE1}"/>
    <cellStyle name="Normal 12 2 8 3" xfId="15156" xr:uid="{3BF878B7-51B8-452A-A012-D9470AA454ED}"/>
    <cellStyle name="Normal 12 2 8 4" xfId="24406" xr:uid="{7BC543C6-2ABF-4555-B178-7889FDA96CDC}"/>
    <cellStyle name="Normal 12 2 8 5" xfId="10945" xr:uid="{D1E0EEFF-75A9-4EEE-9ED0-2ABE4A71033F}"/>
    <cellStyle name="Normal 12 2 9" xfId="4668" xr:uid="{00000000-0005-0000-0000-00001C0E0000}"/>
    <cellStyle name="Normal 12 2 9 2" xfId="17301" xr:uid="{B0871E96-EA94-4431-804C-47EC46D196C7}"/>
    <cellStyle name="Normal 12 3" xfId="264" xr:uid="{00000000-0005-0000-0000-00001D0E0000}"/>
    <cellStyle name="Normal 12 3 10" xfId="13094" xr:uid="{6BBC7AF6-1B17-4DED-9218-28673A06AAE5}"/>
    <cellStyle name="Normal 12 3 11" xfId="22344" xr:uid="{A2C9CD32-5723-462C-9768-295244E82EB1}"/>
    <cellStyle name="Normal 12 3 12" xfId="8883" xr:uid="{4A0AE842-8467-4300-AC8F-ABE4E418F6AE}"/>
    <cellStyle name="Normal 12 3 2" xfId="265" xr:uid="{00000000-0005-0000-0000-00001E0E0000}"/>
    <cellStyle name="Normal 12 3 2 10" xfId="22345" xr:uid="{86A98F43-D1E4-435B-A636-140BCD77F192}"/>
    <cellStyle name="Normal 12 3 2 11" xfId="8884" xr:uid="{CA745E1A-6580-44A5-80C4-F447156C58CB}"/>
    <cellStyle name="Normal 12 3 2 2" xfId="767" xr:uid="{00000000-0005-0000-0000-00001F0E0000}"/>
    <cellStyle name="Normal 12 3 2 2 2" xfId="3008" xr:uid="{00000000-0005-0000-0000-0000200E0000}"/>
    <cellStyle name="Normal 12 3 2 2 2 2" xfId="7232" xr:uid="{00000000-0005-0000-0000-0000210E0000}"/>
    <cellStyle name="Normal 12 3 2 2 2 2 2" xfId="19865" xr:uid="{176B6A5C-B089-4A67-9C6B-3D4F3CC8864E}"/>
    <cellStyle name="Normal 12 3 2 2 2 3" xfId="15654" xr:uid="{C20A30AD-0689-4757-8974-C5D15288B145}"/>
    <cellStyle name="Normal 12 3 2 2 2 4" xfId="24904" xr:uid="{0008F135-B94B-4C38-9B88-730EE2221D0B}"/>
    <cellStyle name="Normal 12 3 2 2 2 5" xfId="11443" xr:uid="{F1866E66-D689-4B5C-9C52-91DD69B9B3AF}"/>
    <cellStyle name="Normal 12 3 2 2 3" xfId="5087" xr:uid="{00000000-0005-0000-0000-0000220E0000}"/>
    <cellStyle name="Normal 12 3 2 2 3 2" xfId="17720" xr:uid="{17E6636C-C5FB-4F41-AA12-ABDA88B3665B}"/>
    <cellStyle name="Normal 12 3 2 2 4" xfId="21931" xr:uid="{08F16717-E9A1-4F61-ADAD-36EDC937C9F8}"/>
    <cellStyle name="Normal 12 3 2 2 5" xfId="13509" xr:uid="{165B7043-173E-4263-9B3C-558F5694F90D}"/>
    <cellStyle name="Normal 12 3 2 2 6" xfId="22759" xr:uid="{A5F576D3-8907-4338-9B77-8D9FAE11366C}"/>
    <cellStyle name="Normal 12 3 2 2 7" xfId="9298" xr:uid="{7C9672EF-DBCE-465B-A171-A37FC52D4273}"/>
    <cellStyle name="Normal 12 3 2 3" xfId="1190" xr:uid="{00000000-0005-0000-0000-0000230E0000}"/>
    <cellStyle name="Normal 12 3 2 3 2" xfId="3421" xr:uid="{00000000-0005-0000-0000-0000240E0000}"/>
    <cellStyle name="Normal 12 3 2 3 2 2" xfId="7645" xr:uid="{00000000-0005-0000-0000-0000250E0000}"/>
    <cellStyle name="Normal 12 3 2 3 2 2 2" xfId="20278" xr:uid="{F9296C40-5ED4-4945-857E-98B100682C59}"/>
    <cellStyle name="Normal 12 3 2 3 2 3" xfId="16067" xr:uid="{F236B1E6-5E5C-4D80-9257-463E40F248E5}"/>
    <cellStyle name="Normal 12 3 2 3 2 4" xfId="25317" xr:uid="{B12012E5-3EB8-4C78-892F-64D25B0F28C4}"/>
    <cellStyle name="Normal 12 3 2 3 2 5" xfId="11856" xr:uid="{C5AFB017-0A81-4ED8-ACA1-F8328ECA4DDC}"/>
    <cellStyle name="Normal 12 3 2 3 3" xfId="5500" xr:uid="{00000000-0005-0000-0000-0000260E0000}"/>
    <cellStyle name="Normal 12 3 2 3 3 2" xfId="18133" xr:uid="{74B3593C-B775-4531-91C8-C7DBBD1F774C}"/>
    <cellStyle name="Normal 12 3 2 3 4" xfId="13922" xr:uid="{826D988D-14B6-43EC-A6DA-CE69C0286367}"/>
    <cellStyle name="Normal 12 3 2 3 5" xfId="23172" xr:uid="{978AB407-F567-442C-9A53-56373C74E4A0}"/>
    <cellStyle name="Normal 12 3 2 3 6" xfId="9711" xr:uid="{CF8E0BE5-F47B-46B1-9058-5E529DB973D2}"/>
    <cellStyle name="Normal 12 3 2 4" xfId="1604" xr:uid="{00000000-0005-0000-0000-0000270E0000}"/>
    <cellStyle name="Normal 12 3 2 4 2" xfId="3834" xr:uid="{00000000-0005-0000-0000-0000280E0000}"/>
    <cellStyle name="Normal 12 3 2 4 2 2" xfId="8058" xr:uid="{00000000-0005-0000-0000-0000290E0000}"/>
    <cellStyle name="Normal 12 3 2 4 2 2 2" xfId="20691" xr:uid="{DD78EBA9-5318-4456-9779-6D6BA46A8CE9}"/>
    <cellStyle name="Normal 12 3 2 4 2 3" xfId="16480" xr:uid="{3C36C433-5514-41EC-817A-3217F2B4921D}"/>
    <cellStyle name="Normal 12 3 2 4 2 4" xfId="25730" xr:uid="{86042261-CEAC-41D6-930E-C81343061529}"/>
    <cellStyle name="Normal 12 3 2 4 2 5" xfId="12269" xr:uid="{B15BDD86-F92B-46CC-B75D-E17A677D4523}"/>
    <cellStyle name="Normal 12 3 2 4 3" xfId="5913" xr:uid="{00000000-0005-0000-0000-00002A0E0000}"/>
    <cellStyle name="Normal 12 3 2 4 3 2" xfId="18546" xr:uid="{5806F281-69AE-43AC-BD92-E2A71853E7AA}"/>
    <cellStyle name="Normal 12 3 2 4 4" xfId="14335" xr:uid="{87C7312A-0EF8-4FD8-B20A-1862C5AD0ADB}"/>
    <cellStyle name="Normal 12 3 2 4 5" xfId="23585" xr:uid="{587B1947-D036-4545-8E24-10B053D95250}"/>
    <cellStyle name="Normal 12 3 2 4 6" xfId="10124" xr:uid="{CF46008C-FB5C-4CDA-9A83-6C3731577D61}"/>
    <cellStyle name="Normal 12 3 2 5" xfId="2018" xr:uid="{00000000-0005-0000-0000-00002B0E0000}"/>
    <cellStyle name="Normal 12 3 2 5 2" xfId="4247" xr:uid="{00000000-0005-0000-0000-00002C0E0000}"/>
    <cellStyle name="Normal 12 3 2 5 2 2" xfId="8471" xr:uid="{00000000-0005-0000-0000-00002D0E0000}"/>
    <cellStyle name="Normal 12 3 2 5 2 2 2" xfId="21104" xr:uid="{512B1A7E-2F15-4131-9655-F9826E4DB2A5}"/>
    <cellStyle name="Normal 12 3 2 5 2 3" xfId="16893" xr:uid="{0114693B-0391-41E2-AF1F-60124EA8889F}"/>
    <cellStyle name="Normal 12 3 2 5 2 4" xfId="26143" xr:uid="{4411F8D4-C0DE-41B9-9F74-898358D844C6}"/>
    <cellStyle name="Normal 12 3 2 5 2 5" xfId="12682" xr:uid="{1407F52D-BA34-4E3C-B25B-A3F7893065D4}"/>
    <cellStyle name="Normal 12 3 2 5 3" xfId="6326" xr:uid="{00000000-0005-0000-0000-00002E0E0000}"/>
    <cellStyle name="Normal 12 3 2 5 3 2" xfId="18959" xr:uid="{1EE45B1F-E7F1-4104-A4D6-C5BD39FB3DE6}"/>
    <cellStyle name="Normal 12 3 2 5 4" xfId="14748" xr:uid="{190D1354-98F8-442C-98BE-F065ED53E07E}"/>
    <cellStyle name="Normal 12 3 2 5 5" xfId="23998" xr:uid="{8BE340D2-321F-4BBF-AB22-8CD2CE3B0C66}"/>
    <cellStyle name="Normal 12 3 2 5 6" xfId="10537" xr:uid="{DC21BB90-5A95-444A-8022-D8555119A9F7}"/>
    <cellStyle name="Normal 12 3 2 6" xfId="2454" xr:uid="{00000000-0005-0000-0000-00002F0E0000}"/>
    <cellStyle name="Normal 12 3 2 6 2" xfId="6739" xr:uid="{00000000-0005-0000-0000-0000300E0000}"/>
    <cellStyle name="Normal 12 3 2 6 2 2" xfId="19372" xr:uid="{BD072ADC-A3B0-40E8-AE97-7ECC78D806F0}"/>
    <cellStyle name="Normal 12 3 2 6 3" xfId="15161" xr:uid="{79E513B4-526A-4290-A836-5625546914D5}"/>
    <cellStyle name="Normal 12 3 2 6 4" xfId="24411" xr:uid="{9B157164-8A01-4DFC-AA61-CFF05D572FC4}"/>
    <cellStyle name="Normal 12 3 2 6 5" xfId="10950" xr:uid="{4387A3CE-B305-42CD-A6C4-28ACBA984C66}"/>
    <cellStyle name="Normal 12 3 2 7" xfId="4673" xr:uid="{00000000-0005-0000-0000-0000310E0000}"/>
    <cellStyle name="Normal 12 3 2 7 2" xfId="17306" xr:uid="{C15976A7-8809-4461-AD29-02A5FDA867C1}"/>
    <cellStyle name="Normal 12 3 2 8" xfId="21517" xr:uid="{B92650EE-4C17-466E-9191-922EE0203EFE}"/>
    <cellStyle name="Normal 12 3 2 9" xfId="13095" xr:uid="{8BDD73F6-A7B8-40C2-95ED-2BBDAC853C11}"/>
    <cellStyle name="Normal 12 3 3" xfId="766" xr:uid="{00000000-0005-0000-0000-0000320E0000}"/>
    <cellStyle name="Normal 12 3 3 2" xfId="3007" xr:uid="{00000000-0005-0000-0000-0000330E0000}"/>
    <cellStyle name="Normal 12 3 3 2 2" xfId="7231" xr:uid="{00000000-0005-0000-0000-0000340E0000}"/>
    <cellStyle name="Normal 12 3 3 2 2 2" xfId="19864" xr:uid="{A5D41F5C-8C6E-4C21-AA24-CB8E81000FFA}"/>
    <cellStyle name="Normal 12 3 3 2 3" xfId="15653" xr:uid="{C1A5781F-B39B-45B1-93E5-ED23FDD8C661}"/>
    <cellStyle name="Normal 12 3 3 2 4" xfId="24903" xr:uid="{CAA66037-5AD7-48FF-814D-2570A9305F42}"/>
    <cellStyle name="Normal 12 3 3 2 5" xfId="11442" xr:uid="{3DEDDC89-6F23-4C1F-A871-B0896EE6C6DE}"/>
    <cellStyle name="Normal 12 3 3 3" xfId="5086" xr:uid="{00000000-0005-0000-0000-0000350E0000}"/>
    <cellStyle name="Normal 12 3 3 3 2" xfId="17719" xr:uid="{B5E939BA-3CC4-4F62-897F-BB9988216802}"/>
    <cellStyle name="Normal 12 3 3 4" xfId="21930" xr:uid="{22A1D689-D778-4BDB-BA6C-D0C248FC23E3}"/>
    <cellStyle name="Normal 12 3 3 5" xfId="13508" xr:uid="{57B6164A-8542-4B88-8C44-E870DCC5C8E1}"/>
    <cellStyle name="Normal 12 3 3 6" xfId="22758" xr:uid="{6F8A5CD8-0260-40FA-9F63-6C1175D93C6C}"/>
    <cellStyle name="Normal 12 3 3 7" xfId="9297" xr:uid="{67EA450A-2CF1-4549-9001-AFF05926918E}"/>
    <cellStyle name="Normal 12 3 4" xfId="1189" xr:uid="{00000000-0005-0000-0000-0000360E0000}"/>
    <cellStyle name="Normal 12 3 4 2" xfId="3420" xr:uid="{00000000-0005-0000-0000-0000370E0000}"/>
    <cellStyle name="Normal 12 3 4 2 2" xfId="7644" xr:uid="{00000000-0005-0000-0000-0000380E0000}"/>
    <cellStyle name="Normal 12 3 4 2 2 2" xfId="20277" xr:uid="{27A80D1F-B07D-4D20-A0FC-CBDAB84B7A51}"/>
    <cellStyle name="Normal 12 3 4 2 3" xfId="16066" xr:uid="{4A2616C3-6FAB-4A00-8D3E-72044EE49A75}"/>
    <cellStyle name="Normal 12 3 4 2 4" xfId="25316" xr:uid="{0DB03C38-9BF2-43B0-AAE7-F4427F0181B9}"/>
    <cellStyle name="Normal 12 3 4 2 5" xfId="11855" xr:uid="{572C4567-2602-4CA6-B4CA-52ED944B9219}"/>
    <cellStyle name="Normal 12 3 4 3" xfId="5499" xr:uid="{00000000-0005-0000-0000-0000390E0000}"/>
    <cellStyle name="Normal 12 3 4 3 2" xfId="18132" xr:uid="{8BB0C086-93EC-4A6F-8F3C-A441E0DB3165}"/>
    <cellStyle name="Normal 12 3 4 4" xfId="13921" xr:uid="{9CBA59DC-A676-4D8D-A301-E976C8A12C7B}"/>
    <cellStyle name="Normal 12 3 4 5" xfId="23171" xr:uid="{7E7688ED-CBB7-4472-BACE-D1BF69ABC832}"/>
    <cellStyle name="Normal 12 3 4 6" xfId="9710" xr:uid="{FB8A1C47-D3F8-40B2-ACEE-2739236157C0}"/>
    <cellStyle name="Normal 12 3 5" xfId="1603" xr:uid="{00000000-0005-0000-0000-00003A0E0000}"/>
    <cellStyle name="Normal 12 3 5 2" xfId="3833" xr:uid="{00000000-0005-0000-0000-00003B0E0000}"/>
    <cellStyle name="Normal 12 3 5 2 2" xfId="8057" xr:uid="{00000000-0005-0000-0000-00003C0E0000}"/>
    <cellStyle name="Normal 12 3 5 2 2 2" xfId="20690" xr:uid="{5DA8A62E-33F5-4C8A-805D-92D9953D3D0D}"/>
    <cellStyle name="Normal 12 3 5 2 3" xfId="16479" xr:uid="{4CA374F2-A8DA-41E9-89FD-9A08649D9478}"/>
    <cellStyle name="Normal 12 3 5 2 4" xfId="25729" xr:uid="{E0EF834C-0E33-4C38-9E31-B746B7E9C9B7}"/>
    <cellStyle name="Normal 12 3 5 2 5" xfId="12268" xr:uid="{B5008ABF-C8BF-4454-9F3F-A7999E82BCB3}"/>
    <cellStyle name="Normal 12 3 5 3" xfId="5912" xr:uid="{00000000-0005-0000-0000-00003D0E0000}"/>
    <cellStyle name="Normal 12 3 5 3 2" xfId="18545" xr:uid="{1CE4CE75-ABA2-4FC2-ABA7-706FAD63F4B5}"/>
    <cellStyle name="Normal 12 3 5 4" xfId="14334" xr:uid="{5EF97E9E-7848-40F2-B403-E812AAB9A5C9}"/>
    <cellStyle name="Normal 12 3 5 5" xfId="23584" xr:uid="{6C1A99DF-9818-484F-87C1-9F5D700DE034}"/>
    <cellStyle name="Normal 12 3 5 6" xfId="10123" xr:uid="{10C2D580-D40F-49F5-935A-EB32E24E58F7}"/>
    <cellStyle name="Normal 12 3 6" xfId="2017" xr:uid="{00000000-0005-0000-0000-00003E0E0000}"/>
    <cellStyle name="Normal 12 3 6 2" xfId="4246" xr:uid="{00000000-0005-0000-0000-00003F0E0000}"/>
    <cellStyle name="Normal 12 3 6 2 2" xfId="8470" xr:uid="{00000000-0005-0000-0000-0000400E0000}"/>
    <cellStyle name="Normal 12 3 6 2 2 2" xfId="21103" xr:uid="{783802BA-B46B-43D9-9AE8-9AF7CD4D6866}"/>
    <cellStyle name="Normal 12 3 6 2 3" xfId="16892" xr:uid="{C181F856-4BC9-4775-BD5F-42358F5819FC}"/>
    <cellStyle name="Normal 12 3 6 2 4" xfId="26142" xr:uid="{E0ACA36B-D60D-47B2-90F8-1E7F9FD39313}"/>
    <cellStyle name="Normal 12 3 6 2 5" xfId="12681" xr:uid="{1F88D398-17A9-410A-A094-30C06D5113C1}"/>
    <cellStyle name="Normal 12 3 6 3" xfId="6325" xr:uid="{00000000-0005-0000-0000-0000410E0000}"/>
    <cellStyle name="Normal 12 3 6 3 2" xfId="18958" xr:uid="{C8F3A6C1-C0BC-4D72-9C00-293EF35F3FD3}"/>
    <cellStyle name="Normal 12 3 6 4" xfId="14747" xr:uid="{A20F8234-8DB3-4922-B1CD-A911D5A6E504}"/>
    <cellStyle name="Normal 12 3 6 5" xfId="23997" xr:uid="{280704D1-EB2B-41D1-870B-FFC3F6DA8CBF}"/>
    <cellStyle name="Normal 12 3 6 6" xfId="10536" xr:uid="{AE1E2477-B646-4986-8E12-E1AD41850AC3}"/>
    <cellStyle name="Normal 12 3 7" xfId="2453" xr:uid="{00000000-0005-0000-0000-0000420E0000}"/>
    <cellStyle name="Normal 12 3 7 2" xfId="6738" xr:uid="{00000000-0005-0000-0000-0000430E0000}"/>
    <cellStyle name="Normal 12 3 7 2 2" xfId="19371" xr:uid="{46E9078D-711B-4DB7-8494-DB8D2F0CAB3C}"/>
    <cellStyle name="Normal 12 3 7 3" xfId="15160" xr:uid="{3CE955C0-CAA5-4CDB-BA66-0F13773F3279}"/>
    <cellStyle name="Normal 12 3 7 4" xfId="24410" xr:uid="{299BD234-829D-4604-B9A2-A518090FA58B}"/>
    <cellStyle name="Normal 12 3 7 5" xfId="10949" xr:uid="{DECDD592-EC26-4A9F-A7F8-37D9F389CA80}"/>
    <cellStyle name="Normal 12 3 8" xfId="4672" xr:uid="{00000000-0005-0000-0000-0000440E0000}"/>
    <cellStyle name="Normal 12 3 8 2" xfId="17305" xr:uid="{5CAE42B9-16DD-4D56-878F-6AF6795C9D81}"/>
    <cellStyle name="Normal 12 3 9" xfId="21516" xr:uid="{34EE43D2-286B-4479-A357-B8621EBE0BBD}"/>
    <cellStyle name="Normal 12 4" xfId="266" xr:uid="{00000000-0005-0000-0000-0000450E0000}"/>
    <cellStyle name="Normal 12 4 10" xfId="22346" xr:uid="{BE60A865-915D-42EC-9210-BE62534A22A7}"/>
    <cellStyle name="Normal 12 4 11" xfId="8885" xr:uid="{46C6B861-C318-46C8-97C0-57AC979A55B6}"/>
    <cellStyle name="Normal 12 4 2" xfId="768" xr:uid="{00000000-0005-0000-0000-0000460E0000}"/>
    <cellStyle name="Normal 12 4 2 2" xfId="3009" xr:uid="{00000000-0005-0000-0000-0000470E0000}"/>
    <cellStyle name="Normal 12 4 2 2 2" xfId="7233" xr:uid="{00000000-0005-0000-0000-0000480E0000}"/>
    <cellStyle name="Normal 12 4 2 2 2 2" xfId="19866" xr:uid="{3DB6E4B0-11BF-41EC-96AB-152649AB8302}"/>
    <cellStyle name="Normal 12 4 2 2 3" xfId="15655" xr:uid="{4E6BCC82-BEAD-4B91-8F60-D85A92906638}"/>
    <cellStyle name="Normal 12 4 2 2 4" xfId="24905" xr:uid="{B7BF9DDD-EC7C-492D-9523-8A9B14013F68}"/>
    <cellStyle name="Normal 12 4 2 2 5" xfId="11444" xr:uid="{B449E973-BFBE-436C-9C24-28DD83A7FD99}"/>
    <cellStyle name="Normal 12 4 2 3" xfId="5088" xr:uid="{00000000-0005-0000-0000-0000490E0000}"/>
    <cellStyle name="Normal 12 4 2 3 2" xfId="17721" xr:uid="{533FBE30-5B62-42D4-A681-2D6E9BC9589A}"/>
    <cellStyle name="Normal 12 4 2 4" xfId="21932" xr:uid="{256D5363-B202-4A4B-856B-6AD5B64388F6}"/>
    <cellStyle name="Normal 12 4 2 5" xfId="13510" xr:uid="{620AB572-BA62-48D0-83E6-4177EC6BADD5}"/>
    <cellStyle name="Normal 12 4 2 6" xfId="22760" xr:uid="{14EDD003-C57C-42CC-8071-9562D5BF0A97}"/>
    <cellStyle name="Normal 12 4 2 7" xfId="9299" xr:uid="{E634E940-F1D3-47CF-889D-CDFCA73D7657}"/>
    <cellStyle name="Normal 12 4 3" xfId="1191" xr:uid="{00000000-0005-0000-0000-00004A0E0000}"/>
    <cellStyle name="Normal 12 4 3 2" xfId="3422" xr:uid="{00000000-0005-0000-0000-00004B0E0000}"/>
    <cellStyle name="Normal 12 4 3 2 2" xfId="7646" xr:uid="{00000000-0005-0000-0000-00004C0E0000}"/>
    <cellStyle name="Normal 12 4 3 2 2 2" xfId="20279" xr:uid="{F85F7AF2-4C30-48E5-8B96-8D99320AF931}"/>
    <cellStyle name="Normal 12 4 3 2 3" xfId="16068" xr:uid="{D70DEA3F-E18A-4F9D-8AFF-E99BAA4D89A0}"/>
    <cellStyle name="Normal 12 4 3 2 4" xfId="25318" xr:uid="{D9224F2C-7A58-4C5D-81DF-F783FF256771}"/>
    <cellStyle name="Normal 12 4 3 2 5" xfId="11857" xr:uid="{6A62ADCD-C390-4417-A9B5-18E972897BE2}"/>
    <cellStyle name="Normal 12 4 3 3" xfId="5501" xr:uid="{00000000-0005-0000-0000-00004D0E0000}"/>
    <cellStyle name="Normal 12 4 3 3 2" xfId="18134" xr:uid="{DAA25690-710C-4D06-94FB-CA10434245C5}"/>
    <cellStyle name="Normal 12 4 3 4" xfId="13923" xr:uid="{55AC04F4-BF09-4F16-A154-07596CC07EEF}"/>
    <cellStyle name="Normal 12 4 3 5" xfId="23173" xr:uid="{81DDCB01-1930-475F-8C40-16D873F6CDD0}"/>
    <cellStyle name="Normal 12 4 3 6" xfId="9712" xr:uid="{B8FEED1A-A140-4995-8310-D4B6A926EA56}"/>
    <cellStyle name="Normal 12 4 4" xfId="1605" xr:uid="{00000000-0005-0000-0000-00004E0E0000}"/>
    <cellStyle name="Normal 12 4 4 2" xfId="3835" xr:uid="{00000000-0005-0000-0000-00004F0E0000}"/>
    <cellStyle name="Normal 12 4 4 2 2" xfId="8059" xr:uid="{00000000-0005-0000-0000-0000500E0000}"/>
    <cellStyle name="Normal 12 4 4 2 2 2" xfId="20692" xr:uid="{E2628E50-E066-48DB-A275-175FBB014D56}"/>
    <cellStyle name="Normal 12 4 4 2 3" xfId="16481" xr:uid="{3612D25C-2F11-4170-B8E7-1BDE03A44E90}"/>
    <cellStyle name="Normal 12 4 4 2 4" xfId="25731" xr:uid="{68E8E9DC-2D2B-4642-B88D-BBFC98D138AC}"/>
    <cellStyle name="Normal 12 4 4 2 5" xfId="12270" xr:uid="{C0E551BC-8423-439B-BCD4-26B7AD4B0858}"/>
    <cellStyle name="Normal 12 4 4 3" xfId="5914" xr:uid="{00000000-0005-0000-0000-0000510E0000}"/>
    <cellStyle name="Normal 12 4 4 3 2" xfId="18547" xr:uid="{FC45F891-34CF-4BA6-8B07-5B7498FF284E}"/>
    <cellStyle name="Normal 12 4 4 4" xfId="14336" xr:uid="{DDB3BE10-784C-4829-A0DA-6BDDDADAF969}"/>
    <cellStyle name="Normal 12 4 4 5" xfId="23586" xr:uid="{E97FF94A-E6A1-4BA6-BFE6-C76347ACD548}"/>
    <cellStyle name="Normal 12 4 4 6" xfId="10125" xr:uid="{674F2165-CF89-4CDC-9AEE-03B2F1B9633C}"/>
    <cellStyle name="Normal 12 4 5" xfId="2019" xr:uid="{00000000-0005-0000-0000-0000520E0000}"/>
    <cellStyle name="Normal 12 4 5 2" xfId="4248" xr:uid="{00000000-0005-0000-0000-0000530E0000}"/>
    <cellStyle name="Normal 12 4 5 2 2" xfId="8472" xr:uid="{00000000-0005-0000-0000-0000540E0000}"/>
    <cellStyle name="Normal 12 4 5 2 2 2" xfId="21105" xr:uid="{9B751D15-767F-4EB6-AE06-F4067013DD83}"/>
    <cellStyle name="Normal 12 4 5 2 3" xfId="16894" xr:uid="{37CB4EAA-8EE1-43FA-9D35-686E368F1466}"/>
    <cellStyle name="Normal 12 4 5 2 4" xfId="26144" xr:uid="{A04759CF-34D0-4075-BC5C-04E2166B2020}"/>
    <cellStyle name="Normal 12 4 5 2 5" xfId="12683" xr:uid="{2FF3FA84-9F49-49E9-9844-3FB0ABC7BDFE}"/>
    <cellStyle name="Normal 12 4 5 3" xfId="6327" xr:uid="{00000000-0005-0000-0000-0000550E0000}"/>
    <cellStyle name="Normal 12 4 5 3 2" xfId="18960" xr:uid="{C65EF31F-D5FA-48F8-B646-B7175EB63431}"/>
    <cellStyle name="Normal 12 4 5 4" xfId="14749" xr:uid="{AAD20337-C811-4DC2-83AD-38C1FFED1D02}"/>
    <cellStyle name="Normal 12 4 5 5" xfId="23999" xr:uid="{2BD4BC21-A990-40CA-9C94-4A5F1A521463}"/>
    <cellStyle name="Normal 12 4 5 6" xfId="10538" xr:uid="{328C2F23-5C73-4F30-90BB-7DB113B708B1}"/>
    <cellStyle name="Normal 12 4 6" xfId="2455" xr:uid="{00000000-0005-0000-0000-0000560E0000}"/>
    <cellStyle name="Normal 12 4 6 2" xfId="6740" xr:uid="{00000000-0005-0000-0000-0000570E0000}"/>
    <cellStyle name="Normal 12 4 6 2 2" xfId="19373" xr:uid="{677437C7-D1C9-492F-81C1-387B6698170F}"/>
    <cellStyle name="Normal 12 4 6 3" xfId="15162" xr:uid="{1C43136B-BA2E-440B-B27D-0D157A75245D}"/>
    <cellStyle name="Normal 12 4 6 4" xfId="24412" xr:uid="{C5F06794-97A9-44A7-82F8-82C0F7605F74}"/>
    <cellStyle name="Normal 12 4 6 5" xfId="10951" xr:uid="{84DD8052-9E70-41DD-B548-E1C2DA5E6FA9}"/>
    <cellStyle name="Normal 12 4 7" xfId="4674" xr:uid="{00000000-0005-0000-0000-0000580E0000}"/>
    <cellStyle name="Normal 12 4 7 2" xfId="17307" xr:uid="{9E60C416-9F33-4039-B849-538D31CD6053}"/>
    <cellStyle name="Normal 12 4 8" xfId="21518" xr:uid="{219057A9-CC48-48A4-AE4B-560C15979616}"/>
    <cellStyle name="Normal 12 4 9" xfId="13096" xr:uid="{75BDC63A-6D29-4438-BA5D-1FF62E5F7C6C}"/>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9859" xr:uid="{CD7B2B67-6F68-49A9-98D8-30DE9B3B286F}"/>
    <cellStyle name="Normal 12 6 2 3" xfId="15648" xr:uid="{24018FAB-1F4A-4BBB-B7BD-558622C248EE}"/>
    <cellStyle name="Normal 12 6 2 4" xfId="24898" xr:uid="{DEE4E784-7551-471E-A1C4-33BF93026D6C}"/>
    <cellStyle name="Normal 12 6 2 5" xfId="11437" xr:uid="{8C2360B8-277F-4642-8E31-10F7D3B330CE}"/>
    <cellStyle name="Normal 12 6 3" xfId="5081" xr:uid="{00000000-0005-0000-0000-00005D0E0000}"/>
    <cellStyle name="Normal 12 6 3 2" xfId="17714" xr:uid="{BDC43E5A-563F-44B2-B341-747F29BD16F9}"/>
    <cellStyle name="Normal 12 6 4" xfId="21925" xr:uid="{912F581C-7FA1-4F32-869A-289E15BE05BF}"/>
    <cellStyle name="Normal 12 6 5" xfId="13503" xr:uid="{EB704F3B-80B4-4578-A854-6C40BF154FF2}"/>
    <cellStyle name="Normal 12 6 6" xfId="22753" xr:uid="{8D19CF2A-31D9-43B2-8BA2-0C3752841024}"/>
    <cellStyle name="Normal 12 6 7" xfId="9292" xr:uid="{F12A0BC8-1F97-40AE-9875-00DCBCAD8C5B}"/>
    <cellStyle name="Normal 12 7" xfId="1184" xr:uid="{00000000-0005-0000-0000-00005E0E0000}"/>
    <cellStyle name="Normal 12 7 2" xfId="3415" xr:uid="{00000000-0005-0000-0000-00005F0E0000}"/>
    <cellStyle name="Normal 12 7 2 2" xfId="7639" xr:uid="{00000000-0005-0000-0000-0000600E0000}"/>
    <cellStyle name="Normal 12 7 2 2 2" xfId="20272" xr:uid="{F08D56BB-9037-4EC5-A597-EAB2E9542181}"/>
    <cellStyle name="Normal 12 7 2 3" xfId="16061" xr:uid="{F9550EA2-7910-4500-8CEA-14AEEA47EBC2}"/>
    <cellStyle name="Normal 12 7 2 4" xfId="25311" xr:uid="{AA4B5FF5-78D4-4545-BBD8-B90EE1F11EEC}"/>
    <cellStyle name="Normal 12 7 2 5" xfId="11850" xr:uid="{2F9ECD70-D8DE-47CB-8B20-1BFFBC4B3FC4}"/>
    <cellStyle name="Normal 12 7 3" xfId="5494" xr:uid="{00000000-0005-0000-0000-0000610E0000}"/>
    <cellStyle name="Normal 12 7 3 2" xfId="18127" xr:uid="{EDE66160-CD34-48B8-AC1A-3E66672FBA9F}"/>
    <cellStyle name="Normal 12 7 4" xfId="13916" xr:uid="{5985B102-B7E0-42C8-A2B5-62CA8A1FD7ED}"/>
    <cellStyle name="Normal 12 7 5" xfId="23166" xr:uid="{8DA4DD7B-A730-4A52-9BBE-5899279C29BD}"/>
    <cellStyle name="Normal 12 7 6" xfId="9705" xr:uid="{DCC93DF9-ADD6-4407-9E48-8FC67C2DB90F}"/>
    <cellStyle name="Normal 12 8" xfId="1598" xr:uid="{00000000-0005-0000-0000-0000620E0000}"/>
    <cellStyle name="Normal 12 8 2" xfId="3828" xr:uid="{00000000-0005-0000-0000-0000630E0000}"/>
    <cellStyle name="Normal 12 8 2 2" xfId="8052" xr:uid="{00000000-0005-0000-0000-0000640E0000}"/>
    <cellStyle name="Normal 12 8 2 2 2" xfId="20685" xr:uid="{623F616D-D01F-4B69-9947-C32273748DCE}"/>
    <cellStyle name="Normal 12 8 2 3" xfId="16474" xr:uid="{163F1476-DA0D-49C8-A31B-47E8474F9D7F}"/>
    <cellStyle name="Normal 12 8 2 4" xfId="25724" xr:uid="{37ECE68A-2503-4B80-8D5E-ED32092E3303}"/>
    <cellStyle name="Normal 12 8 2 5" xfId="12263" xr:uid="{5F3BA260-71BE-4749-B54F-26FD6624BA01}"/>
    <cellStyle name="Normal 12 8 3" xfId="5907" xr:uid="{00000000-0005-0000-0000-0000650E0000}"/>
    <cellStyle name="Normal 12 8 3 2" xfId="18540" xr:uid="{70F1A344-E030-42FF-99AB-CD57ADEC2342}"/>
    <cellStyle name="Normal 12 8 4" xfId="14329" xr:uid="{A358786F-16B6-4180-A4FC-9DCB91E804FE}"/>
    <cellStyle name="Normal 12 8 5" xfId="23579" xr:uid="{702DF05B-583B-4CAC-A0B5-BD00B04DB5A3}"/>
    <cellStyle name="Normal 12 8 6" xfId="10118" xr:uid="{C6CF6BF9-6036-47DE-A524-45EC9CF059BA}"/>
    <cellStyle name="Normal 12 9" xfId="2012" xr:uid="{00000000-0005-0000-0000-0000660E0000}"/>
    <cellStyle name="Normal 12 9 2" xfId="4241" xr:uid="{00000000-0005-0000-0000-0000670E0000}"/>
    <cellStyle name="Normal 12 9 2 2" xfId="8465" xr:uid="{00000000-0005-0000-0000-0000680E0000}"/>
    <cellStyle name="Normal 12 9 2 2 2" xfId="21098" xr:uid="{7B12CB37-27A6-4C41-BC2A-4D0D170BEA70}"/>
    <cellStyle name="Normal 12 9 2 3" xfId="16887" xr:uid="{8EEBF66D-53E9-4E8F-AACB-7B480490D722}"/>
    <cellStyle name="Normal 12 9 2 4" xfId="26137" xr:uid="{CE0A72E8-D79C-46A9-A5DF-077833EFAF36}"/>
    <cellStyle name="Normal 12 9 2 5" xfId="12676" xr:uid="{DC2C31E6-0F95-4C11-84DB-CF90C2BABC5D}"/>
    <cellStyle name="Normal 12 9 3" xfId="6320" xr:uid="{00000000-0005-0000-0000-0000690E0000}"/>
    <cellStyle name="Normal 12 9 3 2" xfId="18953" xr:uid="{67C2A02B-C97C-4AD9-9D69-BA76AB655682}"/>
    <cellStyle name="Normal 12 9 4" xfId="14742" xr:uid="{5F17D024-5EC0-4128-B619-557A086C5F2F}"/>
    <cellStyle name="Normal 12 9 5" xfId="23992" xr:uid="{58B92B9A-5E60-4C61-963A-F6641253965E}"/>
    <cellStyle name="Normal 12 9 6" xfId="10531" xr:uid="{AB7B00B6-8655-4195-BA18-D038897C5689}"/>
    <cellStyle name="Normal 13" xfId="268" xr:uid="{00000000-0005-0000-0000-00006A0E0000}"/>
    <cellStyle name="Normal 13 2" xfId="269" xr:uid="{00000000-0005-0000-0000-00006B0E0000}"/>
    <cellStyle name="Normal 14" xfId="270" xr:uid="{00000000-0005-0000-0000-00006C0E0000}"/>
    <cellStyle name="Normal 14 10" xfId="22347" xr:uid="{381335DD-86A2-4758-963C-23E2C5717547}"/>
    <cellStyle name="Normal 14 11" xfId="8886" xr:uid="{060AAF32-B806-4EC0-AC4D-F1E2EED7B7B2}"/>
    <cellStyle name="Normal 14 2" xfId="769" xr:uid="{00000000-0005-0000-0000-00006D0E0000}"/>
    <cellStyle name="Normal 14 2 2" xfId="3010" xr:uid="{00000000-0005-0000-0000-00006E0E0000}"/>
    <cellStyle name="Normal 14 2 2 2" xfId="7234" xr:uid="{00000000-0005-0000-0000-00006F0E0000}"/>
    <cellStyle name="Normal 14 2 2 2 2" xfId="19867" xr:uid="{83909DD1-1642-407A-9779-0EA3E3ADE8BE}"/>
    <cellStyle name="Normal 14 2 2 3" xfId="15656" xr:uid="{85B9E07B-7299-4DC8-B690-6E21FD9130B4}"/>
    <cellStyle name="Normal 14 2 2 4" xfId="24906" xr:uid="{217D9345-198F-4739-B1B9-633FA8F3523C}"/>
    <cellStyle name="Normal 14 2 2 5" xfId="11445" xr:uid="{D59927DC-68DA-4409-8636-75619BE6FFC7}"/>
    <cellStyle name="Normal 14 2 3" xfId="5089" xr:uid="{00000000-0005-0000-0000-0000700E0000}"/>
    <cellStyle name="Normal 14 2 3 2" xfId="17722" xr:uid="{D1BFEBD0-7CE8-4DF6-A161-AEC5B61D0F61}"/>
    <cellStyle name="Normal 14 2 4" xfId="21933" xr:uid="{0DC18128-49E3-43DA-8722-3B9C25F41BDB}"/>
    <cellStyle name="Normal 14 2 5" xfId="13511" xr:uid="{E75B7F11-9300-4632-92FB-5B21ECC47285}"/>
    <cellStyle name="Normal 14 2 6" xfId="22761" xr:uid="{A0672EA5-148F-4E22-A3AF-D4AF90F3119E}"/>
    <cellStyle name="Normal 14 2 7" xfId="9300" xr:uid="{29B37304-DEDD-4D22-A17B-988CF557926B}"/>
    <cellStyle name="Normal 14 3" xfId="1192" xr:uid="{00000000-0005-0000-0000-0000710E0000}"/>
    <cellStyle name="Normal 14 3 2" xfId="3423" xr:uid="{00000000-0005-0000-0000-0000720E0000}"/>
    <cellStyle name="Normal 14 3 2 2" xfId="7647" xr:uid="{00000000-0005-0000-0000-0000730E0000}"/>
    <cellStyle name="Normal 14 3 2 2 2" xfId="20280" xr:uid="{7D34C0B4-EB49-42B0-9950-B257539C224C}"/>
    <cellStyle name="Normal 14 3 2 3" xfId="16069" xr:uid="{59604280-ED34-4D49-A786-E1709F782700}"/>
    <cellStyle name="Normal 14 3 2 4" xfId="25319" xr:uid="{FEA54EF0-C5AB-4C21-BA95-66082B98D7F5}"/>
    <cellStyle name="Normal 14 3 2 5" xfId="11858" xr:uid="{8B830E36-EB81-4FC0-B695-4ED2D3150CEC}"/>
    <cellStyle name="Normal 14 3 3" xfId="5502" xr:uid="{00000000-0005-0000-0000-0000740E0000}"/>
    <cellStyle name="Normal 14 3 3 2" xfId="18135" xr:uid="{9D668DEA-26C0-45A7-A5CF-D4B7B60748E3}"/>
    <cellStyle name="Normal 14 3 4" xfId="13924" xr:uid="{62307807-D5B4-4A99-A6EA-2AD955678068}"/>
    <cellStyle name="Normal 14 3 5" xfId="23174" xr:uid="{A746C64C-A180-428F-86B9-3A91A0B50A8A}"/>
    <cellStyle name="Normal 14 3 6" xfId="9713" xr:uid="{C014C1B8-5A17-48FE-9DA4-234D138AAE69}"/>
    <cellStyle name="Normal 14 4" xfId="1606" xr:uid="{00000000-0005-0000-0000-0000750E0000}"/>
    <cellStyle name="Normal 14 4 2" xfId="3836" xr:uid="{00000000-0005-0000-0000-0000760E0000}"/>
    <cellStyle name="Normal 14 4 2 2" xfId="8060" xr:uid="{00000000-0005-0000-0000-0000770E0000}"/>
    <cellStyle name="Normal 14 4 2 2 2" xfId="20693" xr:uid="{2692DBEE-DC6B-4E61-8A67-15B1CF73AC10}"/>
    <cellStyle name="Normal 14 4 2 3" xfId="16482" xr:uid="{9F4811A8-20FF-4E65-937F-BB8D2650506C}"/>
    <cellStyle name="Normal 14 4 2 4" xfId="25732" xr:uid="{FB493819-1286-4DC1-85C5-E99C0AD0F882}"/>
    <cellStyle name="Normal 14 4 2 5" xfId="12271" xr:uid="{9C774FD8-E907-4FF9-B6AE-29D08A6C3856}"/>
    <cellStyle name="Normal 14 4 3" xfId="5915" xr:uid="{00000000-0005-0000-0000-0000780E0000}"/>
    <cellStyle name="Normal 14 4 3 2" xfId="18548" xr:uid="{AB782676-D269-457E-B659-FAF73CA4F8EC}"/>
    <cellStyle name="Normal 14 4 4" xfId="14337" xr:uid="{F6F41DC3-B27F-4EFC-A25E-495BCE22CAFE}"/>
    <cellStyle name="Normal 14 4 5" xfId="23587" xr:uid="{4C163242-CF9B-422D-A67A-B3150F4D275E}"/>
    <cellStyle name="Normal 14 4 6" xfId="10126" xr:uid="{7C0C2859-8E76-4996-96D0-35CF7AFF3E89}"/>
    <cellStyle name="Normal 14 5" xfId="2020" xr:uid="{00000000-0005-0000-0000-0000790E0000}"/>
    <cellStyle name="Normal 14 5 2" xfId="4249" xr:uid="{00000000-0005-0000-0000-00007A0E0000}"/>
    <cellStyle name="Normal 14 5 2 2" xfId="8473" xr:uid="{00000000-0005-0000-0000-00007B0E0000}"/>
    <cellStyle name="Normal 14 5 2 2 2" xfId="21106" xr:uid="{F58AC0AB-81C2-4673-BB1C-A99DE08F641D}"/>
    <cellStyle name="Normal 14 5 2 3" xfId="16895" xr:uid="{347AAEBC-6596-4199-92C5-D831161A1D46}"/>
    <cellStyle name="Normal 14 5 2 4" xfId="26145" xr:uid="{FB8B09E6-53B4-4801-B17C-6FC9B429F5AB}"/>
    <cellStyle name="Normal 14 5 2 5" xfId="12684" xr:uid="{73CAF490-8A94-49E4-9368-3C5F7BB14659}"/>
    <cellStyle name="Normal 14 5 3" xfId="6328" xr:uid="{00000000-0005-0000-0000-00007C0E0000}"/>
    <cellStyle name="Normal 14 5 3 2" xfId="18961" xr:uid="{71076DD3-4967-44BB-97CF-08AF65A251F7}"/>
    <cellStyle name="Normal 14 5 4" xfId="14750" xr:uid="{ED121FAD-5B94-4F1C-AB44-49FAF271468F}"/>
    <cellStyle name="Normal 14 5 5" xfId="24000" xr:uid="{698313F9-9EB0-4472-B32D-BDDCD953D464}"/>
    <cellStyle name="Normal 14 5 6" xfId="10539" xr:uid="{DF625B28-9562-4C44-86C2-A45A8C5073ED}"/>
    <cellStyle name="Normal 14 6" xfId="2456" xr:uid="{00000000-0005-0000-0000-00007D0E0000}"/>
    <cellStyle name="Normal 14 6 2" xfId="6741" xr:uid="{00000000-0005-0000-0000-00007E0E0000}"/>
    <cellStyle name="Normal 14 6 2 2" xfId="19374" xr:uid="{50C44003-4542-4FB3-AEAD-00517BA56A47}"/>
    <cellStyle name="Normal 14 6 3" xfId="15163" xr:uid="{F0B8B6DB-DCBF-4FFD-B895-F1AEA5EB45FD}"/>
    <cellStyle name="Normal 14 6 4" xfId="24413" xr:uid="{9CD19126-1E91-4051-90CB-C890AD0B7237}"/>
    <cellStyle name="Normal 14 6 5" xfId="10952" xr:uid="{1392BBCE-7990-4F1F-857F-C3CE6CF5AD48}"/>
    <cellStyle name="Normal 14 7" xfId="4675" xr:uid="{00000000-0005-0000-0000-00007F0E0000}"/>
    <cellStyle name="Normal 14 7 2" xfId="17308" xr:uid="{B3EABD8E-F6CC-41AD-A408-5A1EE6395941}"/>
    <cellStyle name="Normal 14 8" xfId="21519" xr:uid="{B9EF5BB9-A645-464B-8E42-D1C778063957}"/>
    <cellStyle name="Normal 14 9" xfId="13097" xr:uid="{4A44AD2F-772C-4654-93F5-CEDD4C61292A}"/>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2 4 2" xfId="21934" xr:uid="{004C7A36-3016-41A7-B58D-7689DBAE4E5E}"/>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21107" xr:uid="{6B4CD71E-054E-4716-A8C7-162401FD6273}"/>
    <cellStyle name="Normal 2 4 2 10 2 3" xfId="16896" xr:uid="{AB310FA0-C7C9-4279-8E0A-D3564C54970F}"/>
    <cellStyle name="Normal 2 4 2 10 2 4" xfId="26146" xr:uid="{37B19CB9-1B07-4FC9-8A31-FCFD5DB27B2D}"/>
    <cellStyle name="Normal 2 4 2 10 2 5" xfId="12685" xr:uid="{4545B0E9-7929-48F0-93A4-E31D218EC692}"/>
    <cellStyle name="Normal 2 4 2 10 3" xfId="6329" xr:uid="{00000000-0005-0000-0000-0000900E0000}"/>
    <cellStyle name="Normal 2 4 2 10 3 2" xfId="18962" xr:uid="{6A3BC12E-D99E-4D37-BBCF-1A8A1B8A96AA}"/>
    <cellStyle name="Normal 2 4 2 10 4" xfId="14751" xr:uid="{0B96064A-52DA-44BF-9274-D398E781E205}"/>
    <cellStyle name="Normal 2 4 2 10 5" xfId="24001" xr:uid="{4CA5E62F-D75A-4AEC-9961-B78DC85B4EA4}"/>
    <cellStyle name="Normal 2 4 2 10 6" xfId="10540" xr:uid="{00D575A6-E3E2-4FD4-9B86-11BD30D97D13}"/>
    <cellStyle name="Normal 2 4 2 11" xfId="2457" xr:uid="{00000000-0005-0000-0000-0000910E0000}"/>
    <cellStyle name="Normal 2 4 2 11 2" xfId="6742" xr:uid="{00000000-0005-0000-0000-0000920E0000}"/>
    <cellStyle name="Normal 2 4 2 11 2 2" xfId="19375" xr:uid="{EF492877-EB0B-4884-A670-FEA3F3779D0A}"/>
    <cellStyle name="Normal 2 4 2 11 3" xfId="15164" xr:uid="{555E50B1-B64A-42B1-8C66-0413C254D77F}"/>
    <cellStyle name="Normal 2 4 2 11 4" xfId="24414" xr:uid="{F6A690D2-4F43-4B6A-80B3-FFFF2A472D2A}"/>
    <cellStyle name="Normal 2 4 2 11 5" xfId="10953" xr:uid="{7FA196B0-DCA3-4BFA-B629-B4124C10A8CF}"/>
    <cellStyle name="Normal 2 4 2 12" xfId="4676" xr:uid="{00000000-0005-0000-0000-0000930E0000}"/>
    <cellStyle name="Normal 2 4 2 12 2" xfId="17309" xr:uid="{D4C0BA4A-2E93-4F4D-86A5-8F7E621C107B}"/>
    <cellStyle name="Normal 2 4 2 13" xfId="21520" xr:uid="{32E138C9-8CB8-49CA-B09B-2783C7370D80}"/>
    <cellStyle name="Normal 2 4 2 14" xfId="13098" xr:uid="{EB03356B-DD5C-4EA5-BF52-7B577CFAB83E}"/>
    <cellStyle name="Normal 2 4 2 15" xfId="22348" xr:uid="{49899F8E-B2BE-499A-AC70-746472A18838}"/>
    <cellStyle name="Normal 2 4 2 16" xfId="8887" xr:uid="{6DFCA39E-37D9-4DEC-A9AB-7C603FFBD1DC}"/>
    <cellStyle name="Normal 2 4 2 2" xfId="280" xr:uid="{00000000-0005-0000-0000-0000940E0000}"/>
    <cellStyle name="Normal 2 4 2 3" xfId="281" xr:uid="{00000000-0005-0000-0000-0000950E0000}"/>
    <cellStyle name="Normal 2 4 2 3 10" xfId="4677" xr:uid="{00000000-0005-0000-0000-0000960E0000}"/>
    <cellStyle name="Normal 2 4 2 3 10 2" xfId="17310" xr:uid="{DA5F9557-CF18-4FE8-A9B4-22B48833D170}"/>
    <cellStyle name="Normal 2 4 2 3 11" xfId="21521" xr:uid="{499E16ED-D45D-4438-A7F9-A6CE84DEED21}"/>
    <cellStyle name="Normal 2 4 2 3 12" xfId="13099" xr:uid="{1D2213C0-0BC4-4418-996D-CD797626D370}"/>
    <cellStyle name="Normal 2 4 2 3 13" xfId="22349" xr:uid="{C1F34AAF-6DE9-4847-BF57-085A6F6FD3EC}"/>
    <cellStyle name="Normal 2 4 2 3 14" xfId="8888" xr:uid="{0F1DCA67-4A6F-42D6-9D52-C7C72D8753E2}"/>
    <cellStyle name="Normal 2 4 2 3 2" xfId="282" xr:uid="{00000000-0005-0000-0000-0000970E0000}"/>
    <cellStyle name="Normal 2 4 2 3 2 10" xfId="21522" xr:uid="{C483A171-5BCC-4987-80D5-86F917D956E9}"/>
    <cellStyle name="Normal 2 4 2 3 2 11" xfId="13100" xr:uid="{4F457A59-6C99-48B1-A284-67687C9FCB9D}"/>
    <cellStyle name="Normal 2 4 2 3 2 12" xfId="22350" xr:uid="{EC8DD964-6322-4BEF-8FE6-136DC7A5C25F}"/>
    <cellStyle name="Normal 2 4 2 3 2 13" xfId="8889" xr:uid="{4B8DBEBA-7325-43EB-AE00-77E14230ED92}"/>
    <cellStyle name="Normal 2 4 2 3 2 2" xfId="283" xr:uid="{00000000-0005-0000-0000-0000980E0000}"/>
    <cellStyle name="Normal 2 4 2 3 2 2 10" xfId="13101" xr:uid="{72982CF0-12AA-437F-8BAB-30801A4826B0}"/>
    <cellStyle name="Normal 2 4 2 3 2 2 11" xfId="22351" xr:uid="{4DED8374-F384-48F2-98F7-BD4581B7C2C5}"/>
    <cellStyle name="Normal 2 4 2 3 2 2 12" xfId="8890" xr:uid="{CE56511D-F890-4E2C-A8B7-C8A0D176545B}"/>
    <cellStyle name="Normal 2 4 2 3 2 2 2" xfId="284" xr:uid="{00000000-0005-0000-0000-0000990E0000}"/>
    <cellStyle name="Normal 2 4 2 3 2 2 2 10" xfId="22352" xr:uid="{CA38463E-9187-4748-9FA1-1684925D9152}"/>
    <cellStyle name="Normal 2 4 2 3 2 2 2 11" xfId="8891" xr:uid="{0F53557E-B9BD-4FE7-8074-56D663EF90BB}"/>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9872" xr:uid="{2C924126-246F-4535-AD36-1A6919725A90}"/>
    <cellStyle name="Normal 2 4 2 3 2 2 2 2 2 3" xfId="15661" xr:uid="{493CA7B0-8569-4E62-8C56-97EBB5780791}"/>
    <cellStyle name="Normal 2 4 2 3 2 2 2 2 2 4" xfId="24911" xr:uid="{73C20D10-986A-44EF-BB90-112E4442CDC4}"/>
    <cellStyle name="Normal 2 4 2 3 2 2 2 2 2 5" xfId="11450" xr:uid="{790DE342-9847-46E8-AB88-2318AF0B39A3}"/>
    <cellStyle name="Normal 2 4 2 3 2 2 2 2 3" xfId="5094" xr:uid="{00000000-0005-0000-0000-00009D0E0000}"/>
    <cellStyle name="Normal 2 4 2 3 2 2 2 2 3 2" xfId="17727" xr:uid="{6CCC635D-267F-48C8-8A2C-ED25C2D42A76}"/>
    <cellStyle name="Normal 2 4 2 3 2 2 2 2 4" xfId="21939" xr:uid="{711BAF0F-48E7-4ABB-BDFE-76F3DAF42D58}"/>
    <cellStyle name="Normal 2 4 2 3 2 2 2 2 5" xfId="13516" xr:uid="{9A860C03-183A-4810-823F-6355E86EC81A}"/>
    <cellStyle name="Normal 2 4 2 3 2 2 2 2 6" xfId="22766" xr:uid="{E1F7447A-3486-42C5-B3E1-B70FDF004CDC}"/>
    <cellStyle name="Normal 2 4 2 3 2 2 2 2 7" xfId="9305" xr:uid="{B805453D-1B9A-4817-B758-DE4484EF004C}"/>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20285" xr:uid="{1E826F31-9628-4698-8165-F79F9B4E7948}"/>
    <cellStyle name="Normal 2 4 2 3 2 2 2 3 2 3" xfId="16074" xr:uid="{5584F998-AE4B-4B36-A208-5ABB65193EF3}"/>
    <cellStyle name="Normal 2 4 2 3 2 2 2 3 2 4" xfId="25324" xr:uid="{010B044C-97F9-42C9-8312-B4C46934B0A6}"/>
    <cellStyle name="Normal 2 4 2 3 2 2 2 3 2 5" xfId="11863" xr:uid="{49439C8A-C2D4-4454-9487-3AB3FADF301F}"/>
    <cellStyle name="Normal 2 4 2 3 2 2 2 3 3" xfId="5507" xr:uid="{00000000-0005-0000-0000-0000A10E0000}"/>
    <cellStyle name="Normal 2 4 2 3 2 2 2 3 3 2" xfId="18140" xr:uid="{130BEDB4-F3A3-420E-ADDC-F12D19B576F4}"/>
    <cellStyle name="Normal 2 4 2 3 2 2 2 3 4" xfId="13929" xr:uid="{6C94F41D-A11A-4314-B1C9-D665C71C2083}"/>
    <cellStyle name="Normal 2 4 2 3 2 2 2 3 5" xfId="23179" xr:uid="{9957FBC5-76E5-4A7D-9162-D9D9C4AB33FA}"/>
    <cellStyle name="Normal 2 4 2 3 2 2 2 3 6" xfId="9718" xr:uid="{E2A55718-E10C-43B1-B461-A53FEB2612C2}"/>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20698" xr:uid="{9FCC81E1-A3E4-40A2-B43A-0F7FCEEF3BB8}"/>
    <cellStyle name="Normal 2 4 2 3 2 2 2 4 2 3" xfId="16487" xr:uid="{5DB81A53-75DA-400D-8AEA-CB7B345B671F}"/>
    <cellStyle name="Normal 2 4 2 3 2 2 2 4 2 4" xfId="25737" xr:uid="{3E8FCCAB-8303-41B9-9DFD-7A00051AE3B9}"/>
    <cellStyle name="Normal 2 4 2 3 2 2 2 4 2 5" xfId="12276" xr:uid="{D61E840B-171D-44E9-B092-AA8E9E6FEC02}"/>
    <cellStyle name="Normal 2 4 2 3 2 2 2 4 3" xfId="5920" xr:uid="{00000000-0005-0000-0000-0000A50E0000}"/>
    <cellStyle name="Normal 2 4 2 3 2 2 2 4 3 2" xfId="18553" xr:uid="{D268153E-43DB-4671-8DCF-E0350EAA47A7}"/>
    <cellStyle name="Normal 2 4 2 3 2 2 2 4 4" xfId="14342" xr:uid="{024A933A-EED8-48A0-A7E7-E8352C7C310A}"/>
    <cellStyle name="Normal 2 4 2 3 2 2 2 4 5" xfId="23592" xr:uid="{B0B6F659-1C65-4236-ACFF-50AE9E4242EB}"/>
    <cellStyle name="Normal 2 4 2 3 2 2 2 4 6" xfId="10131" xr:uid="{B3BC48CB-617E-4D85-B62C-0D643158E603}"/>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21111" xr:uid="{87C9F2E2-4B4E-47B1-9295-5DB9821BE6DB}"/>
    <cellStyle name="Normal 2 4 2 3 2 2 2 5 2 3" xfId="16900" xr:uid="{D8876EC1-9AA9-44E9-836A-A86E054CBF42}"/>
    <cellStyle name="Normal 2 4 2 3 2 2 2 5 2 4" xfId="26150" xr:uid="{BB41D038-F71A-441F-91C9-9C2DB042F5B1}"/>
    <cellStyle name="Normal 2 4 2 3 2 2 2 5 2 5" xfId="12689" xr:uid="{2A43765A-8C09-4A38-9046-ECBC2251A4EE}"/>
    <cellStyle name="Normal 2 4 2 3 2 2 2 5 3" xfId="6333" xr:uid="{00000000-0005-0000-0000-0000A90E0000}"/>
    <cellStyle name="Normal 2 4 2 3 2 2 2 5 3 2" xfId="18966" xr:uid="{E3D643DA-9C0E-4C1C-AE25-58716E257E30}"/>
    <cellStyle name="Normal 2 4 2 3 2 2 2 5 4" xfId="14755" xr:uid="{771C2FE5-0ECE-46D1-B168-8FCDCF18C1B2}"/>
    <cellStyle name="Normal 2 4 2 3 2 2 2 5 5" xfId="24005" xr:uid="{5B17B481-9D43-4B42-AF23-9226586FA69D}"/>
    <cellStyle name="Normal 2 4 2 3 2 2 2 5 6" xfId="10544" xr:uid="{243BEB96-1C5F-440B-A4A3-4B9F12781712}"/>
    <cellStyle name="Normal 2 4 2 3 2 2 2 6" xfId="2461" xr:uid="{00000000-0005-0000-0000-0000AA0E0000}"/>
    <cellStyle name="Normal 2 4 2 3 2 2 2 6 2" xfId="6746" xr:uid="{00000000-0005-0000-0000-0000AB0E0000}"/>
    <cellStyle name="Normal 2 4 2 3 2 2 2 6 2 2" xfId="19379" xr:uid="{47BAAC82-6A06-4781-9587-9899673FCCF4}"/>
    <cellStyle name="Normal 2 4 2 3 2 2 2 6 3" xfId="15168" xr:uid="{C4C89986-56FB-40FD-AB5A-2CED98238DF9}"/>
    <cellStyle name="Normal 2 4 2 3 2 2 2 6 4" xfId="24418" xr:uid="{8682BB4F-6CB0-4858-97A4-54F193282F27}"/>
    <cellStyle name="Normal 2 4 2 3 2 2 2 6 5" xfId="10957" xr:uid="{876F78C9-B906-4923-AA62-EE628CF98FC8}"/>
    <cellStyle name="Normal 2 4 2 3 2 2 2 7" xfId="4680" xr:uid="{00000000-0005-0000-0000-0000AC0E0000}"/>
    <cellStyle name="Normal 2 4 2 3 2 2 2 7 2" xfId="17313" xr:uid="{27CC36A8-680D-4EBA-9A0C-69D100B9F861}"/>
    <cellStyle name="Normal 2 4 2 3 2 2 2 8" xfId="21524" xr:uid="{85228FFB-ECA1-4549-A581-EFC3AB3F07DE}"/>
    <cellStyle name="Normal 2 4 2 3 2 2 2 9" xfId="13102" xr:uid="{C42E411E-2ADD-45C2-A9B7-EB740F159A6E}"/>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9871" xr:uid="{8BEB4AE7-4C54-45E1-905D-337D53CDFD00}"/>
    <cellStyle name="Normal 2 4 2 3 2 2 3 2 3" xfId="15660" xr:uid="{1BB0C623-9BF5-4072-BD5B-05019E75AAD2}"/>
    <cellStyle name="Normal 2 4 2 3 2 2 3 2 4" xfId="24910" xr:uid="{7AF575DE-1B51-4A2B-A15C-DFAC0118EE3B}"/>
    <cellStyle name="Normal 2 4 2 3 2 2 3 2 5" xfId="11449" xr:uid="{C0AE23F7-089D-4085-938D-FBE66E422D83}"/>
    <cellStyle name="Normal 2 4 2 3 2 2 3 3" xfId="5093" xr:uid="{00000000-0005-0000-0000-0000B00E0000}"/>
    <cellStyle name="Normal 2 4 2 3 2 2 3 3 2" xfId="17726" xr:uid="{5F7FD19F-A35A-45F5-8173-D86443CAF496}"/>
    <cellStyle name="Normal 2 4 2 3 2 2 3 4" xfId="21938" xr:uid="{55A76B1C-3819-4EF2-96C2-4048188E39ED}"/>
    <cellStyle name="Normal 2 4 2 3 2 2 3 5" xfId="13515" xr:uid="{3F1713C7-FF3C-41D1-82C2-6A9FB51EDC05}"/>
    <cellStyle name="Normal 2 4 2 3 2 2 3 6" xfId="22765" xr:uid="{2F16C343-9ED4-4831-91CE-D66E83B1C671}"/>
    <cellStyle name="Normal 2 4 2 3 2 2 3 7" xfId="9304" xr:uid="{ADC74D8C-F8B6-49FA-A011-7FA015D11886}"/>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20284" xr:uid="{DC456439-BB03-4FC0-8A61-A5C7256C2055}"/>
    <cellStyle name="Normal 2 4 2 3 2 2 4 2 3" xfId="16073" xr:uid="{FA23457C-FAA4-4833-ABC7-D3708EC12C28}"/>
    <cellStyle name="Normal 2 4 2 3 2 2 4 2 4" xfId="25323" xr:uid="{D73B23B2-4EB5-4F84-A7F7-A1553472D65C}"/>
    <cellStyle name="Normal 2 4 2 3 2 2 4 2 5" xfId="11862" xr:uid="{3B1E5B92-5DFF-4B55-9C28-14FC598B0BDB}"/>
    <cellStyle name="Normal 2 4 2 3 2 2 4 3" xfId="5506" xr:uid="{00000000-0005-0000-0000-0000B40E0000}"/>
    <cellStyle name="Normal 2 4 2 3 2 2 4 3 2" xfId="18139" xr:uid="{C1A066E3-CCAC-416B-8896-3A6D3ACF3B69}"/>
    <cellStyle name="Normal 2 4 2 3 2 2 4 4" xfId="13928" xr:uid="{0FCE1400-A444-476B-893F-55581806C639}"/>
    <cellStyle name="Normal 2 4 2 3 2 2 4 5" xfId="23178" xr:uid="{137B5003-F46D-43D0-9B61-A0FF6F70D708}"/>
    <cellStyle name="Normal 2 4 2 3 2 2 4 6" xfId="9717" xr:uid="{4C37AE36-8ABC-4B13-B153-1C17885B401E}"/>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20697" xr:uid="{F132B802-590F-4279-9E1E-A56788FEDCC4}"/>
    <cellStyle name="Normal 2 4 2 3 2 2 5 2 3" xfId="16486" xr:uid="{C50A8D4B-50EC-498D-8DB2-9C7CAD90ADAA}"/>
    <cellStyle name="Normal 2 4 2 3 2 2 5 2 4" xfId="25736" xr:uid="{55CA4DE7-9BC7-4264-8699-852736D5FB02}"/>
    <cellStyle name="Normal 2 4 2 3 2 2 5 2 5" xfId="12275" xr:uid="{CF81BE6B-53B1-4933-9027-7EAA2498D421}"/>
    <cellStyle name="Normal 2 4 2 3 2 2 5 3" xfId="5919" xr:uid="{00000000-0005-0000-0000-0000B80E0000}"/>
    <cellStyle name="Normal 2 4 2 3 2 2 5 3 2" xfId="18552" xr:uid="{840CE2FD-E166-4100-9F89-9D5E0C0B8C8D}"/>
    <cellStyle name="Normal 2 4 2 3 2 2 5 4" xfId="14341" xr:uid="{1D797CB8-F29D-46D8-91F8-144982B45ED4}"/>
    <cellStyle name="Normal 2 4 2 3 2 2 5 5" xfId="23591" xr:uid="{C17595B9-D6D9-43C3-AC67-A983BD64492F}"/>
    <cellStyle name="Normal 2 4 2 3 2 2 5 6" xfId="10130" xr:uid="{509B10E2-25C6-442D-996E-FE45E59872B5}"/>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21110" xr:uid="{B3E58EAB-A522-4F68-AA48-8D3C65BBA646}"/>
    <cellStyle name="Normal 2 4 2 3 2 2 6 2 3" xfId="16899" xr:uid="{36B7BFCC-CD82-422D-8C09-851AB5ADF8CC}"/>
    <cellStyle name="Normal 2 4 2 3 2 2 6 2 4" xfId="26149" xr:uid="{277EE03C-CECB-4BF6-AAFA-624CFCDADEED}"/>
    <cellStyle name="Normal 2 4 2 3 2 2 6 2 5" xfId="12688" xr:uid="{DFCEB08D-2AAF-4228-BBC3-159C1D98441A}"/>
    <cellStyle name="Normal 2 4 2 3 2 2 6 3" xfId="6332" xr:uid="{00000000-0005-0000-0000-0000BC0E0000}"/>
    <cellStyle name="Normal 2 4 2 3 2 2 6 3 2" xfId="18965" xr:uid="{065B0218-80E6-4F7B-808D-AE631271644D}"/>
    <cellStyle name="Normal 2 4 2 3 2 2 6 4" xfId="14754" xr:uid="{369135BC-0F06-4F10-8470-AB2973BA34FB}"/>
    <cellStyle name="Normal 2 4 2 3 2 2 6 5" xfId="24004" xr:uid="{B502699A-85D1-4B0C-8485-D12DAD0442DF}"/>
    <cellStyle name="Normal 2 4 2 3 2 2 6 6" xfId="10543" xr:uid="{11F88FBD-E621-4261-BF8B-23E61907E603}"/>
    <cellStyle name="Normal 2 4 2 3 2 2 7" xfId="2460" xr:uid="{00000000-0005-0000-0000-0000BD0E0000}"/>
    <cellStyle name="Normal 2 4 2 3 2 2 7 2" xfId="6745" xr:uid="{00000000-0005-0000-0000-0000BE0E0000}"/>
    <cellStyle name="Normal 2 4 2 3 2 2 7 2 2" xfId="19378" xr:uid="{8C708CBF-F98F-4C96-8A03-24641502FF1E}"/>
    <cellStyle name="Normal 2 4 2 3 2 2 7 3" xfId="15167" xr:uid="{4EBE5E62-508E-4DDE-B857-0FCBD8346EDD}"/>
    <cellStyle name="Normal 2 4 2 3 2 2 7 4" xfId="24417" xr:uid="{669788EB-05EB-4D86-8C4E-275DEA3F902B}"/>
    <cellStyle name="Normal 2 4 2 3 2 2 7 5" xfId="10956" xr:uid="{E69F19F1-9499-459A-982E-0FB8C128F1F0}"/>
    <cellStyle name="Normal 2 4 2 3 2 2 8" xfId="4679" xr:uid="{00000000-0005-0000-0000-0000BF0E0000}"/>
    <cellStyle name="Normal 2 4 2 3 2 2 8 2" xfId="17312" xr:uid="{C94D3D69-CAC9-4704-B4B3-70DC66226D6E}"/>
    <cellStyle name="Normal 2 4 2 3 2 2 9" xfId="21523" xr:uid="{42028952-AAD6-44ED-A77E-EAD1E4E37D2B}"/>
    <cellStyle name="Normal 2 4 2 3 2 3" xfId="285" xr:uid="{00000000-0005-0000-0000-0000C00E0000}"/>
    <cellStyle name="Normal 2 4 2 3 2 3 10" xfId="22353" xr:uid="{425C6D59-69E9-4535-A513-DD30C9F06158}"/>
    <cellStyle name="Normal 2 4 2 3 2 3 11" xfId="8892" xr:uid="{33B914B5-D7FB-4179-8ED7-8BD0AE5253AA}"/>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9873" xr:uid="{04BF6414-73B3-482E-ABFC-96E52CE82DCD}"/>
    <cellStyle name="Normal 2 4 2 3 2 3 2 2 3" xfId="15662" xr:uid="{06A45EDE-4C37-45F7-9507-CD014DA11E14}"/>
    <cellStyle name="Normal 2 4 2 3 2 3 2 2 4" xfId="24912" xr:uid="{579B3938-D773-4132-9BC0-213B40AAC670}"/>
    <cellStyle name="Normal 2 4 2 3 2 3 2 2 5" xfId="11451" xr:uid="{4F829279-0EFE-4B7D-9019-391C8F34C5FD}"/>
    <cellStyle name="Normal 2 4 2 3 2 3 2 3" xfId="5095" xr:uid="{00000000-0005-0000-0000-0000C40E0000}"/>
    <cellStyle name="Normal 2 4 2 3 2 3 2 3 2" xfId="17728" xr:uid="{F73436CD-CA60-4690-9461-69FB46A6194D}"/>
    <cellStyle name="Normal 2 4 2 3 2 3 2 4" xfId="21940" xr:uid="{4DC03B1C-E0CF-4446-B975-392B94CAF0B4}"/>
    <cellStyle name="Normal 2 4 2 3 2 3 2 5" xfId="13517" xr:uid="{12638291-370C-4A2A-B000-5B579C32E925}"/>
    <cellStyle name="Normal 2 4 2 3 2 3 2 6" xfId="22767" xr:uid="{EC4084F4-8DD1-4ED5-96F7-53719B344942}"/>
    <cellStyle name="Normal 2 4 2 3 2 3 2 7" xfId="9306" xr:uid="{B7F31129-2AC4-4B92-9829-442846A53A89}"/>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20286" xr:uid="{756433C0-F3FF-4675-A429-50657D3E380B}"/>
    <cellStyle name="Normal 2 4 2 3 2 3 3 2 3" xfId="16075" xr:uid="{BA0EECB3-6817-4527-80C7-5A515A5C26CF}"/>
    <cellStyle name="Normal 2 4 2 3 2 3 3 2 4" xfId="25325" xr:uid="{DBEEF841-B2DF-4A95-A275-C908FB8C44C9}"/>
    <cellStyle name="Normal 2 4 2 3 2 3 3 2 5" xfId="11864" xr:uid="{2519AEE1-884B-4F4C-8143-EC0E42828719}"/>
    <cellStyle name="Normal 2 4 2 3 2 3 3 3" xfId="5508" xr:uid="{00000000-0005-0000-0000-0000C80E0000}"/>
    <cellStyle name="Normal 2 4 2 3 2 3 3 3 2" xfId="18141" xr:uid="{E154C23C-C95C-467D-806A-59DEDBADEBC8}"/>
    <cellStyle name="Normal 2 4 2 3 2 3 3 4" xfId="13930" xr:uid="{83789412-52B5-49B0-987C-B85E8061B35D}"/>
    <cellStyle name="Normal 2 4 2 3 2 3 3 5" xfId="23180" xr:uid="{6CB22595-6ECE-4A71-8399-765A919FF9E7}"/>
    <cellStyle name="Normal 2 4 2 3 2 3 3 6" xfId="9719" xr:uid="{3CF59336-B213-4053-9C45-8633A98D5DDB}"/>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20699" xr:uid="{7A0055AF-75A5-471A-98EB-7B38883FD238}"/>
    <cellStyle name="Normal 2 4 2 3 2 3 4 2 3" xfId="16488" xr:uid="{96328738-8C6F-4FC9-A4FE-DB41B932A874}"/>
    <cellStyle name="Normal 2 4 2 3 2 3 4 2 4" xfId="25738" xr:uid="{EEE02499-26EF-4C83-9DDF-A6D25498B8A2}"/>
    <cellStyle name="Normal 2 4 2 3 2 3 4 2 5" xfId="12277" xr:uid="{6C212A8D-8AC4-4B70-A761-F210310B3043}"/>
    <cellStyle name="Normal 2 4 2 3 2 3 4 3" xfId="5921" xr:uid="{00000000-0005-0000-0000-0000CC0E0000}"/>
    <cellStyle name="Normal 2 4 2 3 2 3 4 3 2" xfId="18554" xr:uid="{6DC2DBF6-9DE6-46DD-99D7-82E8DFC32EAB}"/>
    <cellStyle name="Normal 2 4 2 3 2 3 4 4" xfId="14343" xr:uid="{BF80A8CD-485C-4208-B1D9-D64D8361F1B7}"/>
    <cellStyle name="Normal 2 4 2 3 2 3 4 5" xfId="23593" xr:uid="{1953E9B6-237D-40C5-BC7F-E9DA7031FC0C}"/>
    <cellStyle name="Normal 2 4 2 3 2 3 4 6" xfId="10132" xr:uid="{560D98D6-7D9D-419A-A11E-4EDA11684458}"/>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21112" xr:uid="{16D51B9E-5E9B-4A93-9B44-FF63191FE890}"/>
    <cellStyle name="Normal 2 4 2 3 2 3 5 2 3" xfId="16901" xr:uid="{05ABFDD4-C189-41D0-85D3-CC61B50A9613}"/>
    <cellStyle name="Normal 2 4 2 3 2 3 5 2 4" xfId="26151" xr:uid="{08E8B7B3-81EB-447B-AD08-42A79775B035}"/>
    <cellStyle name="Normal 2 4 2 3 2 3 5 2 5" xfId="12690" xr:uid="{9585EB10-8A52-4AAB-808D-F5C353D7FA36}"/>
    <cellStyle name="Normal 2 4 2 3 2 3 5 3" xfId="6334" xr:uid="{00000000-0005-0000-0000-0000D00E0000}"/>
    <cellStyle name="Normal 2 4 2 3 2 3 5 3 2" xfId="18967" xr:uid="{9AB33FC4-6A3B-4A71-9296-8B25C6992350}"/>
    <cellStyle name="Normal 2 4 2 3 2 3 5 4" xfId="14756" xr:uid="{FF9028A6-4C2E-4349-A61D-C783E4C57C0F}"/>
    <cellStyle name="Normal 2 4 2 3 2 3 5 5" xfId="24006" xr:uid="{F8FF9A39-26A6-4BEA-A3EB-8AB5638B0FD0}"/>
    <cellStyle name="Normal 2 4 2 3 2 3 5 6" xfId="10545" xr:uid="{C77E13D9-FB57-44F2-B9B9-A9749A9EA8E8}"/>
    <cellStyle name="Normal 2 4 2 3 2 3 6" xfId="2462" xr:uid="{00000000-0005-0000-0000-0000D10E0000}"/>
    <cellStyle name="Normal 2 4 2 3 2 3 6 2" xfId="6747" xr:uid="{00000000-0005-0000-0000-0000D20E0000}"/>
    <cellStyle name="Normal 2 4 2 3 2 3 6 2 2" xfId="19380" xr:uid="{A9F06212-CFB3-49F6-940A-A32490FABFC0}"/>
    <cellStyle name="Normal 2 4 2 3 2 3 6 3" xfId="15169" xr:uid="{09263CA6-C61C-4943-A35C-A0A1C9F93868}"/>
    <cellStyle name="Normal 2 4 2 3 2 3 6 4" xfId="24419" xr:uid="{0DBE04A0-144F-417C-9466-48E770E02DE6}"/>
    <cellStyle name="Normal 2 4 2 3 2 3 6 5" xfId="10958" xr:uid="{6EB988CC-D76A-4A85-8336-9FD88AA4F3BF}"/>
    <cellStyle name="Normal 2 4 2 3 2 3 7" xfId="4681" xr:uid="{00000000-0005-0000-0000-0000D30E0000}"/>
    <cellStyle name="Normal 2 4 2 3 2 3 7 2" xfId="17314" xr:uid="{E688A01B-6128-4A5A-9139-A43C0878D813}"/>
    <cellStyle name="Normal 2 4 2 3 2 3 8" xfId="21525" xr:uid="{3D23E831-9D27-4347-8F1D-4D5217DE1254}"/>
    <cellStyle name="Normal 2 4 2 3 2 3 9" xfId="13103" xr:uid="{85EE585A-3868-4546-A5D8-33A156258BA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9870" xr:uid="{D7B197E9-A270-4DA4-B914-B6876A629A51}"/>
    <cellStyle name="Normal 2 4 2 3 2 4 2 3" xfId="15659" xr:uid="{B7B23F2F-DB1F-446A-A756-9F5636FBE0D4}"/>
    <cellStyle name="Normal 2 4 2 3 2 4 2 4" xfId="24909" xr:uid="{30A83583-9F0C-4FE8-B4D8-5EBA550A7DA4}"/>
    <cellStyle name="Normal 2 4 2 3 2 4 2 5" xfId="11448" xr:uid="{0EC8FFC5-BB32-4231-A22C-508CD01C3A20}"/>
    <cellStyle name="Normal 2 4 2 3 2 4 3" xfId="5092" xr:uid="{00000000-0005-0000-0000-0000D70E0000}"/>
    <cellStyle name="Normal 2 4 2 3 2 4 3 2" xfId="17725" xr:uid="{6247E998-2C24-4A9C-8017-E270362453CD}"/>
    <cellStyle name="Normal 2 4 2 3 2 4 4" xfId="21937" xr:uid="{F9FA864C-0C75-4339-BEE7-E5CB3CD164AB}"/>
    <cellStyle name="Normal 2 4 2 3 2 4 5" xfId="13514" xr:uid="{B6D99F14-E621-4845-A22E-43FB4D53E5A3}"/>
    <cellStyle name="Normal 2 4 2 3 2 4 6" xfId="22764" xr:uid="{9EC4DB8B-517B-4CEF-975B-471A9A238840}"/>
    <cellStyle name="Normal 2 4 2 3 2 4 7" xfId="9303" xr:uid="{B6582E65-2C28-4CB4-B7CF-9DCDB6CE5F3E}"/>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20283" xr:uid="{E576A4BC-0218-4094-8022-3EB57C7B6128}"/>
    <cellStyle name="Normal 2 4 2 3 2 5 2 3" xfId="16072" xr:uid="{0020B92A-DE0B-4EFA-8FEA-BD30F9252A18}"/>
    <cellStyle name="Normal 2 4 2 3 2 5 2 4" xfId="25322" xr:uid="{DBA1ADE9-00D7-4FFE-B66F-743F28D08D45}"/>
    <cellStyle name="Normal 2 4 2 3 2 5 2 5" xfId="11861" xr:uid="{3272F6EF-A6E0-4348-970E-1E5DE241324E}"/>
    <cellStyle name="Normal 2 4 2 3 2 5 3" xfId="5505" xr:uid="{00000000-0005-0000-0000-0000DB0E0000}"/>
    <cellStyle name="Normal 2 4 2 3 2 5 3 2" xfId="18138" xr:uid="{D3C54F34-5CD0-4140-9455-2FD4ADFB58EB}"/>
    <cellStyle name="Normal 2 4 2 3 2 5 4" xfId="13927" xr:uid="{2C2ED24D-36F0-417D-AB2E-B12839A74DB4}"/>
    <cellStyle name="Normal 2 4 2 3 2 5 5" xfId="23177" xr:uid="{E8640200-3D84-400D-88A0-777CFE26509B}"/>
    <cellStyle name="Normal 2 4 2 3 2 5 6" xfId="9716" xr:uid="{CD6D7C50-553A-4D09-8C01-DD7E72AC032D}"/>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20696" xr:uid="{D7B11142-A772-4B2A-B2B4-4E4CD38EBE52}"/>
    <cellStyle name="Normal 2 4 2 3 2 6 2 3" xfId="16485" xr:uid="{B3D98171-62CD-417C-86D1-E157EC5BD69A}"/>
    <cellStyle name="Normal 2 4 2 3 2 6 2 4" xfId="25735" xr:uid="{2F75ADBD-7389-46D8-AEB3-D6C60A0EFEA8}"/>
    <cellStyle name="Normal 2 4 2 3 2 6 2 5" xfId="12274" xr:uid="{E051E586-9408-4D1C-88D4-F20E6440F65C}"/>
    <cellStyle name="Normal 2 4 2 3 2 6 3" xfId="5918" xr:uid="{00000000-0005-0000-0000-0000DF0E0000}"/>
    <cellStyle name="Normal 2 4 2 3 2 6 3 2" xfId="18551" xr:uid="{A8A95E74-0FF4-435E-8A7A-99EC93408D10}"/>
    <cellStyle name="Normal 2 4 2 3 2 6 4" xfId="14340" xr:uid="{4395D2F0-47BC-4900-9047-B73B3930100C}"/>
    <cellStyle name="Normal 2 4 2 3 2 6 5" xfId="23590" xr:uid="{05782705-510C-4F38-B101-6EF0D3C5A288}"/>
    <cellStyle name="Normal 2 4 2 3 2 6 6" xfId="10129" xr:uid="{9F50FA87-2743-49CC-9A81-D0F702878DFD}"/>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21109" xr:uid="{85B11A80-9AD8-4299-84E6-E6BD61DB0513}"/>
    <cellStyle name="Normal 2 4 2 3 2 7 2 3" xfId="16898" xr:uid="{AA06466B-90D6-4AB9-BEDD-8F47ABA88329}"/>
    <cellStyle name="Normal 2 4 2 3 2 7 2 4" xfId="26148" xr:uid="{C9B0BE40-5AF7-4050-AF7C-22934C900962}"/>
    <cellStyle name="Normal 2 4 2 3 2 7 2 5" xfId="12687" xr:uid="{57044094-26E0-4D0B-8418-7D7FE15743ED}"/>
    <cellStyle name="Normal 2 4 2 3 2 7 3" xfId="6331" xr:uid="{00000000-0005-0000-0000-0000E30E0000}"/>
    <cellStyle name="Normal 2 4 2 3 2 7 3 2" xfId="18964" xr:uid="{9B609DB8-1F5E-4958-A7CD-FA6BB5F7CF18}"/>
    <cellStyle name="Normal 2 4 2 3 2 7 4" xfId="14753" xr:uid="{063CCF7B-873E-4FB2-8060-FFACE8253BD8}"/>
    <cellStyle name="Normal 2 4 2 3 2 7 5" xfId="24003" xr:uid="{C0194E62-AE74-4915-8696-2D4EB98C3B6F}"/>
    <cellStyle name="Normal 2 4 2 3 2 7 6" xfId="10542" xr:uid="{E2EA6BB0-5D6D-4E87-AC88-2C48EB46DA23}"/>
    <cellStyle name="Normal 2 4 2 3 2 8" xfId="2459" xr:uid="{00000000-0005-0000-0000-0000E40E0000}"/>
    <cellStyle name="Normal 2 4 2 3 2 8 2" xfId="6744" xr:uid="{00000000-0005-0000-0000-0000E50E0000}"/>
    <cellStyle name="Normal 2 4 2 3 2 8 2 2" xfId="19377" xr:uid="{FBC31F3D-F946-43EF-83BC-E34BB6C9AD70}"/>
    <cellStyle name="Normal 2 4 2 3 2 8 3" xfId="15166" xr:uid="{120C0EBB-EC6E-4D9D-A1EE-E377DAD2E196}"/>
    <cellStyle name="Normal 2 4 2 3 2 8 4" xfId="24416" xr:uid="{00E5FB5B-F28A-4A9A-9370-D3950EA0831E}"/>
    <cellStyle name="Normal 2 4 2 3 2 8 5" xfId="10955" xr:uid="{0EDAE0B3-3624-4345-8135-6D4510E4F79D}"/>
    <cellStyle name="Normal 2 4 2 3 2 9" xfId="4678" xr:uid="{00000000-0005-0000-0000-0000E60E0000}"/>
    <cellStyle name="Normal 2 4 2 3 2 9 2" xfId="17311" xr:uid="{24C03988-F1F4-44BE-87DB-82B41B99D982}"/>
    <cellStyle name="Normal 2 4 2 3 3" xfId="286" xr:uid="{00000000-0005-0000-0000-0000E70E0000}"/>
    <cellStyle name="Normal 2 4 2 3 3 10" xfId="13104" xr:uid="{1EEE78DA-DE63-4416-A914-2DA74B885148}"/>
    <cellStyle name="Normal 2 4 2 3 3 11" xfId="22354" xr:uid="{B10DBCE4-162E-4738-8469-3826EAFF7112}"/>
    <cellStyle name="Normal 2 4 2 3 3 12" xfId="8893" xr:uid="{7E287DB6-0C3C-4B7B-8E50-5EE5BA0AFDB6}"/>
    <cellStyle name="Normal 2 4 2 3 3 2" xfId="287" xr:uid="{00000000-0005-0000-0000-0000E80E0000}"/>
    <cellStyle name="Normal 2 4 2 3 3 2 10" xfId="22355" xr:uid="{9D32532D-8508-4CFF-BCFA-89F4359587C0}"/>
    <cellStyle name="Normal 2 4 2 3 3 2 11" xfId="8894" xr:uid="{CA98A0E7-7C8C-4882-AFFA-96922876A207}"/>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9875" xr:uid="{DA2BBD9C-8EE3-4E4B-B953-62FDC9882089}"/>
    <cellStyle name="Normal 2 4 2 3 3 2 2 2 3" xfId="15664" xr:uid="{C5C72388-335F-432C-ADC4-D219F922C9FE}"/>
    <cellStyle name="Normal 2 4 2 3 3 2 2 2 4" xfId="24914" xr:uid="{19DE312D-2CC2-440C-8B9D-097F10959732}"/>
    <cellStyle name="Normal 2 4 2 3 3 2 2 2 5" xfId="11453" xr:uid="{74F01181-C7E5-432D-8F53-6A24209A37DF}"/>
    <cellStyle name="Normal 2 4 2 3 3 2 2 3" xfId="5097" xr:uid="{00000000-0005-0000-0000-0000EC0E0000}"/>
    <cellStyle name="Normal 2 4 2 3 3 2 2 3 2" xfId="17730" xr:uid="{5E13BEC2-6730-49B2-A9BE-1EFF2C2F391E}"/>
    <cellStyle name="Normal 2 4 2 3 3 2 2 4" xfId="21942" xr:uid="{E8140AF8-0AA7-494F-BD21-5346E101CD10}"/>
    <cellStyle name="Normal 2 4 2 3 3 2 2 5" xfId="13519" xr:uid="{63CB95C2-DAE2-43B0-9A51-3532D9CE6C39}"/>
    <cellStyle name="Normal 2 4 2 3 3 2 2 6" xfId="22769" xr:uid="{257DE277-5C32-4ECB-B146-B7C92465BBA1}"/>
    <cellStyle name="Normal 2 4 2 3 3 2 2 7" xfId="9308" xr:uid="{125CE082-2084-4C2F-9FE7-BF8B09318BCB}"/>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20288" xr:uid="{7284C588-43A2-40B5-B24B-12C2AF981CCD}"/>
    <cellStyle name="Normal 2 4 2 3 3 2 3 2 3" xfId="16077" xr:uid="{91E411C0-83FA-4B92-AE26-420C334A6B23}"/>
    <cellStyle name="Normal 2 4 2 3 3 2 3 2 4" xfId="25327" xr:uid="{B796CEC7-9A65-49C9-A2E3-48D6E52ECFEB}"/>
    <cellStyle name="Normal 2 4 2 3 3 2 3 2 5" xfId="11866" xr:uid="{E2613373-83E8-4480-9D25-732B57A0E8F3}"/>
    <cellStyle name="Normal 2 4 2 3 3 2 3 3" xfId="5510" xr:uid="{00000000-0005-0000-0000-0000F00E0000}"/>
    <cellStyle name="Normal 2 4 2 3 3 2 3 3 2" xfId="18143" xr:uid="{2B6641B5-535A-4CB6-8493-1A4A73A6763A}"/>
    <cellStyle name="Normal 2 4 2 3 3 2 3 4" xfId="13932" xr:uid="{9B291516-9B73-4CFF-A4DE-86A7C34BA8A5}"/>
    <cellStyle name="Normal 2 4 2 3 3 2 3 5" xfId="23182" xr:uid="{1191B4C6-6DEF-4F0E-BC55-0F0D2316F759}"/>
    <cellStyle name="Normal 2 4 2 3 3 2 3 6" xfId="9721" xr:uid="{EC6DF158-7A95-4B5F-991F-5B22DEC2367B}"/>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20701" xr:uid="{D82CC8B5-0284-4B8F-ABC6-569C656FD07A}"/>
    <cellStyle name="Normal 2 4 2 3 3 2 4 2 3" xfId="16490" xr:uid="{005F9BD8-0888-41C7-9749-5178B74329E4}"/>
    <cellStyle name="Normal 2 4 2 3 3 2 4 2 4" xfId="25740" xr:uid="{8B8E8AEE-1CB3-4141-8CC3-183C9DA95657}"/>
    <cellStyle name="Normal 2 4 2 3 3 2 4 2 5" xfId="12279" xr:uid="{4AE1FEA0-CC1B-4C29-8DF4-EA94D007BF11}"/>
    <cellStyle name="Normal 2 4 2 3 3 2 4 3" xfId="5923" xr:uid="{00000000-0005-0000-0000-0000F40E0000}"/>
    <cellStyle name="Normal 2 4 2 3 3 2 4 3 2" xfId="18556" xr:uid="{6FDB17BA-4BBC-4F1B-9C4D-43175F0795C2}"/>
    <cellStyle name="Normal 2 4 2 3 3 2 4 4" xfId="14345" xr:uid="{97028A8C-C697-4B86-BFFC-54815C0170E9}"/>
    <cellStyle name="Normal 2 4 2 3 3 2 4 5" xfId="23595" xr:uid="{22F1C014-2324-4077-8490-3474B84DCC41}"/>
    <cellStyle name="Normal 2 4 2 3 3 2 4 6" xfId="10134" xr:uid="{7E79AA6C-64D9-4645-93C5-AE2D3AD0BC87}"/>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21114" xr:uid="{200B7CC9-8E29-4C61-84C8-9060FBB5A029}"/>
    <cellStyle name="Normal 2 4 2 3 3 2 5 2 3" xfId="16903" xr:uid="{B40C02E9-45F8-4A89-8E72-B2E636B8FD82}"/>
    <cellStyle name="Normal 2 4 2 3 3 2 5 2 4" xfId="26153" xr:uid="{EC73D13D-DE62-438A-A65B-3313C733F0BD}"/>
    <cellStyle name="Normal 2 4 2 3 3 2 5 2 5" xfId="12692" xr:uid="{ABB6B3CD-3816-4921-8E75-21F97966D723}"/>
    <cellStyle name="Normal 2 4 2 3 3 2 5 3" xfId="6336" xr:uid="{00000000-0005-0000-0000-0000F80E0000}"/>
    <cellStyle name="Normal 2 4 2 3 3 2 5 3 2" xfId="18969" xr:uid="{B2D92C12-F24B-4931-A867-2C55EA8E8681}"/>
    <cellStyle name="Normal 2 4 2 3 3 2 5 4" xfId="14758" xr:uid="{9DAC5A0B-D491-4182-9829-5A0188CA7951}"/>
    <cellStyle name="Normal 2 4 2 3 3 2 5 5" xfId="24008" xr:uid="{9055A991-22A6-4457-B7F7-62493EDCD173}"/>
    <cellStyle name="Normal 2 4 2 3 3 2 5 6" xfId="10547" xr:uid="{70FEFE6E-AB66-4FE2-AF32-E6D417EC52AE}"/>
    <cellStyle name="Normal 2 4 2 3 3 2 6" xfId="2464" xr:uid="{00000000-0005-0000-0000-0000F90E0000}"/>
    <cellStyle name="Normal 2 4 2 3 3 2 6 2" xfId="6749" xr:uid="{00000000-0005-0000-0000-0000FA0E0000}"/>
    <cellStyle name="Normal 2 4 2 3 3 2 6 2 2" xfId="19382" xr:uid="{A70C1AF6-0D2F-4892-974C-58D9079729E0}"/>
    <cellStyle name="Normal 2 4 2 3 3 2 6 3" xfId="15171" xr:uid="{A11CBE27-BD64-42C2-AFB9-08BAA43979B0}"/>
    <cellStyle name="Normal 2 4 2 3 3 2 6 4" xfId="24421" xr:uid="{20309998-EA40-4A80-B1FB-9D8B8A6AD02D}"/>
    <cellStyle name="Normal 2 4 2 3 3 2 6 5" xfId="10960" xr:uid="{31F578E3-8C0E-46FB-84BA-722428D70E67}"/>
    <cellStyle name="Normal 2 4 2 3 3 2 7" xfId="4683" xr:uid="{00000000-0005-0000-0000-0000FB0E0000}"/>
    <cellStyle name="Normal 2 4 2 3 3 2 7 2" xfId="17316" xr:uid="{25C83692-DA95-4AD5-A0C7-0AC90C2C37EA}"/>
    <cellStyle name="Normal 2 4 2 3 3 2 8" xfId="21527" xr:uid="{4EBB4423-ABC7-4B95-99A2-4339900A9C83}"/>
    <cellStyle name="Normal 2 4 2 3 3 2 9" xfId="13105" xr:uid="{6AECBC56-F859-49CB-9DDF-CDA3EB2B6AA6}"/>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9874" xr:uid="{32530F8B-A3E2-489F-BCB3-3589D38A013A}"/>
    <cellStyle name="Normal 2 4 2 3 3 3 2 3" xfId="15663" xr:uid="{C872FF23-32B9-4168-BC88-82F5EED956BC}"/>
    <cellStyle name="Normal 2 4 2 3 3 3 2 4" xfId="24913" xr:uid="{3F991C3E-2032-44E5-B951-232C68B82522}"/>
    <cellStyle name="Normal 2 4 2 3 3 3 2 5" xfId="11452" xr:uid="{F43A9E05-57CD-44FE-A119-A43ADBBCBA2A}"/>
    <cellStyle name="Normal 2 4 2 3 3 3 3" xfId="5096" xr:uid="{00000000-0005-0000-0000-0000FF0E0000}"/>
    <cellStyle name="Normal 2 4 2 3 3 3 3 2" xfId="17729" xr:uid="{68077268-B068-42A5-8B64-0707A6C09126}"/>
    <cellStyle name="Normal 2 4 2 3 3 3 4" xfId="21941" xr:uid="{70C5CDA4-6DC6-4159-B15A-68AEBDFA8F0F}"/>
    <cellStyle name="Normal 2 4 2 3 3 3 5" xfId="13518" xr:uid="{E1F7D48A-04E7-4CEA-9FDC-EC1B4D47B230}"/>
    <cellStyle name="Normal 2 4 2 3 3 3 6" xfId="22768" xr:uid="{DBD0409D-5F25-44E4-ABB5-CB8B57614B2E}"/>
    <cellStyle name="Normal 2 4 2 3 3 3 7" xfId="9307" xr:uid="{4A2A8D48-3C81-4BC0-BA10-278C7FF57FF3}"/>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20287" xr:uid="{00FE86A4-E538-40D1-8125-3537F04608C5}"/>
    <cellStyle name="Normal 2 4 2 3 3 4 2 3" xfId="16076" xr:uid="{551E979C-D91C-4510-9170-125B154585F5}"/>
    <cellStyle name="Normal 2 4 2 3 3 4 2 4" xfId="25326" xr:uid="{85B1B3FE-2A77-418B-B73F-5A04256ECED1}"/>
    <cellStyle name="Normal 2 4 2 3 3 4 2 5" xfId="11865" xr:uid="{01F2478F-71A0-4602-BC24-FB636020D2C1}"/>
    <cellStyle name="Normal 2 4 2 3 3 4 3" xfId="5509" xr:uid="{00000000-0005-0000-0000-0000030F0000}"/>
    <cellStyle name="Normal 2 4 2 3 3 4 3 2" xfId="18142" xr:uid="{4A412CDE-300F-4A72-BF1F-861CBD707423}"/>
    <cellStyle name="Normal 2 4 2 3 3 4 4" xfId="13931" xr:uid="{6221D3D8-5955-42FC-BA63-B29A4DD82FF4}"/>
    <cellStyle name="Normal 2 4 2 3 3 4 5" xfId="23181" xr:uid="{537564FC-C885-4E3D-BF56-A835B2019EB1}"/>
    <cellStyle name="Normal 2 4 2 3 3 4 6" xfId="9720" xr:uid="{FB688821-F206-4C37-AA99-0CB609476E27}"/>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20700" xr:uid="{EF87F319-2EB1-482C-8710-D9B474E51F4D}"/>
    <cellStyle name="Normal 2 4 2 3 3 5 2 3" xfId="16489" xr:uid="{A5EBE1A1-20BC-48E3-85E8-CDAEA891EA95}"/>
    <cellStyle name="Normal 2 4 2 3 3 5 2 4" xfId="25739" xr:uid="{3A9322B6-F7B0-4B05-9070-2B50425E56EE}"/>
    <cellStyle name="Normal 2 4 2 3 3 5 2 5" xfId="12278" xr:uid="{A2436B18-B558-4814-BD36-32295DF26465}"/>
    <cellStyle name="Normal 2 4 2 3 3 5 3" xfId="5922" xr:uid="{00000000-0005-0000-0000-0000070F0000}"/>
    <cellStyle name="Normal 2 4 2 3 3 5 3 2" xfId="18555" xr:uid="{77F8854F-2E4B-4693-A700-D771F48509CF}"/>
    <cellStyle name="Normal 2 4 2 3 3 5 4" xfId="14344" xr:uid="{04878236-70D8-4816-871D-D09EC7D73FC3}"/>
    <cellStyle name="Normal 2 4 2 3 3 5 5" xfId="23594" xr:uid="{24DEDC03-8DB4-4A0A-99DC-BDC666EEA751}"/>
    <cellStyle name="Normal 2 4 2 3 3 5 6" xfId="10133" xr:uid="{272A5282-2E3A-413C-89F9-CB8F0122C047}"/>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21113" xr:uid="{504FA4BE-9D2E-42A0-9374-3B813974510F}"/>
    <cellStyle name="Normal 2 4 2 3 3 6 2 3" xfId="16902" xr:uid="{724535B5-49AC-47E3-BEFE-82740762408D}"/>
    <cellStyle name="Normal 2 4 2 3 3 6 2 4" xfId="26152" xr:uid="{53110BFA-41C0-4D6C-8D8A-3E49AFDDEEA9}"/>
    <cellStyle name="Normal 2 4 2 3 3 6 2 5" xfId="12691" xr:uid="{669F0AD7-DEB1-4B4E-971E-5C5F47578FCB}"/>
    <cellStyle name="Normal 2 4 2 3 3 6 3" xfId="6335" xr:uid="{00000000-0005-0000-0000-00000B0F0000}"/>
    <cellStyle name="Normal 2 4 2 3 3 6 3 2" xfId="18968" xr:uid="{B77E6F7B-2279-4268-B2B6-7BFB70E46645}"/>
    <cellStyle name="Normal 2 4 2 3 3 6 4" xfId="14757" xr:uid="{3E727ACD-0195-4467-815D-2423BBDD936D}"/>
    <cellStyle name="Normal 2 4 2 3 3 6 5" xfId="24007" xr:uid="{C106E085-1269-461E-8F7D-3761A44855B4}"/>
    <cellStyle name="Normal 2 4 2 3 3 6 6" xfId="10546" xr:uid="{2592F2FF-CD88-46EE-93D7-0B4C23CA8CD8}"/>
    <cellStyle name="Normal 2 4 2 3 3 7" xfId="2463" xr:uid="{00000000-0005-0000-0000-00000C0F0000}"/>
    <cellStyle name="Normal 2 4 2 3 3 7 2" xfId="6748" xr:uid="{00000000-0005-0000-0000-00000D0F0000}"/>
    <cellStyle name="Normal 2 4 2 3 3 7 2 2" xfId="19381" xr:uid="{C8064073-EE15-44DF-8AE3-6C609CCF6616}"/>
    <cellStyle name="Normal 2 4 2 3 3 7 3" xfId="15170" xr:uid="{05623E3F-C179-4E51-A8F9-8E4B11C33F45}"/>
    <cellStyle name="Normal 2 4 2 3 3 7 4" xfId="24420" xr:uid="{7DE8F111-1DA6-45E9-B204-8CB09C640CF7}"/>
    <cellStyle name="Normal 2 4 2 3 3 7 5" xfId="10959" xr:uid="{63FA9095-4808-438B-AE2F-A9A75F485FB9}"/>
    <cellStyle name="Normal 2 4 2 3 3 8" xfId="4682" xr:uid="{00000000-0005-0000-0000-00000E0F0000}"/>
    <cellStyle name="Normal 2 4 2 3 3 8 2" xfId="17315" xr:uid="{CD864096-F3BB-433D-A9D3-0E372D6D846C}"/>
    <cellStyle name="Normal 2 4 2 3 3 9" xfId="21526" xr:uid="{247382B9-D7FA-4F89-8BA5-A8EDB99F5CF5}"/>
    <cellStyle name="Normal 2 4 2 3 4" xfId="288" xr:uid="{00000000-0005-0000-0000-00000F0F0000}"/>
    <cellStyle name="Normal 2 4 2 3 4 10" xfId="22356" xr:uid="{AE44C997-C289-471B-8FC4-75C20CCB0CF8}"/>
    <cellStyle name="Normal 2 4 2 3 4 11" xfId="8895" xr:uid="{011EF551-026D-4A94-9745-54C6FEED4149}"/>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9876" xr:uid="{12BB43E8-4903-41A5-84F4-94C8202C65E3}"/>
    <cellStyle name="Normal 2 4 2 3 4 2 2 3" xfId="15665" xr:uid="{D8DAB6CF-C271-4180-A0E4-278E077B5323}"/>
    <cellStyle name="Normal 2 4 2 3 4 2 2 4" xfId="24915" xr:uid="{4D7E9E67-E61E-489D-8BEB-FFE07512BD19}"/>
    <cellStyle name="Normal 2 4 2 3 4 2 2 5" xfId="11454" xr:uid="{01D606DE-B39C-4BD7-A959-38A6D922D56F}"/>
    <cellStyle name="Normal 2 4 2 3 4 2 3" xfId="5098" xr:uid="{00000000-0005-0000-0000-0000130F0000}"/>
    <cellStyle name="Normal 2 4 2 3 4 2 3 2" xfId="17731" xr:uid="{02CA12D8-B67E-4AA3-B058-AAC5C3CADCBA}"/>
    <cellStyle name="Normal 2 4 2 3 4 2 4" xfId="21943" xr:uid="{925FF2FF-A16A-45D5-926B-EDE7411793B8}"/>
    <cellStyle name="Normal 2 4 2 3 4 2 5" xfId="13520" xr:uid="{680DA169-3688-4952-A96C-8D5291F559E6}"/>
    <cellStyle name="Normal 2 4 2 3 4 2 6" xfId="22770" xr:uid="{94CAF7C2-05A2-4D3E-9BDF-EF9ED65C4495}"/>
    <cellStyle name="Normal 2 4 2 3 4 2 7" xfId="9309" xr:uid="{D3F55110-4BF1-409D-B795-98D28FC4FF0D}"/>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20289" xr:uid="{B1308DCC-6D9E-4A4F-8DF1-EA30CE0973A0}"/>
    <cellStyle name="Normal 2 4 2 3 4 3 2 3" xfId="16078" xr:uid="{BA7EBEB3-BEE0-4155-8108-4780B84388CE}"/>
    <cellStyle name="Normal 2 4 2 3 4 3 2 4" xfId="25328" xr:uid="{1D6BBF1E-A415-4B58-B169-62CE786EAC69}"/>
    <cellStyle name="Normal 2 4 2 3 4 3 2 5" xfId="11867" xr:uid="{A00130E2-61D7-4F40-BD81-FC383A9708AD}"/>
    <cellStyle name="Normal 2 4 2 3 4 3 3" xfId="5511" xr:uid="{00000000-0005-0000-0000-0000170F0000}"/>
    <cellStyle name="Normal 2 4 2 3 4 3 3 2" xfId="18144" xr:uid="{720035D9-196C-48B1-A38F-DD33DB48FDCE}"/>
    <cellStyle name="Normal 2 4 2 3 4 3 4" xfId="13933" xr:uid="{31C8E461-B673-408A-B195-6B5487662808}"/>
    <cellStyle name="Normal 2 4 2 3 4 3 5" xfId="23183" xr:uid="{A5128510-CFEE-4FD3-9DEB-4B3BE0A748FA}"/>
    <cellStyle name="Normal 2 4 2 3 4 3 6" xfId="9722" xr:uid="{9730273B-BDD0-4C4E-BD50-7470A025CF55}"/>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20702" xr:uid="{185EEE83-9928-43D7-AE99-024494EED07C}"/>
    <cellStyle name="Normal 2 4 2 3 4 4 2 3" xfId="16491" xr:uid="{F808D9FB-2EEF-4975-91B3-8F59B3364717}"/>
    <cellStyle name="Normal 2 4 2 3 4 4 2 4" xfId="25741" xr:uid="{254D8641-1D38-48BF-8327-0DD015159707}"/>
    <cellStyle name="Normal 2 4 2 3 4 4 2 5" xfId="12280" xr:uid="{6306562F-4455-4039-A6B8-F5D8E986EDA1}"/>
    <cellStyle name="Normal 2 4 2 3 4 4 3" xfId="5924" xr:uid="{00000000-0005-0000-0000-00001B0F0000}"/>
    <cellStyle name="Normal 2 4 2 3 4 4 3 2" xfId="18557" xr:uid="{2239DFB4-6B65-4B64-A227-6BC717B8217E}"/>
    <cellStyle name="Normal 2 4 2 3 4 4 4" xfId="14346" xr:uid="{4FD67F59-9521-484A-BE0A-08C5F0234615}"/>
    <cellStyle name="Normal 2 4 2 3 4 4 5" xfId="23596" xr:uid="{F8B9FB6B-7D6B-43F3-B267-1FEAEB819E91}"/>
    <cellStyle name="Normal 2 4 2 3 4 4 6" xfId="10135" xr:uid="{1F908F0E-21F2-4878-8340-62ABE4929715}"/>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21115" xr:uid="{C9F11B2D-1999-4898-88BA-475D02E1E8A8}"/>
    <cellStyle name="Normal 2 4 2 3 4 5 2 3" xfId="16904" xr:uid="{EC21F1EC-A929-47C8-A075-252167A9E0E4}"/>
    <cellStyle name="Normal 2 4 2 3 4 5 2 4" xfId="26154" xr:uid="{DD5BA1C4-A7C5-46D3-8A80-62A0A881C621}"/>
    <cellStyle name="Normal 2 4 2 3 4 5 2 5" xfId="12693" xr:uid="{6221CE89-7321-42FF-8AB9-7D550565C79D}"/>
    <cellStyle name="Normal 2 4 2 3 4 5 3" xfId="6337" xr:uid="{00000000-0005-0000-0000-00001F0F0000}"/>
    <cellStyle name="Normal 2 4 2 3 4 5 3 2" xfId="18970" xr:uid="{E8092C59-B4EF-44D4-AC42-4E7D679C6B4B}"/>
    <cellStyle name="Normal 2 4 2 3 4 5 4" xfId="14759" xr:uid="{1831C806-47F3-4291-984F-D2D9113992BF}"/>
    <cellStyle name="Normal 2 4 2 3 4 5 5" xfId="24009" xr:uid="{ED1F2182-9178-48D5-B953-E80450AF4E66}"/>
    <cellStyle name="Normal 2 4 2 3 4 5 6" xfId="10548" xr:uid="{C55A5D83-ED83-4023-82EB-59566BC82150}"/>
    <cellStyle name="Normal 2 4 2 3 4 6" xfId="2465" xr:uid="{00000000-0005-0000-0000-0000200F0000}"/>
    <cellStyle name="Normal 2 4 2 3 4 6 2" xfId="6750" xr:uid="{00000000-0005-0000-0000-0000210F0000}"/>
    <cellStyle name="Normal 2 4 2 3 4 6 2 2" xfId="19383" xr:uid="{49C61476-AFE2-4102-A323-4C948B51EB9F}"/>
    <cellStyle name="Normal 2 4 2 3 4 6 3" xfId="15172" xr:uid="{3DAAC80D-3299-4B9B-873E-7113CB34496F}"/>
    <cellStyle name="Normal 2 4 2 3 4 6 4" xfId="24422" xr:uid="{60DB00AA-59FF-49F6-B423-56F205451F3A}"/>
    <cellStyle name="Normal 2 4 2 3 4 6 5" xfId="10961" xr:uid="{CE6658B3-2BD2-433D-B76E-1F4864D0C810}"/>
    <cellStyle name="Normal 2 4 2 3 4 7" xfId="4684" xr:uid="{00000000-0005-0000-0000-0000220F0000}"/>
    <cellStyle name="Normal 2 4 2 3 4 7 2" xfId="17317" xr:uid="{DA745E4A-517F-4B52-A56A-31B66484DB24}"/>
    <cellStyle name="Normal 2 4 2 3 4 8" xfId="21528" xr:uid="{EF3D9EB2-967D-4DF7-9704-FBF2983FB686}"/>
    <cellStyle name="Normal 2 4 2 3 4 9" xfId="13106" xr:uid="{1BD536A0-1FEA-4D74-9040-FCCEE5840AA0}"/>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9869" xr:uid="{883BE893-FF29-4B7C-9DEF-CD4FAC4164E1}"/>
    <cellStyle name="Normal 2 4 2 3 5 2 3" xfId="15658" xr:uid="{614989A6-A136-445F-B28C-0328C77467A6}"/>
    <cellStyle name="Normal 2 4 2 3 5 2 4" xfId="24908" xr:uid="{23ECC92A-45E6-48F5-A84A-89F457CA6140}"/>
    <cellStyle name="Normal 2 4 2 3 5 2 5" xfId="11447" xr:uid="{ACA3CDC9-2906-4FA9-928F-6F40AEE54B2E}"/>
    <cellStyle name="Normal 2 4 2 3 5 3" xfId="5091" xr:uid="{00000000-0005-0000-0000-0000260F0000}"/>
    <cellStyle name="Normal 2 4 2 3 5 3 2" xfId="17724" xr:uid="{CFC53E8A-CE2C-45D2-8FBA-0C41585AB88C}"/>
    <cellStyle name="Normal 2 4 2 3 5 4" xfId="21936" xr:uid="{66D64523-6172-4891-B7EA-F15008A95C57}"/>
    <cellStyle name="Normal 2 4 2 3 5 5" xfId="13513" xr:uid="{E8B1682D-B334-458D-B149-17D64D5837D8}"/>
    <cellStyle name="Normal 2 4 2 3 5 6" xfId="22763" xr:uid="{B57CFD7B-05D3-4D26-AD9B-CE64AABE1789}"/>
    <cellStyle name="Normal 2 4 2 3 5 7" xfId="9302" xr:uid="{D9174067-3F6B-476C-A6B3-98E0F964B5CE}"/>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20282" xr:uid="{2E4D005D-8A0D-4B37-80B0-0B57F8841B49}"/>
    <cellStyle name="Normal 2 4 2 3 6 2 3" xfId="16071" xr:uid="{EBFC1D79-82A1-4088-8CD9-795FDBE9E434}"/>
    <cellStyle name="Normal 2 4 2 3 6 2 4" xfId="25321" xr:uid="{EF915C31-0E35-471D-B29B-8E8348DB2EF2}"/>
    <cellStyle name="Normal 2 4 2 3 6 2 5" xfId="11860" xr:uid="{5036D1FF-9D4F-4792-A60B-E332466E74A0}"/>
    <cellStyle name="Normal 2 4 2 3 6 3" xfId="5504" xr:uid="{00000000-0005-0000-0000-00002A0F0000}"/>
    <cellStyle name="Normal 2 4 2 3 6 3 2" xfId="18137" xr:uid="{532CD72E-FD7B-4EA6-8AF8-56EC00CED171}"/>
    <cellStyle name="Normal 2 4 2 3 6 4" xfId="13926" xr:uid="{14F81460-8BB8-40F0-8ED2-58A5A818C08F}"/>
    <cellStyle name="Normal 2 4 2 3 6 5" xfId="23176" xr:uid="{187F463C-4277-46EC-A5A6-AD82BA403722}"/>
    <cellStyle name="Normal 2 4 2 3 6 6" xfId="9715" xr:uid="{800E0EEA-11CD-4B2C-B85E-1DC1CCBF675A}"/>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20695" xr:uid="{E456A214-ACF2-44CF-BCA8-AD28E16604B2}"/>
    <cellStyle name="Normal 2 4 2 3 7 2 3" xfId="16484" xr:uid="{DBDFC81B-3F3C-45B8-9657-0BF70AE00538}"/>
    <cellStyle name="Normal 2 4 2 3 7 2 4" xfId="25734" xr:uid="{34F924C3-CED8-4EAC-AC33-D05A62B263D8}"/>
    <cellStyle name="Normal 2 4 2 3 7 2 5" xfId="12273" xr:uid="{EEE4CEC0-412B-4379-B797-30E8DD5E48F2}"/>
    <cellStyle name="Normal 2 4 2 3 7 3" xfId="5917" xr:uid="{00000000-0005-0000-0000-00002E0F0000}"/>
    <cellStyle name="Normal 2 4 2 3 7 3 2" xfId="18550" xr:uid="{4FF92EAD-1BE7-4C63-AFEA-17E83E123D5A}"/>
    <cellStyle name="Normal 2 4 2 3 7 4" xfId="14339" xr:uid="{ACAAE31C-0489-4C7B-ACC7-958D3B145987}"/>
    <cellStyle name="Normal 2 4 2 3 7 5" xfId="23589" xr:uid="{D112AB50-D821-44F5-8D92-3E0D39CA7D9B}"/>
    <cellStyle name="Normal 2 4 2 3 7 6" xfId="10128" xr:uid="{8BE6E06D-2510-4A7F-AEAD-BB8D82F52984}"/>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21108" xr:uid="{88FF54E9-7E95-4F30-8831-52D61F96710D}"/>
    <cellStyle name="Normal 2 4 2 3 8 2 3" xfId="16897" xr:uid="{62D28058-48BC-428E-A5B5-ECD99092B6C9}"/>
    <cellStyle name="Normal 2 4 2 3 8 2 4" xfId="26147" xr:uid="{66B7AFF9-0945-4BC5-9B18-BD26F03CC1EC}"/>
    <cellStyle name="Normal 2 4 2 3 8 2 5" xfId="12686" xr:uid="{45B1F6DF-8A3D-4340-9083-6167AB98031A}"/>
    <cellStyle name="Normal 2 4 2 3 8 3" xfId="6330" xr:uid="{00000000-0005-0000-0000-0000320F0000}"/>
    <cellStyle name="Normal 2 4 2 3 8 3 2" xfId="18963" xr:uid="{4011BE38-541E-4389-AECC-E469679A11E7}"/>
    <cellStyle name="Normal 2 4 2 3 8 4" xfId="14752" xr:uid="{3A56F83C-DA98-47C1-930F-588064693570}"/>
    <cellStyle name="Normal 2 4 2 3 8 5" xfId="24002" xr:uid="{1AF7F71E-08AC-4425-8563-80AAEAB7EA45}"/>
    <cellStyle name="Normal 2 4 2 3 8 6" xfId="10541" xr:uid="{37388FD0-3C3E-437A-B365-D21DE6EA269C}"/>
    <cellStyle name="Normal 2 4 2 3 9" xfId="2458" xr:uid="{00000000-0005-0000-0000-0000330F0000}"/>
    <cellStyle name="Normal 2 4 2 3 9 2" xfId="6743" xr:uid="{00000000-0005-0000-0000-0000340F0000}"/>
    <cellStyle name="Normal 2 4 2 3 9 2 2" xfId="19376" xr:uid="{E464AB8B-1C47-4F89-A6B1-D33162D388CE}"/>
    <cellStyle name="Normal 2 4 2 3 9 3" xfId="15165" xr:uid="{7C40F8FA-0BEC-4513-8F35-E8890F318BC8}"/>
    <cellStyle name="Normal 2 4 2 3 9 4" xfId="24415" xr:uid="{0BD8F922-6EE6-4BA8-8E42-EAA49FAFDF87}"/>
    <cellStyle name="Normal 2 4 2 3 9 5" xfId="10954" xr:uid="{D6A5873E-B8DC-400B-BE2C-89EDE65AA082}"/>
    <cellStyle name="Normal 2 4 2 4" xfId="289" xr:uid="{00000000-0005-0000-0000-0000350F0000}"/>
    <cellStyle name="Normal 2 4 2 4 10" xfId="21529" xr:uid="{770C257C-5BC6-4122-9AFE-06C49F0ED2D9}"/>
    <cellStyle name="Normal 2 4 2 4 11" xfId="13107" xr:uid="{C985E6E2-EEA6-4A4C-93BE-D0C1496D059D}"/>
    <cellStyle name="Normal 2 4 2 4 12" xfId="22357" xr:uid="{9815C161-5CE3-4284-B5A2-F9C12EFAB0ED}"/>
    <cellStyle name="Normal 2 4 2 4 13" xfId="8896" xr:uid="{EDEAED4B-1725-4D16-B6BE-F588D27F94BD}"/>
    <cellStyle name="Normal 2 4 2 4 2" xfId="290" xr:uid="{00000000-0005-0000-0000-0000360F0000}"/>
    <cellStyle name="Normal 2 4 2 4 2 10" xfId="13108" xr:uid="{15D982B6-B43C-4560-B524-A3B262430520}"/>
    <cellStyle name="Normal 2 4 2 4 2 11" xfId="22358" xr:uid="{945DE94D-4473-457E-AAC4-098C9ED3AAC8}"/>
    <cellStyle name="Normal 2 4 2 4 2 12" xfId="8897" xr:uid="{A285A58B-4A8A-41B2-A75C-7C854132DFD6}"/>
    <cellStyle name="Normal 2 4 2 4 2 2" xfId="291" xr:uid="{00000000-0005-0000-0000-0000370F0000}"/>
    <cellStyle name="Normal 2 4 2 4 2 2 10" xfId="22359" xr:uid="{9EC1CE4D-2544-46F2-BFF9-A81625A8C261}"/>
    <cellStyle name="Normal 2 4 2 4 2 2 11" xfId="8898" xr:uid="{39EA42F0-8D93-464F-9652-505B5C362334}"/>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9879" xr:uid="{C7AC90BB-E8D6-4D6B-911E-B015EF5109BD}"/>
    <cellStyle name="Normal 2 4 2 4 2 2 2 2 3" xfId="15668" xr:uid="{9B3FCD6F-BA49-46BA-948D-9D5FB1C86022}"/>
    <cellStyle name="Normal 2 4 2 4 2 2 2 2 4" xfId="24918" xr:uid="{B97C5ED8-0A2B-4564-ABAB-C6A7C4A3CEFD}"/>
    <cellStyle name="Normal 2 4 2 4 2 2 2 2 5" xfId="11457" xr:uid="{815A76C8-3914-4D09-BCDF-3D59A251BEAB}"/>
    <cellStyle name="Normal 2 4 2 4 2 2 2 3" xfId="5101" xr:uid="{00000000-0005-0000-0000-00003B0F0000}"/>
    <cellStyle name="Normal 2 4 2 4 2 2 2 3 2" xfId="17734" xr:uid="{A982F2CB-4835-4B15-BB45-99877AE1BDB7}"/>
    <cellStyle name="Normal 2 4 2 4 2 2 2 4" xfId="21946" xr:uid="{782F5FCC-5D6E-4E6F-9B92-0B87E0AB119F}"/>
    <cellStyle name="Normal 2 4 2 4 2 2 2 5" xfId="13523" xr:uid="{EEE93717-0B99-4355-8131-8816D393BF77}"/>
    <cellStyle name="Normal 2 4 2 4 2 2 2 6" xfId="22773" xr:uid="{37141894-AFD0-4EDD-87CE-8E612F7A9B12}"/>
    <cellStyle name="Normal 2 4 2 4 2 2 2 7" xfId="9312" xr:uid="{FC6E9012-0259-489D-975A-4ED8CBB5CF82}"/>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20292" xr:uid="{B527E49A-EAA1-48CF-B85B-4A7A35A4B719}"/>
    <cellStyle name="Normal 2 4 2 4 2 2 3 2 3" xfId="16081" xr:uid="{D4A28E07-7894-45A3-9ADB-8CA2E7143CF3}"/>
    <cellStyle name="Normal 2 4 2 4 2 2 3 2 4" xfId="25331" xr:uid="{2323DD21-EAF8-45BF-B908-C5CCCEF15104}"/>
    <cellStyle name="Normal 2 4 2 4 2 2 3 2 5" xfId="11870" xr:uid="{D79655E2-EAD8-44AD-872C-0BC4131E578D}"/>
    <cellStyle name="Normal 2 4 2 4 2 2 3 3" xfId="5514" xr:uid="{00000000-0005-0000-0000-00003F0F0000}"/>
    <cellStyle name="Normal 2 4 2 4 2 2 3 3 2" xfId="18147" xr:uid="{2C908A32-CDFF-4BD3-932D-6373EA201FD5}"/>
    <cellStyle name="Normal 2 4 2 4 2 2 3 4" xfId="13936" xr:uid="{A93063B2-AB83-4751-A119-0045BB545F96}"/>
    <cellStyle name="Normal 2 4 2 4 2 2 3 5" xfId="23186" xr:uid="{CCBAE655-B022-43A6-B983-E06E20DA3369}"/>
    <cellStyle name="Normal 2 4 2 4 2 2 3 6" xfId="9725" xr:uid="{3CAE75C3-FE7C-47A0-89F7-334107BED6FC}"/>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20705" xr:uid="{665E2D02-322F-405D-8D18-0882119B3EAD}"/>
    <cellStyle name="Normal 2 4 2 4 2 2 4 2 3" xfId="16494" xr:uid="{E55FD794-60C5-47ED-91E2-DCAC640608D1}"/>
    <cellStyle name="Normal 2 4 2 4 2 2 4 2 4" xfId="25744" xr:uid="{83D1FBDC-C220-40ED-AD83-55C22269CBAE}"/>
    <cellStyle name="Normal 2 4 2 4 2 2 4 2 5" xfId="12283" xr:uid="{8BA90953-3AED-45CC-B656-C6C6D52EE12E}"/>
    <cellStyle name="Normal 2 4 2 4 2 2 4 3" xfId="5927" xr:uid="{00000000-0005-0000-0000-0000430F0000}"/>
    <cellStyle name="Normal 2 4 2 4 2 2 4 3 2" xfId="18560" xr:uid="{1EC21077-35D8-4F8A-8BB6-F7733301271E}"/>
    <cellStyle name="Normal 2 4 2 4 2 2 4 4" xfId="14349" xr:uid="{60E6E57B-88DF-418D-85B1-72DE51EE82C2}"/>
    <cellStyle name="Normal 2 4 2 4 2 2 4 5" xfId="23599" xr:uid="{6BFCDE7F-F885-4E4C-A822-B502BCE16053}"/>
    <cellStyle name="Normal 2 4 2 4 2 2 4 6" xfId="10138" xr:uid="{4CC1743A-ABFB-4CE8-AAE6-86E76B8B27EE}"/>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21118" xr:uid="{40BBF045-E8D7-4B35-9631-E883844E7B1B}"/>
    <cellStyle name="Normal 2 4 2 4 2 2 5 2 3" xfId="16907" xr:uid="{3910F6B3-EDED-4833-B646-C77D57546B51}"/>
    <cellStyle name="Normal 2 4 2 4 2 2 5 2 4" xfId="26157" xr:uid="{7A46A0B4-1B2F-4F29-BED5-DDBC5AC6AE5B}"/>
    <cellStyle name="Normal 2 4 2 4 2 2 5 2 5" xfId="12696" xr:uid="{9A87486D-FC5A-4935-A398-CAE0358E1F23}"/>
    <cellStyle name="Normal 2 4 2 4 2 2 5 3" xfId="6340" xr:uid="{00000000-0005-0000-0000-0000470F0000}"/>
    <cellStyle name="Normal 2 4 2 4 2 2 5 3 2" xfId="18973" xr:uid="{F6AB43B1-4372-4B62-A99F-1D5164385AC7}"/>
    <cellStyle name="Normal 2 4 2 4 2 2 5 4" xfId="14762" xr:uid="{C6BBE2A1-A59F-4D93-AE9C-1B24F1EE921E}"/>
    <cellStyle name="Normal 2 4 2 4 2 2 5 5" xfId="24012" xr:uid="{D78C06D7-0AE1-4930-B535-8EC46C798A53}"/>
    <cellStyle name="Normal 2 4 2 4 2 2 5 6" xfId="10551" xr:uid="{8BDE6BA6-2140-4FD6-8510-47D1EFD7D4C4}"/>
    <cellStyle name="Normal 2 4 2 4 2 2 6" xfId="2468" xr:uid="{00000000-0005-0000-0000-0000480F0000}"/>
    <cellStyle name="Normal 2 4 2 4 2 2 6 2" xfId="6753" xr:uid="{00000000-0005-0000-0000-0000490F0000}"/>
    <cellStyle name="Normal 2 4 2 4 2 2 6 2 2" xfId="19386" xr:uid="{6D6F9041-A18C-4DD3-AA50-42DA95C56E06}"/>
    <cellStyle name="Normal 2 4 2 4 2 2 6 3" xfId="15175" xr:uid="{B9E3E341-8B11-4E00-A27C-8BF6BEE80C8B}"/>
    <cellStyle name="Normal 2 4 2 4 2 2 6 4" xfId="24425" xr:uid="{50C988CC-3A81-469A-B8FA-548FBF27DA43}"/>
    <cellStyle name="Normal 2 4 2 4 2 2 6 5" xfId="10964" xr:uid="{07FCB4FA-9ED4-464D-B5B7-8CBD75424700}"/>
    <cellStyle name="Normal 2 4 2 4 2 2 7" xfId="4687" xr:uid="{00000000-0005-0000-0000-00004A0F0000}"/>
    <cellStyle name="Normal 2 4 2 4 2 2 7 2" xfId="17320" xr:uid="{3676144B-37B0-4270-A7EC-6CEE0F8812BE}"/>
    <cellStyle name="Normal 2 4 2 4 2 2 8" xfId="21531" xr:uid="{2AE7475F-69F9-4219-BD8A-CB707E8A2149}"/>
    <cellStyle name="Normal 2 4 2 4 2 2 9" xfId="13109" xr:uid="{35C351E2-F88E-4C4A-A1D6-8CBF70C97112}"/>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9878" xr:uid="{3E6FE84F-A1F9-42AE-805C-98F641084E30}"/>
    <cellStyle name="Normal 2 4 2 4 2 3 2 3" xfId="15667" xr:uid="{FF997CF1-8C71-459F-A588-1A9CEA94D3E3}"/>
    <cellStyle name="Normal 2 4 2 4 2 3 2 4" xfId="24917" xr:uid="{AA276B95-129A-4BD1-A456-8AE378F4C206}"/>
    <cellStyle name="Normal 2 4 2 4 2 3 2 5" xfId="11456" xr:uid="{CEA6E2BA-D1AD-4FBC-93FA-1027C3FB2404}"/>
    <cellStyle name="Normal 2 4 2 4 2 3 3" xfId="5100" xr:uid="{00000000-0005-0000-0000-00004E0F0000}"/>
    <cellStyle name="Normal 2 4 2 4 2 3 3 2" xfId="17733" xr:uid="{326F7CE2-DABB-4A11-933D-0C05175CDAC8}"/>
    <cellStyle name="Normal 2 4 2 4 2 3 4" xfId="21945" xr:uid="{9133714E-C93A-400B-BA6E-5E564D34F9E1}"/>
    <cellStyle name="Normal 2 4 2 4 2 3 5" xfId="13522" xr:uid="{B1EA336B-420B-4D9B-9582-AB6D927FDA08}"/>
    <cellStyle name="Normal 2 4 2 4 2 3 6" xfId="22772" xr:uid="{C4F44886-FACD-408F-87CE-A5EA0EFEF5A7}"/>
    <cellStyle name="Normal 2 4 2 4 2 3 7" xfId="9311" xr:uid="{D0240047-CC65-4971-97A4-45EC14AAD68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20291" xr:uid="{B0C27E99-AF82-4EBF-BC17-193EFF4A924D}"/>
    <cellStyle name="Normal 2 4 2 4 2 4 2 3" xfId="16080" xr:uid="{7787FBF3-DE8B-4DEB-8F12-9DD76584AEAF}"/>
    <cellStyle name="Normal 2 4 2 4 2 4 2 4" xfId="25330" xr:uid="{4F4F239B-383F-45A4-9EC0-F30FDEAD548D}"/>
    <cellStyle name="Normal 2 4 2 4 2 4 2 5" xfId="11869" xr:uid="{F90E9BAC-A143-427C-A46A-F0CC45623DBD}"/>
    <cellStyle name="Normal 2 4 2 4 2 4 3" xfId="5513" xr:uid="{00000000-0005-0000-0000-0000520F0000}"/>
    <cellStyle name="Normal 2 4 2 4 2 4 3 2" xfId="18146" xr:uid="{8FA1CA96-C5E9-44CD-ABC9-2063E1302ED1}"/>
    <cellStyle name="Normal 2 4 2 4 2 4 4" xfId="13935" xr:uid="{7B7E5788-1E83-498D-B358-6615E73C34C8}"/>
    <cellStyle name="Normal 2 4 2 4 2 4 5" xfId="23185" xr:uid="{07FE9531-E42C-482D-9866-04170B61DB31}"/>
    <cellStyle name="Normal 2 4 2 4 2 4 6" xfId="9724" xr:uid="{ABAAFDB5-7A34-475E-9767-BF62797160F4}"/>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20704" xr:uid="{1E8E7B92-ED1F-43E0-82D3-4B83259CD7E1}"/>
    <cellStyle name="Normal 2 4 2 4 2 5 2 3" xfId="16493" xr:uid="{ADC4DADC-BA44-4B5C-8E75-F346C3528CBF}"/>
    <cellStyle name="Normal 2 4 2 4 2 5 2 4" xfId="25743" xr:uid="{ABF852B5-0893-4404-8EC3-B0E9C42A9330}"/>
    <cellStyle name="Normal 2 4 2 4 2 5 2 5" xfId="12282" xr:uid="{BFFF883B-1D03-4031-BD03-EADE4D8E518A}"/>
    <cellStyle name="Normal 2 4 2 4 2 5 3" xfId="5926" xr:uid="{00000000-0005-0000-0000-0000560F0000}"/>
    <cellStyle name="Normal 2 4 2 4 2 5 3 2" xfId="18559" xr:uid="{F0A4E68F-38E7-43E0-AEE8-5FA85A378101}"/>
    <cellStyle name="Normal 2 4 2 4 2 5 4" xfId="14348" xr:uid="{532509AA-D6F3-45A4-822E-7F2BB22FF365}"/>
    <cellStyle name="Normal 2 4 2 4 2 5 5" xfId="23598" xr:uid="{841F89CE-0230-4088-8C3E-6CD18FFF0E90}"/>
    <cellStyle name="Normal 2 4 2 4 2 5 6" xfId="10137" xr:uid="{D058A52E-BA81-4C54-906B-E840D5E4FF49}"/>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21117" xr:uid="{EA9C2983-CDEB-4BB0-B88E-3CD902BC2D5A}"/>
    <cellStyle name="Normal 2 4 2 4 2 6 2 3" xfId="16906" xr:uid="{DDF32E56-8B6E-4289-96E0-28C8156845D2}"/>
    <cellStyle name="Normal 2 4 2 4 2 6 2 4" xfId="26156" xr:uid="{E3D0174B-96C7-4B97-8958-CD6E9EDD160A}"/>
    <cellStyle name="Normal 2 4 2 4 2 6 2 5" xfId="12695" xr:uid="{8BD66E2F-5E41-4331-9C6E-BABF85C3141E}"/>
    <cellStyle name="Normal 2 4 2 4 2 6 3" xfId="6339" xr:uid="{00000000-0005-0000-0000-00005A0F0000}"/>
    <cellStyle name="Normal 2 4 2 4 2 6 3 2" xfId="18972" xr:uid="{7FE19CFA-642D-4FE3-9A68-06C9DBC3F1CC}"/>
    <cellStyle name="Normal 2 4 2 4 2 6 4" xfId="14761" xr:uid="{8B5C5DF4-E7BA-402D-95EE-BF4EE3B5FB0E}"/>
    <cellStyle name="Normal 2 4 2 4 2 6 5" xfId="24011" xr:uid="{2402A2AF-EF92-494F-ADA8-CECA7F8413A7}"/>
    <cellStyle name="Normal 2 4 2 4 2 6 6" xfId="10550" xr:uid="{A05C528C-4CF3-4674-9943-B375BA89C98A}"/>
    <cellStyle name="Normal 2 4 2 4 2 7" xfId="2467" xr:uid="{00000000-0005-0000-0000-00005B0F0000}"/>
    <cellStyle name="Normal 2 4 2 4 2 7 2" xfId="6752" xr:uid="{00000000-0005-0000-0000-00005C0F0000}"/>
    <cellStyle name="Normal 2 4 2 4 2 7 2 2" xfId="19385" xr:uid="{27CD7DBD-B4F0-4C24-93FE-5E525F4D444C}"/>
    <cellStyle name="Normal 2 4 2 4 2 7 3" xfId="15174" xr:uid="{42CCBD85-E20E-4B94-9B23-30E7C9DDEA35}"/>
    <cellStyle name="Normal 2 4 2 4 2 7 4" xfId="24424" xr:uid="{33EF2FE7-A861-4D24-BBE8-C6D4F794B254}"/>
    <cellStyle name="Normal 2 4 2 4 2 7 5" xfId="10963" xr:uid="{4B540E12-2E9A-4F2F-9B1B-3247ACD7D677}"/>
    <cellStyle name="Normal 2 4 2 4 2 8" xfId="4686" xr:uid="{00000000-0005-0000-0000-00005D0F0000}"/>
    <cellStyle name="Normal 2 4 2 4 2 8 2" xfId="17319" xr:uid="{339075BF-4725-468F-AAE2-263D096D86A2}"/>
    <cellStyle name="Normal 2 4 2 4 2 9" xfId="21530" xr:uid="{4C47B4B6-9808-424C-AEBE-CB1E2A85952F}"/>
    <cellStyle name="Normal 2 4 2 4 3" xfId="292" xr:uid="{00000000-0005-0000-0000-00005E0F0000}"/>
    <cellStyle name="Normal 2 4 2 4 3 10" xfId="22360" xr:uid="{B7757FE0-2943-4951-80C3-F51926D7311A}"/>
    <cellStyle name="Normal 2 4 2 4 3 11" xfId="8899" xr:uid="{83F6B475-0E15-4EFC-98A7-DAA5CA408B1F}"/>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9880" xr:uid="{1D9DC078-A3EE-4A09-A26D-03D839116E1B}"/>
    <cellStyle name="Normal 2 4 2 4 3 2 2 3" xfId="15669" xr:uid="{5E5A5496-869B-4216-A5BC-91F4D2445775}"/>
    <cellStyle name="Normal 2 4 2 4 3 2 2 4" xfId="24919" xr:uid="{16338377-DAE8-4E32-9CE1-6E093078FC41}"/>
    <cellStyle name="Normal 2 4 2 4 3 2 2 5" xfId="11458" xr:uid="{6B29C880-6746-44BD-A519-911956B87FB4}"/>
    <cellStyle name="Normal 2 4 2 4 3 2 3" xfId="5102" xr:uid="{00000000-0005-0000-0000-0000620F0000}"/>
    <cellStyle name="Normal 2 4 2 4 3 2 3 2" xfId="17735" xr:uid="{6D3D0D3A-D566-4A8C-A86E-74D5334CE850}"/>
    <cellStyle name="Normal 2 4 2 4 3 2 4" xfId="21947" xr:uid="{3FA70BCC-899F-461E-9674-B1184BC5D453}"/>
    <cellStyle name="Normal 2 4 2 4 3 2 5" xfId="13524" xr:uid="{17D7F88C-FF9F-4E92-B5C9-409F49DBB03C}"/>
    <cellStyle name="Normal 2 4 2 4 3 2 6" xfId="22774" xr:uid="{CB5CE850-C3C8-4F49-9932-FE62F84E32AE}"/>
    <cellStyle name="Normal 2 4 2 4 3 2 7" xfId="9313" xr:uid="{F7C0537F-EE9B-4C12-8D77-87DEA8F7FA9A}"/>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20293" xr:uid="{11E808B2-164F-4C29-A58B-7C38C70B60FF}"/>
    <cellStyle name="Normal 2 4 2 4 3 3 2 3" xfId="16082" xr:uid="{CF173295-C472-4415-A41E-DA595D45E640}"/>
    <cellStyle name="Normal 2 4 2 4 3 3 2 4" xfId="25332" xr:uid="{F04CD35D-EE07-449D-8948-07AD7A87778B}"/>
    <cellStyle name="Normal 2 4 2 4 3 3 2 5" xfId="11871" xr:uid="{FEB93750-9236-4136-94DC-C9BB5606C2C6}"/>
    <cellStyle name="Normal 2 4 2 4 3 3 3" xfId="5515" xr:uid="{00000000-0005-0000-0000-0000660F0000}"/>
    <cellStyle name="Normal 2 4 2 4 3 3 3 2" xfId="18148" xr:uid="{F65FD6C0-72A5-4ADE-8155-46C12455FEDC}"/>
    <cellStyle name="Normal 2 4 2 4 3 3 4" xfId="13937" xr:uid="{994174C5-56B2-48C4-A2CF-096DD38B7E80}"/>
    <cellStyle name="Normal 2 4 2 4 3 3 5" xfId="23187" xr:uid="{FEDA06EA-0B1E-4E09-A8AB-3A4480471BD4}"/>
    <cellStyle name="Normal 2 4 2 4 3 3 6" xfId="9726" xr:uid="{095B7E88-C873-4767-9F00-C40BFCE3A8E1}"/>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20706" xr:uid="{E593A063-5A8B-485A-9265-F0E6BB505A43}"/>
    <cellStyle name="Normal 2 4 2 4 3 4 2 3" xfId="16495" xr:uid="{C16B9CFF-2137-4113-9780-31F266DD885C}"/>
    <cellStyle name="Normal 2 4 2 4 3 4 2 4" xfId="25745" xr:uid="{D060CB44-3404-400C-8A33-4F7909992ADD}"/>
    <cellStyle name="Normal 2 4 2 4 3 4 2 5" xfId="12284" xr:uid="{828E13BC-549B-4AD9-B75C-86B0A204FA83}"/>
    <cellStyle name="Normal 2 4 2 4 3 4 3" xfId="5928" xr:uid="{00000000-0005-0000-0000-00006A0F0000}"/>
    <cellStyle name="Normal 2 4 2 4 3 4 3 2" xfId="18561" xr:uid="{A0ED686C-8CB2-4657-8289-3125688BFF14}"/>
    <cellStyle name="Normal 2 4 2 4 3 4 4" xfId="14350" xr:uid="{938BA49E-BDE5-4705-B739-219CE637AF3D}"/>
    <cellStyle name="Normal 2 4 2 4 3 4 5" xfId="23600" xr:uid="{FE052CEE-A5F6-47C5-87B9-404A3DAA411C}"/>
    <cellStyle name="Normal 2 4 2 4 3 4 6" xfId="10139" xr:uid="{C60D5FC7-35F4-454D-963D-63B6BAD54215}"/>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21119" xr:uid="{8F548C30-F57D-4816-A790-9B88A33051EA}"/>
    <cellStyle name="Normal 2 4 2 4 3 5 2 3" xfId="16908" xr:uid="{25D749D9-6919-4D68-A73F-24EC62501119}"/>
    <cellStyle name="Normal 2 4 2 4 3 5 2 4" xfId="26158" xr:uid="{8AFE4FCF-1B2B-4D14-94C2-7E397774F80A}"/>
    <cellStyle name="Normal 2 4 2 4 3 5 2 5" xfId="12697" xr:uid="{C5A13A37-E274-4F29-80FC-BE3FA7BC7BB3}"/>
    <cellStyle name="Normal 2 4 2 4 3 5 3" xfId="6341" xr:uid="{00000000-0005-0000-0000-00006E0F0000}"/>
    <cellStyle name="Normal 2 4 2 4 3 5 3 2" xfId="18974" xr:uid="{46882292-A56D-4274-ADD2-2542FF3CAC84}"/>
    <cellStyle name="Normal 2 4 2 4 3 5 4" xfId="14763" xr:uid="{6769DCA5-58FF-4481-AC8C-BACCEEC2A25F}"/>
    <cellStyle name="Normal 2 4 2 4 3 5 5" xfId="24013" xr:uid="{CE36AFDC-494C-4559-902D-440D4D354C08}"/>
    <cellStyle name="Normal 2 4 2 4 3 5 6" xfId="10552" xr:uid="{0306908D-E6DA-495D-A851-81C3A0933990}"/>
    <cellStyle name="Normal 2 4 2 4 3 6" xfId="2469" xr:uid="{00000000-0005-0000-0000-00006F0F0000}"/>
    <cellStyle name="Normal 2 4 2 4 3 6 2" xfId="6754" xr:uid="{00000000-0005-0000-0000-0000700F0000}"/>
    <cellStyle name="Normal 2 4 2 4 3 6 2 2" xfId="19387" xr:uid="{EB590A4A-4DDB-48C5-8DBE-36C6B9D7C73D}"/>
    <cellStyle name="Normal 2 4 2 4 3 6 3" xfId="15176" xr:uid="{E39CFA3D-3313-4DBA-A16C-4BA298E462F9}"/>
    <cellStyle name="Normal 2 4 2 4 3 6 4" xfId="24426" xr:uid="{8687D178-C5E8-4047-A23C-0C2D7B53D030}"/>
    <cellStyle name="Normal 2 4 2 4 3 6 5" xfId="10965" xr:uid="{D9B432B9-0597-45AE-A03C-6FC2419D3605}"/>
    <cellStyle name="Normal 2 4 2 4 3 7" xfId="4688" xr:uid="{00000000-0005-0000-0000-0000710F0000}"/>
    <cellStyle name="Normal 2 4 2 4 3 7 2" xfId="17321" xr:uid="{4C37F649-89B2-434E-AA9F-0CCB639BA18D}"/>
    <cellStyle name="Normal 2 4 2 4 3 8" xfId="21532" xr:uid="{73CF61AA-A060-46FA-A463-33C41E434E50}"/>
    <cellStyle name="Normal 2 4 2 4 3 9" xfId="13110" xr:uid="{2421DC5F-AF11-475C-A9E9-C7F530BB077F}"/>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9877" xr:uid="{3F121BF1-C21B-4B7D-8B59-E815D0B7D8E8}"/>
    <cellStyle name="Normal 2 4 2 4 4 2 3" xfId="15666" xr:uid="{CE55830F-3487-40F4-B984-7DFF9561F4E6}"/>
    <cellStyle name="Normal 2 4 2 4 4 2 4" xfId="24916" xr:uid="{6FE16D21-5D9F-43EA-A5A1-AF1551CE2E5D}"/>
    <cellStyle name="Normal 2 4 2 4 4 2 5" xfId="11455" xr:uid="{45151DE3-0345-4BF2-B04D-F4058780CF9F}"/>
    <cellStyle name="Normal 2 4 2 4 4 3" xfId="5099" xr:uid="{00000000-0005-0000-0000-0000750F0000}"/>
    <cellStyle name="Normal 2 4 2 4 4 3 2" xfId="17732" xr:uid="{68CF0654-38E1-4C37-91BC-386F45DA82B6}"/>
    <cellStyle name="Normal 2 4 2 4 4 4" xfId="21944" xr:uid="{9C04A198-B9E7-4B50-B137-45FAF47823D7}"/>
    <cellStyle name="Normal 2 4 2 4 4 5" xfId="13521" xr:uid="{D0634B7F-2CA1-4467-84CE-8A78D465E7B3}"/>
    <cellStyle name="Normal 2 4 2 4 4 6" xfId="22771" xr:uid="{7369F2B6-1051-4108-BF40-98694F718A1E}"/>
    <cellStyle name="Normal 2 4 2 4 4 7" xfId="9310" xr:uid="{281FF255-3458-4C51-9452-2E6CD9A28803}"/>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20290" xr:uid="{62B71314-80B8-41C3-B67A-84B28E4281F0}"/>
    <cellStyle name="Normal 2 4 2 4 5 2 3" xfId="16079" xr:uid="{5B3AF1B4-92A2-4CD0-B50F-D187810F2EA1}"/>
    <cellStyle name="Normal 2 4 2 4 5 2 4" xfId="25329" xr:uid="{BC28190B-0638-4D71-87E4-856F1A5ACDA0}"/>
    <cellStyle name="Normal 2 4 2 4 5 2 5" xfId="11868" xr:uid="{586240BD-53F9-4241-A03B-9B94E8CB11D9}"/>
    <cellStyle name="Normal 2 4 2 4 5 3" xfId="5512" xr:uid="{00000000-0005-0000-0000-0000790F0000}"/>
    <cellStyle name="Normal 2 4 2 4 5 3 2" xfId="18145" xr:uid="{4DD8E3FE-4F1F-4F60-9CFD-639F6C572A0D}"/>
    <cellStyle name="Normal 2 4 2 4 5 4" xfId="13934" xr:uid="{1DFD260B-90D6-48F6-9B21-CF0BE977BA6C}"/>
    <cellStyle name="Normal 2 4 2 4 5 5" xfId="23184" xr:uid="{1BC61F97-BE44-42A8-9B71-F36609F214C2}"/>
    <cellStyle name="Normal 2 4 2 4 5 6" xfId="9723" xr:uid="{DB6914DE-8639-44DC-B8BF-7F08157901B0}"/>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20703" xr:uid="{BFC51504-3152-40B5-9FED-ECD5C5E44557}"/>
    <cellStyle name="Normal 2 4 2 4 6 2 3" xfId="16492" xr:uid="{0516F314-4BD9-4D19-B451-82311D279C70}"/>
    <cellStyle name="Normal 2 4 2 4 6 2 4" xfId="25742" xr:uid="{3EEE31E4-2C5D-480A-9272-167F1E4431DB}"/>
    <cellStyle name="Normal 2 4 2 4 6 2 5" xfId="12281" xr:uid="{56E047A4-7C43-4B9B-8127-B48696118DFC}"/>
    <cellStyle name="Normal 2 4 2 4 6 3" xfId="5925" xr:uid="{00000000-0005-0000-0000-00007D0F0000}"/>
    <cellStyle name="Normal 2 4 2 4 6 3 2" xfId="18558" xr:uid="{6BEDED21-15A5-43A5-B044-AFEF2F36E05B}"/>
    <cellStyle name="Normal 2 4 2 4 6 4" xfId="14347" xr:uid="{72C1AA4C-9CD9-46D6-95F4-4EB410DFB6ED}"/>
    <cellStyle name="Normal 2 4 2 4 6 5" xfId="23597" xr:uid="{8E3BC07C-D75E-47E9-B2E4-358DD4B192BD}"/>
    <cellStyle name="Normal 2 4 2 4 6 6" xfId="10136" xr:uid="{F50C3E03-A8A1-4688-AC94-2B6828C336D9}"/>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21116" xr:uid="{41EBD40C-9951-4CC7-8835-44DC6F855545}"/>
    <cellStyle name="Normal 2 4 2 4 7 2 3" xfId="16905" xr:uid="{425EAE47-26E8-42FD-833F-359A43AE8606}"/>
    <cellStyle name="Normal 2 4 2 4 7 2 4" xfId="26155" xr:uid="{F3E552FF-DA22-4BE9-AA6A-295D03CC83C5}"/>
    <cellStyle name="Normal 2 4 2 4 7 2 5" xfId="12694" xr:uid="{823755E7-2513-466A-8A5B-DD78159BDD8E}"/>
    <cellStyle name="Normal 2 4 2 4 7 3" xfId="6338" xr:uid="{00000000-0005-0000-0000-0000810F0000}"/>
    <cellStyle name="Normal 2 4 2 4 7 3 2" xfId="18971" xr:uid="{243F7881-7917-45D5-9716-60C3884AEFCB}"/>
    <cellStyle name="Normal 2 4 2 4 7 4" xfId="14760" xr:uid="{55D54D77-8D5A-40DB-9CC9-122547437975}"/>
    <cellStyle name="Normal 2 4 2 4 7 5" xfId="24010" xr:uid="{078366C1-A688-4D55-A329-E03C3E3DFBAA}"/>
    <cellStyle name="Normal 2 4 2 4 7 6" xfId="10549" xr:uid="{F1612608-9E49-4072-969F-8D17F8C4E381}"/>
    <cellStyle name="Normal 2 4 2 4 8" xfId="2466" xr:uid="{00000000-0005-0000-0000-0000820F0000}"/>
    <cellStyle name="Normal 2 4 2 4 8 2" xfId="6751" xr:uid="{00000000-0005-0000-0000-0000830F0000}"/>
    <cellStyle name="Normal 2 4 2 4 8 2 2" xfId="19384" xr:uid="{C7462AF6-36F8-43AC-BC13-3E3801170AC2}"/>
    <cellStyle name="Normal 2 4 2 4 8 3" xfId="15173" xr:uid="{914C58AD-6678-4230-AEC3-BE2149AA82B0}"/>
    <cellStyle name="Normal 2 4 2 4 8 4" xfId="24423" xr:uid="{E79C0519-65A1-499A-9E69-E4E5D673B1DE}"/>
    <cellStyle name="Normal 2 4 2 4 8 5" xfId="10962" xr:uid="{E78A3021-BC8D-4A2D-B48F-6F96B565C424}"/>
    <cellStyle name="Normal 2 4 2 4 9" xfId="4685" xr:uid="{00000000-0005-0000-0000-0000840F0000}"/>
    <cellStyle name="Normal 2 4 2 4 9 2" xfId="17318" xr:uid="{37C1C35F-B6DA-4939-BB45-13D70AC703D5}"/>
    <cellStyle name="Normal 2 4 2 5" xfId="293" xr:uid="{00000000-0005-0000-0000-0000850F0000}"/>
    <cellStyle name="Normal 2 4 2 5 10" xfId="13111" xr:uid="{943F468E-C18E-4FFA-9C7D-1930A1453141}"/>
    <cellStyle name="Normal 2 4 2 5 11" xfId="22361" xr:uid="{DA2805C4-5CBA-4B0C-981D-FDE90719A2E9}"/>
    <cellStyle name="Normal 2 4 2 5 12" xfId="8900" xr:uid="{FD515AF9-3209-447B-957B-9EECDEA6D8DE}"/>
    <cellStyle name="Normal 2 4 2 5 2" xfId="294" xr:uid="{00000000-0005-0000-0000-0000860F0000}"/>
    <cellStyle name="Normal 2 4 2 5 2 10" xfId="22362" xr:uid="{9838E82F-B1EF-49BE-9B17-BD507E21A0F0}"/>
    <cellStyle name="Normal 2 4 2 5 2 11" xfId="8901" xr:uid="{85FAE9FD-EEB5-4FA6-A349-73B661F1F374}"/>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9882" xr:uid="{FBADA59C-E419-4580-9C44-9FFB581284A7}"/>
    <cellStyle name="Normal 2 4 2 5 2 2 2 3" xfId="15671" xr:uid="{7CC41D80-49E0-46F4-8E5F-402CC4FF30BC}"/>
    <cellStyle name="Normal 2 4 2 5 2 2 2 4" xfId="24921" xr:uid="{DD3B6B7A-3AB0-4A24-BF8F-207FD645D7BA}"/>
    <cellStyle name="Normal 2 4 2 5 2 2 2 5" xfId="11460" xr:uid="{57439586-F24C-496F-8106-41F0008503D4}"/>
    <cellStyle name="Normal 2 4 2 5 2 2 3" xfId="5104" xr:uid="{00000000-0005-0000-0000-00008A0F0000}"/>
    <cellStyle name="Normal 2 4 2 5 2 2 3 2" xfId="17737" xr:uid="{D03A1617-C518-43BB-A919-E9387A0B4A77}"/>
    <cellStyle name="Normal 2 4 2 5 2 2 4" xfId="21949" xr:uid="{49A13BB6-7FCD-4183-B21F-42A54B6C751E}"/>
    <cellStyle name="Normal 2 4 2 5 2 2 5" xfId="13526" xr:uid="{3FB98C06-4527-4609-9088-31DCC8ECEB3E}"/>
    <cellStyle name="Normal 2 4 2 5 2 2 6" xfId="22776" xr:uid="{9B31E456-7DE4-4E16-9B87-4A908EAF455A}"/>
    <cellStyle name="Normal 2 4 2 5 2 2 7" xfId="9315" xr:uid="{C1B35F44-FBFA-4AAE-871F-5B62D39904D3}"/>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20295" xr:uid="{3AE0E3A7-4B31-4539-9CC5-A05CB024B6C7}"/>
    <cellStyle name="Normal 2 4 2 5 2 3 2 3" xfId="16084" xr:uid="{DF90DE8E-03DD-4AF6-8D48-A3FBC0F7F299}"/>
    <cellStyle name="Normal 2 4 2 5 2 3 2 4" xfId="25334" xr:uid="{6C01C448-8487-4C3D-AD78-A6BE9D7A560C}"/>
    <cellStyle name="Normal 2 4 2 5 2 3 2 5" xfId="11873" xr:uid="{CE652240-990D-4156-A5E1-7F5C68D7F186}"/>
    <cellStyle name="Normal 2 4 2 5 2 3 3" xfId="5517" xr:uid="{00000000-0005-0000-0000-00008E0F0000}"/>
    <cellStyle name="Normal 2 4 2 5 2 3 3 2" xfId="18150" xr:uid="{7874B7F4-562D-466A-94F0-F630D770706F}"/>
    <cellStyle name="Normal 2 4 2 5 2 3 4" xfId="13939" xr:uid="{C58DD1FE-6B14-48F1-AB35-E0D78B7E9307}"/>
    <cellStyle name="Normal 2 4 2 5 2 3 5" xfId="23189" xr:uid="{C7750380-235B-4F3F-8EA5-232859815F71}"/>
    <cellStyle name="Normal 2 4 2 5 2 3 6" xfId="9728" xr:uid="{75B25F85-02D5-4FFC-A39C-932789FFF35B}"/>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20708" xr:uid="{D67D0631-492D-4C44-83A9-039BEEEC29A0}"/>
    <cellStyle name="Normal 2 4 2 5 2 4 2 3" xfId="16497" xr:uid="{03772BCA-7B3E-4945-A07F-82D6C27F7CBB}"/>
    <cellStyle name="Normal 2 4 2 5 2 4 2 4" xfId="25747" xr:uid="{A260BCE7-F6A3-4454-ADEC-85FFC67938F6}"/>
    <cellStyle name="Normal 2 4 2 5 2 4 2 5" xfId="12286" xr:uid="{DA24AFBD-B4BB-4DBF-9309-D96FD4891085}"/>
    <cellStyle name="Normal 2 4 2 5 2 4 3" xfId="5930" xr:uid="{00000000-0005-0000-0000-0000920F0000}"/>
    <cellStyle name="Normal 2 4 2 5 2 4 3 2" xfId="18563" xr:uid="{E4BDFF8A-F5C2-4FF7-B42A-229CBF250853}"/>
    <cellStyle name="Normal 2 4 2 5 2 4 4" xfId="14352" xr:uid="{05D33DC3-DA2B-41E1-AEAE-E3BFD17576FA}"/>
    <cellStyle name="Normal 2 4 2 5 2 4 5" xfId="23602" xr:uid="{44AF991D-6B5C-433A-8A8B-3C3C856F25E2}"/>
    <cellStyle name="Normal 2 4 2 5 2 4 6" xfId="10141" xr:uid="{10B82B63-FAD1-41DF-A078-02F26459388E}"/>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21121" xr:uid="{D15F50F8-EEEF-40BA-BE09-BAB5C5B44CEF}"/>
    <cellStyle name="Normal 2 4 2 5 2 5 2 3" xfId="16910" xr:uid="{1B392A07-5FF5-4CE1-9833-FE304C469717}"/>
    <cellStyle name="Normal 2 4 2 5 2 5 2 4" xfId="26160" xr:uid="{2E3A80FF-8AC8-4A70-9AF8-14A4C8FDD7EA}"/>
    <cellStyle name="Normal 2 4 2 5 2 5 2 5" xfId="12699" xr:uid="{301299A5-B545-4439-9FFC-AE0695BA1672}"/>
    <cellStyle name="Normal 2 4 2 5 2 5 3" xfId="6343" xr:uid="{00000000-0005-0000-0000-0000960F0000}"/>
    <cellStyle name="Normal 2 4 2 5 2 5 3 2" xfId="18976" xr:uid="{1F8FAD6D-B2C3-48F8-BEB0-6A8CDBE4C0FC}"/>
    <cellStyle name="Normal 2 4 2 5 2 5 4" xfId="14765" xr:uid="{AD7A3DFF-812E-478A-9E4B-351BF5760E96}"/>
    <cellStyle name="Normal 2 4 2 5 2 5 5" xfId="24015" xr:uid="{BBEF0EB2-DE55-4D05-BCEA-02654E4A5B03}"/>
    <cellStyle name="Normal 2 4 2 5 2 5 6" xfId="10554" xr:uid="{9DC762D6-B0A5-42C5-B34A-CAAA092535EB}"/>
    <cellStyle name="Normal 2 4 2 5 2 6" xfId="2471" xr:uid="{00000000-0005-0000-0000-0000970F0000}"/>
    <cellStyle name="Normal 2 4 2 5 2 6 2" xfId="6756" xr:uid="{00000000-0005-0000-0000-0000980F0000}"/>
    <cellStyle name="Normal 2 4 2 5 2 6 2 2" xfId="19389" xr:uid="{FF4CCB74-984B-4AC6-80B5-9C6821B1FD4C}"/>
    <cellStyle name="Normal 2 4 2 5 2 6 3" xfId="15178" xr:uid="{8B3E6DB8-6FEC-4A74-8046-D0E2851AF3AF}"/>
    <cellStyle name="Normal 2 4 2 5 2 6 4" xfId="24428" xr:uid="{21581FDF-5FDD-4DD0-90AB-43014F23C54D}"/>
    <cellStyle name="Normal 2 4 2 5 2 6 5" xfId="10967" xr:uid="{BE20A00E-8F33-4282-841B-299E7A8B3D28}"/>
    <cellStyle name="Normal 2 4 2 5 2 7" xfId="4690" xr:uid="{00000000-0005-0000-0000-0000990F0000}"/>
    <cellStyle name="Normal 2 4 2 5 2 7 2" xfId="17323" xr:uid="{4D841D93-5458-46E7-AE46-863FF0BF9F2A}"/>
    <cellStyle name="Normal 2 4 2 5 2 8" xfId="21534" xr:uid="{FFDDB4EC-353C-4E16-B590-88F0CBBA446F}"/>
    <cellStyle name="Normal 2 4 2 5 2 9" xfId="13112" xr:uid="{309857E4-B176-437D-865C-258BFA15FF88}"/>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9881" xr:uid="{DF098587-1A94-4006-A561-400826B71F04}"/>
    <cellStyle name="Normal 2 4 2 5 3 2 3" xfId="15670" xr:uid="{ED7CCE0E-1C7B-46F2-A469-BA0FB3CA03EE}"/>
    <cellStyle name="Normal 2 4 2 5 3 2 4" xfId="24920" xr:uid="{99E37F7D-F407-4B2E-B688-127B7F8E3E9F}"/>
    <cellStyle name="Normal 2 4 2 5 3 2 5" xfId="11459" xr:uid="{2CA368D4-11FB-436E-A82D-D6AC03683E10}"/>
    <cellStyle name="Normal 2 4 2 5 3 3" xfId="5103" xr:uid="{00000000-0005-0000-0000-00009D0F0000}"/>
    <cellStyle name="Normal 2 4 2 5 3 3 2" xfId="17736" xr:uid="{92CD2438-C40B-4EC5-99A9-3F3191053471}"/>
    <cellStyle name="Normal 2 4 2 5 3 4" xfId="21948" xr:uid="{7E4D1ED1-605C-4C20-9769-04F3DB859345}"/>
    <cellStyle name="Normal 2 4 2 5 3 5" xfId="13525" xr:uid="{48D686C0-8234-4DC5-9BAF-CCEF5A19F9D9}"/>
    <cellStyle name="Normal 2 4 2 5 3 6" xfId="22775" xr:uid="{359963F6-23E6-43A3-9386-A300D44D6C03}"/>
    <cellStyle name="Normal 2 4 2 5 3 7" xfId="9314" xr:uid="{9810FA33-705E-4CB7-9E63-BF511F50F60E}"/>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20294" xr:uid="{A11C3AF7-B1F1-4EC0-B2AF-3ED3FF9A6BAB}"/>
    <cellStyle name="Normal 2 4 2 5 4 2 3" xfId="16083" xr:uid="{15562C66-9A1D-40AB-9B99-B9191E81A73F}"/>
    <cellStyle name="Normal 2 4 2 5 4 2 4" xfId="25333" xr:uid="{C5801162-7EA8-4E8D-A889-535D681CC160}"/>
    <cellStyle name="Normal 2 4 2 5 4 2 5" xfId="11872" xr:uid="{9FBC2F45-17E1-41AF-B289-5B91DF0A6879}"/>
    <cellStyle name="Normal 2 4 2 5 4 3" xfId="5516" xr:uid="{00000000-0005-0000-0000-0000A10F0000}"/>
    <cellStyle name="Normal 2 4 2 5 4 3 2" xfId="18149" xr:uid="{C4E88C07-AC29-4F91-9B21-9FCB6F389130}"/>
    <cellStyle name="Normal 2 4 2 5 4 4" xfId="13938" xr:uid="{74C87D84-D4A9-43EF-8ECE-B9D220B342E0}"/>
    <cellStyle name="Normal 2 4 2 5 4 5" xfId="23188" xr:uid="{576A511E-29B9-4380-AF4E-D447F327DAB2}"/>
    <cellStyle name="Normal 2 4 2 5 4 6" xfId="9727" xr:uid="{48BEA134-EFFB-40A3-8BB6-D86C6BC5768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20707" xr:uid="{85496664-60B4-443C-85E1-FABCE3A2FE1C}"/>
    <cellStyle name="Normal 2 4 2 5 5 2 3" xfId="16496" xr:uid="{6823336B-44F1-4B04-9048-91188B5D33CD}"/>
    <cellStyle name="Normal 2 4 2 5 5 2 4" xfId="25746" xr:uid="{FE203747-0320-47B9-BB55-5803CAC55AEB}"/>
    <cellStyle name="Normal 2 4 2 5 5 2 5" xfId="12285" xr:uid="{FE9CBA31-DB9C-4921-8FB1-6AC5BFDB9C42}"/>
    <cellStyle name="Normal 2 4 2 5 5 3" xfId="5929" xr:uid="{00000000-0005-0000-0000-0000A50F0000}"/>
    <cellStyle name="Normal 2 4 2 5 5 3 2" xfId="18562" xr:uid="{D515F7E0-0351-4C5E-B8C4-91FC18FED802}"/>
    <cellStyle name="Normal 2 4 2 5 5 4" xfId="14351" xr:uid="{E86CE7F6-EC04-4EC4-952E-BBB02F662DFB}"/>
    <cellStyle name="Normal 2 4 2 5 5 5" xfId="23601" xr:uid="{C0CED1B8-70D8-4322-A74E-426C4E55F0F8}"/>
    <cellStyle name="Normal 2 4 2 5 5 6" xfId="10140" xr:uid="{54DFCFBB-B51F-4D6D-9787-0460B2B186C7}"/>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21120" xr:uid="{721854F3-7B0F-4708-95A0-C0902D747071}"/>
    <cellStyle name="Normal 2 4 2 5 6 2 3" xfId="16909" xr:uid="{16A60F85-2650-4414-94CF-4F0B1CC10162}"/>
    <cellStyle name="Normal 2 4 2 5 6 2 4" xfId="26159" xr:uid="{8E693CA6-B7F8-46F3-AF4E-6074842F567C}"/>
    <cellStyle name="Normal 2 4 2 5 6 2 5" xfId="12698" xr:uid="{E85B0262-BEDA-4119-AEB1-D94BB0F56770}"/>
    <cellStyle name="Normal 2 4 2 5 6 3" xfId="6342" xr:uid="{00000000-0005-0000-0000-0000A90F0000}"/>
    <cellStyle name="Normal 2 4 2 5 6 3 2" xfId="18975" xr:uid="{79CC3A33-178E-4EA7-91DA-C0D7A27F28FC}"/>
    <cellStyle name="Normal 2 4 2 5 6 4" xfId="14764" xr:uid="{8C053C85-B432-407F-8AB6-5E34FB42F51F}"/>
    <cellStyle name="Normal 2 4 2 5 6 5" xfId="24014" xr:uid="{C2724A2E-0D4E-43A0-BD85-951DE5B80ACD}"/>
    <cellStyle name="Normal 2 4 2 5 6 6" xfId="10553" xr:uid="{5FE57E89-B267-4404-B482-A3896201A129}"/>
    <cellStyle name="Normal 2 4 2 5 7" xfId="2470" xr:uid="{00000000-0005-0000-0000-0000AA0F0000}"/>
    <cellStyle name="Normal 2 4 2 5 7 2" xfId="6755" xr:uid="{00000000-0005-0000-0000-0000AB0F0000}"/>
    <cellStyle name="Normal 2 4 2 5 7 2 2" xfId="19388" xr:uid="{A21FB800-6148-4DB9-8163-F3D6E046D2D8}"/>
    <cellStyle name="Normal 2 4 2 5 7 3" xfId="15177" xr:uid="{CB12B38F-EDAE-480F-88BE-6E1D3427CB4E}"/>
    <cellStyle name="Normal 2 4 2 5 7 4" xfId="24427" xr:uid="{E8196C2E-1052-475D-9AF5-30FB8237988A}"/>
    <cellStyle name="Normal 2 4 2 5 7 5" xfId="10966" xr:uid="{524E6A07-6124-470E-9D0D-A180245E2AF9}"/>
    <cellStyle name="Normal 2 4 2 5 8" xfId="4689" xr:uid="{00000000-0005-0000-0000-0000AC0F0000}"/>
    <cellStyle name="Normal 2 4 2 5 8 2" xfId="17322" xr:uid="{9C6DA79A-4357-48EE-BBF3-9CA9142839BA}"/>
    <cellStyle name="Normal 2 4 2 5 9" xfId="21533" xr:uid="{E0C9A0E9-5DAF-49FE-8EAE-312CF9521360}"/>
    <cellStyle name="Normal 2 4 2 6" xfId="295" xr:uid="{00000000-0005-0000-0000-0000AD0F0000}"/>
    <cellStyle name="Normal 2 4 2 6 10" xfId="22363" xr:uid="{3AD87A82-6302-4FDF-9C4A-68B53FFA46D8}"/>
    <cellStyle name="Normal 2 4 2 6 11" xfId="8902" xr:uid="{4D15629D-9A85-4895-9E39-FC37340A749F}"/>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9883" xr:uid="{4E19F757-034D-4459-9AC7-D33911877683}"/>
    <cellStyle name="Normal 2 4 2 6 2 2 3" xfId="15672" xr:uid="{E16EDCCE-2C1E-4C36-9931-E329D2B0B659}"/>
    <cellStyle name="Normal 2 4 2 6 2 2 4" xfId="24922" xr:uid="{EF4CB069-3458-4F10-B17C-E47D27A81DEB}"/>
    <cellStyle name="Normal 2 4 2 6 2 2 5" xfId="11461" xr:uid="{7C09D361-4751-40F5-AD91-FFE97ECBAAED}"/>
    <cellStyle name="Normal 2 4 2 6 2 3" xfId="5105" xr:uid="{00000000-0005-0000-0000-0000B10F0000}"/>
    <cellStyle name="Normal 2 4 2 6 2 3 2" xfId="17738" xr:uid="{50793EE8-E604-45A0-BEEC-8F770A9C52ED}"/>
    <cellStyle name="Normal 2 4 2 6 2 4" xfId="21950" xr:uid="{2B9945E5-3B1F-4E4D-83F9-46834B449594}"/>
    <cellStyle name="Normal 2 4 2 6 2 5" xfId="13527" xr:uid="{9E876CC5-436B-4FC9-BB55-F9F95FB944B7}"/>
    <cellStyle name="Normal 2 4 2 6 2 6" xfId="22777" xr:uid="{23CDF81C-1E92-476E-8382-D8D52705EEEF}"/>
    <cellStyle name="Normal 2 4 2 6 2 7" xfId="9316" xr:uid="{56DDC76B-1590-40A1-A403-A23F13A70CA2}"/>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20296" xr:uid="{3484EFA7-82B3-4920-A1C0-401E8453A25C}"/>
    <cellStyle name="Normal 2 4 2 6 3 2 3" xfId="16085" xr:uid="{39A3BEF5-A2DA-4039-A60B-5D37043A1D07}"/>
    <cellStyle name="Normal 2 4 2 6 3 2 4" xfId="25335" xr:uid="{9B45ECD5-36AF-4334-A989-B886727CD3F7}"/>
    <cellStyle name="Normal 2 4 2 6 3 2 5" xfId="11874" xr:uid="{C9192907-507F-44DE-BFA6-DD414336AC90}"/>
    <cellStyle name="Normal 2 4 2 6 3 3" xfId="5518" xr:uid="{00000000-0005-0000-0000-0000B50F0000}"/>
    <cellStyle name="Normal 2 4 2 6 3 3 2" xfId="18151" xr:uid="{38BC3CCD-7DE5-42D1-8E9C-CD65D6DC9E38}"/>
    <cellStyle name="Normal 2 4 2 6 3 4" xfId="13940" xr:uid="{DF5530C5-F034-42B9-BC8F-D7F2FA833AAC}"/>
    <cellStyle name="Normal 2 4 2 6 3 5" xfId="23190" xr:uid="{878B619C-1086-489A-BAB4-3BDB96E0AD19}"/>
    <cellStyle name="Normal 2 4 2 6 3 6" xfId="9729" xr:uid="{0589292E-4D4E-45C7-86FF-6F466983F48A}"/>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20709" xr:uid="{EA424EB1-08E0-4804-8DD6-EBAB862D3B85}"/>
    <cellStyle name="Normal 2 4 2 6 4 2 3" xfId="16498" xr:uid="{51D46851-9CC1-4C11-92AD-69F5E260EE3E}"/>
    <cellStyle name="Normal 2 4 2 6 4 2 4" xfId="25748" xr:uid="{8E792FDA-13D7-44AA-87E2-68862171C477}"/>
    <cellStyle name="Normal 2 4 2 6 4 2 5" xfId="12287" xr:uid="{32AF0B03-D20B-4532-980C-9205694781E3}"/>
    <cellStyle name="Normal 2 4 2 6 4 3" xfId="5931" xr:uid="{00000000-0005-0000-0000-0000B90F0000}"/>
    <cellStyle name="Normal 2 4 2 6 4 3 2" xfId="18564" xr:uid="{3B6229C4-A809-413F-918D-5A44E1170322}"/>
    <cellStyle name="Normal 2 4 2 6 4 4" xfId="14353" xr:uid="{C3B9EB31-DAFE-4E37-8DAC-47A7DC64D7B8}"/>
    <cellStyle name="Normal 2 4 2 6 4 5" xfId="23603" xr:uid="{8077BD32-86D1-4905-9D86-76689C67245E}"/>
    <cellStyle name="Normal 2 4 2 6 4 6" xfId="10142" xr:uid="{182D4A22-0F35-4A27-AC2E-7C38B5778B52}"/>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21122" xr:uid="{A836661C-25DF-403F-8913-EEEE2C409B11}"/>
    <cellStyle name="Normal 2 4 2 6 5 2 3" xfId="16911" xr:uid="{8458AB18-EFC4-4CB8-83F6-3DDFC1FE0E35}"/>
    <cellStyle name="Normal 2 4 2 6 5 2 4" xfId="26161" xr:uid="{45B7503F-83D0-4769-9F8B-4C1B5811515B}"/>
    <cellStyle name="Normal 2 4 2 6 5 2 5" xfId="12700" xr:uid="{F8548F9E-0650-4C26-92F5-C9FA9E979FF4}"/>
    <cellStyle name="Normal 2 4 2 6 5 3" xfId="6344" xr:uid="{00000000-0005-0000-0000-0000BD0F0000}"/>
    <cellStyle name="Normal 2 4 2 6 5 3 2" xfId="18977" xr:uid="{3EE8B8CB-9E92-47D7-BD30-9C19EE715424}"/>
    <cellStyle name="Normal 2 4 2 6 5 4" xfId="14766" xr:uid="{6690736C-9698-4727-8631-4282D16E6E02}"/>
    <cellStyle name="Normal 2 4 2 6 5 5" xfId="24016" xr:uid="{094425B4-61D5-4103-978C-74F2846C2821}"/>
    <cellStyle name="Normal 2 4 2 6 5 6" xfId="10555" xr:uid="{62B49A6C-74FC-4956-A273-2AF1CADAF75A}"/>
    <cellStyle name="Normal 2 4 2 6 6" xfId="2472" xr:uid="{00000000-0005-0000-0000-0000BE0F0000}"/>
    <cellStyle name="Normal 2 4 2 6 6 2" xfId="6757" xr:uid="{00000000-0005-0000-0000-0000BF0F0000}"/>
    <cellStyle name="Normal 2 4 2 6 6 2 2" xfId="19390" xr:uid="{8D415091-6814-46F7-8688-20BF39C556D0}"/>
    <cellStyle name="Normal 2 4 2 6 6 3" xfId="15179" xr:uid="{81A273FB-EA2A-4059-87CC-41D4A763F9CC}"/>
    <cellStyle name="Normal 2 4 2 6 6 4" xfId="24429" xr:uid="{9E75A9EA-515D-4C51-9D2A-7A97A73E5F95}"/>
    <cellStyle name="Normal 2 4 2 6 6 5" xfId="10968" xr:uid="{2517C959-306A-4DC2-BDA6-55E3AA6027D5}"/>
    <cellStyle name="Normal 2 4 2 6 7" xfId="4691" xr:uid="{00000000-0005-0000-0000-0000C00F0000}"/>
    <cellStyle name="Normal 2 4 2 6 7 2" xfId="17324" xr:uid="{247C5BAF-0296-489B-B536-7C35FD3726CC}"/>
    <cellStyle name="Normal 2 4 2 6 8" xfId="21535" xr:uid="{ADB7B8BD-59E8-4E4E-97DD-3ADAC7F0F6BB}"/>
    <cellStyle name="Normal 2 4 2 6 9" xfId="13113" xr:uid="{1D2072B2-734A-415D-BD8F-E9B735AE9AC7}"/>
    <cellStyle name="Normal 2 4 2 7" xfId="772" xr:uid="{00000000-0005-0000-0000-0000C10F0000}"/>
    <cellStyle name="Normal 2 4 2 7 2" xfId="3011" xr:uid="{00000000-0005-0000-0000-0000C20F0000}"/>
    <cellStyle name="Normal 2 4 2 7 2 2" xfId="7235" xr:uid="{00000000-0005-0000-0000-0000C30F0000}"/>
    <cellStyle name="Normal 2 4 2 7 2 2 2" xfId="19868" xr:uid="{5442FD7D-7997-4BD7-8989-6CC4B604BBCB}"/>
    <cellStyle name="Normal 2 4 2 7 2 3" xfId="15657" xr:uid="{75C2A2DC-7048-4983-975C-C8D771326581}"/>
    <cellStyle name="Normal 2 4 2 7 2 4" xfId="24907" xr:uid="{61743608-9ACD-49B9-9A2D-6435A7CD56C1}"/>
    <cellStyle name="Normal 2 4 2 7 2 5" xfId="11446" xr:uid="{226E4E77-9DAE-4CC9-882F-49C21EDFC0EF}"/>
    <cellStyle name="Normal 2 4 2 7 3" xfId="5090" xr:uid="{00000000-0005-0000-0000-0000C40F0000}"/>
    <cellStyle name="Normal 2 4 2 7 3 2" xfId="17723" xr:uid="{0D5493F1-CE13-4A63-B9B6-D8D4B52A3F2E}"/>
    <cellStyle name="Normal 2 4 2 7 4" xfId="21935" xr:uid="{61129778-EB1E-47B0-8542-0B0953DAD867}"/>
    <cellStyle name="Normal 2 4 2 7 5" xfId="13512" xr:uid="{DA740A08-57D1-4A1A-98D2-965C8EA3E28E}"/>
    <cellStyle name="Normal 2 4 2 7 6" xfId="22762" xr:uid="{69C8DB62-6C33-4BF7-B1FA-1AB8F6A5834B}"/>
    <cellStyle name="Normal 2 4 2 7 7" xfId="9301" xr:uid="{3ACC204B-FC4B-4CA1-9F83-1B14359FEF1D}"/>
    <cellStyle name="Normal 2 4 2 8" xfId="1194" xr:uid="{00000000-0005-0000-0000-0000C50F0000}"/>
    <cellStyle name="Normal 2 4 2 8 2" xfId="3424" xr:uid="{00000000-0005-0000-0000-0000C60F0000}"/>
    <cellStyle name="Normal 2 4 2 8 2 2" xfId="7648" xr:uid="{00000000-0005-0000-0000-0000C70F0000}"/>
    <cellStyle name="Normal 2 4 2 8 2 2 2" xfId="20281" xr:uid="{5F71B784-3FEB-41A0-876E-A2C6FB0D490E}"/>
    <cellStyle name="Normal 2 4 2 8 2 3" xfId="16070" xr:uid="{BC58088F-56E6-44C3-9C5E-7A9B01F9453D}"/>
    <cellStyle name="Normal 2 4 2 8 2 4" xfId="25320" xr:uid="{245DF47F-3025-4AA1-9EB4-1C1828AB6DC0}"/>
    <cellStyle name="Normal 2 4 2 8 2 5" xfId="11859" xr:uid="{D5A4426C-98A5-4E97-8782-DC97130F0713}"/>
    <cellStyle name="Normal 2 4 2 8 3" xfId="5503" xr:uid="{00000000-0005-0000-0000-0000C80F0000}"/>
    <cellStyle name="Normal 2 4 2 8 3 2" xfId="18136" xr:uid="{19699020-F05F-492E-B2A6-61B6288D4910}"/>
    <cellStyle name="Normal 2 4 2 8 4" xfId="13925" xr:uid="{6718150C-2D21-4BF4-868E-29C99F8BD7D2}"/>
    <cellStyle name="Normal 2 4 2 8 5" xfId="23175" xr:uid="{C4DCA07E-67AB-4A0A-A7AC-2D850FF8EF1C}"/>
    <cellStyle name="Normal 2 4 2 8 6" xfId="9714" xr:uid="{4ABEDE9A-FA94-457B-ACAD-40ED808E8DBB}"/>
    <cellStyle name="Normal 2 4 2 9" xfId="1607" xr:uid="{00000000-0005-0000-0000-0000C90F0000}"/>
    <cellStyle name="Normal 2 4 2 9 2" xfId="3837" xr:uid="{00000000-0005-0000-0000-0000CA0F0000}"/>
    <cellStyle name="Normal 2 4 2 9 2 2" xfId="8061" xr:uid="{00000000-0005-0000-0000-0000CB0F0000}"/>
    <cellStyle name="Normal 2 4 2 9 2 2 2" xfId="20694" xr:uid="{75B0F43E-FC5D-4FEC-9229-4714159F376E}"/>
    <cellStyle name="Normal 2 4 2 9 2 3" xfId="16483" xr:uid="{D587778E-947E-4558-AD83-10D6C0EF0E52}"/>
    <cellStyle name="Normal 2 4 2 9 2 4" xfId="25733" xr:uid="{6149C94C-32AC-45AD-9CA4-25BBEE757510}"/>
    <cellStyle name="Normal 2 4 2 9 2 5" xfId="12272" xr:uid="{1D5CBADF-13E2-4EBA-A6B2-F1EBC33125CA}"/>
    <cellStyle name="Normal 2 4 2 9 3" xfId="5916" xr:uid="{00000000-0005-0000-0000-0000CC0F0000}"/>
    <cellStyle name="Normal 2 4 2 9 3 2" xfId="18549" xr:uid="{96A18788-B184-417A-A1B3-4F4E3B1B858B}"/>
    <cellStyle name="Normal 2 4 2 9 4" xfId="14338" xr:uid="{B2198ED1-EF68-4F58-8172-456713417CEE}"/>
    <cellStyle name="Normal 2 4 2 9 5" xfId="23588" xr:uid="{3DD03643-677A-451E-BF30-72CAA33F304A}"/>
    <cellStyle name="Normal 2 4 2 9 6" xfId="10127" xr:uid="{CD0E687E-E07E-47D5-8532-B01670F3CCA9}"/>
    <cellStyle name="Normal 2 4 3" xfId="296" xr:uid="{00000000-0005-0000-0000-0000CD0F0000}"/>
    <cellStyle name="Normal 2 4 3 10" xfId="21536" xr:uid="{AE9515D5-134C-4FDB-B13D-04423BF2560B}"/>
    <cellStyle name="Normal 2 4 3 11" xfId="13114" xr:uid="{FBF6BEBF-E72F-4090-926C-2B7BF57D0745}"/>
    <cellStyle name="Normal 2 4 3 12" xfId="22364" xr:uid="{C7456104-DD71-48B8-AB10-8C093ABA389F}"/>
    <cellStyle name="Normal 2 4 3 13" xfId="8903" xr:uid="{0703A83B-D26A-4A96-AC4D-B0592AD661F6}"/>
    <cellStyle name="Normal 2 4 3 2" xfId="297" xr:uid="{00000000-0005-0000-0000-0000CE0F0000}"/>
    <cellStyle name="Normal 2 4 3 3" xfId="298" xr:uid="{00000000-0005-0000-0000-0000CF0F0000}"/>
    <cellStyle name="Normal 2 4 3 3 10" xfId="21537" xr:uid="{D60B7B64-E568-4B9B-82C7-81595CB12BB7}"/>
    <cellStyle name="Normal 2 4 3 3 11" xfId="13115" xr:uid="{456A24AA-79A0-4F5C-B1ED-D5A63ACF79B6}"/>
    <cellStyle name="Normal 2 4 3 3 12" xfId="22365" xr:uid="{35F68651-D503-4F56-A888-84EB04467A8A}"/>
    <cellStyle name="Normal 2 4 3 3 13" xfId="8904" xr:uid="{2242C615-F03C-43CE-B0E7-E9A1E11C8100}"/>
    <cellStyle name="Normal 2 4 3 3 2" xfId="299" xr:uid="{00000000-0005-0000-0000-0000D00F0000}"/>
    <cellStyle name="Normal 2 4 3 3 2 10" xfId="13116" xr:uid="{D0FA3FA4-45F0-442D-A628-82891DB21D63}"/>
    <cellStyle name="Normal 2 4 3 3 2 11" xfId="22366" xr:uid="{16F4394B-4DF8-48AF-ADC0-D9579DCADC2B}"/>
    <cellStyle name="Normal 2 4 3 3 2 12" xfId="8905" xr:uid="{75FD3FD6-75AD-4031-B9BA-1E8D0F4E4C77}"/>
    <cellStyle name="Normal 2 4 3 3 2 2" xfId="300" xr:uid="{00000000-0005-0000-0000-0000D10F0000}"/>
    <cellStyle name="Normal 2 4 3 3 2 2 10" xfId="22367" xr:uid="{A0A73225-0604-45B9-ABDF-06FB93168530}"/>
    <cellStyle name="Normal 2 4 3 3 2 2 11" xfId="8906" xr:uid="{BBA051B4-0952-44F1-8775-307FB4F786E9}"/>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9887" xr:uid="{A215565A-F472-4B15-99FB-FFEFC16F1BDB}"/>
    <cellStyle name="Normal 2 4 3 3 2 2 2 2 3" xfId="15676" xr:uid="{D2A93AF9-D683-4143-A106-1A797EE5DEF2}"/>
    <cellStyle name="Normal 2 4 3 3 2 2 2 2 4" xfId="24926" xr:uid="{8A91DEE1-1C0D-4F38-ADC5-5F5639E61FF3}"/>
    <cellStyle name="Normal 2 4 3 3 2 2 2 2 5" xfId="11465" xr:uid="{7BE12ED2-3D6B-4E55-AEC4-D2F4B9DB4137}"/>
    <cellStyle name="Normal 2 4 3 3 2 2 2 3" xfId="5109" xr:uid="{00000000-0005-0000-0000-0000D50F0000}"/>
    <cellStyle name="Normal 2 4 3 3 2 2 2 3 2" xfId="17742" xr:uid="{07628C90-7446-47E0-8416-5985208F834A}"/>
    <cellStyle name="Normal 2 4 3 3 2 2 2 4" xfId="21954" xr:uid="{50773F18-52D6-4779-AD00-A010DEC369DC}"/>
    <cellStyle name="Normal 2 4 3 3 2 2 2 5" xfId="13531" xr:uid="{33490B01-F37F-4A74-8426-F977BA7662FB}"/>
    <cellStyle name="Normal 2 4 3 3 2 2 2 6" xfId="22781" xr:uid="{014BE118-870C-4BB6-9A46-CE76B4997871}"/>
    <cellStyle name="Normal 2 4 3 3 2 2 2 7" xfId="9320" xr:uid="{94B1582D-41C3-4389-A386-19CDE3281D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20300" xr:uid="{C4228C2B-6CD3-464B-BF21-C3F747AE2459}"/>
    <cellStyle name="Normal 2 4 3 3 2 2 3 2 3" xfId="16089" xr:uid="{99BDF2C1-30C8-4985-BFAF-7D93CD7D6A1E}"/>
    <cellStyle name="Normal 2 4 3 3 2 2 3 2 4" xfId="25339" xr:uid="{1C65363B-D3A0-4C85-A45F-5A8CF34A05CC}"/>
    <cellStyle name="Normal 2 4 3 3 2 2 3 2 5" xfId="11878" xr:uid="{DBB9944A-ECB3-4496-BCBD-7696C39A1F2C}"/>
    <cellStyle name="Normal 2 4 3 3 2 2 3 3" xfId="5522" xr:uid="{00000000-0005-0000-0000-0000D90F0000}"/>
    <cellStyle name="Normal 2 4 3 3 2 2 3 3 2" xfId="18155" xr:uid="{9CA2EE72-7627-4DE9-A7E7-6A9FDB6CE236}"/>
    <cellStyle name="Normal 2 4 3 3 2 2 3 4" xfId="13944" xr:uid="{63D501F1-05EE-4C81-89D7-F4FD69021BBE}"/>
    <cellStyle name="Normal 2 4 3 3 2 2 3 5" xfId="23194" xr:uid="{3DCFD5EC-147F-464A-BDCB-8CEB1FDEC577}"/>
    <cellStyle name="Normal 2 4 3 3 2 2 3 6" xfId="9733" xr:uid="{05073DD9-E373-4005-BF90-C21A7462AF1F}"/>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20713" xr:uid="{F005773B-AD3D-4209-8100-C0DEA73DC229}"/>
    <cellStyle name="Normal 2 4 3 3 2 2 4 2 3" xfId="16502" xr:uid="{0DA211B8-676D-4DEA-B74C-14511DA5F41C}"/>
    <cellStyle name="Normal 2 4 3 3 2 2 4 2 4" xfId="25752" xr:uid="{CD920F20-728C-4E81-A396-88517C3A7EF8}"/>
    <cellStyle name="Normal 2 4 3 3 2 2 4 2 5" xfId="12291" xr:uid="{DF2299DE-FDF6-40D0-AA53-AEE9262D51B2}"/>
    <cellStyle name="Normal 2 4 3 3 2 2 4 3" xfId="5935" xr:uid="{00000000-0005-0000-0000-0000DD0F0000}"/>
    <cellStyle name="Normal 2 4 3 3 2 2 4 3 2" xfId="18568" xr:uid="{AA17A841-9E2A-4EA6-877E-1E1AF7857047}"/>
    <cellStyle name="Normal 2 4 3 3 2 2 4 4" xfId="14357" xr:uid="{D2A1C985-1CAB-406B-B339-6255A99F4E4D}"/>
    <cellStyle name="Normal 2 4 3 3 2 2 4 5" xfId="23607" xr:uid="{71C4F4EF-CC11-4EFE-BBB4-678056B89550}"/>
    <cellStyle name="Normal 2 4 3 3 2 2 4 6" xfId="10146" xr:uid="{0113DE8C-B0CA-4FE3-891E-8325AE79666A}"/>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21126" xr:uid="{1C9E4DF4-913E-40FC-8BB9-460614BCCB3B}"/>
    <cellStyle name="Normal 2 4 3 3 2 2 5 2 3" xfId="16915" xr:uid="{0D540177-ED16-4445-9D5B-6D1F6C66D414}"/>
    <cellStyle name="Normal 2 4 3 3 2 2 5 2 4" xfId="26165" xr:uid="{AE121B4D-D075-42F7-B53C-D5EE2E36ADC4}"/>
    <cellStyle name="Normal 2 4 3 3 2 2 5 2 5" xfId="12704" xr:uid="{3947E6FB-1AA9-4F18-B5C9-6FC853C14F48}"/>
    <cellStyle name="Normal 2 4 3 3 2 2 5 3" xfId="6348" xr:uid="{00000000-0005-0000-0000-0000E10F0000}"/>
    <cellStyle name="Normal 2 4 3 3 2 2 5 3 2" xfId="18981" xr:uid="{3FB07B95-8EA1-4DB1-AD1A-09A6F5A58AD7}"/>
    <cellStyle name="Normal 2 4 3 3 2 2 5 4" xfId="14770" xr:uid="{A5A79764-B318-46DE-BBA2-25CD02E16876}"/>
    <cellStyle name="Normal 2 4 3 3 2 2 5 5" xfId="24020" xr:uid="{FCCE7D0D-3B9F-417A-9338-9DD4D4EF3949}"/>
    <cellStyle name="Normal 2 4 3 3 2 2 5 6" xfId="10559" xr:uid="{7DD236FA-22AE-494D-A5BC-0A6A14DA9D03}"/>
    <cellStyle name="Normal 2 4 3 3 2 2 6" xfId="2476" xr:uid="{00000000-0005-0000-0000-0000E20F0000}"/>
    <cellStyle name="Normal 2 4 3 3 2 2 6 2" xfId="6761" xr:uid="{00000000-0005-0000-0000-0000E30F0000}"/>
    <cellStyle name="Normal 2 4 3 3 2 2 6 2 2" xfId="19394" xr:uid="{D7E53531-850F-4D66-8913-1B8CC5144C6A}"/>
    <cellStyle name="Normal 2 4 3 3 2 2 6 3" xfId="15183" xr:uid="{EF8C6A73-D102-44FD-A058-6A97D35136B1}"/>
    <cellStyle name="Normal 2 4 3 3 2 2 6 4" xfId="24433" xr:uid="{11B93822-7D01-4F83-BA43-8A00BAF55B3D}"/>
    <cellStyle name="Normal 2 4 3 3 2 2 6 5" xfId="10972" xr:uid="{E44DB985-D199-44FA-B1F9-0E135A7EE770}"/>
    <cellStyle name="Normal 2 4 3 3 2 2 7" xfId="4695" xr:uid="{00000000-0005-0000-0000-0000E40F0000}"/>
    <cellStyle name="Normal 2 4 3 3 2 2 7 2" xfId="17328" xr:uid="{2CAD8E64-B04F-4796-B716-4B35F71A3103}"/>
    <cellStyle name="Normal 2 4 3 3 2 2 8" xfId="21539" xr:uid="{E0AD3555-D524-4F11-BE39-E716D15937D0}"/>
    <cellStyle name="Normal 2 4 3 3 2 2 9" xfId="13117" xr:uid="{4DC16CC0-71B4-481B-AE76-EE4A2FE39572}"/>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9886" xr:uid="{9BDC029B-E9F1-4E3E-89EE-C1B7CA158DD0}"/>
    <cellStyle name="Normal 2 4 3 3 2 3 2 3" xfId="15675" xr:uid="{DAEC2DED-FFDB-4283-9392-A030138A2C68}"/>
    <cellStyle name="Normal 2 4 3 3 2 3 2 4" xfId="24925" xr:uid="{77091A9A-97BC-4181-A586-33ED7339C0C8}"/>
    <cellStyle name="Normal 2 4 3 3 2 3 2 5" xfId="11464" xr:uid="{C03486B7-5D96-43BD-9C07-B6EF78A54AEC}"/>
    <cellStyle name="Normal 2 4 3 3 2 3 3" xfId="5108" xr:uid="{00000000-0005-0000-0000-0000E80F0000}"/>
    <cellStyle name="Normal 2 4 3 3 2 3 3 2" xfId="17741" xr:uid="{D2E35C03-96AE-42CE-B595-556E5173F54A}"/>
    <cellStyle name="Normal 2 4 3 3 2 3 4" xfId="21953" xr:uid="{5E9C9003-7533-426B-80FC-6E909A28502A}"/>
    <cellStyle name="Normal 2 4 3 3 2 3 5" xfId="13530" xr:uid="{3F8B07F8-FC58-4CD5-AA45-8EA991C62265}"/>
    <cellStyle name="Normal 2 4 3 3 2 3 6" xfId="22780" xr:uid="{57108039-AB5A-4CA7-A2F7-C3D0C9FD3D10}"/>
    <cellStyle name="Normal 2 4 3 3 2 3 7" xfId="9319" xr:uid="{0E61AE55-CC8A-487E-B574-825A673DAE4E}"/>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20299" xr:uid="{563DE1EA-E16D-4492-B264-5BDC33EBC0EB}"/>
    <cellStyle name="Normal 2 4 3 3 2 4 2 3" xfId="16088" xr:uid="{F82928C6-6260-4B28-90E5-252380634E6B}"/>
    <cellStyle name="Normal 2 4 3 3 2 4 2 4" xfId="25338" xr:uid="{ADFB35E3-1250-470D-9983-8A5AE9DD4371}"/>
    <cellStyle name="Normal 2 4 3 3 2 4 2 5" xfId="11877" xr:uid="{A81855CB-9338-4026-897A-78463ADE6E0F}"/>
    <cellStyle name="Normal 2 4 3 3 2 4 3" xfId="5521" xr:uid="{00000000-0005-0000-0000-0000EC0F0000}"/>
    <cellStyle name="Normal 2 4 3 3 2 4 3 2" xfId="18154" xr:uid="{24C53CCE-6820-4280-8E71-2A346B1B04AF}"/>
    <cellStyle name="Normal 2 4 3 3 2 4 4" xfId="13943" xr:uid="{23ED36CA-5971-4685-BF94-462992157B3C}"/>
    <cellStyle name="Normal 2 4 3 3 2 4 5" xfId="23193" xr:uid="{1F8379CD-5495-48B4-A1E4-56AADEB309CF}"/>
    <cellStyle name="Normal 2 4 3 3 2 4 6" xfId="9732" xr:uid="{C007F0FE-714D-4692-BA02-15E9131767F4}"/>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20712" xr:uid="{5F6EEDBB-5584-4D36-976C-B75872B57AF0}"/>
    <cellStyle name="Normal 2 4 3 3 2 5 2 3" xfId="16501" xr:uid="{5BBB2226-4E31-4F0B-B2E1-EFCBACFE26CE}"/>
    <cellStyle name="Normal 2 4 3 3 2 5 2 4" xfId="25751" xr:uid="{A710FA97-716A-433D-952F-E5971428EB1D}"/>
    <cellStyle name="Normal 2 4 3 3 2 5 2 5" xfId="12290" xr:uid="{927F4F0F-A21C-43E3-8D6C-08B228B44928}"/>
    <cellStyle name="Normal 2 4 3 3 2 5 3" xfId="5934" xr:uid="{00000000-0005-0000-0000-0000F00F0000}"/>
    <cellStyle name="Normal 2 4 3 3 2 5 3 2" xfId="18567" xr:uid="{EC5020DB-DA46-4A70-88B3-2E3F385EC5B9}"/>
    <cellStyle name="Normal 2 4 3 3 2 5 4" xfId="14356" xr:uid="{7502B75A-77CE-47F1-8696-4CD10112C9E5}"/>
    <cellStyle name="Normal 2 4 3 3 2 5 5" xfId="23606" xr:uid="{7EE2AA58-F3D3-452F-95EE-72AED18AC687}"/>
    <cellStyle name="Normal 2 4 3 3 2 5 6" xfId="10145" xr:uid="{18B2048E-D1EF-415B-8B5C-0AB9402368B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21125" xr:uid="{A0FCE29D-EADE-4037-B537-4A5F9C0D49BD}"/>
    <cellStyle name="Normal 2 4 3 3 2 6 2 3" xfId="16914" xr:uid="{718A69EC-099D-4C9A-A239-FA7AD926ABCA}"/>
    <cellStyle name="Normal 2 4 3 3 2 6 2 4" xfId="26164" xr:uid="{D2E19E98-A046-47B6-A910-3B3672CA843A}"/>
    <cellStyle name="Normal 2 4 3 3 2 6 2 5" xfId="12703" xr:uid="{13BBB76D-8BA0-441C-886D-25131EDDF0E7}"/>
    <cellStyle name="Normal 2 4 3 3 2 6 3" xfId="6347" xr:uid="{00000000-0005-0000-0000-0000F40F0000}"/>
    <cellStyle name="Normal 2 4 3 3 2 6 3 2" xfId="18980" xr:uid="{6B6A2CC4-9202-4AF7-BF20-9E15E2939B5F}"/>
    <cellStyle name="Normal 2 4 3 3 2 6 4" xfId="14769" xr:uid="{DD91528A-033E-4CAD-B5EE-F479931F7BE5}"/>
    <cellStyle name="Normal 2 4 3 3 2 6 5" xfId="24019" xr:uid="{921AD3AD-F0C6-498A-9F47-C4E16A165D74}"/>
    <cellStyle name="Normal 2 4 3 3 2 6 6" xfId="10558" xr:uid="{24B3248A-617A-423E-BC04-64D39ECAE3E3}"/>
    <cellStyle name="Normal 2 4 3 3 2 7" xfId="2475" xr:uid="{00000000-0005-0000-0000-0000F50F0000}"/>
    <cellStyle name="Normal 2 4 3 3 2 7 2" xfId="6760" xr:uid="{00000000-0005-0000-0000-0000F60F0000}"/>
    <cellStyle name="Normal 2 4 3 3 2 7 2 2" xfId="19393" xr:uid="{163F1766-8552-4B67-A602-1AE077E8A737}"/>
    <cellStyle name="Normal 2 4 3 3 2 7 3" xfId="15182" xr:uid="{9D956DED-17DB-4919-AF36-6D813611F8E9}"/>
    <cellStyle name="Normal 2 4 3 3 2 7 4" xfId="24432" xr:uid="{9103912A-4980-4743-9C50-CC4E4019B5A6}"/>
    <cellStyle name="Normal 2 4 3 3 2 7 5" xfId="10971" xr:uid="{DA8111D7-722B-4C67-8361-0A95F92EE4D8}"/>
    <cellStyle name="Normal 2 4 3 3 2 8" xfId="4694" xr:uid="{00000000-0005-0000-0000-0000F70F0000}"/>
    <cellStyle name="Normal 2 4 3 3 2 8 2" xfId="17327" xr:uid="{FE903F87-4D5E-46FB-8078-8DDBC2B9AAAC}"/>
    <cellStyle name="Normal 2 4 3 3 2 9" xfId="21538" xr:uid="{FE72E5FC-4F1C-4CC7-8E83-C4844B6C959A}"/>
    <cellStyle name="Normal 2 4 3 3 3" xfId="301" xr:uid="{00000000-0005-0000-0000-0000F80F0000}"/>
    <cellStyle name="Normal 2 4 3 3 3 10" xfId="22368" xr:uid="{BF9B7BFA-D3EE-4713-B0D1-43BAEC3E2D77}"/>
    <cellStyle name="Normal 2 4 3 3 3 11" xfId="8907" xr:uid="{1A7A1D87-D653-47CA-8F99-4B2AC9A567A1}"/>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9888" xr:uid="{94840826-9708-456C-B8DC-5F4634D32240}"/>
    <cellStyle name="Normal 2 4 3 3 3 2 2 3" xfId="15677" xr:uid="{82F52CF1-FE54-41CC-96E6-58AC91A5003C}"/>
    <cellStyle name="Normal 2 4 3 3 3 2 2 4" xfId="24927" xr:uid="{759F7F85-BA11-4088-93CF-D17371C30569}"/>
    <cellStyle name="Normal 2 4 3 3 3 2 2 5" xfId="11466" xr:uid="{FFBD1D28-6AD5-491A-8610-BEC62356BBAE}"/>
    <cellStyle name="Normal 2 4 3 3 3 2 3" xfId="5110" xr:uid="{00000000-0005-0000-0000-0000FC0F0000}"/>
    <cellStyle name="Normal 2 4 3 3 3 2 3 2" xfId="17743" xr:uid="{3ACCE144-4C44-44ED-B545-D51A342C8304}"/>
    <cellStyle name="Normal 2 4 3 3 3 2 4" xfId="21955" xr:uid="{01FA4E0C-9894-4898-879A-A67620721FC8}"/>
    <cellStyle name="Normal 2 4 3 3 3 2 5" xfId="13532" xr:uid="{87E46D0E-5B2A-43FD-98E1-513BB0ACF080}"/>
    <cellStyle name="Normal 2 4 3 3 3 2 6" xfId="22782" xr:uid="{F7F84D86-A1EB-47A2-B0EA-E85D1B724766}"/>
    <cellStyle name="Normal 2 4 3 3 3 2 7" xfId="9321" xr:uid="{3486C749-53FE-42EC-B3CC-66BEBC732F65}"/>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20301" xr:uid="{9E450D8A-DDE6-4129-B374-BDC7BF751220}"/>
    <cellStyle name="Normal 2 4 3 3 3 3 2 3" xfId="16090" xr:uid="{FCE3F274-B9CF-45AB-B435-A0948C6C5225}"/>
    <cellStyle name="Normal 2 4 3 3 3 3 2 4" xfId="25340" xr:uid="{118149D1-64FB-461D-B80E-7822D66FDAC3}"/>
    <cellStyle name="Normal 2 4 3 3 3 3 2 5" xfId="11879" xr:uid="{4A44C46D-EB9A-4EF1-9F74-DB315104597C}"/>
    <cellStyle name="Normal 2 4 3 3 3 3 3" xfId="5523" xr:uid="{00000000-0005-0000-0000-000000100000}"/>
    <cellStyle name="Normal 2 4 3 3 3 3 3 2" xfId="18156" xr:uid="{C995199F-C109-4275-9EB2-6C2EA263575A}"/>
    <cellStyle name="Normal 2 4 3 3 3 3 4" xfId="13945" xr:uid="{380D77A4-D3AE-4A26-AB66-96E83CB8B395}"/>
    <cellStyle name="Normal 2 4 3 3 3 3 5" xfId="23195" xr:uid="{CE408ADE-5163-4A91-AD32-392615BB4B96}"/>
    <cellStyle name="Normal 2 4 3 3 3 3 6" xfId="9734" xr:uid="{90DBF26E-EE6B-4F9D-842D-34D3C8624F35}"/>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20714" xr:uid="{E4FC815A-AB89-4051-93B4-18C8EF0B6C03}"/>
    <cellStyle name="Normal 2 4 3 3 3 4 2 3" xfId="16503" xr:uid="{E2BB56E0-2ADE-451B-A28D-518292B81032}"/>
    <cellStyle name="Normal 2 4 3 3 3 4 2 4" xfId="25753" xr:uid="{16B05B5A-4A89-436B-9B44-3C0F4087B12A}"/>
    <cellStyle name="Normal 2 4 3 3 3 4 2 5" xfId="12292" xr:uid="{545AD51F-F627-4912-B005-384018AB8815}"/>
    <cellStyle name="Normal 2 4 3 3 3 4 3" xfId="5936" xr:uid="{00000000-0005-0000-0000-000004100000}"/>
    <cellStyle name="Normal 2 4 3 3 3 4 3 2" xfId="18569" xr:uid="{13BDE5DF-69FF-485D-9577-CEDE8B994C13}"/>
    <cellStyle name="Normal 2 4 3 3 3 4 4" xfId="14358" xr:uid="{8C2AA317-185B-453E-A4AE-8D7B97A4D85D}"/>
    <cellStyle name="Normal 2 4 3 3 3 4 5" xfId="23608" xr:uid="{F03EA709-24B2-439F-89DA-326ECD5725F1}"/>
    <cellStyle name="Normal 2 4 3 3 3 4 6" xfId="10147" xr:uid="{621DC547-508A-432A-B60E-952506F57618}"/>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21127" xr:uid="{4AB928CE-23EA-418E-A511-D96CB351F871}"/>
    <cellStyle name="Normal 2 4 3 3 3 5 2 3" xfId="16916" xr:uid="{6A78B2C5-DF94-4236-819E-B4C77DAD3B5B}"/>
    <cellStyle name="Normal 2 4 3 3 3 5 2 4" xfId="26166" xr:uid="{DDFE14AE-3C7D-4196-898E-04CD2D140C6F}"/>
    <cellStyle name="Normal 2 4 3 3 3 5 2 5" xfId="12705" xr:uid="{66926D8C-1A50-413D-A105-517AF715BB6A}"/>
    <cellStyle name="Normal 2 4 3 3 3 5 3" xfId="6349" xr:uid="{00000000-0005-0000-0000-000008100000}"/>
    <cellStyle name="Normal 2 4 3 3 3 5 3 2" xfId="18982" xr:uid="{CBC087F2-D0B4-4CD6-BC6A-0BCA6F3B91B2}"/>
    <cellStyle name="Normal 2 4 3 3 3 5 4" xfId="14771" xr:uid="{250E7559-C56E-4935-8DF0-BC39FF52B366}"/>
    <cellStyle name="Normal 2 4 3 3 3 5 5" xfId="24021" xr:uid="{A7A86AD2-A977-40EE-B045-E103CB09F3C0}"/>
    <cellStyle name="Normal 2 4 3 3 3 5 6" xfId="10560" xr:uid="{16CC429C-3FCC-4624-857F-675807EF3713}"/>
    <cellStyle name="Normal 2 4 3 3 3 6" xfId="2477" xr:uid="{00000000-0005-0000-0000-000009100000}"/>
    <cellStyle name="Normal 2 4 3 3 3 6 2" xfId="6762" xr:uid="{00000000-0005-0000-0000-00000A100000}"/>
    <cellStyle name="Normal 2 4 3 3 3 6 2 2" xfId="19395" xr:uid="{6C27316C-4768-49FF-9713-F0F5D11E66CA}"/>
    <cellStyle name="Normal 2 4 3 3 3 6 3" xfId="15184" xr:uid="{921193C4-C996-4548-B8B5-D8381940F4B1}"/>
    <cellStyle name="Normal 2 4 3 3 3 6 4" xfId="24434" xr:uid="{C89EA03A-D819-43C9-BAB4-1E1806204DF6}"/>
    <cellStyle name="Normal 2 4 3 3 3 6 5" xfId="10973" xr:uid="{2BA1C4DF-37E6-453C-B057-33254E5BF56B}"/>
    <cellStyle name="Normal 2 4 3 3 3 7" xfId="4696" xr:uid="{00000000-0005-0000-0000-00000B100000}"/>
    <cellStyle name="Normal 2 4 3 3 3 7 2" xfId="17329" xr:uid="{01DC957F-7E2B-418B-816A-105C72E9D779}"/>
    <cellStyle name="Normal 2 4 3 3 3 8" xfId="21540" xr:uid="{B43CD615-AF18-4570-9014-6EB5BEE8F422}"/>
    <cellStyle name="Normal 2 4 3 3 3 9" xfId="13118" xr:uid="{61EE6089-FAA4-470F-B9D6-6E80B6CFAA2D}"/>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9885" xr:uid="{F31D453B-7A8B-4AF2-A67F-71F11F5A948D}"/>
    <cellStyle name="Normal 2 4 3 3 4 2 3" xfId="15674" xr:uid="{256925F8-0C6D-4C68-B657-994C2AAA880A}"/>
    <cellStyle name="Normal 2 4 3 3 4 2 4" xfId="24924" xr:uid="{46D822C5-F655-4C21-9883-C821FAFAA560}"/>
    <cellStyle name="Normal 2 4 3 3 4 2 5" xfId="11463" xr:uid="{C375907D-3BEC-4286-BB7A-2D6D54018848}"/>
    <cellStyle name="Normal 2 4 3 3 4 3" xfId="5107" xr:uid="{00000000-0005-0000-0000-00000F100000}"/>
    <cellStyle name="Normal 2 4 3 3 4 3 2" xfId="17740" xr:uid="{93DCB393-F8C0-4516-9696-75D8AFD86918}"/>
    <cellStyle name="Normal 2 4 3 3 4 4" xfId="21952" xr:uid="{D6187FFF-541A-4446-BEC8-F30FCB421995}"/>
    <cellStyle name="Normal 2 4 3 3 4 5" xfId="13529" xr:uid="{194A8883-2528-469A-8231-15E730C02799}"/>
    <cellStyle name="Normal 2 4 3 3 4 6" xfId="22779" xr:uid="{7115DB1C-1CE6-460B-B511-03D52DB574B2}"/>
    <cellStyle name="Normal 2 4 3 3 4 7" xfId="9318" xr:uid="{7BC37BED-18D9-44DA-B941-2701FAF16095}"/>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20298" xr:uid="{D4DBEFAF-3916-490F-881D-7DABC391A2D7}"/>
    <cellStyle name="Normal 2 4 3 3 5 2 3" xfId="16087" xr:uid="{FFB7D45F-EE8B-4AD4-A6E8-B3421646CF2A}"/>
    <cellStyle name="Normal 2 4 3 3 5 2 4" xfId="25337" xr:uid="{2CBEC0D3-AB23-46B9-8035-887E2FFDE878}"/>
    <cellStyle name="Normal 2 4 3 3 5 2 5" xfId="11876" xr:uid="{1729EF37-8BA8-4146-987C-1E0FE148543B}"/>
    <cellStyle name="Normal 2 4 3 3 5 3" xfId="5520" xr:uid="{00000000-0005-0000-0000-000013100000}"/>
    <cellStyle name="Normal 2 4 3 3 5 3 2" xfId="18153" xr:uid="{A989BCAC-28D0-4609-A897-4C938509AAE2}"/>
    <cellStyle name="Normal 2 4 3 3 5 4" xfId="13942" xr:uid="{03C00BD0-3D8E-481A-8726-FF4FAE767A01}"/>
    <cellStyle name="Normal 2 4 3 3 5 5" xfId="23192" xr:uid="{A9A1522A-E43F-4ACF-9233-134E8A110BFB}"/>
    <cellStyle name="Normal 2 4 3 3 5 6" xfId="9731" xr:uid="{AEADA461-F3C6-43B8-8F1F-C4EF9E703B90}"/>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20711" xr:uid="{9218B478-06A7-4757-9D69-4AD627AC770E}"/>
    <cellStyle name="Normal 2 4 3 3 6 2 3" xfId="16500" xr:uid="{F9B424CE-1C68-47AD-B04D-4B0AB1ACBF5B}"/>
    <cellStyle name="Normal 2 4 3 3 6 2 4" xfId="25750" xr:uid="{5DF357B7-DCBD-4F73-856D-9E686DA283D6}"/>
    <cellStyle name="Normal 2 4 3 3 6 2 5" xfId="12289" xr:uid="{1C6CC15C-2E56-4BD8-B467-6A133AC03BD5}"/>
    <cellStyle name="Normal 2 4 3 3 6 3" xfId="5933" xr:uid="{00000000-0005-0000-0000-000017100000}"/>
    <cellStyle name="Normal 2 4 3 3 6 3 2" xfId="18566" xr:uid="{F7F9B9BA-BBA9-4C0A-90A7-BAF92747D1B9}"/>
    <cellStyle name="Normal 2 4 3 3 6 4" xfId="14355" xr:uid="{66B533EF-D579-49ED-8218-FCFCB0804AF6}"/>
    <cellStyle name="Normal 2 4 3 3 6 5" xfId="23605" xr:uid="{6902D397-EB45-4726-8303-785605C59BD3}"/>
    <cellStyle name="Normal 2 4 3 3 6 6" xfId="10144" xr:uid="{0353FC2D-D342-4E96-A94E-4087675259C3}"/>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21124" xr:uid="{BAA79CDA-FCC9-428F-9895-311A36678742}"/>
    <cellStyle name="Normal 2 4 3 3 7 2 3" xfId="16913" xr:uid="{C3247A88-2600-4F62-A7D3-94E67E4947F1}"/>
    <cellStyle name="Normal 2 4 3 3 7 2 4" xfId="26163" xr:uid="{B0A87CCA-540A-4312-875F-12EF7F320069}"/>
    <cellStyle name="Normal 2 4 3 3 7 2 5" xfId="12702" xr:uid="{BE475D8D-55DE-474F-B959-B5E2FF35290A}"/>
    <cellStyle name="Normal 2 4 3 3 7 3" xfId="6346" xr:uid="{00000000-0005-0000-0000-00001B100000}"/>
    <cellStyle name="Normal 2 4 3 3 7 3 2" xfId="18979" xr:uid="{C5F58A9F-A84B-4BD4-8C21-DBA4BC86E3C3}"/>
    <cellStyle name="Normal 2 4 3 3 7 4" xfId="14768" xr:uid="{A94C2687-27A6-471B-A629-AFFDC782CE6F}"/>
    <cellStyle name="Normal 2 4 3 3 7 5" xfId="24018" xr:uid="{909285B0-0DE5-4599-8E96-46AE7BBBF36F}"/>
    <cellStyle name="Normal 2 4 3 3 7 6" xfId="10557" xr:uid="{DE7A2E04-F852-4DF7-AEE7-D2E36BDC41D8}"/>
    <cellStyle name="Normal 2 4 3 3 8" xfId="2474" xr:uid="{00000000-0005-0000-0000-00001C100000}"/>
    <cellStyle name="Normal 2 4 3 3 8 2" xfId="6759" xr:uid="{00000000-0005-0000-0000-00001D100000}"/>
    <cellStyle name="Normal 2 4 3 3 8 2 2" xfId="19392" xr:uid="{694C9B28-9905-4453-B84A-EE3482EC4F62}"/>
    <cellStyle name="Normal 2 4 3 3 8 3" xfId="15181" xr:uid="{C1DF605B-24E2-4ABF-BD26-FDD928F2CB0D}"/>
    <cellStyle name="Normal 2 4 3 3 8 4" xfId="24431" xr:uid="{A1AB9959-DE9A-4616-89E7-7314BE6ECD2B}"/>
    <cellStyle name="Normal 2 4 3 3 8 5" xfId="10970" xr:uid="{EC3F7911-C4E7-4458-AD56-1A408D824673}"/>
    <cellStyle name="Normal 2 4 3 3 9" xfId="4693" xr:uid="{00000000-0005-0000-0000-00001E100000}"/>
    <cellStyle name="Normal 2 4 3 3 9 2" xfId="17326" xr:uid="{01B73B4B-F452-4810-B8A1-C5D1636BC423}"/>
    <cellStyle name="Normal 2 4 3 4" xfId="788" xr:uid="{00000000-0005-0000-0000-00001F100000}"/>
    <cellStyle name="Normal 2 4 3 4 2" xfId="3027" xr:uid="{00000000-0005-0000-0000-000020100000}"/>
    <cellStyle name="Normal 2 4 3 4 2 2" xfId="7251" xr:uid="{00000000-0005-0000-0000-000021100000}"/>
    <cellStyle name="Normal 2 4 3 4 2 2 2" xfId="19884" xr:uid="{9BD26E3B-11A7-49D2-A74A-70D4F650C1F0}"/>
    <cellStyle name="Normal 2 4 3 4 2 3" xfId="15673" xr:uid="{3325BC5D-F568-43AA-9617-B010DA9ECB45}"/>
    <cellStyle name="Normal 2 4 3 4 2 4" xfId="24923" xr:uid="{177B85DD-7678-4DD3-B9F4-94CE1686B773}"/>
    <cellStyle name="Normal 2 4 3 4 2 5" xfId="11462" xr:uid="{73239562-A1F5-4018-89CE-4749A9F2D232}"/>
    <cellStyle name="Normal 2 4 3 4 3" xfId="5106" xr:uid="{00000000-0005-0000-0000-000022100000}"/>
    <cellStyle name="Normal 2 4 3 4 3 2" xfId="17739" xr:uid="{4388AD56-23DD-4A87-86B1-565C870223AF}"/>
    <cellStyle name="Normal 2 4 3 4 4" xfId="21951" xr:uid="{31ECC913-5F97-46C2-B6BE-98786C95E885}"/>
    <cellStyle name="Normal 2 4 3 4 5" xfId="13528" xr:uid="{AEEC91DF-EFBC-463B-90B5-A47CAF74AAD8}"/>
    <cellStyle name="Normal 2 4 3 4 6" xfId="22778" xr:uid="{670CF278-FEE0-4466-97E6-FAFD9F66CF09}"/>
    <cellStyle name="Normal 2 4 3 4 7" xfId="9317" xr:uid="{658335E5-482F-4256-930A-6808B9D5497C}"/>
    <cellStyle name="Normal 2 4 3 5" xfId="1210" xr:uid="{00000000-0005-0000-0000-000023100000}"/>
    <cellStyle name="Normal 2 4 3 5 2" xfId="3440" xr:uid="{00000000-0005-0000-0000-000024100000}"/>
    <cellStyle name="Normal 2 4 3 5 2 2" xfId="7664" xr:uid="{00000000-0005-0000-0000-000025100000}"/>
    <cellStyle name="Normal 2 4 3 5 2 2 2" xfId="20297" xr:uid="{10195074-BF0D-4860-8FCF-7C2CE416EEAC}"/>
    <cellStyle name="Normal 2 4 3 5 2 3" xfId="16086" xr:uid="{964DF3A8-9A10-4F1C-A4FA-2167F9EDEBF1}"/>
    <cellStyle name="Normal 2 4 3 5 2 4" xfId="25336" xr:uid="{B37C16F9-6811-4634-AE5A-EEFA4A28A877}"/>
    <cellStyle name="Normal 2 4 3 5 2 5" xfId="11875" xr:uid="{7555914B-5E6A-4ECB-A9C5-428ECB86EB03}"/>
    <cellStyle name="Normal 2 4 3 5 3" xfId="5519" xr:uid="{00000000-0005-0000-0000-000026100000}"/>
    <cellStyle name="Normal 2 4 3 5 3 2" xfId="18152" xr:uid="{C0DE86AF-B02F-48EA-8C5F-9DF4AABD23D9}"/>
    <cellStyle name="Normal 2 4 3 5 4" xfId="13941" xr:uid="{F662A46B-AF2A-427E-A018-2BA0EA3E358E}"/>
    <cellStyle name="Normal 2 4 3 5 5" xfId="23191" xr:uid="{424AE054-41D9-47B2-A26B-617B7065CFB7}"/>
    <cellStyle name="Normal 2 4 3 5 6" xfId="9730" xr:uid="{CB422741-4DA1-4186-80A1-BAF495809108}"/>
    <cellStyle name="Normal 2 4 3 6" xfId="1623" xr:uid="{00000000-0005-0000-0000-000027100000}"/>
    <cellStyle name="Normal 2 4 3 6 2" xfId="3853" xr:uid="{00000000-0005-0000-0000-000028100000}"/>
    <cellStyle name="Normal 2 4 3 6 2 2" xfId="8077" xr:uid="{00000000-0005-0000-0000-000029100000}"/>
    <cellStyle name="Normal 2 4 3 6 2 2 2" xfId="20710" xr:uid="{13CE7D50-FD75-495D-9131-51CF80759671}"/>
    <cellStyle name="Normal 2 4 3 6 2 3" xfId="16499" xr:uid="{6825C48F-3375-47A8-A22C-A6D5ABCBEAA0}"/>
    <cellStyle name="Normal 2 4 3 6 2 4" xfId="25749" xr:uid="{85A49FF1-CA69-4F3A-B256-9DBAB45B270C}"/>
    <cellStyle name="Normal 2 4 3 6 2 5" xfId="12288" xr:uid="{C9EAA650-FAA6-4C22-9015-128FC52857D0}"/>
    <cellStyle name="Normal 2 4 3 6 3" xfId="5932" xr:uid="{00000000-0005-0000-0000-00002A100000}"/>
    <cellStyle name="Normal 2 4 3 6 3 2" xfId="18565" xr:uid="{55FD839F-1290-4DA0-B3A3-440B153AEA62}"/>
    <cellStyle name="Normal 2 4 3 6 4" xfId="14354" xr:uid="{0DEDBB89-3BE0-402C-A29B-6E6EFEE5FD5B}"/>
    <cellStyle name="Normal 2 4 3 6 5" xfId="23604" xr:uid="{9BA1292F-50F2-4552-9F79-C4B189BE4110}"/>
    <cellStyle name="Normal 2 4 3 6 6" xfId="10143" xr:uid="{625117E0-B7C0-48A2-949C-5FDA9510187B}"/>
    <cellStyle name="Normal 2 4 3 7" xfId="2037" xr:uid="{00000000-0005-0000-0000-00002B100000}"/>
    <cellStyle name="Normal 2 4 3 7 2" xfId="4266" xr:uid="{00000000-0005-0000-0000-00002C100000}"/>
    <cellStyle name="Normal 2 4 3 7 2 2" xfId="8490" xr:uid="{00000000-0005-0000-0000-00002D100000}"/>
    <cellStyle name="Normal 2 4 3 7 2 2 2" xfId="21123" xr:uid="{50455C0B-C2B4-4DFE-8837-F774C8089FCD}"/>
    <cellStyle name="Normal 2 4 3 7 2 3" xfId="16912" xr:uid="{FC5B963C-AE30-485F-ADDC-9B06F8180CD5}"/>
    <cellStyle name="Normal 2 4 3 7 2 4" xfId="26162" xr:uid="{16AB28C4-7AFC-4C8A-86B9-CB1884E80814}"/>
    <cellStyle name="Normal 2 4 3 7 2 5" xfId="12701" xr:uid="{82B083A3-DD32-49BE-A185-87C3EABED468}"/>
    <cellStyle name="Normal 2 4 3 7 3" xfId="6345" xr:uid="{00000000-0005-0000-0000-00002E100000}"/>
    <cellStyle name="Normal 2 4 3 7 3 2" xfId="18978" xr:uid="{5BE19EC9-6BEF-42C2-8694-A980C8808986}"/>
    <cellStyle name="Normal 2 4 3 7 4" xfId="14767" xr:uid="{6F8D0426-E228-490D-BF94-02796C7A1392}"/>
    <cellStyle name="Normal 2 4 3 7 5" xfId="24017" xr:uid="{7D59B1B7-C6E7-4EB5-9716-3313AFAB1DA2}"/>
    <cellStyle name="Normal 2 4 3 7 6" xfId="10556" xr:uid="{05C52B28-5FB5-4CE3-9BD2-062564DA6CDC}"/>
    <cellStyle name="Normal 2 4 3 8" xfId="2473" xr:uid="{00000000-0005-0000-0000-00002F100000}"/>
    <cellStyle name="Normal 2 4 3 8 2" xfId="6758" xr:uid="{00000000-0005-0000-0000-000030100000}"/>
    <cellStyle name="Normal 2 4 3 8 2 2" xfId="19391" xr:uid="{966E8170-6D60-430D-8001-AF3F8B4DF163}"/>
    <cellStyle name="Normal 2 4 3 8 3" xfId="15180" xr:uid="{F1EE2FDA-9BF8-4645-8556-1E6005508DC6}"/>
    <cellStyle name="Normal 2 4 3 8 4" xfId="24430" xr:uid="{7A3292E9-B43A-49AB-966C-9E815D98A243}"/>
    <cellStyle name="Normal 2 4 3 8 5" xfId="10969" xr:uid="{6787431F-43DB-4FA2-823A-ECC7AFA4B44C}"/>
    <cellStyle name="Normal 2 4 3 9" xfId="4692" xr:uid="{00000000-0005-0000-0000-000031100000}"/>
    <cellStyle name="Normal 2 4 3 9 2" xfId="17325" xr:uid="{A47F5B04-5057-4E06-A28A-DE8556DAD52B}"/>
    <cellStyle name="Normal 2 4 4" xfId="302" xr:uid="{00000000-0005-0000-0000-000032100000}"/>
    <cellStyle name="Normal 2 4 5" xfId="303" xr:uid="{00000000-0005-0000-0000-000033100000}"/>
    <cellStyle name="Normal 2 4 5 10" xfId="4697" xr:uid="{00000000-0005-0000-0000-000034100000}"/>
    <cellStyle name="Normal 2 4 5 10 2" xfId="17330" xr:uid="{FF5EC974-85BE-4109-B151-36BC71180C82}"/>
    <cellStyle name="Normal 2 4 5 11" xfId="21541" xr:uid="{B1BE63C5-5066-4C2C-B0ED-F6AEBE6BF2F3}"/>
    <cellStyle name="Normal 2 4 5 12" xfId="13119" xr:uid="{A3EF65C0-498E-4DD2-A5AB-E9364C44D996}"/>
    <cellStyle name="Normal 2 4 5 13" xfId="22369" xr:uid="{DD8089ED-BA31-4141-B125-268984A2E053}"/>
    <cellStyle name="Normal 2 4 5 14" xfId="8908" xr:uid="{9621A263-A7AB-45E0-9A9C-F0004420D39A}"/>
    <cellStyle name="Normal 2 4 5 2" xfId="304" xr:uid="{00000000-0005-0000-0000-000035100000}"/>
    <cellStyle name="Normal 2 4 5 2 10" xfId="21542" xr:uid="{02B42EBF-443A-4D19-9868-ABC9513D5B81}"/>
    <cellStyle name="Normal 2 4 5 2 11" xfId="13120" xr:uid="{D18462B6-28FA-4D32-B7CD-CD3D7C8B608F}"/>
    <cellStyle name="Normal 2 4 5 2 12" xfId="22370" xr:uid="{3FF04E82-08CC-42C9-90BF-8C92F34FC7C4}"/>
    <cellStyle name="Normal 2 4 5 2 13" xfId="8909" xr:uid="{501B758A-D5F9-4857-9A6A-8A6EAFBAB92F}"/>
    <cellStyle name="Normal 2 4 5 2 2" xfId="305" xr:uid="{00000000-0005-0000-0000-000036100000}"/>
    <cellStyle name="Normal 2 4 5 2 2 10" xfId="13121" xr:uid="{03D127E1-D28F-484A-84C7-EE7380E69FFA}"/>
    <cellStyle name="Normal 2 4 5 2 2 11" xfId="22371" xr:uid="{CEA53364-88A3-4FC0-9910-E0FEED2DBE87}"/>
    <cellStyle name="Normal 2 4 5 2 2 12" xfId="8910" xr:uid="{D866472D-7299-405B-A24D-9FF26B0EB6A0}"/>
    <cellStyle name="Normal 2 4 5 2 2 2" xfId="306" xr:uid="{00000000-0005-0000-0000-000037100000}"/>
    <cellStyle name="Normal 2 4 5 2 2 2 10" xfId="22372" xr:uid="{5CA7832F-1140-4F58-9623-D837A465CFCE}"/>
    <cellStyle name="Normal 2 4 5 2 2 2 11" xfId="8911" xr:uid="{59D519E8-B62F-4D92-8749-AEE2A59C9432}"/>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9892" xr:uid="{A8454071-0676-4BED-B5A1-451CB3DB551D}"/>
    <cellStyle name="Normal 2 4 5 2 2 2 2 2 3" xfId="15681" xr:uid="{34D099C9-5761-4357-B51E-607C40FE9FD3}"/>
    <cellStyle name="Normal 2 4 5 2 2 2 2 2 4" xfId="24931" xr:uid="{3A8447BA-D97A-438B-AE57-7B298DBC1650}"/>
    <cellStyle name="Normal 2 4 5 2 2 2 2 2 5" xfId="11470" xr:uid="{FA951A57-2171-4860-9A72-E5FD52170307}"/>
    <cellStyle name="Normal 2 4 5 2 2 2 2 3" xfId="5114" xr:uid="{00000000-0005-0000-0000-00003B100000}"/>
    <cellStyle name="Normal 2 4 5 2 2 2 2 3 2" xfId="17747" xr:uid="{BD7C43E5-8DB8-47AA-B2CF-388D31653BAB}"/>
    <cellStyle name="Normal 2 4 5 2 2 2 2 4" xfId="21959" xr:uid="{BB334D9C-8FB1-4F40-A945-C82C3A7EB58C}"/>
    <cellStyle name="Normal 2 4 5 2 2 2 2 5" xfId="13536" xr:uid="{CE9A7AB8-A6A7-4B53-8DD2-26BFCF700260}"/>
    <cellStyle name="Normal 2 4 5 2 2 2 2 6" xfId="22786" xr:uid="{40C8FDC2-6624-49F2-8F01-AFCE891E9313}"/>
    <cellStyle name="Normal 2 4 5 2 2 2 2 7" xfId="9325" xr:uid="{631DFE5D-9CB2-406A-ADE2-36A00E23E722}"/>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20305" xr:uid="{62C16A12-75B6-4228-AB5E-F9A61C5FB3AA}"/>
    <cellStyle name="Normal 2 4 5 2 2 2 3 2 3" xfId="16094" xr:uid="{C1161A90-E5E6-4E52-9DC8-5EE0A17293B0}"/>
    <cellStyle name="Normal 2 4 5 2 2 2 3 2 4" xfId="25344" xr:uid="{FE7BAE4D-245A-489A-9CC0-1E8BC3FD475F}"/>
    <cellStyle name="Normal 2 4 5 2 2 2 3 2 5" xfId="11883" xr:uid="{35906B0A-E5EE-44EE-8EF2-5B5E82B25F74}"/>
    <cellStyle name="Normal 2 4 5 2 2 2 3 3" xfId="5527" xr:uid="{00000000-0005-0000-0000-00003F100000}"/>
    <cellStyle name="Normal 2 4 5 2 2 2 3 3 2" xfId="18160" xr:uid="{5186E570-2FCD-494B-B5E9-CF683DA374F4}"/>
    <cellStyle name="Normal 2 4 5 2 2 2 3 4" xfId="13949" xr:uid="{9C83F904-D8D7-4522-96F6-35619E135A27}"/>
    <cellStyle name="Normal 2 4 5 2 2 2 3 5" xfId="23199" xr:uid="{5C01F319-C176-4DA6-86D9-F896BE0CB762}"/>
    <cellStyle name="Normal 2 4 5 2 2 2 3 6" xfId="9738" xr:uid="{0BEF8CFA-234F-4819-AF2B-E8492FC4568A}"/>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20718" xr:uid="{228DF061-413C-42F5-9507-64B66B52AE34}"/>
    <cellStyle name="Normal 2 4 5 2 2 2 4 2 3" xfId="16507" xr:uid="{197C3F3D-1226-49FD-BBDA-4F49750FFF3E}"/>
    <cellStyle name="Normal 2 4 5 2 2 2 4 2 4" xfId="25757" xr:uid="{52385851-2C46-4625-9DAF-45F0AB2C7FCA}"/>
    <cellStyle name="Normal 2 4 5 2 2 2 4 2 5" xfId="12296" xr:uid="{289806C6-A5A1-42A3-8D07-DD7D9ED88585}"/>
    <cellStyle name="Normal 2 4 5 2 2 2 4 3" xfId="5940" xr:uid="{00000000-0005-0000-0000-000043100000}"/>
    <cellStyle name="Normal 2 4 5 2 2 2 4 3 2" xfId="18573" xr:uid="{E362F1F4-D08A-4C7D-B80D-CB2521BDF62B}"/>
    <cellStyle name="Normal 2 4 5 2 2 2 4 4" xfId="14362" xr:uid="{1D6FFED3-6A73-473D-8944-E26ED5EA609B}"/>
    <cellStyle name="Normal 2 4 5 2 2 2 4 5" xfId="23612" xr:uid="{B0423400-F9E7-416D-9863-A182933592C3}"/>
    <cellStyle name="Normal 2 4 5 2 2 2 4 6" xfId="10151" xr:uid="{33848291-E353-45D1-87F0-D4E2AD788896}"/>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21131" xr:uid="{097C003E-ED16-4ABC-8769-439BCF5F67BF}"/>
    <cellStyle name="Normal 2 4 5 2 2 2 5 2 3" xfId="16920" xr:uid="{4D63AA51-E654-4F09-9492-8761CD61F149}"/>
    <cellStyle name="Normal 2 4 5 2 2 2 5 2 4" xfId="26170" xr:uid="{E0D3369F-544D-461F-AE5C-B2E8F6DF5CC8}"/>
    <cellStyle name="Normal 2 4 5 2 2 2 5 2 5" xfId="12709" xr:uid="{F1C63E81-60CC-4A83-AB24-D4F9A9C83828}"/>
    <cellStyle name="Normal 2 4 5 2 2 2 5 3" xfId="6353" xr:uid="{00000000-0005-0000-0000-000047100000}"/>
    <cellStyle name="Normal 2 4 5 2 2 2 5 3 2" xfId="18986" xr:uid="{3118394D-03D8-4D4E-B2B2-77C31AFC6F84}"/>
    <cellStyle name="Normal 2 4 5 2 2 2 5 4" xfId="14775" xr:uid="{505ACB37-AD2D-4A6A-9C6F-4863F11C599E}"/>
    <cellStyle name="Normal 2 4 5 2 2 2 5 5" xfId="24025" xr:uid="{B5CC7863-72CE-44D9-9C05-2BA287B2F1DA}"/>
    <cellStyle name="Normal 2 4 5 2 2 2 5 6" xfId="10564" xr:uid="{87B831DA-D119-41D0-8E14-FC7E562FE358}"/>
    <cellStyle name="Normal 2 4 5 2 2 2 6" xfId="2481" xr:uid="{00000000-0005-0000-0000-000048100000}"/>
    <cellStyle name="Normal 2 4 5 2 2 2 6 2" xfId="6766" xr:uid="{00000000-0005-0000-0000-000049100000}"/>
    <cellStyle name="Normal 2 4 5 2 2 2 6 2 2" xfId="19399" xr:uid="{B57F25B1-3F11-402F-A356-74D66747082C}"/>
    <cellStyle name="Normal 2 4 5 2 2 2 6 3" xfId="15188" xr:uid="{F8B9F1D5-9EA8-45FD-AAE3-9A3208D498E7}"/>
    <cellStyle name="Normal 2 4 5 2 2 2 6 4" xfId="24438" xr:uid="{7CA7BA2D-E948-48D3-9658-72D21CCE4FEE}"/>
    <cellStyle name="Normal 2 4 5 2 2 2 6 5" xfId="10977" xr:uid="{29BB1AEA-8DD6-456F-930B-B5FE3C1DA484}"/>
    <cellStyle name="Normal 2 4 5 2 2 2 7" xfId="4700" xr:uid="{00000000-0005-0000-0000-00004A100000}"/>
    <cellStyle name="Normal 2 4 5 2 2 2 7 2" xfId="17333" xr:uid="{14B53682-64C1-43A8-BCD3-8B2DED4AFA1D}"/>
    <cellStyle name="Normal 2 4 5 2 2 2 8" xfId="21544" xr:uid="{B2A27CA8-3581-4821-972B-E7D8CAF27C25}"/>
    <cellStyle name="Normal 2 4 5 2 2 2 9" xfId="13122" xr:uid="{D87ACED3-301D-459D-8759-7576193BE53F}"/>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9891" xr:uid="{95FF4900-D7C5-4423-80CE-5E83D832DB5B}"/>
    <cellStyle name="Normal 2 4 5 2 2 3 2 3" xfId="15680" xr:uid="{1C48635B-B27A-4E20-88A3-7BA651E78E39}"/>
    <cellStyle name="Normal 2 4 5 2 2 3 2 4" xfId="24930" xr:uid="{BE4F70FC-C4BA-46FC-9625-7BE9FBCCECB6}"/>
    <cellStyle name="Normal 2 4 5 2 2 3 2 5" xfId="11469" xr:uid="{57561952-7CB3-4DE7-99CB-1BE8EB1D6E1D}"/>
    <cellStyle name="Normal 2 4 5 2 2 3 3" xfId="5113" xr:uid="{00000000-0005-0000-0000-00004E100000}"/>
    <cellStyle name="Normal 2 4 5 2 2 3 3 2" xfId="17746" xr:uid="{92A33CED-474F-44EB-926D-50FF3C47A729}"/>
    <cellStyle name="Normal 2 4 5 2 2 3 4" xfId="21958" xr:uid="{3F461AEC-B506-4A87-9BDB-6C9CBC45188D}"/>
    <cellStyle name="Normal 2 4 5 2 2 3 5" xfId="13535" xr:uid="{608FBD92-3DA8-43DB-986D-15D2BAC04F4E}"/>
    <cellStyle name="Normal 2 4 5 2 2 3 6" xfId="22785" xr:uid="{B2410EBB-E82F-451B-8553-6F3EBE0B16AA}"/>
    <cellStyle name="Normal 2 4 5 2 2 3 7" xfId="9324" xr:uid="{8BC380A6-5EBF-42AE-8D3A-3EB8D4B2D8B5}"/>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20304" xr:uid="{39D56F41-CEAB-49A9-81F0-65FB02E93395}"/>
    <cellStyle name="Normal 2 4 5 2 2 4 2 3" xfId="16093" xr:uid="{F81D83EA-7EB9-4F8D-B7F1-CCB678D4A625}"/>
    <cellStyle name="Normal 2 4 5 2 2 4 2 4" xfId="25343" xr:uid="{CD719371-8395-4108-9F5D-0026AA891A63}"/>
    <cellStyle name="Normal 2 4 5 2 2 4 2 5" xfId="11882" xr:uid="{C42CF57F-90D5-4314-ABB3-E62B8F6DDD4D}"/>
    <cellStyle name="Normal 2 4 5 2 2 4 3" xfId="5526" xr:uid="{00000000-0005-0000-0000-000052100000}"/>
    <cellStyle name="Normal 2 4 5 2 2 4 3 2" xfId="18159" xr:uid="{D19F4389-B62C-4C04-BFFC-39AA486CA68F}"/>
    <cellStyle name="Normal 2 4 5 2 2 4 4" xfId="13948" xr:uid="{56E602E4-72A1-4147-B266-C5679C0324DC}"/>
    <cellStyle name="Normal 2 4 5 2 2 4 5" xfId="23198" xr:uid="{09BCA8E1-E171-474D-ADCE-48EDB8F9C6F1}"/>
    <cellStyle name="Normal 2 4 5 2 2 4 6" xfId="9737" xr:uid="{77CAC799-E7D4-49A4-93D9-D368072C8FC9}"/>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20717" xr:uid="{DF6A0A2B-C17B-4496-808B-837842B68828}"/>
    <cellStyle name="Normal 2 4 5 2 2 5 2 3" xfId="16506" xr:uid="{85F202F8-A4ED-4AF4-BF01-5B02D97B74ED}"/>
    <cellStyle name="Normal 2 4 5 2 2 5 2 4" xfId="25756" xr:uid="{0DA820D2-9219-4D26-A812-D63294435C67}"/>
    <cellStyle name="Normal 2 4 5 2 2 5 2 5" xfId="12295" xr:uid="{B1DEC86B-65F6-4621-80ED-CE95E41B039A}"/>
    <cellStyle name="Normal 2 4 5 2 2 5 3" xfId="5939" xr:uid="{00000000-0005-0000-0000-000056100000}"/>
    <cellStyle name="Normal 2 4 5 2 2 5 3 2" xfId="18572" xr:uid="{19E76997-9985-4EA3-BCD0-6BBFD11AF964}"/>
    <cellStyle name="Normal 2 4 5 2 2 5 4" xfId="14361" xr:uid="{72B9B342-5F6E-45C0-9234-F69061FF6F8A}"/>
    <cellStyle name="Normal 2 4 5 2 2 5 5" xfId="23611" xr:uid="{B4612C22-ED7D-42FB-8D28-CB228712AE5A}"/>
    <cellStyle name="Normal 2 4 5 2 2 5 6" xfId="10150" xr:uid="{A5F8E879-B751-443A-BAAF-4042306E537B}"/>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21130" xr:uid="{4A4145A7-4B92-4D63-8E11-C747526571C4}"/>
    <cellStyle name="Normal 2 4 5 2 2 6 2 3" xfId="16919" xr:uid="{7E4C7DE4-51D3-4DC7-9562-5AE7718D8203}"/>
    <cellStyle name="Normal 2 4 5 2 2 6 2 4" xfId="26169" xr:uid="{DD92FE38-F9F9-4A71-8C43-3CDCC4279208}"/>
    <cellStyle name="Normal 2 4 5 2 2 6 2 5" xfId="12708" xr:uid="{3C54CD47-EB29-4B8D-BDD1-EE327BF1A462}"/>
    <cellStyle name="Normal 2 4 5 2 2 6 3" xfId="6352" xr:uid="{00000000-0005-0000-0000-00005A100000}"/>
    <cellStyle name="Normal 2 4 5 2 2 6 3 2" xfId="18985" xr:uid="{9479F617-6D67-4455-87CE-0D86C992E04D}"/>
    <cellStyle name="Normal 2 4 5 2 2 6 4" xfId="14774" xr:uid="{D9E51E9B-86DC-4895-B927-CACB3490F3F3}"/>
    <cellStyle name="Normal 2 4 5 2 2 6 5" xfId="24024" xr:uid="{1D4A6C4B-95C8-4992-AE83-66B6B6B97DD6}"/>
    <cellStyle name="Normal 2 4 5 2 2 6 6" xfId="10563" xr:uid="{89119FBA-85E6-4457-9782-C03149626D9C}"/>
    <cellStyle name="Normal 2 4 5 2 2 7" xfId="2480" xr:uid="{00000000-0005-0000-0000-00005B100000}"/>
    <cellStyle name="Normal 2 4 5 2 2 7 2" xfId="6765" xr:uid="{00000000-0005-0000-0000-00005C100000}"/>
    <cellStyle name="Normal 2 4 5 2 2 7 2 2" xfId="19398" xr:uid="{336EAE3F-2535-43CD-9E8D-8112C79BEF91}"/>
    <cellStyle name="Normal 2 4 5 2 2 7 3" xfId="15187" xr:uid="{92A97A56-0D1F-4BE1-A39D-CB84CE2503D5}"/>
    <cellStyle name="Normal 2 4 5 2 2 7 4" xfId="24437" xr:uid="{F28582D5-FDB6-407E-B9A7-B65E002F2114}"/>
    <cellStyle name="Normal 2 4 5 2 2 7 5" xfId="10976" xr:uid="{3D4238E0-035A-4C7E-B3FC-7E1CFA08CCF1}"/>
    <cellStyle name="Normal 2 4 5 2 2 8" xfId="4699" xr:uid="{00000000-0005-0000-0000-00005D100000}"/>
    <cellStyle name="Normal 2 4 5 2 2 8 2" xfId="17332" xr:uid="{A51CC527-B47F-40E6-9570-F6370D300742}"/>
    <cellStyle name="Normal 2 4 5 2 2 9" xfId="21543" xr:uid="{70AA60D2-E05C-4093-8C72-3157F340A091}"/>
    <cellStyle name="Normal 2 4 5 2 3" xfId="307" xr:uid="{00000000-0005-0000-0000-00005E100000}"/>
    <cellStyle name="Normal 2 4 5 2 3 10" xfId="22373" xr:uid="{FC955478-A4DB-40E2-A42D-3CFB1F6112E1}"/>
    <cellStyle name="Normal 2 4 5 2 3 11" xfId="8912" xr:uid="{68DD375B-1BBB-4B88-BC1D-FB0C5DA56646}"/>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9893" xr:uid="{6BEB974F-C20B-4464-A136-4F23509007AD}"/>
    <cellStyle name="Normal 2 4 5 2 3 2 2 3" xfId="15682" xr:uid="{856223BC-CE5D-4066-82EF-E1E5CB69097E}"/>
    <cellStyle name="Normal 2 4 5 2 3 2 2 4" xfId="24932" xr:uid="{95C72BC1-AA9D-4505-9E23-DB1E87777B55}"/>
    <cellStyle name="Normal 2 4 5 2 3 2 2 5" xfId="11471" xr:uid="{3D6317C3-1E8D-489D-87DF-0A1CE6EF74B9}"/>
    <cellStyle name="Normal 2 4 5 2 3 2 3" xfId="5115" xr:uid="{00000000-0005-0000-0000-000062100000}"/>
    <cellStyle name="Normal 2 4 5 2 3 2 3 2" xfId="17748" xr:uid="{670BA237-C220-4421-8CE4-0563C7A39D07}"/>
    <cellStyle name="Normal 2 4 5 2 3 2 4" xfId="21960" xr:uid="{59E26A24-8104-48F0-97B3-C46233628E12}"/>
    <cellStyle name="Normal 2 4 5 2 3 2 5" xfId="13537" xr:uid="{3801D2CF-98C6-4517-B26A-D81F54C47327}"/>
    <cellStyle name="Normal 2 4 5 2 3 2 6" xfId="22787" xr:uid="{0E52C522-DD7D-44E9-8089-D870B0001215}"/>
    <cellStyle name="Normal 2 4 5 2 3 2 7" xfId="9326" xr:uid="{7B1D68FB-DD82-4388-A116-C4439184B067}"/>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20306" xr:uid="{45EE3F74-F399-4ABD-B1C9-CD613DABFB36}"/>
    <cellStyle name="Normal 2 4 5 2 3 3 2 3" xfId="16095" xr:uid="{C9A6DFD0-3DE5-4FE2-9CDF-A86329FD71E4}"/>
    <cellStyle name="Normal 2 4 5 2 3 3 2 4" xfId="25345" xr:uid="{B801B810-7526-4A40-8748-81FAAD754557}"/>
    <cellStyle name="Normal 2 4 5 2 3 3 2 5" xfId="11884" xr:uid="{B11E80E6-CE9B-48FE-A68B-84995386CDF2}"/>
    <cellStyle name="Normal 2 4 5 2 3 3 3" xfId="5528" xr:uid="{00000000-0005-0000-0000-000066100000}"/>
    <cellStyle name="Normal 2 4 5 2 3 3 3 2" xfId="18161" xr:uid="{029CE5D8-20EB-444E-A3CA-69B4F67E52F3}"/>
    <cellStyle name="Normal 2 4 5 2 3 3 4" xfId="13950" xr:uid="{489527DB-A890-48C9-86F9-37078D717DFC}"/>
    <cellStyle name="Normal 2 4 5 2 3 3 5" xfId="23200" xr:uid="{2D3F1505-7607-4B2A-82B4-9C017DB529C7}"/>
    <cellStyle name="Normal 2 4 5 2 3 3 6" xfId="9739" xr:uid="{33B7F75C-EDCD-4035-B61A-FB61D8D89BEE}"/>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20719" xr:uid="{15C0B964-9E5B-41CA-8EDE-28E3A571BB2B}"/>
    <cellStyle name="Normal 2 4 5 2 3 4 2 3" xfId="16508" xr:uid="{5128461D-20A0-4753-8EFF-0D473D7D3B7D}"/>
    <cellStyle name="Normal 2 4 5 2 3 4 2 4" xfId="25758" xr:uid="{744E184B-7EB1-405B-B6C8-A11A9250EFD1}"/>
    <cellStyle name="Normal 2 4 5 2 3 4 2 5" xfId="12297" xr:uid="{5D334F6B-2C7E-4C6B-98B7-AEED0E114293}"/>
    <cellStyle name="Normal 2 4 5 2 3 4 3" xfId="5941" xr:uid="{00000000-0005-0000-0000-00006A100000}"/>
    <cellStyle name="Normal 2 4 5 2 3 4 3 2" xfId="18574" xr:uid="{2A19413C-7D6B-4750-A846-40A3D9D544FC}"/>
    <cellStyle name="Normal 2 4 5 2 3 4 4" xfId="14363" xr:uid="{C1E1EC48-7F70-49AD-A28F-D44D7F5BCBB3}"/>
    <cellStyle name="Normal 2 4 5 2 3 4 5" xfId="23613" xr:uid="{C4425B89-6B7E-40D4-B2DD-C95356C21AA9}"/>
    <cellStyle name="Normal 2 4 5 2 3 4 6" xfId="10152" xr:uid="{CA6C95CB-D0AF-4579-BF68-FF49C4F74279}"/>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21132" xr:uid="{8AA77437-B20E-4997-A8FB-8A425DAF0B89}"/>
    <cellStyle name="Normal 2 4 5 2 3 5 2 3" xfId="16921" xr:uid="{231874F4-FC69-4FAD-98FA-18D4C16FA578}"/>
    <cellStyle name="Normal 2 4 5 2 3 5 2 4" xfId="26171" xr:uid="{986C595B-856D-4DC1-8C88-B74182939D52}"/>
    <cellStyle name="Normal 2 4 5 2 3 5 2 5" xfId="12710" xr:uid="{C080FFB5-B35A-484C-8E4D-DF2B5A523A1D}"/>
    <cellStyle name="Normal 2 4 5 2 3 5 3" xfId="6354" xr:uid="{00000000-0005-0000-0000-00006E100000}"/>
    <cellStyle name="Normal 2 4 5 2 3 5 3 2" xfId="18987" xr:uid="{35AF8A38-D5E2-4E81-A6BF-CFBF87D0BE94}"/>
    <cellStyle name="Normal 2 4 5 2 3 5 4" xfId="14776" xr:uid="{810D02B9-CB35-4053-BED6-61FA253C4A89}"/>
    <cellStyle name="Normal 2 4 5 2 3 5 5" xfId="24026" xr:uid="{6EB15251-40F3-4163-87E7-A9919CBB0EC4}"/>
    <cellStyle name="Normal 2 4 5 2 3 5 6" xfId="10565" xr:uid="{ED5D4F20-8DFB-43DB-B345-B50F66AF1900}"/>
    <cellStyle name="Normal 2 4 5 2 3 6" xfId="2482" xr:uid="{00000000-0005-0000-0000-00006F100000}"/>
    <cellStyle name="Normal 2 4 5 2 3 6 2" xfId="6767" xr:uid="{00000000-0005-0000-0000-000070100000}"/>
    <cellStyle name="Normal 2 4 5 2 3 6 2 2" xfId="19400" xr:uid="{8BB37DE8-4496-4DD9-912A-03052AFADDC3}"/>
    <cellStyle name="Normal 2 4 5 2 3 6 3" xfId="15189" xr:uid="{DED9D3FC-FC97-4159-A768-481F46D2E7A2}"/>
    <cellStyle name="Normal 2 4 5 2 3 6 4" xfId="24439" xr:uid="{A1D7530C-B122-49FE-B942-D0A8F2965411}"/>
    <cellStyle name="Normal 2 4 5 2 3 6 5" xfId="10978" xr:uid="{6A21D52D-5367-4118-96FF-03A88FE76AF4}"/>
    <cellStyle name="Normal 2 4 5 2 3 7" xfId="4701" xr:uid="{00000000-0005-0000-0000-000071100000}"/>
    <cellStyle name="Normal 2 4 5 2 3 7 2" xfId="17334" xr:uid="{BF52DE8A-3505-4C16-9946-FA989F56E3C0}"/>
    <cellStyle name="Normal 2 4 5 2 3 8" xfId="21545" xr:uid="{0F07B621-6BF5-4A0E-9A97-024FE48A77E0}"/>
    <cellStyle name="Normal 2 4 5 2 3 9" xfId="13123" xr:uid="{DD5C8A76-07D2-4815-BC4F-B64630BB123F}"/>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9890" xr:uid="{DE6A5DE5-757A-4063-BDC5-F8013E258678}"/>
    <cellStyle name="Normal 2 4 5 2 4 2 3" xfId="15679" xr:uid="{46D98CF2-AE4F-4058-9D56-846C7B887A75}"/>
    <cellStyle name="Normal 2 4 5 2 4 2 4" xfId="24929" xr:uid="{50D30CFC-6FFF-4E5C-B08C-5254A0EB76E6}"/>
    <cellStyle name="Normal 2 4 5 2 4 2 5" xfId="11468" xr:uid="{F9DED762-35DA-49DA-9289-CE72D0194C92}"/>
    <cellStyle name="Normal 2 4 5 2 4 3" xfId="5112" xr:uid="{00000000-0005-0000-0000-000075100000}"/>
    <cellStyle name="Normal 2 4 5 2 4 3 2" xfId="17745" xr:uid="{51C8D581-EDF8-4ED9-AC1A-1D6D27627392}"/>
    <cellStyle name="Normal 2 4 5 2 4 4" xfId="21957" xr:uid="{777B0098-2220-4FD1-8400-559669A98AA1}"/>
    <cellStyle name="Normal 2 4 5 2 4 5" xfId="13534" xr:uid="{152F09C8-003C-411E-AF2E-2C901A8D66CE}"/>
    <cellStyle name="Normal 2 4 5 2 4 6" xfId="22784" xr:uid="{41261569-24B1-4E0E-BEF4-52BDC72F00C8}"/>
    <cellStyle name="Normal 2 4 5 2 4 7" xfId="9323" xr:uid="{213E3238-932A-4558-B5C2-C9930DE39BA6}"/>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20303" xr:uid="{FAA0474A-5100-48A7-8568-D4459F6A2AD1}"/>
    <cellStyle name="Normal 2 4 5 2 5 2 3" xfId="16092" xr:uid="{051C6728-25CD-4BCC-80CB-09886823FEFB}"/>
    <cellStyle name="Normal 2 4 5 2 5 2 4" xfId="25342" xr:uid="{2B41E473-17C0-4662-8D0C-9B4EDB2347DE}"/>
    <cellStyle name="Normal 2 4 5 2 5 2 5" xfId="11881" xr:uid="{54E43AF5-3F02-4B3B-854C-BB9AC88BF6BD}"/>
    <cellStyle name="Normal 2 4 5 2 5 3" xfId="5525" xr:uid="{00000000-0005-0000-0000-000079100000}"/>
    <cellStyle name="Normal 2 4 5 2 5 3 2" xfId="18158" xr:uid="{1FA63CFF-BFFD-455B-8E2C-396DEDB5A14C}"/>
    <cellStyle name="Normal 2 4 5 2 5 4" xfId="13947" xr:uid="{95A3A8B6-C2CE-4634-8AE5-B3F11B914F9B}"/>
    <cellStyle name="Normal 2 4 5 2 5 5" xfId="23197" xr:uid="{32C49C24-7A7F-43F6-AD13-486219EF9B72}"/>
    <cellStyle name="Normal 2 4 5 2 5 6" xfId="9736" xr:uid="{6A734C6C-6B5D-480E-9B08-AC07F333A250}"/>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20716" xr:uid="{E4F5E130-6DB4-4E98-9231-EE9BA4E63424}"/>
    <cellStyle name="Normal 2 4 5 2 6 2 3" xfId="16505" xr:uid="{891921F1-C22B-4563-A7D1-3BAE349F6AB1}"/>
    <cellStyle name="Normal 2 4 5 2 6 2 4" xfId="25755" xr:uid="{44794BBB-274A-4FAC-BA48-C30AC2146E50}"/>
    <cellStyle name="Normal 2 4 5 2 6 2 5" xfId="12294" xr:uid="{20B63EB3-9551-480B-9B65-6F2E45FC55DA}"/>
    <cellStyle name="Normal 2 4 5 2 6 3" xfId="5938" xr:uid="{00000000-0005-0000-0000-00007D100000}"/>
    <cellStyle name="Normal 2 4 5 2 6 3 2" xfId="18571" xr:uid="{8E16F5B3-6F93-4157-B548-6121DE7590C9}"/>
    <cellStyle name="Normal 2 4 5 2 6 4" xfId="14360" xr:uid="{E2828D36-CF19-4059-A34B-3E5132C69476}"/>
    <cellStyle name="Normal 2 4 5 2 6 5" xfId="23610" xr:uid="{06AA3100-C5C1-4C73-8E84-06E644D517DA}"/>
    <cellStyle name="Normal 2 4 5 2 6 6" xfId="10149" xr:uid="{AD13DF7A-B46C-45B3-B6F6-0BC366C8ED5D}"/>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21129" xr:uid="{6ED61940-A027-4E0F-8771-47B0DD2BD68D}"/>
    <cellStyle name="Normal 2 4 5 2 7 2 3" xfId="16918" xr:uid="{DA7F8401-41FF-467F-9B28-310E7DADE5AC}"/>
    <cellStyle name="Normal 2 4 5 2 7 2 4" xfId="26168" xr:uid="{048D37A1-1C7F-46A0-B486-652BE56DF3F7}"/>
    <cellStyle name="Normal 2 4 5 2 7 2 5" xfId="12707" xr:uid="{01B176CF-D8A5-411E-B64E-D24F93AD82BE}"/>
    <cellStyle name="Normal 2 4 5 2 7 3" xfId="6351" xr:uid="{00000000-0005-0000-0000-000081100000}"/>
    <cellStyle name="Normal 2 4 5 2 7 3 2" xfId="18984" xr:uid="{579EF9FA-32D9-43FB-9A77-38908754EB18}"/>
    <cellStyle name="Normal 2 4 5 2 7 4" xfId="14773" xr:uid="{A4D92D4F-C82A-458D-91DA-5584238FCCEA}"/>
    <cellStyle name="Normal 2 4 5 2 7 5" xfId="24023" xr:uid="{3B99E309-C5DD-484F-93BF-B3AACB651AD1}"/>
    <cellStyle name="Normal 2 4 5 2 7 6" xfId="10562" xr:uid="{E7DEFC66-7ABB-4E6B-B286-977C74260ADF}"/>
    <cellStyle name="Normal 2 4 5 2 8" xfId="2479" xr:uid="{00000000-0005-0000-0000-000082100000}"/>
    <cellStyle name="Normal 2 4 5 2 8 2" xfId="6764" xr:uid="{00000000-0005-0000-0000-000083100000}"/>
    <cellStyle name="Normal 2 4 5 2 8 2 2" xfId="19397" xr:uid="{E7972221-02FA-474C-98AB-F4B68047FB9B}"/>
    <cellStyle name="Normal 2 4 5 2 8 3" xfId="15186" xr:uid="{8A0C4959-DFCF-4814-B2F5-5DD8D0725309}"/>
    <cellStyle name="Normal 2 4 5 2 8 4" xfId="24436" xr:uid="{B191A5C6-A52D-43A2-96E4-BA4DEAD21BEB}"/>
    <cellStyle name="Normal 2 4 5 2 8 5" xfId="10975" xr:uid="{E75A34F2-3D54-415F-9B65-42978B055F44}"/>
    <cellStyle name="Normal 2 4 5 2 9" xfId="4698" xr:uid="{00000000-0005-0000-0000-000084100000}"/>
    <cellStyle name="Normal 2 4 5 2 9 2" xfId="17331" xr:uid="{5C0FB6CC-7A30-45DD-B597-5FC16FD6C37B}"/>
    <cellStyle name="Normal 2 4 5 3" xfId="308" xr:uid="{00000000-0005-0000-0000-000085100000}"/>
    <cellStyle name="Normal 2 4 5 3 10" xfId="13124" xr:uid="{31FE1BF4-8A6F-4068-ABDC-245429CA9A6D}"/>
    <cellStyle name="Normal 2 4 5 3 11" xfId="22374" xr:uid="{38C607C2-847A-4CDF-9393-97CB7AA129D2}"/>
    <cellStyle name="Normal 2 4 5 3 12" xfId="8913" xr:uid="{6AB95A2E-4697-4E81-BB8C-128E1B7F35FD}"/>
    <cellStyle name="Normal 2 4 5 3 2" xfId="309" xr:uid="{00000000-0005-0000-0000-000086100000}"/>
    <cellStyle name="Normal 2 4 5 3 2 10" xfId="22375" xr:uid="{E1516A01-7E78-47B9-B229-A67C10EFD4F4}"/>
    <cellStyle name="Normal 2 4 5 3 2 11" xfId="8914" xr:uid="{932E5848-C018-4A31-8C3C-7B37921B5929}"/>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9895" xr:uid="{A3B1E581-E60F-4A38-B19A-AB846A1E77D7}"/>
    <cellStyle name="Normal 2 4 5 3 2 2 2 3" xfId="15684" xr:uid="{DAF512C6-073B-42E1-9D08-A995FD748B14}"/>
    <cellStyle name="Normal 2 4 5 3 2 2 2 4" xfId="24934" xr:uid="{F2E3E5F5-0040-4CCD-BC5F-BDEF428D2B5D}"/>
    <cellStyle name="Normal 2 4 5 3 2 2 2 5" xfId="11473" xr:uid="{A0F7C412-D21E-42C6-8B2D-36E46C342F92}"/>
    <cellStyle name="Normal 2 4 5 3 2 2 3" xfId="5117" xr:uid="{00000000-0005-0000-0000-00008A100000}"/>
    <cellStyle name="Normal 2 4 5 3 2 2 3 2" xfId="17750" xr:uid="{8AF8344F-08FA-4335-BC51-F02505A911FE}"/>
    <cellStyle name="Normal 2 4 5 3 2 2 4" xfId="21962" xr:uid="{BEDB9042-DCBC-465C-B30E-4413B7D0A88A}"/>
    <cellStyle name="Normal 2 4 5 3 2 2 5" xfId="13539" xr:uid="{0A5B7FCC-4910-4F81-8D52-E94FA30699C4}"/>
    <cellStyle name="Normal 2 4 5 3 2 2 6" xfId="22789" xr:uid="{D5315CF3-C435-4C16-88ED-C54E18BA0A2A}"/>
    <cellStyle name="Normal 2 4 5 3 2 2 7" xfId="9328" xr:uid="{64DA3180-D679-4A2C-AD09-09E1E2E3968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20308" xr:uid="{76346B8A-0A8E-4F0F-8073-736160F8F278}"/>
    <cellStyle name="Normal 2 4 5 3 2 3 2 3" xfId="16097" xr:uid="{542712FC-0DCE-4184-9F11-B068AD17CF03}"/>
    <cellStyle name="Normal 2 4 5 3 2 3 2 4" xfId="25347" xr:uid="{A416B9C9-48D3-43C9-99F0-AD9A64703079}"/>
    <cellStyle name="Normal 2 4 5 3 2 3 2 5" xfId="11886" xr:uid="{F9013AFA-796C-4973-848F-6DE12A05D571}"/>
    <cellStyle name="Normal 2 4 5 3 2 3 3" xfId="5530" xr:uid="{00000000-0005-0000-0000-00008E100000}"/>
    <cellStyle name="Normal 2 4 5 3 2 3 3 2" xfId="18163" xr:uid="{BBEADB17-34D9-4193-AB7A-D5ECF43218B3}"/>
    <cellStyle name="Normal 2 4 5 3 2 3 4" xfId="13952" xr:uid="{31A7ADF2-888B-43D4-A47A-A835C2430212}"/>
    <cellStyle name="Normal 2 4 5 3 2 3 5" xfId="23202" xr:uid="{F87EB69E-83DB-4345-8DBF-E2F1DF3C55F3}"/>
    <cellStyle name="Normal 2 4 5 3 2 3 6" xfId="9741" xr:uid="{ED3B2004-40AB-4D34-ABCF-1B4B4CE83BBF}"/>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20721" xr:uid="{6B48B795-6FC9-4CBB-9559-2FD9CCFCF756}"/>
    <cellStyle name="Normal 2 4 5 3 2 4 2 3" xfId="16510" xr:uid="{D6BF3B02-FA24-4597-8460-9565497E8737}"/>
    <cellStyle name="Normal 2 4 5 3 2 4 2 4" xfId="25760" xr:uid="{45CF96C7-F987-43CB-94BF-764FCDD8A482}"/>
    <cellStyle name="Normal 2 4 5 3 2 4 2 5" xfId="12299" xr:uid="{1F3F5B14-9309-4D8E-953C-1E23605FD369}"/>
    <cellStyle name="Normal 2 4 5 3 2 4 3" xfId="5943" xr:uid="{00000000-0005-0000-0000-000092100000}"/>
    <cellStyle name="Normal 2 4 5 3 2 4 3 2" xfId="18576" xr:uid="{3E2FECF4-2F90-4661-8DEB-0A875F757459}"/>
    <cellStyle name="Normal 2 4 5 3 2 4 4" xfId="14365" xr:uid="{FB1DF8A2-F8E8-41BD-B777-0DB13F6B19D4}"/>
    <cellStyle name="Normal 2 4 5 3 2 4 5" xfId="23615" xr:uid="{EF38E695-A13A-45B2-AC04-514CB7677E46}"/>
    <cellStyle name="Normal 2 4 5 3 2 4 6" xfId="10154" xr:uid="{B8EE1D84-F8A2-4737-9B6B-3A8222787FBE}"/>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21134" xr:uid="{3CC55C74-AC3B-4557-9A75-F3BD9F0EB105}"/>
    <cellStyle name="Normal 2 4 5 3 2 5 2 3" xfId="16923" xr:uid="{4D5E4EE1-9B05-4958-A9EE-C130A603990B}"/>
    <cellStyle name="Normal 2 4 5 3 2 5 2 4" xfId="26173" xr:uid="{0B1D52A5-A2A5-4FC5-ADEB-577DBCCD60BF}"/>
    <cellStyle name="Normal 2 4 5 3 2 5 2 5" xfId="12712" xr:uid="{ADE9ECAA-7050-4FFA-837F-3DAFAD8F7557}"/>
    <cellStyle name="Normal 2 4 5 3 2 5 3" xfId="6356" xr:uid="{00000000-0005-0000-0000-000096100000}"/>
    <cellStyle name="Normal 2 4 5 3 2 5 3 2" xfId="18989" xr:uid="{40E9F215-1748-411E-9552-AA1EBE0D250B}"/>
    <cellStyle name="Normal 2 4 5 3 2 5 4" xfId="14778" xr:uid="{6BF16ECE-3E9D-4C57-B3BE-736E74C16B52}"/>
    <cellStyle name="Normal 2 4 5 3 2 5 5" xfId="24028" xr:uid="{14E4EFF1-8BA6-4D4A-81E8-D7D733C62262}"/>
    <cellStyle name="Normal 2 4 5 3 2 5 6" xfId="10567" xr:uid="{5BC5EC99-D866-4EA3-8A81-221320314B4A}"/>
    <cellStyle name="Normal 2 4 5 3 2 6" xfId="2484" xr:uid="{00000000-0005-0000-0000-000097100000}"/>
    <cellStyle name="Normal 2 4 5 3 2 6 2" xfId="6769" xr:uid="{00000000-0005-0000-0000-000098100000}"/>
    <cellStyle name="Normal 2 4 5 3 2 6 2 2" xfId="19402" xr:uid="{5ADF4399-9D88-4B29-9627-9C718C5405FF}"/>
    <cellStyle name="Normal 2 4 5 3 2 6 3" xfId="15191" xr:uid="{96D9793D-A682-4C6C-AC94-81F118CD7AB8}"/>
    <cellStyle name="Normal 2 4 5 3 2 6 4" xfId="24441" xr:uid="{FB2ABE36-4C70-4469-BCC4-62EA062776CD}"/>
    <cellStyle name="Normal 2 4 5 3 2 6 5" xfId="10980" xr:uid="{D896B245-9E90-4720-BFBD-EF8C1867A52B}"/>
    <cellStyle name="Normal 2 4 5 3 2 7" xfId="4703" xr:uid="{00000000-0005-0000-0000-000099100000}"/>
    <cellStyle name="Normal 2 4 5 3 2 7 2" xfId="17336" xr:uid="{0F01FCBB-F1AA-484E-AAD0-042FD2BBC5FE}"/>
    <cellStyle name="Normal 2 4 5 3 2 8" xfId="21547" xr:uid="{BAF125E2-1291-47EB-AF45-7187E7268C4A}"/>
    <cellStyle name="Normal 2 4 5 3 2 9" xfId="13125" xr:uid="{53285D91-0519-4E7A-98D9-C4D18DFB48A2}"/>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9894" xr:uid="{C6C3C91F-9081-44C1-BCCF-5B992C25BFFA}"/>
    <cellStyle name="Normal 2 4 5 3 3 2 3" xfId="15683" xr:uid="{51266A0A-4ABD-45B3-9A72-EF3C38675F56}"/>
    <cellStyle name="Normal 2 4 5 3 3 2 4" xfId="24933" xr:uid="{D357B51F-BC54-4AF6-A3D6-B57488BC650F}"/>
    <cellStyle name="Normal 2 4 5 3 3 2 5" xfId="11472" xr:uid="{E13F91EC-0EF7-4BC4-AB3F-6DAF8F3B7E47}"/>
    <cellStyle name="Normal 2 4 5 3 3 3" xfId="5116" xr:uid="{00000000-0005-0000-0000-00009D100000}"/>
    <cellStyle name="Normal 2 4 5 3 3 3 2" xfId="17749" xr:uid="{CA39B533-5CDC-4E2A-81EC-DA43643FD80C}"/>
    <cellStyle name="Normal 2 4 5 3 3 4" xfId="21961" xr:uid="{03B12FD0-2840-4341-90E8-8F738E80858F}"/>
    <cellStyle name="Normal 2 4 5 3 3 5" xfId="13538" xr:uid="{48EBE470-38AF-40C8-8A72-EF59897D918A}"/>
    <cellStyle name="Normal 2 4 5 3 3 6" xfId="22788" xr:uid="{20C4979A-8122-4BB0-A30E-DA8DE86F5002}"/>
    <cellStyle name="Normal 2 4 5 3 3 7" xfId="9327" xr:uid="{AD5D850C-72BF-45FD-A02E-FD2B8219B426}"/>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20307" xr:uid="{6821788E-01E7-4BC8-B72D-7BFDD04BC249}"/>
    <cellStyle name="Normal 2 4 5 3 4 2 3" xfId="16096" xr:uid="{3EDEDFB3-8679-4130-A5BF-DE4AC70D5E84}"/>
    <cellStyle name="Normal 2 4 5 3 4 2 4" xfId="25346" xr:uid="{9007BE9A-23CA-4758-A170-00AF298DE953}"/>
    <cellStyle name="Normal 2 4 5 3 4 2 5" xfId="11885" xr:uid="{F4FD6679-8E45-4650-8624-C339A17B124D}"/>
    <cellStyle name="Normal 2 4 5 3 4 3" xfId="5529" xr:uid="{00000000-0005-0000-0000-0000A1100000}"/>
    <cellStyle name="Normal 2 4 5 3 4 3 2" xfId="18162" xr:uid="{B6667D74-24C6-48D9-A34F-121ACC36B9F5}"/>
    <cellStyle name="Normal 2 4 5 3 4 4" xfId="13951" xr:uid="{AD286AA3-2895-4066-923F-A684DDE3281F}"/>
    <cellStyle name="Normal 2 4 5 3 4 5" xfId="23201" xr:uid="{FB7C2E04-69D6-4597-B959-F8EA146AEE69}"/>
    <cellStyle name="Normal 2 4 5 3 4 6" xfId="9740" xr:uid="{9E22A29A-88AA-4892-8FAF-99DF3FF70FE8}"/>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20720" xr:uid="{50F4FF5D-6682-4082-A5BE-00CACC9ADAEB}"/>
    <cellStyle name="Normal 2 4 5 3 5 2 3" xfId="16509" xr:uid="{C21008A4-C7F1-4268-A956-C1C83AC9F51F}"/>
    <cellStyle name="Normal 2 4 5 3 5 2 4" xfId="25759" xr:uid="{CB6523B0-FD6D-4E7F-863B-52D830721E50}"/>
    <cellStyle name="Normal 2 4 5 3 5 2 5" xfId="12298" xr:uid="{6AF004F6-3172-433E-B98F-393C1FE82907}"/>
    <cellStyle name="Normal 2 4 5 3 5 3" xfId="5942" xr:uid="{00000000-0005-0000-0000-0000A5100000}"/>
    <cellStyle name="Normal 2 4 5 3 5 3 2" xfId="18575" xr:uid="{28651221-7ACC-4333-9F87-304CF8894D5A}"/>
    <cellStyle name="Normal 2 4 5 3 5 4" xfId="14364" xr:uid="{C3FC6428-4B39-4CC0-9BA5-02F2DABF991A}"/>
    <cellStyle name="Normal 2 4 5 3 5 5" xfId="23614" xr:uid="{D14FFA30-AA61-4BF1-8E38-00F131EFF1DE}"/>
    <cellStyle name="Normal 2 4 5 3 5 6" xfId="10153" xr:uid="{2E75187D-DAA8-404A-9DCD-FD220E91C6C3}"/>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21133" xr:uid="{B897BD54-B72B-488B-B90D-BD21AB5C4082}"/>
    <cellStyle name="Normal 2 4 5 3 6 2 3" xfId="16922" xr:uid="{15495AEB-7D3A-4788-B315-C0F1AA239A71}"/>
    <cellStyle name="Normal 2 4 5 3 6 2 4" xfId="26172" xr:uid="{CC55C4DD-782F-4180-A83D-9708EBEB7EDB}"/>
    <cellStyle name="Normal 2 4 5 3 6 2 5" xfId="12711" xr:uid="{2CF62F16-E1CA-405F-8D77-A8963C4EB03F}"/>
    <cellStyle name="Normal 2 4 5 3 6 3" xfId="6355" xr:uid="{00000000-0005-0000-0000-0000A9100000}"/>
    <cellStyle name="Normal 2 4 5 3 6 3 2" xfId="18988" xr:uid="{89F82F3D-847C-46BB-85F1-1BA935B2097A}"/>
    <cellStyle name="Normal 2 4 5 3 6 4" xfId="14777" xr:uid="{7C52B584-161D-41FC-AAFA-069BDC06D2BF}"/>
    <cellStyle name="Normal 2 4 5 3 6 5" xfId="24027" xr:uid="{45AC09CF-0906-4568-9C3D-39991C99E1EF}"/>
    <cellStyle name="Normal 2 4 5 3 6 6" xfId="10566" xr:uid="{4B24C125-06B2-464D-9047-D6259B634E17}"/>
    <cellStyle name="Normal 2 4 5 3 7" xfId="2483" xr:uid="{00000000-0005-0000-0000-0000AA100000}"/>
    <cellStyle name="Normal 2 4 5 3 7 2" xfId="6768" xr:uid="{00000000-0005-0000-0000-0000AB100000}"/>
    <cellStyle name="Normal 2 4 5 3 7 2 2" xfId="19401" xr:uid="{6F36C978-54D5-4398-8A84-9CA44DF6AEEF}"/>
    <cellStyle name="Normal 2 4 5 3 7 3" xfId="15190" xr:uid="{B7DC33CD-87E5-421A-80CF-4D44F5F7721F}"/>
    <cellStyle name="Normal 2 4 5 3 7 4" xfId="24440" xr:uid="{A6548F56-1F66-4DAF-8A19-E7FC259C41A2}"/>
    <cellStyle name="Normal 2 4 5 3 7 5" xfId="10979" xr:uid="{5BA48399-D156-45A1-9096-E8D407ECA24E}"/>
    <cellStyle name="Normal 2 4 5 3 8" xfId="4702" xr:uid="{00000000-0005-0000-0000-0000AC100000}"/>
    <cellStyle name="Normal 2 4 5 3 8 2" xfId="17335" xr:uid="{35286731-F216-4B8B-973C-2A8536F3C2FE}"/>
    <cellStyle name="Normal 2 4 5 3 9" xfId="21546" xr:uid="{77640FB3-EBBF-48FA-A895-0664A077026A}"/>
    <cellStyle name="Normal 2 4 5 4" xfId="310" xr:uid="{00000000-0005-0000-0000-0000AD100000}"/>
    <cellStyle name="Normal 2 4 5 4 10" xfId="22376" xr:uid="{CE5ECE6F-0359-495F-8C26-CEFC693ED5AA}"/>
    <cellStyle name="Normal 2 4 5 4 11" xfId="8915" xr:uid="{71BA4743-1E15-4396-872E-BE403135B1C6}"/>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9896" xr:uid="{01533D13-7B74-41F1-A2FE-EF2386526DB9}"/>
    <cellStyle name="Normal 2 4 5 4 2 2 3" xfId="15685" xr:uid="{E5B91ED1-2322-4003-9744-FDA437D2C446}"/>
    <cellStyle name="Normal 2 4 5 4 2 2 4" xfId="24935" xr:uid="{E036D142-BC30-42E1-82F4-33E38D9CA5CA}"/>
    <cellStyle name="Normal 2 4 5 4 2 2 5" xfId="11474" xr:uid="{52427222-2364-4964-8C17-4AF8CC4DD031}"/>
    <cellStyle name="Normal 2 4 5 4 2 3" xfId="5118" xr:uid="{00000000-0005-0000-0000-0000B1100000}"/>
    <cellStyle name="Normal 2 4 5 4 2 3 2" xfId="17751" xr:uid="{63247405-83C7-4995-B1B6-38046B1E025A}"/>
    <cellStyle name="Normal 2 4 5 4 2 4" xfId="21963" xr:uid="{B2E7511A-D59F-47A2-A1D5-21E3E06BDBAD}"/>
    <cellStyle name="Normal 2 4 5 4 2 5" xfId="13540" xr:uid="{CDCDCBD4-9B8A-477B-934E-084036242997}"/>
    <cellStyle name="Normal 2 4 5 4 2 6" xfId="22790" xr:uid="{8B474E44-6BC6-4748-BA5C-E4FF2CBF4AA1}"/>
    <cellStyle name="Normal 2 4 5 4 2 7" xfId="9329" xr:uid="{D8A40CC3-E4DE-4A3F-AD18-B5BF514CB314}"/>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20309" xr:uid="{FF6EA1A4-92D2-4D4B-B42E-CF3C3CD117D4}"/>
    <cellStyle name="Normal 2 4 5 4 3 2 3" xfId="16098" xr:uid="{C8C7D565-A6DB-4DAB-866B-E66AC2CE9844}"/>
    <cellStyle name="Normal 2 4 5 4 3 2 4" xfId="25348" xr:uid="{2FE0F5EA-E106-4BC7-9392-42EBCDEA5C06}"/>
    <cellStyle name="Normal 2 4 5 4 3 2 5" xfId="11887" xr:uid="{21136C71-E758-4770-8F6D-AFE20FEB2E4A}"/>
    <cellStyle name="Normal 2 4 5 4 3 3" xfId="5531" xr:uid="{00000000-0005-0000-0000-0000B5100000}"/>
    <cellStyle name="Normal 2 4 5 4 3 3 2" xfId="18164" xr:uid="{2144CA8F-BC57-4832-A70A-F5D409AE133F}"/>
    <cellStyle name="Normal 2 4 5 4 3 4" xfId="13953" xr:uid="{5C7400AC-F2F9-41C4-AA63-5BAB10CEAF14}"/>
    <cellStyle name="Normal 2 4 5 4 3 5" xfId="23203" xr:uid="{8A4D66F2-62AE-4A1A-BE76-9CAA0F404458}"/>
    <cellStyle name="Normal 2 4 5 4 3 6" xfId="9742" xr:uid="{63C6E6CE-945C-4E46-97D5-F41DE5F9EBDC}"/>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20722" xr:uid="{0D750604-45F6-4FD1-A690-2AC890053A0D}"/>
    <cellStyle name="Normal 2 4 5 4 4 2 3" xfId="16511" xr:uid="{A4758568-C485-4F8D-B745-13AA78CEF147}"/>
    <cellStyle name="Normal 2 4 5 4 4 2 4" xfId="25761" xr:uid="{EDFBC4AA-D442-4E25-9D02-73F20EDA4D7E}"/>
    <cellStyle name="Normal 2 4 5 4 4 2 5" xfId="12300" xr:uid="{ACCD53A6-28FA-46BB-8C64-AE3A38A0AE1B}"/>
    <cellStyle name="Normal 2 4 5 4 4 3" xfId="5944" xr:uid="{00000000-0005-0000-0000-0000B9100000}"/>
    <cellStyle name="Normal 2 4 5 4 4 3 2" xfId="18577" xr:uid="{03D1F861-B0CC-497D-BA3F-6CEF84205CA2}"/>
    <cellStyle name="Normal 2 4 5 4 4 4" xfId="14366" xr:uid="{572BA313-919F-405B-8FA0-DC091E69CE0D}"/>
    <cellStyle name="Normal 2 4 5 4 4 5" xfId="23616" xr:uid="{F1E324AF-4E76-40E4-BDC5-9CDF40092951}"/>
    <cellStyle name="Normal 2 4 5 4 4 6" xfId="10155" xr:uid="{1969A81F-9321-4B47-816E-401764FC38F9}"/>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21135" xr:uid="{73374ED7-2F4F-4C9E-B69C-D832CF1AB5D2}"/>
    <cellStyle name="Normal 2 4 5 4 5 2 3" xfId="16924" xr:uid="{C46A17A1-14DF-42BC-91D0-F47FBBCB9F3C}"/>
    <cellStyle name="Normal 2 4 5 4 5 2 4" xfId="26174" xr:uid="{55228F63-685A-48D2-A30D-A16BFFA19AF6}"/>
    <cellStyle name="Normal 2 4 5 4 5 2 5" xfId="12713" xr:uid="{958B7193-08A7-41BF-A1BD-863AF238D7C7}"/>
    <cellStyle name="Normal 2 4 5 4 5 3" xfId="6357" xr:uid="{00000000-0005-0000-0000-0000BD100000}"/>
    <cellStyle name="Normal 2 4 5 4 5 3 2" xfId="18990" xr:uid="{C25335C1-43BE-4B75-A106-5A4E9B640479}"/>
    <cellStyle name="Normal 2 4 5 4 5 4" xfId="14779" xr:uid="{FB5C2CE8-C1EE-4D06-88A2-234795577227}"/>
    <cellStyle name="Normal 2 4 5 4 5 5" xfId="24029" xr:uid="{8A16CDAD-3498-4C62-9344-B6C21934260C}"/>
    <cellStyle name="Normal 2 4 5 4 5 6" xfId="10568" xr:uid="{3B90278D-D6A7-4CB9-B0AF-38870F3CCFBF}"/>
    <cellStyle name="Normal 2 4 5 4 6" xfId="2485" xr:uid="{00000000-0005-0000-0000-0000BE100000}"/>
    <cellStyle name="Normal 2 4 5 4 6 2" xfId="6770" xr:uid="{00000000-0005-0000-0000-0000BF100000}"/>
    <cellStyle name="Normal 2 4 5 4 6 2 2" xfId="19403" xr:uid="{3B86C77F-2A1D-404C-94AF-32BD0E527225}"/>
    <cellStyle name="Normal 2 4 5 4 6 3" xfId="15192" xr:uid="{3FA11836-9B76-49C4-ACD6-3C1C34EA3F92}"/>
    <cellStyle name="Normal 2 4 5 4 6 4" xfId="24442" xr:uid="{4AA2FECC-A681-4ABC-AEED-ABFC28C810D8}"/>
    <cellStyle name="Normal 2 4 5 4 6 5" xfId="10981" xr:uid="{C125AF8B-3AF4-44A2-A9E1-261042AF43B7}"/>
    <cellStyle name="Normal 2 4 5 4 7" xfId="4704" xr:uid="{00000000-0005-0000-0000-0000C0100000}"/>
    <cellStyle name="Normal 2 4 5 4 7 2" xfId="17337" xr:uid="{EC429315-63B6-4E59-9B8B-6C7B18F93F50}"/>
    <cellStyle name="Normal 2 4 5 4 8" xfId="21548" xr:uid="{BFF51437-66EB-4536-AA7A-251D33BB83E8}"/>
    <cellStyle name="Normal 2 4 5 4 9" xfId="13126" xr:uid="{BA05B90E-AFBB-4A34-97CE-36E6D60131C3}"/>
    <cellStyle name="Normal 2 4 5 5" xfId="793" xr:uid="{00000000-0005-0000-0000-0000C1100000}"/>
    <cellStyle name="Normal 2 4 5 5 2" xfId="3032" xr:uid="{00000000-0005-0000-0000-0000C2100000}"/>
    <cellStyle name="Normal 2 4 5 5 2 2" xfId="7256" xr:uid="{00000000-0005-0000-0000-0000C3100000}"/>
    <cellStyle name="Normal 2 4 5 5 2 2 2" xfId="19889" xr:uid="{86BA3B6B-2B5C-4ADF-96D3-0547DAA0E354}"/>
    <cellStyle name="Normal 2 4 5 5 2 3" xfId="15678" xr:uid="{8E7BF539-6167-4E88-95B5-72ADACEB7B80}"/>
    <cellStyle name="Normal 2 4 5 5 2 4" xfId="24928" xr:uid="{8D3FDC16-A38F-4FB2-BBB8-A5245AB94D5F}"/>
    <cellStyle name="Normal 2 4 5 5 2 5" xfId="11467" xr:uid="{1821BDCA-0DDC-4A86-BEAB-3C03F68F623E}"/>
    <cellStyle name="Normal 2 4 5 5 3" xfId="5111" xr:uid="{00000000-0005-0000-0000-0000C4100000}"/>
    <cellStyle name="Normal 2 4 5 5 3 2" xfId="17744" xr:uid="{C4C7385C-1D5C-43C3-915C-CFD6EC6EDB26}"/>
    <cellStyle name="Normal 2 4 5 5 4" xfId="21956" xr:uid="{201763A8-6660-4194-B093-79F1E777F36D}"/>
    <cellStyle name="Normal 2 4 5 5 5" xfId="13533" xr:uid="{804430B2-5059-4BB7-A0D8-FD624247327A}"/>
    <cellStyle name="Normal 2 4 5 5 6" xfId="22783" xr:uid="{3DDB123B-8E8C-4E3D-83A0-0E6EE777252C}"/>
    <cellStyle name="Normal 2 4 5 5 7" xfId="9322" xr:uid="{012EE5FB-8562-47AC-83C2-7E3C29899506}"/>
    <cellStyle name="Normal 2 4 5 6" xfId="1215" xr:uid="{00000000-0005-0000-0000-0000C5100000}"/>
    <cellStyle name="Normal 2 4 5 6 2" xfId="3445" xr:uid="{00000000-0005-0000-0000-0000C6100000}"/>
    <cellStyle name="Normal 2 4 5 6 2 2" xfId="7669" xr:uid="{00000000-0005-0000-0000-0000C7100000}"/>
    <cellStyle name="Normal 2 4 5 6 2 2 2" xfId="20302" xr:uid="{74B97304-7CD8-45B3-AFBC-531BE090B310}"/>
    <cellStyle name="Normal 2 4 5 6 2 3" xfId="16091" xr:uid="{0296A127-1968-4022-A4D7-2117FF06C5A4}"/>
    <cellStyle name="Normal 2 4 5 6 2 4" xfId="25341" xr:uid="{DDF159AB-86CA-4935-A054-8FC79E9945EC}"/>
    <cellStyle name="Normal 2 4 5 6 2 5" xfId="11880" xr:uid="{250785A3-6746-4E3D-9317-C9C07FC723DD}"/>
    <cellStyle name="Normal 2 4 5 6 3" xfId="5524" xr:uid="{00000000-0005-0000-0000-0000C8100000}"/>
    <cellStyle name="Normal 2 4 5 6 3 2" xfId="18157" xr:uid="{ACF0A46C-CBA0-4A8E-A086-A0353D1B3F0A}"/>
    <cellStyle name="Normal 2 4 5 6 4" xfId="13946" xr:uid="{DA8794FD-0F40-4C88-8B07-8A35594B3E1D}"/>
    <cellStyle name="Normal 2 4 5 6 5" xfId="23196" xr:uid="{9BCED295-B5D6-4899-9B7D-87C81C0DB9EE}"/>
    <cellStyle name="Normal 2 4 5 6 6" xfId="9735" xr:uid="{C1B99AB1-5867-4CE7-BD63-9AF8D36B5778}"/>
    <cellStyle name="Normal 2 4 5 7" xfId="1628" xr:uid="{00000000-0005-0000-0000-0000C9100000}"/>
    <cellStyle name="Normal 2 4 5 7 2" xfId="3858" xr:uid="{00000000-0005-0000-0000-0000CA100000}"/>
    <cellStyle name="Normal 2 4 5 7 2 2" xfId="8082" xr:uid="{00000000-0005-0000-0000-0000CB100000}"/>
    <cellStyle name="Normal 2 4 5 7 2 2 2" xfId="20715" xr:uid="{64C8C45D-70C4-4668-944A-EB793BB57B48}"/>
    <cellStyle name="Normal 2 4 5 7 2 3" xfId="16504" xr:uid="{AB1670A2-7260-4DA1-A11A-FE6C1392A9AA}"/>
    <cellStyle name="Normal 2 4 5 7 2 4" xfId="25754" xr:uid="{094B6443-9EDA-4039-AD0E-A5DE5439B204}"/>
    <cellStyle name="Normal 2 4 5 7 2 5" xfId="12293" xr:uid="{36A831B6-65D2-461A-9CFB-2679C8808C08}"/>
    <cellStyle name="Normal 2 4 5 7 3" xfId="5937" xr:uid="{00000000-0005-0000-0000-0000CC100000}"/>
    <cellStyle name="Normal 2 4 5 7 3 2" xfId="18570" xr:uid="{FC6819BC-225F-4052-8373-D8B299FE8676}"/>
    <cellStyle name="Normal 2 4 5 7 4" xfId="14359" xr:uid="{814A2D23-14F0-4F28-8057-5364A9833E8B}"/>
    <cellStyle name="Normal 2 4 5 7 5" xfId="23609" xr:uid="{E2FAB4AD-571F-44A5-91B8-D0F8276658A7}"/>
    <cellStyle name="Normal 2 4 5 7 6" xfId="10148" xr:uid="{2E77DBD2-7FD6-4D4A-90BD-88DC47032D5B}"/>
    <cellStyle name="Normal 2 4 5 8" xfId="2042" xr:uid="{00000000-0005-0000-0000-0000CD100000}"/>
    <cellStyle name="Normal 2 4 5 8 2" xfId="4271" xr:uid="{00000000-0005-0000-0000-0000CE100000}"/>
    <cellStyle name="Normal 2 4 5 8 2 2" xfId="8495" xr:uid="{00000000-0005-0000-0000-0000CF100000}"/>
    <cellStyle name="Normal 2 4 5 8 2 2 2" xfId="21128" xr:uid="{2D949820-BFA8-4035-9E4A-850B73BBBA58}"/>
    <cellStyle name="Normal 2 4 5 8 2 3" xfId="16917" xr:uid="{7FE3E46A-7C45-4CAF-978B-5B55578BBA40}"/>
    <cellStyle name="Normal 2 4 5 8 2 4" xfId="26167" xr:uid="{FEB1F00C-2AC5-412D-8156-80071A04C970}"/>
    <cellStyle name="Normal 2 4 5 8 2 5" xfId="12706" xr:uid="{743FA7AC-69E0-4317-974E-103318350285}"/>
    <cellStyle name="Normal 2 4 5 8 3" xfId="6350" xr:uid="{00000000-0005-0000-0000-0000D0100000}"/>
    <cellStyle name="Normal 2 4 5 8 3 2" xfId="18983" xr:uid="{A0233486-EA28-42A9-AA03-8CE1F4C5C64F}"/>
    <cellStyle name="Normal 2 4 5 8 4" xfId="14772" xr:uid="{297A3186-866F-4E3D-9339-049122C8A2DE}"/>
    <cellStyle name="Normal 2 4 5 8 5" xfId="24022" xr:uid="{B4EDA85C-5489-4732-BCBB-6C7928C0FA5C}"/>
    <cellStyle name="Normal 2 4 5 8 6" xfId="10561" xr:uid="{0121A26E-779D-4C0B-9F36-3E226196A787}"/>
    <cellStyle name="Normal 2 4 5 9" xfId="2478" xr:uid="{00000000-0005-0000-0000-0000D1100000}"/>
    <cellStyle name="Normal 2 4 5 9 2" xfId="6763" xr:uid="{00000000-0005-0000-0000-0000D2100000}"/>
    <cellStyle name="Normal 2 4 5 9 2 2" xfId="19396" xr:uid="{E08A7D71-AE93-483C-B809-CDBCDAEA53D3}"/>
    <cellStyle name="Normal 2 4 5 9 3" xfId="15185" xr:uid="{7DF46B46-8CA1-46CB-A4D2-7C6DF68874DA}"/>
    <cellStyle name="Normal 2 4 5 9 4" xfId="24435" xr:uid="{0C0FFCB1-A990-4786-BAC4-0C80C4CE9C25}"/>
    <cellStyle name="Normal 2 4 5 9 5" xfId="10974" xr:uid="{60B6E084-A383-4938-8455-E55F1EC773ED}"/>
    <cellStyle name="Normal 2 4 6" xfId="311" xr:uid="{00000000-0005-0000-0000-0000D3100000}"/>
    <cellStyle name="Normal 2 4 7" xfId="312" xr:uid="{00000000-0005-0000-0000-0000D4100000}"/>
    <cellStyle name="Normal 2 4 7 10" xfId="13127" xr:uid="{103D55B3-9395-42CC-9D6E-443476D1E661}"/>
    <cellStyle name="Normal 2 4 7 11" xfId="22377" xr:uid="{FB0F4EB1-B09F-4F13-ACD6-98B6A24B927D}"/>
    <cellStyle name="Normal 2 4 7 12" xfId="8916" xr:uid="{621F45B5-6AE8-4A91-B9AC-FFBD09213D9E}"/>
    <cellStyle name="Normal 2 4 7 2" xfId="313" xr:uid="{00000000-0005-0000-0000-0000D5100000}"/>
    <cellStyle name="Normal 2 4 7 2 10" xfId="22378" xr:uid="{2553C8B8-1D2F-43BD-9018-B6E7F5E988EB}"/>
    <cellStyle name="Normal 2 4 7 2 11" xfId="8917" xr:uid="{661572E7-830D-41AB-B362-D9A7381CDDE7}"/>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9898" xr:uid="{AF15DECC-CEAB-43C5-9921-E5AA093F40A4}"/>
    <cellStyle name="Normal 2 4 7 2 2 2 3" xfId="15687" xr:uid="{C8E77C0E-385E-4613-A7C6-B7FA2954B18A}"/>
    <cellStyle name="Normal 2 4 7 2 2 2 4" xfId="24937" xr:uid="{F9712DBA-E7C8-416E-864E-BF58AA228741}"/>
    <cellStyle name="Normal 2 4 7 2 2 2 5" xfId="11476" xr:uid="{0B8DBA47-7B7D-4682-BCFE-F9B89497F9E0}"/>
    <cellStyle name="Normal 2 4 7 2 2 3" xfId="5120" xr:uid="{00000000-0005-0000-0000-0000D9100000}"/>
    <cellStyle name="Normal 2 4 7 2 2 3 2" xfId="17753" xr:uid="{39292A11-7CDA-42CE-8D2B-E905DF4C1801}"/>
    <cellStyle name="Normal 2 4 7 2 2 4" xfId="21965" xr:uid="{70AF2D60-AFA5-4CC4-9EAD-1D02B4AF07D2}"/>
    <cellStyle name="Normal 2 4 7 2 2 5" xfId="13542" xr:uid="{540263B6-9573-47DF-9562-6F67B5BD49ED}"/>
    <cellStyle name="Normal 2 4 7 2 2 6" xfId="22792" xr:uid="{EAEE663A-8890-4DCE-B32A-C5A9254DB5BC}"/>
    <cellStyle name="Normal 2 4 7 2 2 7" xfId="9331" xr:uid="{2BDA8A0C-2B57-4922-8DF0-ECC0B165A4C6}"/>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20311" xr:uid="{C339EED9-0EB5-4394-9564-22A2C1E7EF68}"/>
    <cellStyle name="Normal 2 4 7 2 3 2 3" xfId="16100" xr:uid="{B08AC46E-3C35-4F50-AC19-F9E02A707306}"/>
    <cellStyle name="Normal 2 4 7 2 3 2 4" xfId="25350" xr:uid="{40B4967D-C601-476A-AF5C-8BD8DEBCDEE0}"/>
    <cellStyle name="Normal 2 4 7 2 3 2 5" xfId="11889" xr:uid="{0C748C1D-DDB5-49E1-828A-A610C34E397B}"/>
    <cellStyle name="Normal 2 4 7 2 3 3" xfId="5533" xr:uid="{00000000-0005-0000-0000-0000DD100000}"/>
    <cellStyle name="Normal 2 4 7 2 3 3 2" xfId="18166" xr:uid="{1E1D6A94-EE74-43B5-A5BC-BFAD80668426}"/>
    <cellStyle name="Normal 2 4 7 2 3 4" xfId="13955" xr:uid="{5A08A31F-DFA4-4D54-932E-147CA1DEDF3D}"/>
    <cellStyle name="Normal 2 4 7 2 3 5" xfId="23205" xr:uid="{5779C2F4-1010-4D4D-80BE-D60A398725EB}"/>
    <cellStyle name="Normal 2 4 7 2 3 6" xfId="9744" xr:uid="{A6F6F236-B20F-422C-9B55-8EEA5EDE0DCD}"/>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20724" xr:uid="{BBBA1CCD-268F-4509-A4F5-177EE783CA04}"/>
    <cellStyle name="Normal 2 4 7 2 4 2 3" xfId="16513" xr:uid="{0C97001D-835B-42AD-A7A0-83BE912DB8D1}"/>
    <cellStyle name="Normal 2 4 7 2 4 2 4" xfId="25763" xr:uid="{A3725BCF-D24F-4FD6-A630-EE72E21295E1}"/>
    <cellStyle name="Normal 2 4 7 2 4 2 5" xfId="12302" xr:uid="{0C9153D7-2669-450F-8ADB-DF98FEE52ED7}"/>
    <cellStyle name="Normal 2 4 7 2 4 3" xfId="5946" xr:uid="{00000000-0005-0000-0000-0000E1100000}"/>
    <cellStyle name="Normal 2 4 7 2 4 3 2" xfId="18579" xr:uid="{1D1FA21A-C241-45D0-90EF-AE51C79B4433}"/>
    <cellStyle name="Normal 2 4 7 2 4 4" xfId="14368" xr:uid="{FD14A312-E6D1-40E8-B67A-5B8CCBFB7D0C}"/>
    <cellStyle name="Normal 2 4 7 2 4 5" xfId="23618" xr:uid="{6FCDA6D3-4C5F-4EC0-977A-E29CBD756BBB}"/>
    <cellStyle name="Normal 2 4 7 2 4 6" xfId="10157" xr:uid="{A16DB099-2B84-47AB-8E9E-882638CF3D34}"/>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21137" xr:uid="{7BFF1C2D-3D97-426B-8CD2-2EB9BF35FF3E}"/>
    <cellStyle name="Normal 2 4 7 2 5 2 3" xfId="16926" xr:uid="{6F5D40D8-2A74-4175-9EE9-CFA4AD190873}"/>
    <cellStyle name="Normal 2 4 7 2 5 2 4" xfId="26176" xr:uid="{45E8A4FF-3BDF-4A0C-BA35-3EFAA568B61D}"/>
    <cellStyle name="Normal 2 4 7 2 5 2 5" xfId="12715" xr:uid="{AF61DA27-D31A-48BF-B235-CC66AA1F5146}"/>
    <cellStyle name="Normal 2 4 7 2 5 3" xfId="6359" xr:uid="{00000000-0005-0000-0000-0000E5100000}"/>
    <cellStyle name="Normal 2 4 7 2 5 3 2" xfId="18992" xr:uid="{6F0CA414-B97B-48AC-87AF-98F3EFB2D98C}"/>
    <cellStyle name="Normal 2 4 7 2 5 4" xfId="14781" xr:uid="{84039CFE-41DD-4D27-A660-5624B4EB7233}"/>
    <cellStyle name="Normal 2 4 7 2 5 5" xfId="24031" xr:uid="{B4ABC7FA-B808-4B64-AE5B-2B80B5B263E7}"/>
    <cellStyle name="Normal 2 4 7 2 5 6" xfId="10570" xr:uid="{77E1F0F5-EA72-482A-93A0-AB7120F8C4E2}"/>
    <cellStyle name="Normal 2 4 7 2 6" xfId="2487" xr:uid="{00000000-0005-0000-0000-0000E6100000}"/>
    <cellStyle name="Normal 2 4 7 2 6 2" xfId="6772" xr:uid="{00000000-0005-0000-0000-0000E7100000}"/>
    <cellStyle name="Normal 2 4 7 2 6 2 2" xfId="19405" xr:uid="{36EEBE18-6575-4DEB-AA4E-EA1C6A332231}"/>
    <cellStyle name="Normal 2 4 7 2 6 3" xfId="15194" xr:uid="{FD00D20F-65C5-4C4F-9F97-546E8BFBE30F}"/>
    <cellStyle name="Normal 2 4 7 2 6 4" xfId="24444" xr:uid="{DCE18A89-08BE-4389-B9A4-86656B35E07E}"/>
    <cellStyle name="Normal 2 4 7 2 6 5" xfId="10983" xr:uid="{B860CF9E-9B13-4B58-BB4A-DE5DF5F36629}"/>
    <cellStyle name="Normal 2 4 7 2 7" xfId="4706" xr:uid="{00000000-0005-0000-0000-0000E8100000}"/>
    <cellStyle name="Normal 2 4 7 2 7 2" xfId="17339" xr:uid="{0A02010C-B4DB-4155-828F-2CBA9872EEB8}"/>
    <cellStyle name="Normal 2 4 7 2 8" xfId="21550" xr:uid="{89BDEC5D-69CE-49FA-A7DA-B5CDEB4BA125}"/>
    <cellStyle name="Normal 2 4 7 2 9" xfId="13128" xr:uid="{3641A2B3-19E7-4C2D-A4E7-0161B36E46EC}"/>
    <cellStyle name="Normal 2 4 7 3" xfId="801" xr:uid="{00000000-0005-0000-0000-0000E9100000}"/>
    <cellStyle name="Normal 2 4 7 3 2" xfId="3040" xr:uid="{00000000-0005-0000-0000-0000EA100000}"/>
    <cellStyle name="Normal 2 4 7 3 2 2" xfId="7264" xr:uid="{00000000-0005-0000-0000-0000EB100000}"/>
    <cellStyle name="Normal 2 4 7 3 2 2 2" xfId="19897" xr:uid="{3AC6DD4F-EF89-43A7-BB22-3DF72FB3BFEE}"/>
    <cellStyle name="Normal 2 4 7 3 2 3" xfId="15686" xr:uid="{44C0D950-6E3F-43AF-8D58-028DE83E4E10}"/>
    <cellStyle name="Normal 2 4 7 3 2 4" xfId="24936" xr:uid="{CA711FDA-1810-41F8-80C5-A30AAFFA1879}"/>
    <cellStyle name="Normal 2 4 7 3 2 5" xfId="11475" xr:uid="{58D700AE-D03F-4ABD-B41D-A090BBF5BEBC}"/>
    <cellStyle name="Normal 2 4 7 3 3" xfId="5119" xr:uid="{00000000-0005-0000-0000-0000EC100000}"/>
    <cellStyle name="Normal 2 4 7 3 3 2" xfId="17752" xr:uid="{DBE61F7F-832B-42AF-A3B2-31A70F61E5A2}"/>
    <cellStyle name="Normal 2 4 7 3 4" xfId="21964" xr:uid="{E129404A-A07A-4511-B1B2-731BFBB02E46}"/>
    <cellStyle name="Normal 2 4 7 3 5" xfId="13541" xr:uid="{18B86AA1-C7BB-4CEF-AD6E-462DDCAA4536}"/>
    <cellStyle name="Normal 2 4 7 3 6" xfId="22791" xr:uid="{BFEDF198-0700-4AEB-8CA1-E36247237930}"/>
    <cellStyle name="Normal 2 4 7 3 7" xfId="9330" xr:uid="{71B32D55-2789-44B5-932D-2292C4159BCF}"/>
    <cellStyle name="Normal 2 4 7 4" xfId="1223" xr:uid="{00000000-0005-0000-0000-0000ED100000}"/>
    <cellStyle name="Normal 2 4 7 4 2" xfId="3453" xr:uid="{00000000-0005-0000-0000-0000EE100000}"/>
    <cellStyle name="Normal 2 4 7 4 2 2" xfId="7677" xr:uid="{00000000-0005-0000-0000-0000EF100000}"/>
    <cellStyle name="Normal 2 4 7 4 2 2 2" xfId="20310" xr:uid="{3D352ACC-7FA9-41F3-AB68-615434255FEB}"/>
    <cellStyle name="Normal 2 4 7 4 2 3" xfId="16099" xr:uid="{2A35F150-E952-413E-B41A-F06FD8855395}"/>
    <cellStyle name="Normal 2 4 7 4 2 4" xfId="25349" xr:uid="{CDE29A3A-FCFE-4EBA-B4AF-689D408F2B50}"/>
    <cellStyle name="Normal 2 4 7 4 2 5" xfId="11888" xr:uid="{9208A8DF-AEBD-4118-AB75-D09C31A471C3}"/>
    <cellStyle name="Normal 2 4 7 4 3" xfId="5532" xr:uid="{00000000-0005-0000-0000-0000F0100000}"/>
    <cellStyle name="Normal 2 4 7 4 3 2" xfId="18165" xr:uid="{C3938B13-7DE9-43E7-AEAA-F4A71BFADC1E}"/>
    <cellStyle name="Normal 2 4 7 4 4" xfId="13954" xr:uid="{67F1ECBD-11EF-40FD-9EA4-0B8CED90CCEC}"/>
    <cellStyle name="Normal 2 4 7 4 5" xfId="23204" xr:uid="{D02B92BC-1C39-4CB2-B92B-E2025D5AC891}"/>
    <cellStyle name="Normal 2 4 7 4 6" xfId="9743" xr:uid="{EE320DD3-47D6-43A8-8782-ED6F17C06A68}"/>
    <cellStyle name="Normal 2 4 7 5" xfId="1636" xr:uid="{00000000-0005-0000-0000-0000F1100000}"/>
    <cellStyle name="Normal 2 4 7 5 2" xfId="3866" xr:uid="{00000000-0005-0000-0000-0000F2100000}"/>
    <cellStyle name="Normal 2 4 7 5 2 2" xfId="8090" xr:uid="{00000000-0005-0000-0000-0000F3100000}"/>
    <cellStyle name="Normal 2 4 7 5 2 2 2" xfId="20723" xr:uid="{EB4ED314-25B1-442D-9FCE-6833692A883A}"/>
    <cellStyle name="Normal 2 4 7 5 2 3" xfId="16512" xr:uid="{D901E313-E9D2-4F97-88A2-FA2760C173FE}"/>
    <cellStyle name="Normal 2 4 7 5 2 4" xfId="25762" xr:uid="{DAC44166-FA9E-4EDB-A3FD-2863F26A94D2}"/>
    <cellStyle name="Normal 2 4 7 5 2 5" xfId="12301" xr:uid="{91ED260B-2638-4A68-A132-EB679FBB8CC5}"/>
    <cellStyle name="Normal 2 4 7 5 3" xfId="5945" xr:uid="{00000000-0005-0000-0000-0000F4100000}"/>
    <cellStyle name="Normal 2 4 7 5 3 2" xfId="18578" xr:uid="{D6FE246F-A41C-47E1-8F5F-7866E18D4825}"/>
    <cellStyle name="Normal 2 4 7 5 4" xfId="14367" xr:uid="{AC2B9470-FD79-45F8-9CFF-FE0F047E7EB2}"/>
    <cellStyle name="Normal 2 4 7 5 5" xfId="23617" xr:uid="{94A62BEC-729C-43DB-A259-2843A068AD27}"/>
    <cellStyle name="Normal 2 4 7 5 6" xfId="10156" xr:uid="{0CE1C5E9-632A-4CC9-918F-844242B06469}"/>
    <cellStyle name="Normal 2 4 7 6" xfId="2050" xr:uid="{00000000-0005-0000-0000-0000F5100000}"/>
    <cellStyle name="Normal 2 4 7 6 2" xfId="4279" xr:uid="{00000000-0005-0000-0000-0000F6100000}"/>
    <cellStyle name="Normal 2 4 7 6 2 2" xfId="8503" xr:uid="{00000000-0005-0000-0000-0000F7100000}"/>
    <cellStyle name="Normal 2 4 7 6 2 2 2" xfId="21136" xr:uid="{C28415B6-0DE7-4105-AB17-B3A60D63BA5F}"/>
    <cellStyle name="Normal 2 4 7 6 2 3" xfId="16925" xr:uid="{66348177-F635-462B-88C0-9C64A40D06FD}"/>
    <cellStyle name="Normal 2 4 7 6 2 4" xfId="26175" xr:uid="{002F47CC-7640-47C2-A143-DFDDB10A47BF}"/>
    <cellStyle name="Normal 2 4 7 6 2 5" xfId="12714" xr:uid="{B0B57334-73E3-46AB-BDA1-88AF3EC00775}"/>
    <cellStyle name="Normal 2 4 7 6 3" xfId="6358" xr:uid="{00000000-0005-0000-0000-0000F8100000}"/>
    <cellStyle name="Normal 2 4 7 6 3 2" xfId="18991" xr:uid="{7590DEA1-2FB4-4417-836A-CCA64E0B81B2}"/>
    <cellStyle name="Normal 2 4 7 6 4" xfId="14780" xr:uid="{E94A0B87-0F1E-45F2-95DD-A8AC6988B1F8}"/>
    <cellStyle name="Normal 2 4 7 6 5" xfId="24030" xr:uid="{6071BBB2-98F0-4413-9A8A-2AB5EE8BD087}"/>
    <cellStyle name="Normal 2 4 7 6 6" xfId="10569" xr:uid="{0247017D-3DB4-4A73-9EA0-34163A46E5E6}"/>
    <cellStyle name="Normal 2 4 7 7" xfId="2486" xr:uid="{00000000-0005-0000-0000-0000F9100000}"/>
    <cellStyle name="Normal 2 4 7 7 2" xfId="6771" xr:uid="{00000000-0005-0000-0000-0000FA100000}"/>
    <cellStyle name="Normal 2 4 7 7 2 2" xfId="19404" xr:uid="{676E774D-1BA0-4958-8E7F-E8AF2B78CE96}"/>
    <cellStyle name="Normal 2 4 7 7 3" xfId="15193" xr:uid="{FDDF7A93-6280-4C5A-A3F7-D72FB195265A}"/>
    <cellStyle name="Normal 2 4 7 7 4" xfId="24443" xr:uid="{3F75BFBB-759B-4799-87C9-74D58F9A6BA9}"/>
    <cellStyle name="Normal 2 4 7 7 5" xfId="10982" xr:uid="{680429F8-7BD2-4644-B437-3186C0F1E853}"/>
    <cellStyle name="Normal 2 4 7 8" xfId="4705" xr:uid="{00000000-0005-0000-0000-0000FB100000}"/>
    <cellStyle name="Normal 2 4 7 8 2" xfId="17338" xr:uid="{226BAFE1-0F93-476A-B190-E77E69F13F21}"/>
    <cellStyle name="Normal 2 4 7 9" xfId="21549" xr:uid="{0B2ED322-1C31-4D63-9562-8D238AEAFE55}"/>
    <cellStyle name="Normal 2 4 8" xfId="314" xr:uid="{00000000-0005-0000-0000-0000FC100000}"/>
    <cellStyle name="Normal 2 4 8 10" xfId="22379" xr:uid="{DDCE7E50-3AC8-4F03-93F4-538EEC0EB775}"/>
    <cellStyle name="Normal 2 4 8 11" xfId="8918" xr:uid="{33A0845C-A640-40FE-9E7E-7E8229B408E8}"/>
    <cellStyle name="Normal 2 4 8 2" xfId="803" xr:uid="{00000000-0005-0000-0000-0000FD100000}"/>
    <cellStyle name="Normal 2 4 8 2 2" xfId="3042" xr:uid="{00000000-0005-0000-0000-0000FE100000}"/>
    <cellStyle name="Normal 2 4 8 2 2 2" xfId="7266" xr:uid="{00000000-0005-0000-0000-0000FF100000}"/>
    <cellStyle name="Normal 2 4 8 2 2 2 2" xfId="19899" xr:uid="{B412CDB4-9F41-4941-9261-09DAAC5DED9B}"/>
    <cellStyle name="Normal 2 4 8 2 2 3" xfId="15688" xr:uid="{A6CAEEFE-E62B-4632-9540-85C7713901A9}"/>
    <cellStyle name="Normal 2 4 8 2 2 4" xfId="24938" xr:uid="{4D07CEF6-E4D5-4E1F-938C-B738F09F1A4D}"/>
    <cellStyle name="Normal 2 4 8 2 2 5" xfId="11477" xr:uid="{6AB87F4F-6C76-4433-8EF0-6586262189D0}"/>
    <cellStyle name="Normal 2 4 8 2 3" xfId="5121" xr:uid="{00000000-0005-0000-0000-000000110000}"/>
    <cellStyle name="Normal 2 4 8 2 3 2" xfId="17754" xr:uid="{20B6FDF8-C17C-41DC-BD52-39F63E5F6306}"/>
    <cellStyle name="Normal 2 4 8 2 4" xfId="21966" xr:uid="{A77DEBDA-6E6B-49FB-B7AF-7851CAF47555}"/>
    <cellStyle name="Normal 2 4 8 2 5" xfId="13543" xr:uid="{04D5157C-D7E0-4A8F-A530-6A07F2132E06}"/>
    <cellStyle name="Normal 2 4 8 2 6" xfId="22793" xr:uid="{C4DDB7AC-72A9-499B-B5BB-07D388F0402E}"/>
    <cellStyle name="Normal 2 4 8 2 7" xfId="9332" xr:uid="{25A58C46-5BC9-4F86-993D-09B996044C73}"/>
    <cellStyle name="Normal 2 4 8 3" xfId="1225" xr:uid="{00000000-0005-0000-0000-000001110000}"/>
    <cellStyle name="Normal 2 4 8 3 2" xfId="3455" xr:uid="{00000000-0005-0000-0000-000002110000}"/>
    <cellStyle name="Normal 2 4 8 3 2 2" xfId="7679" xr:uid="{00000000-0005-0000-0000-000003110000}"/>
    <cellStyle name="Normal 2 4 8 3 2 2 2" xfId="20312" xr:uid="{B5D16241-9DA2-4448-A765-D4A059CA0DBD}"/>
    <cellStyle name="Normal 2 4 8 3 2 3" xfId="16101" xr:uid="{C12E1E11-BAC0-4DD4-850F-E40E473EB027}"/>
    <cellStyle name="Normal 2 4 8 3 2 4" xfId="25351" xr:uid="{D0B172E5-D2E5-4A68-A10A-717592245072}"/>
    <cellStyle name="Normal 2 4 8 3 2 5" xfId="11890" xr:uid="{62AEDB54-4E68-4EAD-9EFD-86C2D647338B}"/>
    <cellStyle name="Normal 2 4 8 3 3" xfId="5534" xr:uid="{00000000-0005-0000-0000-000004110000}"/>
    <cellStyle name="Normal 2 4 8 3 3 2" xfId="18167" xr:uid="{850C2D3F-7DBA-4DE3-A8FE-D82E1179D702}"/>
    <cellStyle name="Normal 2 4 8 3 4" xfId="13956" xr:uid="{36DCFB03-279D-49D8-964F-AE68C0C15C9D}"/>
    <cellStyle name="Normal 2 4 8 3 5" xfId="23206" xr:uid="{3FC069B8-2C24-4F6B-B6F1-66D000014365}"/>
    <cellStyle name="Normal 2 4 8 3 6" xfId="9745" xr:uid="{2A37FA58-22ED-4DDE-AA70-5496963FFF65}"/>
    <cellStyle name="Normal 2 4 8 4" xfId="1638" xr:uid="{00000000-0005-0000-0000-000005110000}"/>
    <cellStyle name="Normal 2 4 8 4 2" xfId="3868" xr:uid="{00000000-0005-0000-0000-000006110000}"/>
    <cellStyle name="Normal 2 4 8 4 2 2" xfId="8092" xr:uid="{00000000-0005-0000-0000-000007110000}"/>
    <cellStyle name="Normal 2 4 8 4 2 2 2" xfId="20725" xr:uid="{5C799626-C98F-467E-815F-DC578C6B6AC1}"/>
    <cellStyle name="Normal 2 4 8 4 2 3" xfId="16514" xr:uid="{BDD0F987-628F-481B-8D9A-DC6883470EEA}"/>
    <cellStyle name="Normal 2 4 8 4 2 4" xfId="25764" xr:uid="{F130FBA7-341F-4DDF-BE27-7C7349BE541F}"/>
    <cellStyle name="Normal 2 4 8 4 2 5" xfId="12303" xr:uid="{0A491381-D5F8-4806-BC1D-06BD3FF56C83}"/>
    <cellStyle name="Normal 2 4 8 4 3" xfId="5947" xr:uid="{00000000-0005-0000-0000-000008110000}"/>
    <cellStyle name="Normal 2 4 8 4 3 2" xfId="18580" xr:uid="{0DB94644-03DA-4793-B1AA-3E4B39D74E67}"/>
    <cellStyle name="Normal 2 4 8 4 4" xfId="14369" xr:uid="{53357F56-24A9-475D-A3FE-F64A38AC2A30}"/>
    <cellStyle name="Normal 2 4 8 4 5" xfId="23619" xr:uid="{C5A619E5-681D-406E-8D7A-07CD1807DC3D}"/>
    <cellStyle name="Normal 2 4 8 4 6" xfId="10158" xr:uid="{F31A27CB-2E66-4BBC-A91E-B24C9CC1B24F}"/>
    <cellStyle name="Normal 2 4 8 5" xfId="2052" xr:uid="{00000000-0005-0000-0000-000009110000}"/>
    <cellStyle name="Normal 2 4 8 5 2" xfId="4281" xr:uid="{00000000-0005-0000-0000-00000A110000}"/>
    <cellStyle name="Normal 2 4 8 5 2 2" xfId="8505" xr:uid="{00000000-0005-0000-0000-00000B110000}"/>
    <cellStyle name="Normal 2 4 8 5 2 2 2" xfId="21138" xr:uid="{7FC6DBBA-5BD4-441F-BBCE-A30644D51C6E}"/>
    <cellStyle name="Normal 2 4 8 5 2 3" xfId="16927" xr:uid="{537AFE9B-9C9D-46BD-9D87-A1CCA3CCA8F0}"/>
    <cellStyle name="Normal 2 4 8 5 2 4" xfId="26177" xr:uid="{CF8939BE-85BD-4236-AC63-E7A9845F4289}"/>
    <cellStyle name="Normal 2 4 8 5 2 5" xfId="12716" xr:uid="{D6D82DF0-1A87-471B-8718-5BACA82C8984}"/>
    <cellStyle name="Normal 2 4 8 5 3" xfId="6360" xr:uid="{00000000-0005-0000-0000-00000C110000}"/>
    <cellStyle name="Normal 2 4 8 5 3 2" xfId="18993" xr:uid="{3AD83244-B94A-4744-A42C-24911ACF02BB}"/>
    <cellStyle name="Normal 2 4 8 5 4" xfId="14782" xr:uid="{84A74E4A-6225-4630-9DC4-2742298432D3}"/>
    <cellStyle name="Normal 2 4 8 5 5" xfId="24032" xr:uid="{39869443-1A42-47BA-BD2A-C1275D7FD489}"/>
    <cellStyle name="Normal 2 4 8 5 6" xfId="10571" xr:uid="{B674FAC3-EC93-41BE-B514-3DF83EF67959}"/>
    <cellStyle name="Normal 2 4 8 6" xfId="2488" xr:uid="{00000000-0005-0000-0000-00000D110000}"/>
    <cellStyle name="Normal 2 4 8 6 2" xfId="6773" xr:uid="{00000000-0005-0000-0000-00000E110000}"/>
    <cellStyle name="Normal 2 4 8 6 2 2" xfId="19406" xr:uid="{B41D3B5D-F80A-437B-90AD-797105348AED}"/>
    <cellStyle name="Normal 2 4 8 6 3" xfId="15195" xr:uid="{3D3646F8-FA11-4B58-9484-3FD0F8B4097D}"/>
    <cellStyle name="Normal 2 4 8 6 4" xfId="24445" xr:uid="{CC8B108D-4BD1-455D-9396-65D25E9A54F4}"/>
    <cellStyle name="Normal 2 4 8 6 5" xfId="10984" xr:uid="{5774AEAC-C2B4-4782-B165-6C6511FB4D47}"/>
    <cellStyle name="Normal 2 4 8 7" xfId="4707" xr:uid="{00000000-0005-0000-0000-00000F110000}"/>
    <cellStyle name="Normal 2 4 8 7 2" xfId="17340" xr:uid="{7C36BE6F-94C3-46C2-971B-75871E19D7C3}"/>
    <cellStyle name="Normal 2 4 8 8" xfId="21551" xr:uid="{5817C10B-D933-4F2F-8ECB-503ED9915D09}"/>
    <cellStyle name="Normal 2 4 8 9" xfId="13129" xr:uid="{74F199F3-024E-4851-8A78-64B5CA09B87F}"/>
    <cellStyle name="Normal 2 5" xfId="315" xr:uid="{00000000-0005-0000-0000-000010110000}"/>
    <cellStyle name="Normal 2 5 10" xfId="4708" xr:uid="{00000000-0005-0000-0000-000011110000}"/>
    <cellStyle name="Normal 2 5 10 2" xfId="17341" xr:uid="{154859E0-4828-45BE-8C5F-122A1E383680}"/>
    <cellStyle name="Normal 2 5 11" xfId="21552" xr:uid="{1E0EDB15-DED7-4B87-A59E-E8FA1FDD740E}"/>
    <cellStyle name="Normal 2 5 12" xfId="13130" xr:uid="{757E2E82-7A67-4ECA-BD08-78AA73B553B9}"/>
    <cellStyle name="Normal 2 5 13" xfId="22380" xr:uid="{2FFCC288-AA48-48A5-AC6C-979F3F6B0644}"/>
    <cellStyle name="Normal 2 5 14" xfId="8919" xr:uid="{BCD0AFA6-CC95-403F-AE28-9B942D3A1DC1}"/>
    <cellStyle name="Normal 2 5 2" xfId="316" xr:uid="{00000000-0005-0000-0000-000012110000}"/>
    <cellStyle name="Normal 2 5 3" xfId="317" xr:uid="{00000000-0005-0000-0000-000013110000}"/>
    <cellStyle name="Normal 2 5 4" xfId="318" xr:uid="{00000000-0005-0000-0000-000014110000}"/>
    <cellStyle name="Normal 2 5 4 10" xfId="21553" xr:uid="{9A90B259-EEFA-475B-A330-543D6F1FD2FD}"/>
    <cellStyle name="Normal 2 5 4 11" xfId="13131" xr:uid="{C80E4951-2B71-4381-BB35-A35BA9DFA669}"/>
    <cellStyle name="Normal 2 5 4 12" xfId="22381" xr:uid="{236D62FC-9E13-4C9B-A0B2-8A861CED782B}"/>
    <cellStyle name="Normal 2 5 4 13" xfId="8920" xr:uid="{952B445F-9D68-4A37-AA8A-A0D37436CC95}"/>
    <cellStyle name="Normal 2 5 4 2" xfId="319" xr:uid="{00000000-0005-0000-0000-000015110000}"/>
    <cellStyle name="Normal 2 5 4 2 10" xfId="13132" xr:uid="{1FC7726E-3882-4256-A639-AC91ED417A43}"/>
    <cellStyle name="Normal 2 5 4 2 11" xfId="22382" xr:uid="{297B4151-ECC2-4417-8DC3-00CA3D045DDC}"/>
    <cellStyle name="Normal 2 5 4 2 12" xfId="8921" xr:uid="{EFC8CB28-FB5F-4C75-B1DA-385BB2F8B5AA}"/>
    <cellStyle name="Normal 2 5 4 2 2" xfId="320" xr:uid="{00000000-0005-0000-0000-000016110000}"/>
    <cellStyle name="Normal 2 5 4 2 2 10" xfId="22383" xr:uid="{9744CCAB-6E84-429E-9269-EE2E8AB67C83}"/>
    <cellStyle name="Normal 2 5 4 2 2 11" xfId="8922" xr:uid="{D0C1BFE0-2272-4B6B-807E-EEA51BA9E90B}"/>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9903" xr:uid="{6EBC63A6-1DF6-41CA-BBCD-FD71B75B7BFB}"/>
    <cellStyle name="Normal 2 5 4 2 2 2 2 3" xfId="15692" xr:uid="{9663CC12-464A-4AE0-AA37-CF91F5E9E0DF}"/>
    <cellStyle name="Normal 2 5 4 2 2 2 2 4" xfId="24942" xr:uid="{BAAE754A-307C-4C7E-8F41-2635F193D2BB}"/>
    <cellStyle name="Normal 2 5 4 2 2 2 2 5" xfId="11481" xr:uid="{B429D225-C3B7-4EEA-BE0A-0D0F72779608}"/>
    <cellStyle name="Normal 2 5 4 2 2 2 3" xfId="5125" xr:uid="{00000000-0005-0000-0000-00001A110000}"/>
    <cellStyle name="Normal 2 5 4 2 2 2 3 2" xfId="17758" xr:uid="{A08B9C64-7C69-42F6-9F20-CAAC3EAAC55C}"/>
    <cellStyle name="Normal 2 5 4 2 2 2 4" xfId="21970" xr:uid="{4F3F5274-50CE-4722-B0AA-9B15069270C0}"/>
    <cellStyle name="Normal 2 5 4 2 2 2 5" xfId="13547" xr:uid="{CFEE5977-D323-455D-8358-6F2588967476}"/>
    <cellStyle name="Normal 2 5 4 2 2 2 6" xfId="22797" xr:uid="{C976A588-3A6E-45F6-BDBE-BD449D724232}"/>
    <cellStyle name="Normal 2 5 4 2 2 2 7" xfId="9336" xr:uid="{4699DFD7-EF0F-4178-B777-733EF5138EA7}"/>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20316" xr:uid="{4831D082-79E5-4573-8EC3-D90724302C2E}"/>
    <cellStyle name="Normal 2 5 4 2 2 3 2 3" xfId="16105" xr:uid="{66CAC4C2-76DA-40E2-AE29-E44A316000D8}"/>
    <cellStyle name="Normal 2 5 4 2 2 3 2 4" xfId="25355" xr:uid="{F856B19B-2529-45A0-9174-F5184E767406}"/>
    <cellStyle name="Normal 2 5 4 2 2 3 2 5" xfId="11894" xr:uid="{EC8C9AAC-2BB7-4AB3-BFB2-A1550DD57179}"/>
    <cellStyle name="Normal 2 5 4 2 2 3 3" xfId="5538" xr:uid="{00000000-0005-0000-0000-00001E110000}"/>
    <cellStyle name="Normal 2 5 4 2 2 3 3 2" xfId="18171" xr:uid="{BBB38918-54F9-4FAC-B1B2-954F11D39917}"/>
    <cellStyle name="Normal 2 5 4 2 2 3 4" xfId="13960" xr:uid="{EBE5808B-8664-4FDE-8302-F3E718C8E298}"/>
    <cellStyle name="Normal 2 5 4 2 2 3 5" xfId="23210" xr:uid="{B46DA0C5-FED9-414B-9F20-1439EB557147}"/>
    <cellStyle name="Normal 2 5 4 2 2 3 6" xfId="9749" xr:uid="{88353207-04E2-4820-A80E-69C4A745E8C1}"/>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20729" xr:uid="{A2C58FA4-11D1-43E3-AFF6-D3F1D8A615A3}"/>
    <cellStyle name="Normal 2 5 4 2 2 4 2 3" xfId="16518" xr:uid="{711EDCFF-73D9-4B9C-A459-82346944A971}"/>
    <cellStyle name="Normal 2 5 4 2 2 4 2 4" xfId="25768" xr:uid="{73FBDC8D-1680-4431-96AA-D53C12F83241}"/>
    <cellStyle name="Normal 2 5 4 2 2 4 2 5" xfId="12307" xr:uid="{58EBF80F-5F44-47E9-B7D1-BD4690703C08}"/>
    <cellStyle name="Normal 2 5 4 2 2 4 3" xfId="5951" xr:uid="{00000000-0005-0000-0000-000022110000}"/>
    <cellStyle name="Normal 2 5 4 2 2 4 3 2" xfId="18584" xr:uid="{6D148F16-CCEA-441E-8C34-20E32E6E93C8}"/>
    <cellStyle name="Normal 2 5 4 2 2 4 4" xfId="14373" xr:uid="{66486EED-DC3C-4D35-A682-4AE3FDFF01A6}"/>
    <cellStyle name="Normal 2 5 4 2 2 4 5" xfId="23623" xr:uid="{2230537F-B824-4962-82EA-14C7D8E84ADE}"/>
    <cellStyle name="Normal 2 5 4 2 2 4 6" xfId="10162" xr:uid="{B73629D1-9A89-4DDE-9137-3863999D9C4B}"/>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21142" xr:uid="{5B58C7D7-A60D-4222-8C0F-B049354E72AB}"/>
    <cellStyle name="Normal 2 5 4 2 2 5 2 3" xfId="16931" xr:uid="{0ED491E4-6288-49F0-94A4-855CE7B47234}"/>
    <cellStyle name="Normal 2 5 4 2 2 5 2 4" xfId="26181" xr:uid="{2EA8641C-F9E7-43EC-9890-E4BCD23A6A24}"/>
    <cellStyle name="Normal 2 5 4 2 2 5 2 5" xfId="12720" xr:uid="{59ADB103-B504-4289-ACAC-DDA70E32575C}"/>
    <cellStyle name="Normal 2 5 4 2 2 5 3" xfId="6364" xr:uid="{00000000-0005-0000-0000-000026110000}"/>
    <cellStyle name="Normal 2 5 4 2 2 5 3 2" xfId="18997" xr:uid="{B2B204AD-23EF-439E-BD28-5D8E238076F7}"/>
    <cellStyle name="Normal 2 5 4 2 2 5 4" xfId="14786" xr:uid="{EC54345F-7945-4A21-85D8-C606A0ED018D}"/>
    <cellStyle name="Normal 2 5 4 2 2 5 5" xfId="24036" xr:uid="{E7BAC04B-742D-4C5E-A498-32C9919E235E}"/>
    <cellStyle name="Normal 2 5 4 2 2 5 6" xfId="10575" xr:uid="{7A6F0817-00FA-43B2-B885-407C3F346EF9}"/>
    <cellStyle name="Normal 2 5 4 2 2 6" xfId="2492" xr:uid="{00000000-0005-0000-0000-000027110000}"/>
    <cellStyle name="Normal 2 5 4 2 2 6 2" xfId="6777" xr:uid="{00000000-0005-0000-0000-000028110000}"/>
    <cellStyle name="Normal 2 5 4 2 2 6 2 2" xfId="19410" xr:uid="{23F8C4C5-A682-437B-98E0-4733273DC89D}"/>
    <cellStyle name="Normal 2 5 4 2 2 6 3" xfId="15199" xr:uid="{6AEF8E38-1F30-4A59-8F6B-5535D1C8D9FF}"/>
    <cellStyle name="Normal 2 5 4 2 2 6 4" xfId="24449" xr:uid="{796CDD60-AB8D-4A45-B29E-B57932A9A430}"/>
    <cellStyle name="Normal 2 5 4 2 2 6 5" xfId="10988" xr:uid="{AE380469-5500-4DC1-984A-4F16D86B5C61}"/>
    <cellStyle name="Normal 2 5 4 2 2 7" xfId="4711" xr:uid="{00000000-0005-0000-0000-000029110000}"/>
    <cellStyle name="Normal 2 5 4 2 2 7 2" xfId="17344" xr:uid="{6E359114-1D5B-4617-AB2A-7A1F504A465C}"/>
    <cellStyle name="Normal 2 5 4 2 2 8" xfId="21555" xr:uid="{F5EE765D-0652-4AF0-B4A6-1CE4F9D07E70}"/>
    <cellStyle name="Normal 2 5 4 2 2 9" xfId="13133" xr:uid="{7221D46A-F7C2-4D91-88D1-140D531A2D6A}"/>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9902" xr:uid="{8F265D68-EFC4-4A32-A2F7-A036C5CFCEE1}"/>
    <cellStyle name="Normal 2 5 4 2 3 2 3" xfId="15691" xr:uid="{FB0FA66A-CDA4-4731-8CAB-7002CC0EAE94}"/>
    <cellStyle name="Normal 2 5 4 2 3 2 4" xfId="24941" xr:uid="{AD5AA2D1-3BFE-41E0-AB1D-0D06FBF6B16F}"/>
    <cellStyle name="Normal 2 5 4 2 3 2 5" xfId="11480" xr:uid="{E78721C6-EAA8-4506-8099-A9C303340544}"/>
    <cellStyle name="Normal 2 5 4 2 3 3" xfId="5124" xr:uid="{00000000-0005-0000-0000-00002D110000}"/>
    <cellStyle name="Normal 2 5 4 2 3 3 2" xfId="17757" xr:uid="{BB99C2BB-E291-45DD-86D6-71E496D59469}"/>
    <cellStyle name="Normal 2 5 4 2 3 4" xfId="21969" xr:uid="{6333B7E0-4833-4A61-A41B-7A8695D6580B}"/>
    <cellStyle name="Normal 2 5 4 2 3 5" xfId="13546" xr:uid="{4C0D39FB-B20B-440D-B954-F977A3C49B0D}"/>
    <cellStyle name="Normal 2 5 4 2 3 6" xfId="22796" xr:uid="{F3313C23-FEDA-42D8-A614-852F331A0D05}"/>
    <cellStyle name="Normal 2 5 4 2 3 7" xfId="9335" xr:uid="{7E37BA06-E15B-4C11-A53F-F9167D2B06EE}"/>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20315" xr:uid="{97F6152C-BF97-47E5-ABDB-9D40FE0EB439}"/>
    <cellStyle name="Normal 2 5 4 2 4 2 3" xfId="16104" xr:uid="{C412675C-8B2E-406E-A207-B5DCF5517292}"/>
    <cellStyle name="Normal 2 5 4 2 4 2 4" xfId="25354" xr:uid="{6C26C3B3-B5A8-44EE-84B0-C32F870005BB}"/>
    <cellStyle name="Normal 2 5 4 2 4 2 5" xfId="11893" xr:uid="{F9BA11E2-BBB1-4F55-A12E-D0F1DA54709E}"/>
    <cellStyle name="Normal 2 5 4 2 4 3" xfId="5537" xr:uid="{00000000-0005-0000-0000-000031110000}"/>
    <cellStyle name="Normal 2 5 4 2 4 3 2" xfId="18170" xr:uid="{C9EEE4EA-626E-4F82-ACAA-190E32FF1590}"/>
    <cellStyle name="Normal 2 5 4 2 4 4" xfId="13959" xr:uid="{37532C74-9DD8-49E9-9072-A2CD6BFE41B4}"/>
    <cellStyle name="Normal 2 5 4 2 4 5" xfId="23209" xr:uid="{3DB05284-FF60-40E8-B531-942E67516DA8}"/>
    <cellStyle name="Normal 2 5 4 2 4 6" xfId="9748" xr:uid="{9A5C746A-A443-4DD5-871E-D9D45E20606A}"/>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20728" xr:uid="{DB5D2897-E844-4A99-B510-1C55BE7AA853}"/>
    <cellStyle name="Normal 2 5 4 2 5 2 3" xfId="16517" xr:uid="{D0D4DF90-DD4C-450F-872C-7147FFDA2B5B}"/>
    <cellStyle name="Normal 2 5 4 2 5 2 4" xfId="25767" xr:uid="{1760A815-F56A-486F-89DA-51C922D5799F}"/>
    <cellStyle name="Normal 2 5 4 2 5 2 5" xfId="12306" xr:uid="{07EA8022-45F1-4277-A279-020C12948818}"/>
    <cellStyle name="Normal 2 5 4 2 5 3" xfId="5950" xr:uid="{00000000-0005-0000-0000-000035110000}"/>
    <cellStyle name="Normal 2 5 4 2 5 3 2" xfId="18583" xr:uid="{5942868D-B136-4609-B93A-369CE539FBED}"/>
    <cellStyle name="Normal 2 5 4 2 5 4" xfId="14372" xr:uid="{FF9354FF-57C9-4870-AC4B-64BE884DC650}"/>
    <cellStyle name="Normal 2 5 4 2 5 5" xfId="23622" xr:uid="{C4C63001-F536-4AB3-A858-077488B4A48B}"/>
    <cellStyle name="Normal 2 5 4 2 5 6" xfId="10161" xr:uid="{C0F877DA-A6ED-4478-9CC5-7736BDDC2A17}"/>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21141" xr:uid="{F82029CC-E55A-4312-AC1A-251D913CE22E}"/>
    <cellStyle name="Normal 2 5 4 2 6 2 3" xfId="16930" xr:uid="{386DF0A8-E0DB-4917-9C10-D19876E81B4C}"/>
    <cellStyle name="Normal 2 5 4 2 6 2 4" xfId="26180" xr:uid="{1C480AAD-C277-4C65-94AB-37656F62153C}"/>
    <cellStyle name="Normal 2 5 4 2 6 2 5" xfId="12719" xr:uid="{6A68E48B-9B65-4FB2-86F9-2EB0AFCBE3FA}"/>
    <cellStyle name="Normal 2 5 4 2 6 3" xfId="6363" xr:uid="{00000000-0005-0000-0000-000039110000}"/>
    <cellStyle name="Normal 2 5 4 2 6 3 2" xfId="18996" xr:uid="{D995A012-29AE-4165-9200-82A937842AAE}"/>
    <cellStyle name="Normal 2 5 4 2 6 4" xfId="14785" xr:uid="{F634D068-A91A-42C0-83FD-DA5C591D857F}"/>
    <cellStyle name="Normal 2 5 4 2 6 5" xfId="24035" xr:uid="{D46D3531-B918-4F0B-8F70-C9D9DFE40F4B}"/>
    <cellStyle name="Normal 2 5 4 2 6 6" xfId="10574" xr:uid="{82CCB32E-2E8D-4B5E-954C-D36F38C526FC}"/>
    <cellStyle name="Normal 2 5 4 2 7" xfId="2491" xr:uid="{00000000-0005-0000-0000-00003A110000}"/>
    <cellStyle name="Normal 2 5 4 2 7 2" xfId="6776" xr:uid="{00000000-0005-0000-0000-00003B110000}"/>
    <cellStyle name="Normal 2 5 4 2 7 2 2" xfId="19409" xr:uid="{A77903E7-61AF-48A9-BB60-1DBE71CA45BE}"/>
    <cellStyle name="Normal 2 5 4 2 7 3" xfId="15198" xr:uid="{BD332399-B255-4847-9170-57B5670D036B}"/>
    <cellStyle name="Normal 2 5 4 2 7 4" xfId="24448" xr:uid="{6F03762C-CFF5-4C75-8D5E-A061E357440B}"/>
    <cellStyle name="Normal 2 5 4 2 7 5" xfId="10987" xr:uid="{9FA50C9F-124C-4AFD-9857-A62A7D7971FA}"/>
    <cellStyle name="Normal 2 5 4 2 8" xfId="4710" xr:uid="{00000000-0005-0000-0000-00003C110000}"/>
    <cellStyle name="Normal 2 5 4 2 8 2" xfId="17343" xr:uid="{6603E8E0-6648-4DA9-B7BB-B2F606D6DC82}"/>
    <cellStyle name="Normal 2 5 4 2 9" xfId="21554" xr:uid="{C1CF07DF-7493-4C5A-91E0-DEC0635FD489}"/>
    <cellStyle name="Normal 2 5 4 3" xfId="321" xr:uid="{00000000-0005-0000-0000-00003D110000}"/>
    <cellStyle name="Normal 2 5 4 3 10" xfId="22384" xr:uid="{B90A7F47-3855-461F-9B9A-853BD3969434}"/>
    <cellStyle name="Normal 2 5 4 3 11" xfId="8923" xr:uid="{A7F166CB-2CFD-467A-84CA-FEFB70096D1E}"/>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9904" xr:uid="{8AF5904E-3535-492C-9552-49FBC76D0997}"/>
    <cellStyle name="Normal 2 5 4 3 2 2 3" xfId="15693" xr:uid="{954C3B77-F298-49B8-9532-DC2F865007F8}"/>
    <cellStyle name="Normal 2 5 4 3 2 2 4" xfId="24943" xr:uid="{6275BD53-D0DA-4756-9CE9-747546D7F568}"/>
    <cellStyle name="Normal 2 5 4 3 2 2 5" xfId="11482" xr:uid="{349E4664-63CE-40A6-B246-F8786FF77B88}"/>
    <cellStyle name="Normal 2 5 4 3 2 3" xfId="5126" xr:uid="{00000000-0005-0000-0000-000041110000}"/>
    <cellStyle name="Normal 2 5 4 3 2 3 2" xfId="17759" xr:uid="{66DC9E93-ED86-48F9-8731-2CCD75F9423E}"/>
    <cellStyle name="Normal 2 5 4 3 2 4" xfId="21971" xr:uid="{EC97C03B-DD75-4CD1-A7FD-773391FDF045}"/>
    <cellStyle name="Normal 2 5 4 3 2 5" xfId="13548" xr:uid="{610BD423-2490-403A-8543-9C24F9CC33E8}"/>
    <cellStyle name="Normal 2 5 4 3 2 6" xfId="22798" xr:uid="{A3068474-1659-483A-96A7-A899FC8695E3}"/>
    <cellStyle name="Normal 2 5 4 3 2 7" xfId="9337" xr:uid="{B5D3F705-C057-4A8A-8C52-D922020BEE4C}"/>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20317" xr:uid="{3EFD344D-1FED-448D-BE58-D7CD9F6FB1C2}"/>
    <cellStyle name="Normal 2 5 4 3 3 2 3" xfId="16106" xr:uid="{84767426-B7C6-4678-BC4A-995FFFB8F59C}"/>
    <cellStyle name="Normal 2 5 4 3 3 2 4" xfId="25356" xr:uid="{CC501119-BE98-48AC-A682-9C24837C46AF}"/>
    <cellStyle name="Normal 2 5 4 3 3 2 5" xfId="11895" xr:uid="{63BAF779-CAF9-4BB2-8F0E-5E435B326821}"/>
    <cellStyle name="Normal 2 5 4 3 3 3" xfId="5539" xr:uid="{00000000-0005-0000-0000-000045110000}"/>
    <cellStyle name="Normal 2 5 4 3 3 3 2" xfId="18172" xr:uid="{51AFE0DF-A2E8-4364-9571-021B62D2AF78}"/>
    <cellStyle name="Normal 2 5 4 3 3 4" xfId="13961" xr:uid="{9D5FE572-6755-4A79-BCC1-CD1FA66BAF9E}"/>
    <cellStyle name="Normal 2 5 4 3 3 5" xfId="23211" xr:uid="{51652EDF-AAF5-4442-8EFF-2BB127A4E721}"/>
    <cellStyle name="Normal 2 5 4 3 3 6" xfId="9750" xr:uid="{709B6D0E-5718-4254-AD0D-299FA562FA6C}"/>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20730" xr:uid="{05E2054F-8072-4A46-8544-897C5F8E1212}"/>
    <cellStyle name="Normal 2 5 4 3 4 2 3" xfId="16519" xr:uid="{71B045D0-B07B-4F67-93AF-007E00AAD198}"/>
    <cellStyle name="Normal 2 5 4 3 4 2 4" xfId="25769" xr:uid="{F945E32E-CB0E-4CE0-BEE0-1DCDBFC28D3B}"/>
    <cellStyle name="Normal 2 5 4 3 4 2 5" xfId="12308" xr:uid="{D261C4DC-1A7C-499D-AD0C-BB6954CE6D42}"/>
    <cellStyle name="Normal 2 5 4 3 4 3" xfId="5952" xr:uid="{00000000-0005-0000-0000-000049110000}"/>
    <cellStyle name="Normal 2 5 4 3 4 3 2" xfId="18585" xr:uid="{E04F5BF9-1DD9-44AC-A8CE-FEA0E7039A3B}"/>
    <cellStyle name="Normal 2 5 4 3 4 4" xfId="14374" xr:uid="{F26E2358-27E1-4AA0-AEC5-EE655612E185}"/>
    <cellStyle name="Normal 2 5 4 3 4 5" xfId="23624" xr:uid="{3AA913DF-057E-4C57-AC68-35365504D0E7}"/>
    <cellStyle name="Normal 2 5 4 3 4 6" xfId="10163" xr:uid="{135C501D-F13A-4F43-92FC-559F589C637D}"/>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21143" xr:uid="{E814C51B-F765-4863-BFC1-30C45B3D6155}"/>
    <cellStyle name="Normal 2 5 4 3 5 2 3" xfId="16932" xr:uid="{476896E6-5202-4563-9CC1-7263C27BB10F}"/>
    <cellStyle name="Normal 2 5 4 3 5 2 4" xfId="26182" xr:uid="{01D6AE85-96B0-46D2-83DF-E16690A005B9}"/>
    <cellStyle name="Normal 2 5 4 3 5 2 5" xfId="12721" xr:uid="{DCFC973C-9718-4FAB-9280-5B5D82D6BF05}"/>
    <cellStyle name="Normal 2 5 4 3 5 3" xfId="6365" xr:uid="{00000000-0005-0000-0000-00004D110000}"/>
    <cellStyle name="Normal 2 5 4 3 5 3 2" xfId="18998" xr:uid="{E63C453B-29AE-4648-AD01-EB8F9391FF17}"/>
    <cellStyle name="Normal 2 5 4 3 5 4" xfId="14787" xr:uid="{966A3463-E6E4-4564-B0A6-975D0E7694EC}"/>
    <cellStyle name="Normal 2 5 4 3 5 5" xfId="24037" xr:uid="{07407034-9A89-42DE-B8BB-E39D7C7C8466}"/>
    <cellStyle name="Normal 2 5 4 3 5 6" xfId="10576" xr:uid="{B850FD44-F767-4833-935D-A8454A14E2AD}"/>
    <cellStyle name="Normal 2 5 4 3 6" xfId="2493" xr:uid="{00000000-0005-0000-0000-00004E110000}"/>
    <cellStyle name="Normal 2 5 4 3 6 2" xfId="6778" xr:uid="{00000000-0005-0000-0000-00004F110000}"/>
    <cellStyle name="Normal 2 5 4 3 6 2 2" xfId="19411" xr:uid="{BE10E245-F821-4766-8EEB-07E221274A5E}"/>
    <cellStyle name="Normal 2 5 4 3 6 3" xfId="15200" xr:uid="{AA52259D-5483-4103-A2C2-AC7D5712B25C}"/>
    <cellStyle name="Normal 2 5 4 3 6 4" xfId="24450" xr:uid="{FC046CD2-249E-40C6-9C2B-3C42CCF6218A}"/>
    <cellStyle name="Normal 2 5 4 3 6 5" xfId="10989" xr:uid="{15EF2541-7A1C-4E61-8DE4-9C4701D933E4}"/>
    <cellStyle name="Normal 2 5 4 3 7" xfId="4712" xr:uid="{00000000-0005-0000-0000-000050110000}"/>
    <cellStyle name="Normal 2 5 4 3 7 2" xfId="17345" xr:uid="{CEB4CF26-883A-40FA-A628-618BC338272F}"/>
    <cellStyle name="Normal 2 5 4 3 8" xfId="21556" xr:uid="{CEBE06CB-008F-44C1-B2DE-DA856C2537CD}"/>
    <cellStyle name="Normal 2 5 4 3 9" xfId="13134" xr:uid="{9B66A23B-FC70-4979-9704-C0723235F93B}"/>
    <cellStyle name="Normal 2 5 4 4" xfId="805" xr:uid="{00000000-0005-0000-0000-000051110000}"/>
    <cellStyle name="Normal 2 5 4 4 2" xfId="3044" xr:uid="{00000000-0005-0000-0000-000052110000}"/>
    <cellStyle name="Normal 2 5 4 4 2 2" xfId="7268" xr:uid="{00000000-0005-0000-0000-000053110000}"/>
    <cellStyle name="Normal 2 5 4 4 2 2 2" xfId="19901" xr:uid="{0D4FA966-F9B4-42F8-A0CF-BFA4197444AC}"/>
    <cellStyle name="Normal 2 5 4 4 2 3" xfId="15690" xr:uid="{9C030A38-67AE-47D8-A9A9-BA4130851814}"/>
    <cellStyle name="Normal 2 5 4 4 2 4" xfId="24940" xr:uid="{850419CA-EAF2-46DB-95A5-5EAA503018E6}"/>
    <cellStyle name="Normal 2 5 4 4 2 5" xfId="11479" xr:uid="{C95A452E-EA66-45BF-A28C-7AE8244B258D}"/>
    <cellStyle name="Normal 2 5 4 4 3" xfId="5123" xr:uid="{00000000-0005-0000-0000-000054110000}"/>
    <cellStyle name="Normal 2 5 4 4 3 2" xfId="17756" xr:uid="{27858E2A-5D06-401A-AFA4-DBBB9FCA08C8}"/>
    <cellStyle name="Normal 2 5 4 4 4" xfId="21968" xr:uid="{72646EFC-B7AD-4E11-9349-5C2FF5F2FAC7}"/>
    <cellStyle name="Normal 2 5 4 4 5" xfId="13545" xr:uid="{419A3D74-020C-4644-BE1A-D3870A0B90F5}"/>
    <cellStyle name="Normal 2 5 4 4 6" xfId="22795" xr:uid="{4BFA233C-AA23-475C-A2A3-BFD306E94BEE}"/>
    <cellStyle name="Normal 2 5 4 4 7" xfId="9334" xr:uid="{1F3766CA-C785-4183-B2BB-ED2E847D7536}"/>
    <cellStyle name="Normal 2 5 4 5" xfId="1227" xr:uid="{00000000-0005-0000-0000-000055110000}"/>
    <cellStyle name="Normal 2 5 4 5 2" xfId="3457" xr:uid="{00000000-0005-0000-0000-000056110000}"/>
    <cellStyle name="Normal 2 5 4 5 2 2" xfId="7681" xr:uid="{00000000-0005-0000-0000-000057110000}"/>
    <cellStyle name="Normal 2 5 4 5 2 2 2" xfId="20314" xr:uid="{24FA5340-06EF-456A-9183-6BE5251EB723}"/>
    <cellStyle name="Normal 2 5 4 5 2 3" xfId="16103" xr:uid="{858A0DDE-8D47-48C9-BB60-82BFB332884F}"/>
    <cellStyle name="Normal 2 5 4 5 2 4" xfId="25353" xr:uid="{F1C6428D-DD41-4014-AF5A-41D7DC857D1A}"/>
    <cellStyle name="Normal 2 5 4 5 2 5" xfId="11892" xr:uid="{74869F6A-857A-4392-90E5-E6BF587F768E}"/>
    <cellStyle name="Normal 2 5 4 5 3" xfId="5536" xr:uid="{00000000-0005-0000-0000-000058110000}"/>
    <cellStyle name="Normal 2 5 4 5 3 2" xfId="18169" xr:uid="{7E11D102-CCED-46EB-B54E-E2D0BC3770C7}"/>
    <cellStyle name="Normal 2 5 4 5 4" xfId="13958" xr:uid="{991549B5-CAB7-4564-90F0-9F5157927127}"/>
    <cellStyle name="Normal 2 5 4 5 5" xfId="23208" xr:uid="{9D257BE8-78DB-4067-8EC7-A38CBA7B2E4A}"/>
    <cellStyle name="Normal 2 5 4 5 6" xfId="9747" xr:uid="{CC491C30-3C23-4807-86CF-72784E1CFDD6}"/>
    <cellStyle name="Normal 2 5 4 6" xfId="1640" xr:uid="{00000000-0005-0000-0000-000059110000}"/>
    <cellStyle name="Normal 2 5 4 6 2" xfId="3870" xr:uid="{00000000-0005-0000-0000-00005A110000}"/>
    <cellStyle name="Normal 2 5 4 6 2 2" xfId="8094" xr:uid="{00000000-0005-0000-0000-00005B110000}"/>
    <cellStyle name="Normal 2 5 4 6 2 2 2" xfId="20727" xr:uid="{1298095D-C2C8-4ED0-BF37-6B53D94D4EB0}"/>
    <cellStyle name="Normal 2 5 4 6 2 3" xfId="16516" xr:uid="{286D18F4-0BE1-43E8-9ABC-D967E4662988}"/>
    <cellStyle name="Normal 2 5 4 6 2 4" xfId="25766" xr:uid="{A09C121A-F0D6-41F9-8160-3845601E01F7}"/>
    <cellStyle name="Normal 2 5 4 6 2 5" xfId="12305" xr:uid="{6C29A2DE-C7A6-4116-A527-4FEEF5C1A42F}"/>
    <cellStyle name="Normal 2 5 4 6 3" xfId="5949" xr:uid="{00000000-0005-0000-0000-00005C110000}"/>
    <cellStyle name="Normal 2 5 4 6 3 2" xfId="18582" xr:uid="{ECA7298C-EC6E-44F7-8A43-A5C48FBEC90E}"/>
    <cellStyle name="Normal 2 5 4 6 4" xfId="14371" xr:uid="{F12500F6-FD7B-4596-B68A-76E029FA932D}"/>
    <cellStyle name="Normal 2 5 4 6 5" xfId="23621" xr:uid="{ACDBD070-6FFE-4F3D-BE5F-BEC5C931D61E}"/>
    <cellStyle name="Normal 2 5 4 6 6" xfId="10160" xr:uid="{F83A345B-75C0-4F75-9945-D5ADA3C59521}"/>
    <cellStyle name="Normal 2 5 4 7" xfId="2054" xr:uid="{00000000-0005-0000-0000-00005D110000}"/>
    <cellStyle name="Normal 2 5 4 7 2" xfId="4283" xr:uid="{00000000-0005-0000-0000-00005E110000}"/>
    <cellStyle name="Normal 2 5 4 7 2 2" xfId="8507" xr:uid="{00000000-0005-0000-0000-00005F110000}"/>
    <cellStyle name="Normal 2 5 4 7 2 2 2" xfId="21140" xr:uid="{D0A74EBE-D4DB-44B5-9F79-D96D728AB576}"/>
    <cellStyle name="Normal 2 5 4 7 2 3" xfId="16929" xr:uid="{631BFA6B-C088-465A-931C-F0A22756D972}"/>
    <cellStyle name="Normal 2 5 4 7 2 4" xfId="26179" xr:uid="{1B5F98F2-FA61-485D-9F1D-9B12726ABE34}"/>
    <cellStyle name="Normal 2 5 4 7 2 5" xfId="12718" xr:uid="{A37C5778-619E-449F-BEC0-FF3EB5E4E768}"/>
    <cellStyle name="Normal 2 5 4 7 3" xfId="6362" xr:uid="{00000000-0005-0000-0000-000060110000}"/>
    <cellStyle name="Normal 2 5 4 7 3 2" xfId="18995" xr:uid="{C8EF8A8E-ED27-43C4-B0AF-7E5FFBC6C36D}"/>
    <cellStyle name="Normal 2 5 4 7 4" xfId="14784" xr:uid="{7CE3F295-371B-4F04-BABD-86A63F08D171}"/>
    <cellStyle name="Normal 2 5 4 7 5" xfId="24034" xr:uid="{26F7DBEC-4215-48F3-9071-7446DB81C2A1}"/>
    <cellStyle name="Normal 2 5 4 7 6" xfId="10573" xr:uid="{99D176A0-7C7F-440D-A36B-85A9C894E845}"/>
    <cellStyle name="Normal 2 5 4 8" xfId="2490" xr:uid="{00000000-0005-0000-0000-000061110000}"/>
    <cellStyle name="Normal 2 5 4 8 2" xfId="6775" xr:uid="{00000000-0005-0000-0000-000062110000}"/>
    <cellStyle name="Normal 2 5 4 8 2 2" xfId="19408" xr:uid="{CF48E953-5E8D-4284-91B7-7AEB9CD389D8}"/>
    <cellStyle name="Normal 2 5 4 8 3" xfId="15197" xr:uid="{67D6DE26-4E3E-4B21-A0AF-6C1057CFF6BB}"/>
    <cellStyle name="Normal 2 5 4 8 4" xfId="24447" xr:uid="{E3336803-4968-40DF-AACB-8FA569E3D6B7}"/>
    <cellStyle name="Normal 2 5 4 8 5" xfId="10986" xr:uid="{79F6A621-085C-40A5-8375-78DD446F85B4}"/>
    <cellStyle name="Normal 2 5 4 9" xfId="4709" xr:uid="{00000000-0005-0000-0000-000063110000}"/>
    <cellStyle name="Normal 2 5 4 9 2" xfId="17342" xr:uid="{DF6DEE1E-E91C-4CC9-B1E0-AE65B7DABC83}"/>
    <cellStyle name="Normal 2 5 5" xfId="804" xr:uid="{00000000-0005-0000-0000-000064110000}"/>
    <cellStyle name="Normal 2 5 5 2" xfId="3043" xr:uid="{00000000-0005-0000-0000-000065110000}"/>
    <cellStyle name="Normal 2 5 5 2 2" xfId="7267" xr:uid="{00000000-0005-0000-0000-000066110000}"/>
    <cellStyle name="Normal 2 5 5 2 2 2" xfId="19900" xr:uid="{FD789A49-B843-4F44-961D-3D4299E02E50}"/>
    <cellStyle name="Normal 2 5 5 2 3" xfId="15689" xr:uid="{4F8B98D1-5D93-4D5B-A2A9-90FC3A98AB30}"/>
    <cellStyle name="Normal 2 5 5 2 4" xfId="24939" xr:uid="{D00381AD-7F82-4FF3-8ABD-8429EB8E7D72}"/>
    <cellStyle name="Normal 2 5 5 2 5" xfId="11478" xr:uid="{7CDDCCEF-4D65-4CEE-8960-4B2998AFF585}"/>
    <cellStyle name="Normal 2 5 5 3" xfId="5122" xr:uid="{00000000-0005-0000-0000-000067110000}"/>
    <cellStyle name="Normal 2 5 5 3 2" xfId="17755" xr:uid="{9AA81AA5-D627-4C42-BA15-CF718016A4E2}"/>
    <cellStyle name="Normal 2 5 5 4" xfId="21967" xr:uid="{A00329AA-65BA-463E-8DD0-12B9F6C9A8E6}"/>
    <cellStyle name="Normal 2 5 5 5" xfId="13544" xr:uid="{FD3DF553-54A1-48F9-8132-C489816413C4}"/>
    <cellStyle name="Normal 2 5 5 6" xfId="22794" xr:uid="{E2947320-4A46-42F3-88B4-7C9E21334089}"/>
    <cellStyle name="Normal 2 5 5 7" xfId="9333" xr:uid="{227204E7-B511-4DD4-9A05-2C117F53A3DB}"/>
    <cellStyle name="Normal 2 5 6" xfId="1226" xr:uid="{00000000-0005-0000-0000-000068110000}"/>
    <cellStyle name="Normal 2 5 6 2" xfId="3456" xr:uid="{00000000-0005-0000-0000-000069110000}"/>
    <cellStyle name="Normal 2 5 6 2 2" xfId="7680" xr:uid="{00000000-0005-0000-0000-00006A110000}"/>
    <cellStyle name="Normal 2 5 6 2 2 2" xfId="20313" xr:uid="{90544D28-FC02-4F59-9E53-6551C9425193}"/>
    <cellStyle name="Normal 2 5 6 2 3" xfId="16102" xr:uid="{1B9FAE66-F4BF-4A08-B59E-D30EE15AE446}"/>
    <cellStyle name="Normal 2 5 6 2 4" xfId="25352" xr:uid="{98FE6B62-A396-446D-95CD-8B403F33A994}"/>
    <cellStyle name="Normal 2 5 6 2 5" xfId="11891" xr:uid="{F0554D79-F730-479F-B3F9-A9E71BE84B79}"/>
    <cellStyle name="Normal 2 5 6 3" xfId="5535" xr:uid="{00000000-0005-0000-0000-00006B110000}"/>
    <cellStyle name="Normal 2 5 6 3 2" xfId="18168" xr:uid="{2053FF44-4599-433C-859A-356BF20D25AD}"/>
    <cellStyle name="Normal 2 5 6 4" xfId="13957" xr:uid="{384DC728-CD62-4EFA-AA2E-E26A44EEEA56}"/>
    <cellStyle name="Normal 2 5 6 5" xfId="23207" xr:uid="{972B053E-062E-4A92-9F71-C951D233B597}"/>
    <cellStyle name="Normal 2 5 6 6" xfId="9746" xr:uid="{208FA095-5690-4A9C-83D1-DD0D040EBD92}"/>
    <cellStyle name="Normal 2 5 7" xfId="1639" xr:uid="{00000000-0005-0000-0000-00006C110000}"/>
    <cellStyle name="Normal 2 5 7 2" xfId="3869" xr:uid="{00000000-0005-0000-0000-00006D110000}"/>
    <cellStyle name="Normal 2 5 7 2 2" xfId="8093" xr:uid="{00000000-0005-0000-0000-00006E110000}"/>
    <cellStyle name="Normal 2 5 7 2 2 2" xfId="20726" xr:uid="{5D12BE24-EDC0-46BB-98C7-12D757FF16BB}"/>
    <cellStyle name="Normal 2 5 7 2 3" xfId="16515" xr:uid="{1ACE2AED-CF54-429C-B54D-3B9F6979C6E4}"/>
    <cellStyle name="Normal 2 5 7 2 4" xfId="25765" xr:uid="{F32C566D-B40A-4D0F-B06D-C042E51C6201}"/>
    <cellStyle name="Normal 2 5 7 2 5" xfId="12304" xr:uid="{0B8B0FD1-704C-4647-A335-6E2728BC23AD}"/>
    <cellStyle name="Normal 2 5 7 3" xfId="5948" xr:uid="{00000000-0005-0000-0000-00006F110000}"/>
    <cellStyle name="Normal 2 5 7 3 2" xfId="18581" xr:uid="{D83E10A4-C232-4B9E-A2DB-D8B250508CB4}"/>
    <cellStyle name="Normal 2 5 7 4" xfId="14370" xr:uid="{5370A541-59A1-4D66-8BA4-517544966B3D}"/>
    <cellStyle name="Normal 2 5 7 5" xfId="23620" xr:uid="{C5531A37-4910-4C9E-AAF5-0A320AA81DD9}"/>
    <cellStyle name="Normal 2 5 7 6" xfId="10159" xr:uid="{86E693AA-6CB7-4C3A-B41E-A3F1C7266345}"/>
    <cellStyle name="Normal 2 5 8" xfId="2053" xr:uid="{00000000-0005-0000-0000-000070110000}"/>
    <cellStyle name="Normal 2 5 8 2" xfId="4282" xr:uid="{00000000-0005-0000-0000-000071110000}"/>
    <cellStyle name="Normal 2 5 8 2 2" xfId="8506" xr:uid="{00000000-0005-0000-0000-000072110000}"/>
    <cellStyle name="Normal 2 5 8 2 2 2" xfId="21139" xr:uid="{C4FE68E8-0D5A-421E-AB6A-2AB54FD2735F}"/>
    <cellStyle name="Normal 2 5 8 2 3" xfId="16928" xr:uid="{D9723B04-52A9-45F7-8DAD-E4DA3B8275EC}"/>
    <cellStyle name="Normal 2 5 8 2 4" xfId="26178" xr:uid="{6307D06B-0C5A-4E70-8688-CE7B74F339E3}"/>
    <cellStyle name="Normal 2 5 8 2 5" xfId="12717" xr:uid="{D37F7BF8-69BC-4458-BFD5-3EC2D77CDF36}"/>
    <cellStyle name="Normal 2 5 8 3" xfId="6361" xr:uid="{00000000-0005-0000-0000-000073110000}"/>
    <cellStyle name="Normal 2 5 8 3 2" xfId="18994" xr:uid="{51AFFBD0-E959-45D1-AB97-0CEAD4EDE703}"/>
    <cellStyle name="Normal 2 5 8 4" xfId="14783" xr:uid="{6B36428B-FDB3-4CE4-A192-7AED2FE2EC7A}"/>
    <cellStyle name="Normal 2 5 8 5" xfId="24033" xr:uid="{6734E8B7-1F30-45A9-BA9B-E189006CA8B5}"/>
    <cellStyle name="Normal 2 5 8 6" xfId="10572" xr:uid="{3E7D56B9-6901-4C5E-9AE1-8CCEFEA69905}"/>
    <cellStyle name="Normal 2 5 9" xfId="2489" xr:uid="{00000000-0005-0000-0000-000074110000}"/>
    <cellStyle name="Normal 2 5 9 2" xfId="6774" xr:uid="{00000000-0005-0000-0000-000075110000}"/>
    <cellStyle name="Normal 2 5 9 2 2" xfId="19407" xr:uid="{FE5260E6-D50E-48EC-A276-551327F0E3B1}"/>
    <cellStyle name="Normal 2 5 9 3" xfId="15196" xr:uid="{DBE35783-69CC-44DA-B61E-1E871023F2D1}"/>
    <cellStyle name="Normal 2 5 9 4" xfId="24446" xr:uid="{66C3F183-7C21-496C-8B1D-83A3BA91CF00}"/>
    <cellStyle name="Normal 2 5 9 5" xfId="10985" xr:uid="{BE768FCB-B546-46BC-8AAF-ECB413C03A6C}"/>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10" xfId="21557" xr:uid="{8AA4BF9D-8F7D-47E2-8B7E-A93930E8F8B9}"/>
    <cellStyle name="Normal 3 2 11" xfId="13135" xr:uid="{C8889F5B-2FCC-45A4-A8EA-CD33D721AA7C}"/>
    <cellStyle name="Normal 3 2 12" xfId="22385" xr:uid="{F6FA0EF6-ACF5-4457-AB38-D044CCA49806}"/>
    <cellStyle name="Normal 3 2 13" xfId="8924" xr:uid="{96B31100-D76D-4EE9-A98F-E9617E37FF22}"/>
    <cellStyle name="Normal 3 2 2" xfId="325" xr:uid="{00000000-0005-0000-0000-00007B110000}"/>
    <cellStyle name="Normal 3 2 2 2" xfId="811" xr:uid="{00000000-0005-0000-0000-00007C110000}"/>
    <cellStyle name="Normal 3 2 3" xfId="326" xr:uid="{00000000-0005-0000-0000-00007D110000}"/>
    <cellStyle name="Normal 3 2 3 10" xfId="21558" xr:uid="{B6E3697B-2D70-4983-9552-B6F2FAD2CB0A}"/>
    <cellStyle name="Normal 3 2 3 11" xfId="13136" xr:uid="{9A897DAD-77C5-4513-ABE4-87A857AB9193}"/>
    <cellStyle name="Normal 3 2 3 12" xfId="22386" xr:uid="{B34C32F8-3F6F-4CC0-B638-C8B6C9357F1B}"/>
    <cellStyle name="Normal 3 2 3 13" xfId="8925" xr:uid="{92482891-CAF0-4425-B8EC-876439C26DA5}"/>
    <cellStyle name="Normal 3 2 3 2" xfId="327" xr:uid="{00000000-0005-0000-0000-00007E110000}"/>
    <cellStyle name="Normal 3 2 3 2 10" xfId="13137" xr:uid="{8921A23B-C2E9-4C4A-92EF-7A2CBEE1B8DC}"/>
    <cellStyle name="Normal 3 2 3 2 11" xfId="22387" xr:uid="{D40547EF-03B8-4D0F-9723-117BE4C2EF0F}"/>
    <cellStyle name="Normal 3 2 3 2 12" xfId="8926" xr:uid="{0E7455C2-A8EA-4580-B6FE-03A1BECFEF90}"/>
    <cellStyle name="Normal 3 2 3 2 2" xfId="328" xr:uid="{00000000-0005-0000-0000-00007F110000}"/>
    <cellStyle name="Normal 3 2 3 2 2 10" xfId="22388" xr:uid="{115C7F0B-80B5-4360-A239-2E6AB7160F09}"/>
    <cellStyle name="Normal 3 2 3 2 2 11" xfId="8927" xr:uid="{6CD96622-49AE-40E4-9E9E-46AC7A124AC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9908" xr:uid="{0FACC5DF-7DCF-432D-AA4D-BD029BB8AAD0}"/>
    <cellStyle name="Normal 3 2 3 2 2 2 2 3" xfId="15697" xr:uid="{3AE866F4-720D-4DCB-A659-F1BEF73AD3C5}"/>
    <cellStyle name="Normal 3 2 3 2 2 2 2 4" xfId="24947" xr:uid="{DB87BBEF-2439-4E66-A478-65E57DA6B29F}"/>
    <cellStyle name="Normal 3 2 3 2 2 2 2 5" xfId="11486" xr:uid="{25F4B37A-2F51-46C3-A9BD-5ACEA68CF43A}"/>
    <cellStyle name="Normal 3 2 3 2 2 2 3" xfId="5130" xr:uid="{00000000-0005-0000-0000-000083110000}"/>
    <cellStyle name="Normal 3 2 3 2 2 2 3 2" xfId="17763" xr:uid="{792D7753-D77B-48B1-9FAF-9C15C25C2B3F}"/>
    <cellStyle name="Normal 3 2 3 2 2 2 4" xfId="21975" xr:uid="{84CDEA98-94F9-4525-8D07-EE0172DED113}"/>
    <cellStyle name="Normal 3 2 3 2 2 2 5" xfId="13552" xr:uid="{AB5F8BA5-1939-4F95-B7DD-B4C8409C0856}"/>
    <cellStyle name="Normal 3 2 3 2 2 2 6" xfId="22802" xr:uid="{BF2B1863-9963-4BC6-9788-0A3622A71DCA}"/>
    <cellStyle name="Normal 3 2 3 2 2 2 7" xfId="9341" xr:uid="{91BD44CD-0B09-4117-978A-B18270C5EB3F}"/>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20321" xr:uid="{1D15E6DD-EFCB-42A4-A325-831A069B7BE6}"/>
    <cellStyle name="Normal 3 2 3 2 2 3 2 3" xfId="16110" xr:uid="{00D5FAEB-A367-4513-B089-304CA003A925}"/>
    <cellStyle name="Normal 3 2 3 2 2 3 2 4" xfId="25360" xr:uid="{12E6EC82-9AE7-441B-8600-9CDA823F0A79}"/>
    <cellStyle name="Normal 3 2 3 2 2 3 2 5" xfId="11899" xr:uid="{28877624-231A-4D97-93C8-29FB569580C0}"/>
    <cellStyle name="Normal 3 2 3 2 2 3 3" xfId="5543" xr:uid="{00000000-0005-0000-0000-000087110000}"/>
    <cellStyle name="Normal 3 2 3 2 2 3 3 2" xfId="18176" xr:uid="{2D97C8F4-61B5-4AEB-A7AF-BC4FE0669556}"/>
    <cellStyle name="Normal 3 2 3 2 2 3 4" xfId="13965" xr:uid="{8BDBFFC3-776B-4DDE-B98F-4D820FE08C09}"/>
    <cellStyle name="Normal 3 2 3 2 2 3 5" xfId="23215" xr:uid="{2988C7D1-8C4C-47AE-A353-1B0AEEFB38F1}"/>
    <cellStyle name="Normal 3 2 3 2 2 3 6" xfId="9754" xr:uid="{AC21F8DA-F40E-4032-A5BB-C4CDECAC5448}"/>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20734" xr:uid="{2A846E22-4638-4476-B456-5BA43DECCC2F}"/>
    <cellStyle name="Normal 3 2 3 2 2 4 2 3" xfId="16523" xr:uid="{CE50D575-CA93-4780-AF3F-977FB033512A}"/>
    <cellStyle name="Normal 3 2 3 2 2 4 2 4" xfId="25773" xr:uid="{8786AFC3-9BE9-46A0-BC74-2D81B53FA882}"/>
    <cellStyle name="Normal 3 2 3 2 2 4 2 5" xfId="12312" xr:uid="{0865ACD3-51C0-4783-B076-5B83CC7B59F3}"/>
    <cellStyle name="Normal 3 2 3 2 2 4 3" xfId="5956" xr:uid="{00000000-0005-0000-0000-00008B110000}"/>
    <cellStyle name="Normal 3 2 3 2 2 4 3 2" xfId="18589" xr:uid="{C9AD0F0C-54CB-4174-BD2A-D2B1036A9FD4}"/>
    <cellStyle name="Normal 3 2 3 2 2 4 4" xfId="14378" xr:uid="{076B950D-71E4-4DF4-B812-704D7E7F9B93}"/>
    <cellStyle name="Normal 3 2 3 2 2 4 5" xfId="23628" xr:uid="{CD5F9E2A-4D80-4B45-97FB-EEB3AAC8AEB4}"/>
    <cellStyle name="Normal 3 2 3 2 2 4 6" xfId="10167" xr:uid="{ADD64228-1D88-44A7-82BA-62F4A88EBEA3}"/>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21147" xr:uid="{71DA7402-0141-4CEA-9C13-E547C5344064}"/>
    <cellStyle name="Normal 3 2 3 2 2 5 2 3" xfId="16936" xr:uid="{A4A94CEE-74D8-4978-A5CE-90DF868FA102}"/>
    <cellStyle name="Normal 3 2 3 2 2 5 2 4" xfId="26186" xr:uid="{1053BBA4-ECD3-4AB2-9E62-33D5A762C476}"/>
    <cellStyle name="Normal 3 2 3 2 2 5 2 5" xfId="12725" xr:uid="{A73DD56D-F23A-45F9-B62C-492477CB3CE4}"/>
    <cellStyle name="Normal 3 2 3 2 2 5 3" xfId="6369" xr:uid="{00000000-0005-0000-0000-00008F110000}"/>
    <cellStyle name="Normal 3 2 3 2 2 5 3 2" xfId="19002" xr:uid="{2A8793C9-52ED-41B4-B8B7-AFA438590F3A}"/>
    <cellStyle name="Normal 3 2 3 2 2 5 4" xfId="14791" xr:uid="{074E6516-97FD-4BFF-9EBA-C3E0DF5B0B8F}"/>
    <cellStyle name="Normal 3 2 3 2 2 5 5" xfId="24041" xr:uid="{750BF856-5A3B-4167-A888-C32F580BDB8C}"/>
    <cellStyle name="Normal 3 2 3 2 2 5 6" xfId="10580" xr:uid="{F4B5E329-B010-45FC-B9EE-F70FBC0BF40F}"/>
    <cellStyle name="Normal 3 2 3 2 2 6" xfId="2497" xr:uid="{00000000-0005-0000-0000-000090110000}"/>
    <cellStyle name="Normal 3 2 3 2 2 6 2" xfId="6782" xr:uid="{00000000-0005-0000-0000-000091110000}"/>
    <cellStyle name="Normal 3 2 3 2 2 6 2 2" xfId="19415" xr:uid="{EAA64B73-80DD-4034-AAF7-5EF23157C1BD}"/>
    <cellStyle name="Normal 3 2 3 2 2 6 3" xfId="15204" xr:uid="{0A3463BC-FCA5-45EA-9DA4-6FEEF067BDEB}"/>
    <cellStyle name="Normal 3 2 3 2 2 6 4" xfId="24454" xr:uid="{DC74E058-0A3D-4E28-9216-F5E28919E28A}"/>
    <cellStyle name="Normal 3 2 3 2 2 6 5" xfId="10993" xr:uid="{02559CFD-B77A-48A0-8E26-FAF5850F66A7}"/>
    <cellStyle name="Normal 3 2 3 2 2 7" xfId="4716" xr:uid="{00000000-0005-0000-0000-000092110000}"/>
    <cellStyle name="Normal 3 2 3 2 2 7 2" xfId="17349" xr:uid="{D381DD46-DC20-4D99-A5FF-AA542DFB26B0}"/>
    <cellStyle name="Normal 3 2 3 2 2 8" xfId="21560" xr:uid="{4DE1DE81-9E12-461C-A90A-574C975079B1}"/>
    <cellStyle name="Normal 3 2 3 2 2 9" xfId="13138" xr:uid="{7757B592-483D-42A8-A163-2E341A6409DB}"/>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9907" xr:uid="{4D504BED-CD02-4592-808F-5818B1ED726D}"/>
    <cellStyle name="Normal 3 2 3 2 3 2 3" xfId="15696" xr:uid="{ABAB96DE-96A6-47E9-B610-399A5CB29A9D}"/>
    <cellStyle name="Normal 3 2 3 2 3 2 4" xfId="24946" xr:uid="{1C3F9EEE-938E-4330-9097-C251E5852CE7}"/>
    <cellStyle name="Normal 3 2 3 2 3 2 5" xfId="11485" xr:uid="{D5E6A801-6BB9-44ED-A9D3-986BAA5E4490}"/>
    <cellStyle name="Normal 3 2 3 2 3 3" xfId="5129" xr:uid="{00000000-0005-0000-0000-000096110000}"/>
    <cellStyle name="Normal 3 2 3 2 3 3 2" xfId="17762" xr:uid="{36E5D651-88BC-4EED-99D1-4F5D964524FF}"/>
    <cellStyle name="Normal 3 2 3 2 3 4" xfId="21974" xr:uid="{64C88BD1-E7EF-4505-83DC-E18CB4846333}"/>
    <cellStyle name="Normal 3 2 3 2 3 5" xfId="13551" xr:uid="{D9D1BACB-EC88-4B3D-8A19-A6788BF79132}"/>
    <cellStyle name="Normal 3 2 3 2 3 6" xfId="22801" xr:uid="{404B7CCD-1AE4-4B01-ACDF-E9DCA360AC4A}"/>
    <cellStyle name="Normal 3 2 3 2 3 7" xfId="9340" xr:uid="{31D5941A-EE1C-42D7-9BC7-77761CFAAFD0}"/>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20320" xr:uid="{5690C3D1-262C-44A9-B16B-EECCB03A9FB6}"/>
    <cellStyle name="Normal 3 2 3 2 4 2 3" xfId="16109" xr:uid="{90D85D33-2892-4D0B-BB8C-666135D71808}"/>
    <cellStyle name="Normal 3 2 3 2 4 2 4" xfId="25359" xr:uid="{1B8CD4BA-FFB3-4A6D-80EB-FB8E1D256C61}"/>
    <cellStyle name="Normal 3 2 3 2 4 2 5" xfId="11898" xr:uid="{BEFDE39A-C807-4968-AD6D-E9B2BB0291B6}"/>
    <cellStyle name="Normal 3 2 3 2 4 3" xfId="5542" xr:uid="{00000000-0005-0000-0000-00009A110000}"/>
    <cellStyle name="Normal 3 2 3 2 4 3 2" xfId="18175" xr:uid="{E65833B1-6EEB-46CD-A7FC-2480DA753286}"/>
    <cellStyle name="Normal 3 2 3 2 4 4" xfId="13964" xr:uid="{C77373DD-671C-46E1-8103-05B843AD4B65}"/>
    <cellStyle name="Normal 3 2 3 2 4 5" xfId="23214" xr:uid="{801A096A-3CA8-4374-B2C2-A15AE057E420}"/>
    <cellStyle name="Normal 3 2 3 2 4 6" xfId="9753" xr:uid="{F65535F8-CAB4-4020-8E1D-D981E2B7DC63}"/>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20733" xr:uid="{D05F1C25-115F-4918-9C57-C76839192A4D}"/>
    <cellStyle name="Normal 3 2 3 2 5 2 3" xfId="16522" xr:uid="{0A5A377A-ED70-4555-97CF-DB8C9F164716}"/>
    <cellStyle name="Normal 3 2 3 2 5 2 4" xfId="25772" xr:uid="{20B6D5E5-D93D-488A-8A0F-A9F541F4E225}"/>
    <cellStyle name="Normal 3 2 3 2 5 2 5" xfId="12311" xr:uid="{A129C675-85A0-4C80-A26E-E2CEBF4AA220}"/>
    <cellStyle name="Normal 3 2 3 2 5 3" xfId="5955" xr:uid="{00000000-0005-0000-0000-00009E110000}"/>
    <cellStyle name="Normal 3 2 3 2 5 3 2" xfId="18588" xr:uid="{C13F0A79-0313-4EDA-86F7-114D16AD3933}"/>
    <cellStyle name="Normal 3 2 3 2 5 4" xfId="14377" xr:uid="{F23502EB-535C-47A5-B374-4B27DB3F4142}"/>
    <cellStyle name="Normal 3 2 3 2 5 5" xfId="23627" xr:uid="{948FF87D-C5D5-4BD9-A201-8A349329E83C}"/>
    <cellStyle name="Normal 3 2 3 2 5 6" xfId="10166" xr:uid="{3A9B6EE1-3218-4413-AE97-32DB5B4506E8}"/>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21146" xr:uid="{B0BF1B52-D2E2-4999-BCBC-19B6457D7FB9}"/>
    <cellStyle name="Normal 3 2 3 2 6 2 3" xfId="16935" xr:uid="{A3205E6F-5C2E-4928-B26C-11BA0AD08FD7}"/>
    <cellStyle name="Normal 3 2 3 2 6 2 4" xfId="26185" xr:uid="{64A39B97-4098-4621-BDEC-9E9C328E0686}"/>
    <cellStyle name="Normal 3 2 3 2 6 2 5" xfId="12724" xr:uid="{7E9087C2-F91B-4191-A2EA-58021883CC9C}"/>
    <cellStyle name="Normal 3 2 3 2 6 3" xfId="6368" xr:uid="{00000000-0005-0000-0000-0000A2110000}"/>
    <cellStyle name="Normal 3 2 3 2 6 3 2" xfId="19001" xr:uid="{503582F2-F915-467B-894A-C924A6C3DD5C}"/>
    <cellStyle name="Normal 3 2 3 2 6 4" xfId="14790" xr:uid="{FC9A04C6-19FC-4B56-8282-8FAB2F46EC7B}"/>
    <cellStyle name="Normal 3 2 3 2 6 5" xfId="24040" xr:uid="{D96ABA0F-E148-422D-8102-B58B4A66A6C9}"/>
    <cellStyle name="Normal 3 2 3 2 6 6" xfId="10579" xr:uid="{7623D53A-75FF-43DC-B8A4-B732D0BE11B3}"/>
    <cellStyle name="Normal 3 2 3 2 7" xfId="2496" xr:uid="{00000000-0005-0000-0000-0000A3110000}"/>
    <cellStyle name="Normal 3 2 3 2 7 2" xfId="6781" xr:uid="{00000000-0005-0000-0000-0000A4110000}"/>
    <cellStyle name="Normal 3 2 3 2 7 2 2" xfId="19414" xr:uid="{403C3977-1FAC-4968-B188-7729A42C7623}"/>
    <cellStyle name="Normal 3 2 3 2 7 3" xfId="15203" xr:uid="{418D90C4-87EB-4BBD-844D-D46247E0EADB}"/>
    <cellStyle name="Normal 3 2 3 2 7 4" xfId="24453" xr:uid="{7B3B04E1-50BD-4963-B0C8-E402BF8E3542}"/>
    <cellStyle name="Normal 3 2 3 2 7 5" xfId="10992" xr:uid="{E44C8415-8BA7-4292-A05F-8B240B3F8282}"/>
    <cellStyle name="Normal 3 2 3 2 8" xfId="4715" xr:uid="{00000000-0005-0000-0000-0000A5110000}"/>
    <cellStyle name="Normal 3 2 3 2 8 2" xfId="17348" xr:uid="{4D3C1BD7-EE72-4037-A0A7-A35ADCE7839A}"/>
    <cellStyle name="Normal 3 2 3 2 9" xfId="21559" xr:uid="{104F931D-ED9D-4706-8B44-A29D1655E63C}"/>
    <cellStyle name="Normal 3 2 3 3" xfId="329" xr:uid="{00000000-0005-0000-0000-0000A6110000}"/>
    <cellStyle name="Normal 3 2 3 3 10" xfId="22389" xr:uid="{E85E27BF-DC5D-4642-8C38-57415F62F478}"/>
    <cellStyle name="Normal 3 2 3 3 11" xfId="8928" xr:uid="{02B78263-466B-46C2-9749-4420BB25D862}"/>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9909" xr:uid="{38751D0F-2819-45CE-9397-BC0C7DA4F0B3}"/>
    <cellStyle name="Normal 3 2 3 3 2 2 3" xfId="15698" xr:uid="{19641324-B7E3-4386-9ADC-A41BDAE5F796}"/>
    <cellStyle name="Normal 3 2 3 3 2 2 4" xfId="24948" xr:uid="{2B09A5A0-93DC-4E13-B1C1-A506753E3916}"/>
    <cellStyle name="Normal 3 2 3 3 2 2 5" xfId="11487" xr:uid="{D1FE0437-B127-4B8F-8A2F-FEA21D46C877}"/>
    <cellStyle name="Normal 3 2 3 3 2 3" xfId="5131" xr:uid="{00000000-0005-0000-0000-0000AA110000}"/>
    <cellStyle name="Normal 3 2 3 3 2 3 2" xfId="17764" xr:uid="{A7521597-335E-4BA7-8246-E5CADF9D9DA8}"/>
    <cellStyle name="Normal 3 2 3 3 2 4" xfId="21976" xr:uid="{1E9E03A8-9A0C-4B04-9395-5F55D962F9C9}"/>
    <cellStyle name="Normal 3 2 3 3 2 5" xfId="13553" xr:uid="{2795DE8F-A98F-4A00-998A-5286ED36787B}"/>
    <cellStyle name="Normal 3 2 3 3 2 6" xfId="22803" xr:uid="{7FBC7A2B-275A-453D-B250-B67F9BD4BDD4}"/>
    <cellStyle name="Normal 3 2 3 3 2 7" xfId="9342" xr:uid="{584A41ED-F295-4B58-8D61-A0E3C342A165}"/>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20322" xr:uid="{D966E2FE-F078-4DC5-9D61-C3685A06541E}"/>
    <cellStyle name="Normal 3 2 3 3 3 2 3" xfId="16111" xr:uid="{EB1DEE80-C1B7-4D68-AC67-D5F11407C7D5}"/>
    <cellStyle name="Normal 3 2 3 3 3 2 4" xfId="25361" xr:uid="{2BEBC29C-575E-4DDE-B756-600C1FF95BC7}"/>
    <cellStyle name="Normal 3 2 3 3 3 2 5" xfId="11900" xr:uid="{38FFDB2A-1C5B-4C9E-AB93-858B3660E087}"/>
    <cellStyle name="Normal 3 2 3 3 3 3" xfId="5544" xr:uid="{00000000-0005-0000-0000-0000AE110000}"/>
    <cellStyle name="Normal 3 2 3 3 3 3 2" xfId="18177" xr:uid="{7E42550F-9A71-4DC8-9EA1-F16D2BC0A998}"/>
    <cellStyle name="Normal 3 2 3 3 3 4" xfId="13966" xr:uid="{2CE3C3AA-8E5B-4E45-8845-18988B0EBB89}"/>
    <cellStyle name="Normal 3 2 3 3 3 5" xfId="23216" xr:uid="{A58FB22A-0C7D-4C61-B4FD-F969EBFEC4DD}"/>
    <cellStyle name="Normal 3 2 3 3 3 6" xfId="9755" xr:uid="{A18A3A3B-F841-4C86-9165-0EF757F97754}"/>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20735" xr:uid="{9FFDBBEE-B2EF-4CA3-B1C9-03D307AD1BCE}"/>
    <cellStyle name="Normal 3 2 3 3 4 2 3" xfId="16524" xr:uid="{D4831064-160C-4C8C-AF8A-20ED8522C7E1}"/>
    <cellStyle name="Normal 3 2 3 3 4 2 4" xfId="25774" xr:uid="{B8C66337-1C89-49ED-9790-D9F3363625A1}"/>
    <cellStyle name="Normal 3 2 3 3 4 2 5" xfId="12313" xr:uid="{CFE2862D-7987-472E-8AFA-001AA6DBAC47}"/>
    <cellStyle name="Normal 3 2 3 3 4 3" xfId="5957" xr:uid="{00000000-0005-0000-0000-0000B2110000}"/>
    <cellStyle name="Normal 3 2 3 3 4 3 2" xfId="18590" xr:uid="{56BC52DC-931C-4A1A-B711-E1E9133F2C52}"/>
    <cellStyle name="Normal 3 2 3 3 4 4" xfId="14379" xr:uid="{172CBE06-9D11-46F5-9E47-C3ADC7DE1690}"/>
    <cellStyle name="Normal 3 2 3 3 4 5" xfId="23629" xr:uid="{076717EB-4A62-4711-8CCE-909D796C0ACD}"/>
    <cellStyle name="Normal 3 2 3 3 4 6" xfId="10168" xr:uid="{C716E2A4-FA20-42EC-ADD3-E88B0CCFF1FB}"/>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21148" xr:uid="{F6B4D27D-B20C-4ADA-8F9D-359037EDDCAF}"/>
    <cellStyle name="Normal 3 2 3 3 5 2 3" xfId="16937" xr:uid="{6B57D967-38FD-4151-837E-F59635B2D53B}"/>
    <cellStyle name="Normal 3 2 3 3 5 2 4" xfId="26187" xr:uid="{2440884A-6E4D-48C6-9D66-521700D3AE43}"/>
    <cellStyle name="Normal 3 2 3 3 5 2 5" xfId="12726" xr:uid="{C505782F-8AB3-4D49-BB67-55D7E9D74C13}"/>
    <cellStyle name="Normal 3 2 3 3 5 3" xfId="6370" xr:uid="{00000000-0005-0000-0000-0000B6110000}"/>
    <cellStyle name="Normal 3 2 3 3 5 3 2" xfId="19003" xr:uid="{AC2694B4-2BF1-4507-9D73-0B78A198D240}"/>
    <cellStyle name="Normal 3 2 3 3 5 4" xfId="14792" xr:uid="{0BDDE669-B70F-4B12-867E-110F083962BF}"/>
    <cellStyle name="Normal 3 2 3 3 5 5" xfId="24042" xr:uid="{059E7D97-2633-4E72-BED3-A1E3F478682A}"/>
    <cellStyle name="Normal 3 2 3 3 5 6" xfId="10581" xr:uid="{5B453C35-BF56-4E9C-AAAA-BDF71F1A0333}"/>
    <cellStyle name="Normal 3 2 3 3 6" xfId="2498" xr:uid="{00000000-0005-0000-0000-0000B7110000}"/>
    <cellStyle name="Normal 3 2 3 3 6 2" xfId="6783" xr:uid="{00000000-0005-0000-0000-0000B8110000}"/>
    <cellStyle name="Normal 3 2 3 3 6 2 2" xfId="19416" xr:uid="{7F3A619D-D1A1-4100-BF73-47722E46BAB9}"/>
    <cellStyle name="Normal 3 2 3 3 6 3" xfId="15205" xr:uid="{DFD35593-91D4-489D-AA9D-EA1AB80E5DE5}"/>
    <cellStyle name="Normal 3 2 3 3 6 4" xfId="24455" xr:uid="{4F407652-A6AB-42A9-83AD-DF1853CC5D5A}"/>
    <cellStyle name="Normal 3 2 3 3 6 5" xfId="10994" xr:uid="{B1B14B51-C6ED-4C4B-8736-1CF9A9889633}"/>
    <cellStyle name="Normal 3 2 3 3 7" xfId="4717" xr:uid="{00000000-0005-0000-0000-0000B9110000}"/>
    <cellStyle name="Normal 3 2 3 3 7 2" xfId="17350" xr:uid="{C86CF6DD-F629-4B50-AE6C-0CD68B73FC99}"/>
    <cellStyle name="Normal 3 2 3 3 8" xfId="21561" xr:uid="{99F63AFC-A13E-4025-A39C-27712DB5C544}"/>
    <cellStyle name="Normal 3 2 3 3 9" xfId="13139" xr:uid="{6C9D670F-AA98-4E6C-A739-49716B047EBB}"/>
    <cellStyle name="Normal 3 2 3 4" xfId="812" xr:uid="{00000000-0005-0000-0000-0000BA110000}"/>
    <cellStyle name="Normal 3 2 3 4 2" xfId="3049" xr:uid="{00000000-0005-0000-0000-0000BB110000}"/>
    <cellStyle name="Normal 3 2 3 4 2 2" xfId="7273" xr:uid="{00000000-0005-0000-0000-0000BC110000}"/>
    <cellStyle name="Normal 3 2 3 4 2 2 2" xfId="19906" xr:uid="{3F4B5EF1-4EA0-458B-A430-27A5C714526D}"/>
    <cellStyle name="Normal 3 2 3 4 2 3" xfId="15695" xr:uid="{21D8B7FC-1346-45FD-B210-6D2720ADE9C5}"/>
    <cellStyle name="Normal 3 2 3 4 2 4" xfId="24945" xr:uid="{5556A628-EF41-46E5-9E93-F73C09431CE0}"/>
    <cellStyle name="Normal 3 2 3 4 2 5" xfId="11484" xr:uid="{CD6B54E1-7295-4B2B-B4BA-D472CB675298}"/>
    <cellStyle name="Normal 3 2 3 4 3" xfId="5128" xr:uid="{00000000-0005-0000-0000-0000BD110000}"/>
    <cellStyle name="Normal 3 2 3 4 3 2" xfId="17761" xr:uid="{2ADC5BE5-DF75-433D-BBB3-2EFE019B7750}"/>
    <cellStyle name="Normal 3 2 3 4 4" xfId="21973" xr:uid="{73D808DE-ED87-48FA-8F19-74A4BE9734AA}"/>
    <cellStyle name="Normal 3 2 3 4 5" xfId="13550" xr:uid="{FA976687-E93E-4C6A-88F0-D5EB88453893}"/>
    <cellStyle name="Normal 3 2 3 4 6" xfId="22800" xr:uid="{C844ED93-F316-4FEE-983A-2DAB01BACBC6}"/>
    <cellStyle name="Normal 3 2 3 4 7" xfId="9339" xr:uid="{CD2DC796-9AA3-48F4-9690-508B606D3C3C}"/>
    <cellStyle name="Normal 3 2 3 5" xfId="1232" xr:uid="{00000000-0005-0000-0000-0000BE110000}"/>
    <cellStyle name="Normal 3 2 3 5 2" xfId="3462" xr:uid="{00000000-0005-0000-0000-0000BF110000}"/>
    <cellStyle name="Normal 3 2 3 5 2 2" xfId="7686" xr:uid="{00000000-0005-0000-0000-0000C0110000}"/>
    <cellStyle name="Normal 3 2 3 5 2 2 2" xfId="20319" xr:uid="{2C6C7270-60B9-448C-A354-01676F1E189D}"/>
    <cellStyle name="Normal 3 2 3 5 2 3" xfId="16108" xr:uid="{F6ED72D6-69D5-4BD5-9F9B-E0727AEAA5FA}"/>
    <cellStyle name="Normal 3 2 3 5 2 4" xfId="25358" xr:uid="{E9C4C3EB-A094-441A-B4C4-06E421852A60}"/>
    <cellStyle name="Normal 3 2 3 5 2 5" xfId="11897" xr:uid="{EEC0F4AE-5996-451B-9889-9FC1A4E99F82}"/>
    <cellStyle name="Normal 3 2 3 5 3" xfId="5541" xr:uid="{00000000-0005-0000-0000-0000C1110000}"/>
    <cellStyle name="Normal 3 2 3 5 3 2" xfId="18174" xr:uid="{C4E6452E-B6F3-43F6-B2BC-233D6BA40831}"/>
    <cellStyle name="Normal 3 2 3 5 4" xfId="13963" xr:uid="{076D74D1-67E2-4811-B926-5301F496F35F}"/>
    <cellStyle name="Normal 3 2 3 5 5" xfId="23213" xr:uid="{92AFF95F-CF9A-41E7-934D-77255787C2D7}"/>
    <cellStyle name="Normal 3 2 3 5 6" xfId="9752" xr:uid="{C5280C24-44B4-4296-922F-C5F1CD655DA9}"/>
    <cellStyle name="Normal 3 2 3 6" xfId="1645" xr:uid="{00000000-0005-0000-0000-0000C2110000}"/>
    <cellStyle name="Normal 3 2 3 6 2" xfId="3875" xr:uid="{00000000-0005-0000-0000-0000C3110000}"/>
    <cellStyle name="Normal 3 2 3 6 2 2" xfId="8099" xr:uid="{00000000-0005-0000-0000-0000C4110000}"/>
    <cellStyle name="Normal 3 2 3 6 2 2 2" xfId="20732" xr:uid="{17C65CCE-0FF8-4632-8DDC-CD9943F4FA68}"/>
    <cellStyle name="Normal 3 2 3 6 2 3" xfId="16521" xr:uid="{54EDA18D-E8E1-49D5-B681-92B34DBBF358}"/>
    <cellStyle name="Normal 3 2 3 6 2 4" xfId="25771" xr:uid="{9C41E49E-05AC-4701-A992-BA498384F785}"/>
    <cellStyle name="Normal 3 2 3 6 2 5" xfId="12310" xr:uid="{1FD4400F-14C5-497B-8CCF-817E64968089}"/>
    <cellStyle name="Normal 3 2 3 6 3" xfId="5954" xr:uid="{00000000-0005-0000-0000-0000C5110000}"/>
    <cellStyle name="Normal 3 2 3 6 3 2" xfId="18587" xr:uid="{AF7C7D86-1112-486D-A55A-A88DC49BB7B6}"/>
    <cellStyle name="Normal 3 2 3 6 4" xfId="14376" xr:uid="{210C146A-A77E-4CA9-918C-CA1344C97C50}"/>
    <cellStyle name="Normal 3 2 3 6 5" xfId="23626" xr:uid="{5CA31AE1-D545-431B-9EFD-9AB927A1B6AC}"/>
    <cellStyle name="Normal 3 2 3 6 6" xfId="10165" xr:uid="{8B938BFD-D3A9-415D-B367-C520E4790562}"/>
    <cellStyle name="Normal 3 2 3 7" xfId="2059" xr:uid="{00000000-0005-0000-0000-0000C6110000}"/>
    <cellStyle name="Normal 3 2 3 7 2" xfId="4288" xr:uid="{00000000-0005-0000-0000-0000C7110000}"/>
    <cellStyle name="Normal 3 2 3 7 2 2" xfId="8512" xr:uid="{00000000-0005-0000-0000-0000C8110000}"/>
    <cellStyle name="Normal 3 2 3 7 2 2 2" xfId="21145" xr:uid="{3C4F3559-61EB-46EC-9DA4-D4D8C72F1615}"/>
    <cellStyle name="Normal 3 2 3 7 2 3" xfId="16934" xr:uid="{B746DB70-EF8E-42DC-BE1D-A2E4F331C7FA}"/>
    <cellStyle name="Normal 3 2 3 7 2 4" xfId="26184" xr:uid="{C531E2DB-2150-476C-828F-1EFC30FE3907}"/>
    <cellStyle name="Normal 3 2 3 7 2 5" xfId="12723" xr:uid="{870EED26-2F05-4765-A9C0-2FC7B961B46F}"/>
    <cellStyle name="Normal 3 2 3 7 3" xfId="6367" xr:uid="{00000000-0005-0000-0000-0000C9110000}"/>
    <cellStyle name="Normal 3 2 3 7 3 2" xfId="19000" xr:uid="{9DA2DB0F-68BE-45A9-B903-A269B0C9B0AE}"/>
    <cellStyle name="Normal 3 2 3 7 4" xfId="14789" xr:uid="{7850DE05-AAF7-4297-B0B3-E117CF6168E5}"/>
    <cellStyle name="Normal 3 2 3 7 5" xfId="24039" xr:uid="{AC9BB159-BA30-42BF-9BFC-2DD78270C47F}"/>
    <cellStyle name="Normal 3 2 3 7 6" xfId="10578" xr:uid="{EEAC5135-63BC-4EB7-B336-D400C08790A4}"/>
    <cellStyle name="Normal 3 2 3 8" xfId="2495" xr:uid="{00000000-0005-0000-0000-0000CA110000}"/>
    <cellStyle name="Normal 3 2 3 8 2" xfId="6780" xr:uid="{00000000-0005-0000-0000-0000CB110000}"/>
    <cellStyle name="Normal 3 2 3 8 2 2" xfId="19413" xr:uid="{8C8CC624-5A28-4CE5-98B3-51D58A76C6CF}"/>
    <cellStyle name="Normal 3 2 3 8 3" xfId="15202" xr:uid="{92E79E8A-A840-4715-AFEE-58D3AD7E4163}"/>
    <cellStyle name="Normal 3 2 3 8 4" xfId="24452" xr:uid="{D7B8F4DB-89AF-4DAB-8902-69A7988B0E25}"/>
    <cellStyle name="Normal 3 2 3 8 5" xfId="10991" xr:uid="{E0E05EB4-0D90-4F3D-827D-9FCB0659E22C}"/>
    <cellStyle name="Normal 3 2 3 9" xfId="4714" xr:uid="{00000000-0005-0000-0000-0000CC110000}"/>
    <cellStyle name="Normal 3 2 3 9 2" xfId="17347" xr:uid="{6F0A115C-5D63-431D-8B0B-C1CBF3565535}"/>
    <cellStyle name="Normal 3 2 4" xfId="810" xr:uid="{00000000-0005-0000-0000-0000CD110000}"/>
    <cellStyle name="Normal 3 2 4 2" xfId="3048" xr:uid="{00000000-0005-0000-0000-0000CE110000}"/>
    <cellStyle name="Normal 3 2 4 2 2" xfId="7272" xr:uid="{00000000-0005-0000-0000-0000CF110000}"/>
    <cellStyle name="Normal 3 2 4 2 2 2" xfId="19905" xr:uid="{B21BAF4D-4905-49A8-837F-BFE1939DC08F}"/>
    <cellStyle name="Normal 3 2 4 2 3" xfId="15694" xr:uid="{41FFC938-D575-4AD1-A6F4-10EF1B36676E}"/>
    <cellStyle name="Normal 3 2 4 2 4" xfId="24944" xr:uid="{4669EB1D-E3CD-4DB9-B17D-68B18B770AA2}"/>
    <cellStyle name="Normal 3 2 4 2 5" xfId="11483" xr:uid="{203560DF-9E40-4202-A265-F3E1101FF3F1}"/>
    <cellStyle name="Normal 3 2 4 3" xfId="5127" xr:uid="{00000000-0005-0000-0000-0000D0110000}"/>
    <cellStyle name="Normal 3 2 4 3 2" xfId="17760" xr:uid="{67F4E541-6380-4015-807D-498959F51CFE}"/>
    <cellStyle name="Normal 3 2 4 4" xfId="21972" xr:uid="{345FCC4A-5192-44FE-A407-E10DAF2577CB}"/>
    <cellStyle name="Normal 3 2 4 5" xfId="13549" xr:uid="{F1598475-DB05-4CE9-B733-753B1BF7181A}"/>
    <cellStyle name="Normal 3 2 4 6" xfId="22799" xr:uid="{D52386C9-F8B9-4B8B-A54F-DD65A99398CE}"/>
    <cellStyle name="Normal 3 2 4 7" xfId="9338" xr:uid="{A1DD1A83-FAC5-40B7-B895-9E2695E6F2DD}"/>
    <cellStyle name="Normal 3 2 5" xfId="1231" xr:uid="{00000000-0005-0000-0000-0000D1110000}"/>
    <cellStyle name="Normal 3 2 5 2" xfId="3461" xr:uid="{00000000-0005-0000-0000-0000D2110000}"/>
    <cellStyle name="Normal 3 2 5 2 2" xfId="7685" xr:uid="{00000000-0005-0000-0000-0000D3110000}"/>
    <cellStyle name="Normal 3 2 5 2 2 2" xfId="20318" xr:uid="{050F83C9-6A69-48E4-84D4-603AECC584B3}"/>
    <cellStyle name="Normal 3 2 5 2 3" xfId="16107" xr:uid="{A1D3D0F3-D537-4DA9-B3E8-51F77F4FCB7D}"/>
    <cellStyle name="Normal 3 2 5 2 4" xfId="25357" xr:uid="{3037217E-83CC-402B-8FC2-EA5D0FBF42F8}"/>
    <cellStyle name="Normal 3 2 5 2 5" xfId="11896" xr:uid="{B73535FB-0A49-4063-A04F-64BE5124DE41}"/>
    <cellStyle name="Normal 3 2 5 3" xfId="5540" xr:uid="{00000000-0005-0000-0000-0000D4110000}"/>
    <cellStyle name="Normal 3 2 5 3 2" xfId="18173" xr:uid="{8BAFD395-A2BF-428F-BAE3-E7C35A800C37}"/>
    <cellStyle name="Normal 3 2 5 4" xfId="13962" xr:uid="{B2FB460A-66FD-4478-A30D-9AC657993CA6}"/>
    <cellStyle name="Normal 3 2 5 5" xfId="23212" xr:uid="{5D8EEECD-FFB0-47BC-B006-208F3A1DF35B}"/>
    <cellStyle name="Normal 3 2 5 6" xfId="9751" xr:uid="{67D5E210-6301-4406-894F-2091E8B4FC98}"/>
    <cellStyle name="Normal 3 2 6" xfId="1644" xr:uid="{00000000-0005-0000-0000-0000D5110000}"/>
    <cellStyle name="Normal 3 2 6 2" xfId="3874" xr:uid="{00000000-0005-0000-0000-0000D6110000}"/>
    <cellStyle name="Normal 3 2 6 2 2" xfId="8098" xr:uid="{00000000-0005-0000-0000-0000D7110000}"/>
    <cellStyle name="Normal 3 2 6 2 2 2" xfId="20731" xr:uid="{1A1E1EED-46BA-430A-ABF8-EBF1137A9BF9}"/>
    <cellStyle name="Normal 3 2 6 2 3" xfId="16520" xr:uid="{AE4AA1EB-5360-40A0-AA19-4E785F1DFE80}"/>
    <cellStyle name="Normal 3 2 6 2 4" xfId="25770" xr:uid="{69D5235D-5401-4356-BF0D-6A107454407F}"/>
    <cellStyle name="Normal 3 2 6 2 5" xfId="12309" xr:uid="{73E39BE3-C1B9-47C8-AA96-05DA745BC498}"/>
    <cellStyle name="Normal 3 2 6 3" xfId="5953" xr:uid="{00000000-0005-0000-0000-0000D8110000}"/>
    <cellStyle name="Normal 3 2 6 3 2" xfId="18586" xr:uid="{751F042A-828F-4ED9-BC65-FCFE426941C7}"/>
    <cellStyle name="Normal 3 2 6 4" xfId="14375" xr:uid="{18CD265B-6219-4D47-9636-EFD11BD43218}"/>
    <cellStyle name="Normal 3 2 6 5" xfId="23625" xr:uid="{162625C9-B69F-4FBB-BCED-7ABF8BE6B387}"/>
    <cellStyle name="Normal 3 2 6 6" xfId="10164" xr:uid="{8F07E86A-397E-4323-9D22-2F61B3B38842}"/>
    <cellStyle name="Normal 3 2 7" xfId="2058" xr:uid="{00000000-0005-0000-0000-0000D9110000}"/>
    <cellStyle name="Normal 3 2 7 2" xfId="4287" xr:uid="{00000000-0005-0000-0000-0000DA110000}"/>
    <cellStyle name="Normal 3 2 7 2 2" xfId="8511" xr:uid="{00000000-0005-0000-0000-0000DB110000}"/>
    <cellStyle name="Normal 3 2 7 2 2 2" xfId="21144" xr:uid="{90F40D16-5311-4523-8716-3E87B7E5F4DB}"/>
    <cellStyle name="Normal 3 2 7 2 3" xfId="16933" xr:uid="{EEE42D86-D8F1-48EF-AFA8-443C46866B61}"/>
    <cellStyle name="Normal 3 2 7 2 4" xfId="26183" xr:uid="{434D66C7-2AAA-4C04-818D-49B09F8A5A6B}"/>
    <cellStyle name="Normal 3 2 7 2 5" xfId="12722" xr:uid="{36700AA5-BF8A-4FF6-9939-4842B0977444}"/>
    <cellStyle name="Normal 3 2 7 3" xfId="6366" xr:uid="{00000000-0005-0000-0000-0000DC110000}"/>
    <cellStyle name="Normal 3 2 7 3 2" xfId="18999" xr:uid="{6CD6D31D-D841-4EE6-A2A0-38BA23D7D1CC}"/>
    <cellStyle name="Normal 3 2 7 4" xfId="14788" xr:uid="{98DB51C5-5634-41BA-B143-CB87125DB928}"/>
    <cellStyle name="Normal 3 2 7 5" xfId="24038" xr:uid="{F763131F-716A-4730-A7AD-41F5813E8F84}"/>
    <cellStyle name="Normal 3 2 7 6" xfId="10577" xr:uid="{05834731-7205-4E51-8A19-A26B0D2106AE}"/>
    <cellStyle name="Normal 3 2 8" xfId="2494" xr:uid="{00000000-0005-0000-0000-0000DD110000}"/>
    <cellStyle name="Normal 3 2 8 2" xfId="6779" xr:uid="{00000000-0005-0000-0000-0000DE110000}"/>
    <cellStyle name="Normal 3 2 8 2 2" xfId="19412" xr:uid="{8B2019F6-B6CD-476A-A886-12D1841D1C57}"/>
    <cellStyle name="Normal 3 2 8 3" xfId="15201" xr:uid="{C0293792-1471-4989-B93C-312CEC6741B2}"/>
    <cellStyle name="Normal 3 2 8 4" xfId="24451" xr:uid="{2762907A-CCAA-46B5-B14D-1662A9A17A7D}"/>
    <cellStyle name="Normal 3 2 8 5" xfId="10990" xr:uid="{A1034C0C-65AD-4A27-8584-02FDF0DBE980}"/>
    <cellStyle name="Normal 3 2 9" xfId="4713" xr:uid="{00000000-0005-0000-0000-0000DF110000}"/>
    <cellStyle name="Normal 3 2 9 2" xfId="17346" xr:uid="{1D8828D6-6C85-4E1B-884C-F0A0961CD94E}"/>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13140" xr:uid="{381961B0-85B3-47D1-8D33-12C67120350D}"/>
    <cellStyle name="Normal 4 11" xfId="22390" xr:uid="{CEB4D77C-B4DA-4916-9EAF-59A3096A0D83}"/>
    <cellStyle name="Normal 4 12" xfId="8929" xr:uid="{CECD8D2C-C72F-413B-B0D0-BF0711A351A3}"/>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21149" xr:uid="{5854FE30-C636-4DF4-9F84-8F41FF64999F}"/>
    <cellStyle name="Normal 4 2 2 10 2 3" xfId="16938" xr:uid="{F08F378D-82ED-467E-A3A6-330B97F16B04}"/>
    <cellStyle name="Normal 4 2 2 10 2 4" xfId="26188" xr:uid="{605DFDD3-2762-4D06-A5D1-43A9AFE72F09}"/>
    <cellStyle name="Normal 4 2 2 10 2 5" xfId="12727" xr:uid="{7980F90F-430B-4066-84D2-BB7464586BCF}"/>
    <cellStyle name="Normal 4 2 2 10 3" xfId="6371" xr:uid="{00000000-0005-0000-0000-0000EC110000}"/>
    <cellStyle name="Normal 4 2 2 10 3 2" xfId="19004" xr:uid="{D2CED012-1DDA-4E8C-83FB-0BD1CB0D5554}"/>
    <cellStyle name="Normal 4 2 2 10 4" xfId="14793" xr:uid="{C3E5AA20-E54D-4151-AE6D-53EB3D6887BC}"/>
    <cellStyle name="Normal 4 2 2 10 5" xfId="24043" xr:uid="{F4F09D16-7C2B-4138-9616-75C59F29B710}"/>
    <cellStyle name="Normal 4 2 2 10 6" xfId="10582" xr:uid="{B9BE8368-1B2B-441E-A6E7-CCD49D2BF959}"/>
    <cellStyle name="Normal 4 2 2 11" xfId="2499" xr:uid="{00000000-0005-0000-0000-0000ED110000}"/>
    <cellStyle name="Normal 4 2 2 11 2" xfId="6784" xr:uid="{00000000-0005-0000-0000-0000EE110000}"/>
    <cellStyle name="Normal 4 2 2 11 2 2" xfId="19417" xr:uid="{6B00C990-08AD-4C1A-9DAB-F9FDCEE25063}"/>
    <cellStyle name="Normal 4 2 2 11 3" xfId="15206" xr:uid="{133F5288-E190-400E-8C90-53D601BB48C8}"/>
    <cellStyle name="Normal 4 2 2 11 4" xfId="24456" xr:uid="{8E1BA394-5608-4E98-A8EA-6A47D5C475C9}"/>
    <cellStyle name="Normal 4 2 2 11 5" xfId="10995" xr:uid="{23BD3156-1F71-49FA-9C12-9D868D94266D}"/>
    <cellStyle name="Normal 4 2 2 12" xfId="4719" xr:uid="{00000000-0005-0000-0000-0000EF110000}"/>
    <cellStyle name="Normal 4 2 2 12 2" xfId="17352" xr:uid="{E3209C28-8888-42F1-B3A6-BC1B17B31095}"/>
    <cellStyle name="Normal 4 2 2 13" xfId="21562" xr:uid="{7138F414-B2A0-4143-A1E0-F1719E57CE9F}"/>
    <cellStyle name="Normal 4 2 2 14" xfId="13141" xr:uid="{0A5D4674-BF26-42A6-AF2D-3AA51D81F3C9}"/>
    <cellStyle name="Normal 4 2 2 15" xfId="22391" xr:uid="{BDE616DE-F356-484F-9729-88B9B7437E7E}"/>
    <cellStyle name="Normal 4 2 2 16" xfId="8930" xr:uid="{B38D3B1C-F33B-423F-AADC-0F7A0DA9FD31}"/>
    <cellStyle name="Normal 4 2 2 2" xfId="338" xr:uid="{00000000-0005-0000-0000-0000F0110000}"/>
    <cellStyle name="Normal 4 2 2 3" xfId="339" xr:uid="{00000000-0005-0000-0000-0000F1110000}"/>
    <cellStyle name="Normal 4 2 2 3 10" xfId="4720" xr:uid="{00000000-0005-0000-0000-0000F2110000}"/>
    <cellStyle name="Normal 4 2 2 3 10 2" xfId="17353" xr:uid="{8C4A6315-D3FA-4E65-879B-6EB3A333F115}"/>
    <cellStyle name="Normal 4 2 2 3 11" xfId="21563" xr:uid="{5A42B0E6-5810-4F65-9D49-D683A11F1E2C}"/>
    <cellStyle name="Normal 4 2 2 3 12" xfId="13142" xr:uid="{F0687DFD-BA01-4CA1-A156-C4E2689E4862}"/>
    <cellStyle name="Normal 4 2 2 3 13" xfId="22392" xr:uid="{B4069785-6089-40F2-A2C6-3AF5F8B950FA}"/>
    <cellStyle name="Normal 4 2 2 3 14" xfId="8931" xr:uid="{00A97854-9A34-46AC-A1AC-FAB538D49B6B}"/>
    <cellStyle name="Normal 4 2 2 3 2" xfId="340" xr:uid="{00000000-0005-0000-0000-0000F3110000}"/>
    <cellStyle name="Normal 4 2 2 3 2 10" xfId="21564" xr:uid="{9145E8DF-4C51-44C2-B27D-D4839D4E0061}"/>
    <cellStyle name="Normal 4 2 2 3 2 11" xfId="13143" xr:uid="{BDB3002E-E2EE-4D96-8ED6-46436A291D49}"/>
    <cellStyle name="Normal 4 2 2 3 2 12" xfId="22393" xr:uid="{0598D5B4-17F7-4FB7-AE9F-70C162BC4E6C}"/>
    <cellStyle name="Normal 4 2 2 3 2 13" xfId="8932" xr:uid="{435885EF-6737-4583-939F-61F4C32C360C}"/>
    <cellStyle name="Normal 4 2 2 3 2 2" xfId="341" xr:uid="{00000000-0005-0000-0000-0000F4110000}"/>
    <cellStyle name="Normal 4 2 2 3 2 2 10" xfId="13144" xr:uid="{FB6C6E9D-B20C-4415-8EDA-B92FBF991D52}"/>
    <cellStyle name="Normal 4 2 2 3 2 2 11" xfId="22394" xr:uid="{A70C89F1-8AE6-4AF1-B0FB-7B037CC45C62}"/>
    <cellStyle name="Normal 4 2 2 3 2 2 12" xfId="8933" xr:uid="{D1865998-2EC7-471D-8467-4DCF6647E637}"/>
    <cellStyle name="Normal 4 2 2 3 2 2 2" xfId="342" xr:uid="{00000000-0005-0000-0000-0000F5110000}"/>
    <cellStyle name="Normal 4 2 2 3 2 2 2 10" xfId="22395" xr:uid="{BEF83AA3-C555-4592-9CCD-C4639CEADBF6}"/>
    <cellStyle name="Normal 4 2 2 3 2 2 2 11" xfId="8934" xr:uid="{E38BD340-C767-42AA-A3E8-6E82B76E8B82}"/>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9914" xr:uid="{65197B16-5F60-4AE3-A4A9-AAD970AFCC28}"/>
    <cellStyle name="Normal 4 2 2 3 2 2 2 2 2 3" xfId="15703" xr:uid="{A82D3FB5-2DD5-41B4-8C0D-7CFA286C16FF}"/>
    <cellStyle name="Normal 4 2 2 3 2 2 2 2 2 4" xfId="24953" xr:uid="{FA609DCE-489D-4196-B403-C88CDDC33B79}"/>
    <cellStyle name="Normal 4 2 2 3 2 2 2 2 2 5" xfId="11492" xr:uid="{2832E5AD-9D23-478A-A6FF-367FA76BF512}"/>
    <cellStyle name="Normal 4 2 2 3 2 2 2 2 3" xfId="5136" xr:uid="{00000000-0005-0000-0000-0000F9110000}"/>
    <cellStyle name="Normal 4 2 2 3 2 2 2 2 3 2" xfId="17769" xr:uid="{2D7938B5-ADC5-40E7-AA2D-215A2C1D84FE}"/>
    <cellStyle name="Normal 4 2 2 3 2 2 2 2 4" xfId="21981" xr:uid="{3FAA26AC-6EE7-4893-9AED-6E7685EC5FCF}"/>
    <cellStyle name="Normal 4 2 2 3 2 2 2 2 5" xfId="13558" xr:uid="{4516A7E7-F5FE-4B9B-9A62-10601323076F}"/>
    <cellStyle name="Normal 4 2 2 3 2 2 2 2 6" xfId="22808" xr:uid="{7725ADAA-C649-4D05-A2D5-0A429758C539}"/>
    <cellStyle name="Normal 4 2 2 3 2 2 2 2 7" xfId="9347" xr:uid="{1449098C-113F-4D23-86AE-0352EB76BF19}"/>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20327" xr:uid="{0D057190-D391-4A73-A759-370A6FD379FC}"/>
    <cellStyle name="Normal 4 2 2 3 2 2 2 3 2 3" xfId="16116" xr:uid="{12552DD6-23B4-4B49-AC9D-F95AFB97DDE3}"/>
    <cellStyle name="Normal 4 2 2 3 2 2 2 3 2 4" xfId="25366" xr:uid="{5D5B1CD6-28D9-40DE-8E70-27E5C184A2D1}"/>
    <cellStyle name="Normal 4 2 2 3 2 2 2 3 2 5" xfId="11905" xr:uid="{9D134960-A16D-4494-8C56-6368255C1D0D}"/>
    <cellStyle name="Normal 4 2 2 3 2 2 2 3 3" xfId="5549" xr:uid="{00000000-0005-0000-0000-0000FD110000}"/>
    <cellStyle name="Normal 4 2 2 3 2 2 2 3 3 2" xfId="18182" xr:uid="{395F1A67-A2F3-4C56-9003-3E66C1713007}"/>
    <cellStyle name="Normal 4 2 2 3 2 2 2 3 4" xfId="13971" xr:uid="{606F9B25-E5B5-46B2-97A6-B4055D9C4650}"/>
    <cellStyle name="Normal 4 2 2 3 2 2 2 3 5" xfId="23221" xr:uid="{CA0860C4-D2CC-4560-BA9C-55D47DF616D6}"/>
    <cellStyle name="Normal 4 2 2 3 2 2 2 3 6" xfId="9760" xr:uid="{02161D60-106B-4F7D-B353-AA7A81671771}"/>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20740" xr:uid="{3AB330D5-FEE9-43A2-8265-0D1444A1A410}"/>
    <cellStyle name="Normal 4 2 2 3 2 2 2 4 2 3" xfId="16529" xr:uid="{1F3A9B68-7AEE-4E43-93E4-C02241235412}"/>
    <cellStyle name="Normal 4 2 2 3 2 2 2 4 2 4" xfId="25779" xr:uid="{592F469F-C280-44E4-975D-6678F238C1B5}"/>
    <cellStyle name="Normal 4 2 2 3 2 2 2 4 2 5" xfId="12318" xr:uid="{67C9B524-9D39-474A-85E4-871EA5C212FC}"/>
    <cellStyle name="Normal 4 2 2 3 2 2 2 4 3" xfId="5962" xr:uid="{00000000-0005-0000-0000-000001120000}"/>
    <cellStyle name="Normal 4 2 2 3 2 2 2 4 3 2" xfId="18595" xr:uid="{893568D8-E365-47ED-BCF8-7AD6FF2946BC}"/>
    <cellStyle name="Normal 4 2 2 3 2 2 2 4 4" xfId="14384" xr:uid="{B27C5B68-D59A-45C4-8531-E880656495C6}"/>
    <cellStyle name="Normal 4 2 2 3 2 2 2 4 5" xfId="23634" xr:uid="{F69D75E9-9AEF-407E-89B0-F58F8367C053}"/>
    <cellStyle name="Normal 4 2 2 3 2 2 2 4 6" xfId="10173" xr:uid="{A8C5BD69-533C-4D8B-99EE-ED8237C9D877}"/>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21153" xr:uid="{4AEDB2EA-7C26-45AD-96A4-1F68DD49C6F3}"/>
    <cellStyle name="Normal 4 2 2 3 2 2 2 5 2 3" xfId="16942" xr:uid="{597AC155-B07B-47AD-A9A4-C82CF037EDD7}"/>
    <cellStyle name="Normal 4 2 2 3 2 2 2 5 2 4" xfId="26192" xr:uid="{146A71EA-DAF9-43DC-9B1E-90F8616C9F04}"/>
    <cellStyle name="Normal 4 2 2 3 2 2 2 5 2 5" xfId="12731" xr:uid="{14021975-DC92-430E-AD41-5A6BD1C37418}"/>
    <cellStyle name="Normal 4 2 2 3 2 2 2 5 3" xfId="6375" xr:uid="{00000000-0005-0000-0000-000005120000}"/>
    <cellStyle name="Normal 4 2 2 3 2 2 2 5 3 2" xfId="19008" xr:uid="{CFCA431B-C4DC-430E-86D2-D1066C71B599}"/>
    <cellStyle name="Normal 4 2 2 3 2 2 2 5 4" xfId="14797" xr:uid="{335E41F5-7DB2-4B9E-92E1-DE0A9591075A}"/>
    <cellStyle name="Normal 4 2 2 3 2 2 2 5 5" xfId="24047" xr:uid="{8EAB6BFC-7DF4-4104-904F-F217D7622048}"/>
    <cellStyle name="Normal 4 2 2 3 2 2 2 5 6" xfId="10586" xr:uid="{E343872D-5171-4702-A309-6C3DAEE0C923}"/>
    <cellStyle name="Normal 4 2 2 3 2 2 2 6" xfId="2503" xr:uid="{00000000-0005-0000-0000-000006120000}"/>
    <cellStyle name="Normal 4 2 2 3 2 2 2 6 2" xfId="6788" xr:uid="{00000000-0005-0000-0000-000007120000}"/>
    <cellStyle name="Normal 4 2 2 3 2 2 2 6 2 2" xfId="19421" xr:uid="{DDFF5B02-1C54-4B41-B9FD-6E8E9F9D2B16}"/>
    <cellStyle name="Normal 4 2 2 3 2 2 2 6 3" xfId="15210" xr:uid="{498458B0-871B-471D-B48E-952E7FFFA1F1}"/>
    <cellStyle name="Normal 4 2 2 3 2 2 2 6 4" xfId="24460" xr:uid="{29D853C6-1048-4B47-B6A5-6803320FB47B}"/>
    <cellStyle name="Normal 4 2 2 3 2 2 2 6 5" xfId="10999" xr:uid="{72E52790-2801-4A48-9D82-29F2E76290ED}"/>
    <cellStyle name="Normal 4 2 2 3 2 2 2 7" xfId="4723" xr:uid="{00000000-0005-0000-0000-000008120000}"/>
    <cellStyle name="Normal 4 2 2 3 2 2 2 7 2" xfId="17356" xr:uid="{5A47EC35-45C2-43AD-B4F4-62C0E7029048}"/>
    <cellStyle name="Normal 4 2 2 3 2 2 2 8" xfId="21566" xr:uid="{A7893414-0EA0-4094-9A02-5A59945648A9}"/>
    <cellStyle name="Normal 4 2 2 3 2 2 2 9" xfId="13145" xr:uid="{6A02161B-2DD2-4AC4-B8AF-C235CA6F35FE}"/>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9913" xr:uid="{C060FBE2-938E-46A8-84B0-52D47875AC71}"/>
    <cellStyle name="Normal 4 2 2 3 2 2 3 2 3" xfId="15702" xr:uid="{A04CD0BC-9DC2-4909-A11B-B05D673F5C8A}"/>
    <cellStyle name="Normal 4 2 2 3 2 2 3 2 4" xfId="24952" xr:uid="{24B2F21A-F413-492E-932A-1E14A00DFC1A}"/>
    <cellStyle name="Normal 4 2 2 3 2 2 3 2 5" xfId="11491" xr:uid="{3E6070ED-F88F-4B7E-95B1-D2FAB71004A6}"/>
    <cellStyle name="Normal 4 2 2 3 2 2 3 3" xfId="5135" xr:uid="{00000000-0005-0000-0000-00000C120000}"/>
    <cellStyle name="Normal 4 2 2 3 2 2 3 3 2" xfId="17768" xr:uid="{B15EE6EF-970F-4ECD-9CFA-853BA6679E70}"/>
    <cellStyle name="Normal 4 2 2 3 2 2 3 4" xfId="21980" xr:uid="{013AF5F0-9744-411A-84C4-4AB55F0C2D28}"/>
    <cellStyle name="Normal 4 2 2 3 2 2 3 5" xfId="13557" xr:uid="{0A00CC64-9729-41DD-AB8F-D3F3370AA983}"/>
    <cellStyle name="Normal 4 2 2 3 2 2 3 6" xfId="22807" xr:uid="{8B585AF5-7694-4C5D-A2B1-A26A20614BEA}"/>
    <cellStyle name="Normal 4 2 2 3 2 2 3 7" xfId="9346" xr:uid="{E75E8DED-F6A6-4FC3-9C7E-2B7B6B345D15}"/>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20326" xr:uid="{1AE2953E-EF53-4C80-967C-560E06F7D710}"/>
    <cellStyle name="Normal 4 2 2 3 2 2 4 2 3" xfId="16115" xr:uid="{80BD8E72-EC4E-4B59-9BD9-5940194D27FF}"/>
    <cellStyle name="Normal 4 2 2 3 2 2 4 2 4" xfId="25365" xr:uid="{ADE73644-057C-433C-A47A-76E9060FB59E}"/>
    <cellStyle name="Normal 4 2 2 3 2 2 4 2 5" xfId="11904" xr:uid="{438A44DE-5B4F-42BB-B046-C30AA1FBF209}"/>
    <cellStyle name="Normal 4 2 2 3 2 2 4 3" xfId="5548" xr:uid="{00000000-0005-0000-0000-000010120000}"/>
    <cellStyle name="Normal 4 2 2 3 2 2 4 3 2" xfId="18181" xr:uid="{0C0241E4-009D-4E25-8CF4-2483F27372D8}"/>
    <cellStyle name="Normal 4 2 2 3 2 2 4 4" xfId="13970" xr:uid="{DD0094DA-60BC-4710-B3B3-A2EDA21F226A}"/>
    <cellStyle name="Normal 4 2 2 3 2 2 4 5" xfId="23220" xr:uid="{6E593563-33E5-4711-B573-DB34C3CB1E07}"/>
    <cellStyle name="Normal 4 2 2 3 2 2 4 6" xfId="9759" xr:uid="{0E1CF4CB-4CC3-49ED-B0E9-0DF035BFD8B9}"/>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20739" xr:uid="{E1FFEDBF-AFA9-4539-8B46-3B1831D681EF}"/>
    <cellStyle name="Normal 4 2 2 3 2 2 5 2 3" xfId="16528" xr:uid="{897B524D-EB16-4536-B4C1-C382E06D5D8F}"/>
    <cellStyle name="Normal 4 2 2 3 2 2 5 2 4" xfId="25778" xr:uid="{F6663936-71F4-46AC-8511-CA694450C33D}"/>
    <cellStyle name="Normal 4 2 2 3 2 2 5 2 5" xfId="12317" xr:uid="{D1336383-4FD5-4C65-B6EF-6FB7D45730A1}"/>
    <cellStyle name="Normal 4 2 2 3 2 2 5 3" xfId="5961" xr:uid="{00000000-0005-0000-0000-000014120000}"/>
    <cellStyle name="Normal 4 2 2 3 2 2 5 3 2" xfId="18594" xr:uid="{80ED2C09-5E5D-4ADA-8676-E65B42951086}"/>
    <cellStyle name="Normal 4 2 2 3 2 2 5 4" xfId="14383" xr:uid="{D59BAE4B-66FA-44D7-9420-F32D46002E2A}"/>
    <cellStyle name="Normal 4 2 2 3 2 2 5 5" xfId="23633" xr:uid="{7442150F-1D7E-47C9-B4FA-A6CD6CF1CEA1}"/>
    <cellStyle name="Normal 4 2 2 3 2 2 5 6" xfId="10172" xr:uid="{BF56878C-0E5C-4931-8FE3-2B73DB07A245}"/>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21152" xr:uid="{C54FE855-0DC7-49D5-8068-811207C82D32}"/>
    <cellStyle name="Normal 4 2 2 3 2 2 6 2 3" xfId="16941" xr:uid="{EAD25E52-3EA6-4948-AC92-5A1DDF5984CF}"/>
    <cellStyle name="Normal 4 2 2 3 2 2 6 2 4" xfId="26191" xr:uid="{E8DF1B58-9996-4D41-B4A9-58AFD6B1E1F7}"/>
    <cellStyle name="Normal 4 2 2 3 2 2 6 2 5" xfId="12730" xr:uid="{DD39478D-F5A8-4E61-8128-51235DDE8734}"/>
    <cellStyle name="Normal 4 2 2 3 2 2 6 3" xfId="6374" xr:uid="{00000000-0005-0000-0000-000018120000}"/>
    <cellStyle name="Normal 4 2 2 3 2 2 6 3 2" xfId="19007" xr:uid="{2BD33BB5-1E7B-46D4-B171-84A5B2F8B615}"/>
    <cellStyle name="Normal 4 2 2 3 2 2 6 4" xfId="14796" xr:uid="{97197429-3671-42B4-9CB1-02A80154E724}"/>
    <cellStyle name="Normal 4 2 2 3 2 2 6 5" xfId="24046" xr:uid="{CC721F4D-9C73-4D68-AAD4-9F546740BBB1}"/>
    <cellStyle name="Normal 4 2 2 3 2 2 6 6" xfId="10585" xr:uid="{666F5D8D-5DA2-4F9B-87AC-453681A28B02}"/>
    <cellStyle name="Normal 4 2 2 3 2 2 7" xfId="2502" xr:uid="{00000000-0005-0000-0000-000019120000}"/>
    <cellStyle name="Normal 4 2 2 3 2 2 7 2" xfId="6787" xr:uid="{00000000-0005-0000-0000-00001A120000}"/>
    <cellStyle name="Normal 4 2 2 3 2 2 7 2 2" xfId="19420" xr:uid="{D3E1CDB7-C63A-4BDC-AB7D-6B2BB1BA96CE}"/>
    <cellStyle name="Normal 4 2 2 3 2 2 7 3" xfId="15209" xr:uid="{2887EE61-788B-4E6C-AC64-DC01499D7773}"/>
    <cellStyle name="Normal 4 2 2 3 2 2 7 4" xfId="24459" xr:uid="{1CD2FAF6-373D-4C77-A744-CAD40058C43E}"/>
    <cellStyle name="Normal 4 2 2 3 2 2 7 5" xfId="10998" xr:uid="{6FAA06E4-413F-48C0-8787-B3005E61E86A}"/>
    <cellStyle name="Normal 4 2 2 3 2 2 8" xfId="4722" xr:uid="{00000000-0005-0000-0000-00001B120000}"/>
    <cellStyle name="Normal 4 2 2 3 2 2 8 2" xfId="17355" xr:uid="{89F9C22A-62F9-49B0-929F-E4F7FABB4853}"/>
    <cellStyle name="Normal 4 2 2 3 2 2 9" xfId="21565" xr:uid="{5FC8EF6D-9429-4475-B13F-BBDF730B46AE}"/>
    <cellStyle name="Normal 4 2 2 3 2 3" xfId="343" xr:uid="{00000000-0005-0000-0000-00001C120000}"/>
    <cellStyle name="Normal 4 2 2 3 2 3 10" xfId="22396" xr:uid="{608807F0-E6DA-410B-8747-30AD94D72050}"/>
    <cellStyle name="Normal 4 2 2 3 2 3 11" xfId="8935" xr:uid="{391515BC-145D-47FF-BBFD-54ECF4EE46AE}"/>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9915" xr:uid="{22548B12-8305-4978-B8AD-0DF7B71263CD}"/>
    <cellStyle name="Normal 4 2 2 3 2 3 2 2 3" xfId="15704" xr:uid="{3D2D1FA0-42A4-4B1E-9571-84D2BD2F9652}"/>
    <cellStyle name="Normal 4 2 2 3 2 3 2 2 4" xfId="24954" xr:uid="{98993E7D-0B72-49AB-9629-341E838B9421}"/>
    <cellStyle name="Normal 4 2 2 3 2 3 2 2 5" xfId="11493" xr:uid="{C1F6E4EB-9987-4475-A160-7646C6D1BF5A}"/>
    <cellStyle name="Normal 4 2 2 3 2 3 2 3" xfId="5137" xr:uid="{00000000-0005-0000-0000-000020120000}"/>
    <cellStyle name="Normal 4 2 2 3 2 3 2 3 2" xfId="17770" xr:uid="{F7CD715A-3ADD-4FCF-B6EE-5AF4C67614CE}"/>
    <cellStyle name="Normal 4 2 2 3 2 3 2 4" xfId="21982" xr:uid="{1646F496-AE3D-4563-83F7-1ADDB2575114}"/>
    <cellStyle name="Normal 4 2 2 3 2 3 2 5" xfId="13559" xr:uid="{04F72C49-FC61-421B-A187-18B0BB8C9E89}"/>
    <cellStyle name="Normal 4 2 2 3 2 3 2 6" xfId="22809" xr:uid="{7E7FBE60-4AF8-448A-9EDC-5BF558A6C8C8}"/>
    <cellStyle name="Normal 4 2 2 3 2 3 2 7" xfId="9348" xr:uid="{676EEBF2-6AD2-4111-8DB8-AB8959DE114A}"/>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20328" xr:uid="{6B8F7F3E-F0A3-4998-B948-B181DD7436FE}"/>
    <cellStyle name="Normal 4 2 2 3 2 3 3 2 3" xfId="16117" xr:uid="{1EA5DDD1-55FE-43C4-8DDB-60037AD9A01D}"/>
    <cellStyle name="Normal 4 2 2 3 2 3 3 2 4" xfId="25367" xr:uid="{0F378B75-553E-49DE-BD42-C9EAE058969A}"/>
    <cellStyle name="Normal 4 2 2 3 2 3 3 2 5" xfId="11906" xr:uid="{F956C661-FD4F-499C-9388-653440B6DCEF}"/>
    <cellStyle name="Normal 4 2 2 3 2 3 3 3" xfId="5550" xr:uid="{00000000-0005-0000-0000-000024120000}"/>
    <cellStyle name="Normal 4 2 2 3 2 3 3 3 2" xfId="18183" xr:uid="{876CA4FA-8CF6-4FAD-A845-94EC6284F5AC}"/>
    <cellStyle name="Normal 4 2 2 3 2 3 3 4" xfId="13972" xr:uid="{48C94FEC-B1B0-45A7-B41F-A0020A022D76}"/>
    <cellStyle name="Normal 4 2 2 3 2 3 3 5" xfId="23222" xr:uid="{676FEC57-071F-4072-97FA-E5D534DAF443}"/>
    <cellStyle name="Normal 4 2 2 3 2 3 3 6" xfId="9761" xr:uid="{AA01E304-CD68-471D-9B93-65C775867EF1}"/>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20741" xr:uid="{F5FF7954-EEE2-4509-B2C8-36CAE4CDEBAF}"/>
    <cellStyle name="Normal 4 2 2 3 2 3 4 2 3" xfId="16530" xr:uid="{A64F1089-93AB-47B4-8381-521EFD7B068D}"/>
    <cellStyle name="Normal 4 2 2 3 2 3 4 2 4" xfId="25780" xr:uid="{B1601159-6AFF-4C6A-B9B3-70EC118FF5F0}"/>
    <cellStyle name="Normal 4 2 2 3 2 3 4 2 5" xfId="12319" xr:uid="{F1176CF1-D751-49AA-8F8C-1996E0168D20}"/>
    <cellStyle name="Normal 4 2 2 3 2 3 4 3" xfId="5963" xr:uid="{00000000-0005-0000-0000-000028120000}"/>
    <cellStyle name="Normal 4 2 2 3 2 3 4 3 2" xfId="18596" xr:uid="{6DA2EE7D-1A90-4452-A5A9-1198F3878E33}"/>
    <cellStyle name="Normal 4 2 2 3 2 3 4 4" xfId="14385" xr:uid="{E627F48E-9B2B-4221-87ED-B268CF74C331}"/>
    <cellStyle name="Normal 4 2 2 3 2 3 4 5" xfId="23635" xr:uid="{BDF6C72D-C0DD-4CF5-9052-3FC67BF660D3}"/>
    <cellStyle name="Normal 4 2 2 3 2 3 4 6" xfId="10174" xr:uid="{1AE54690-35C5-4FF2-9B7B-D308B3DF0F58}"/>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21154" xr:uid="{646AB29C-A320-4583-8368-A9B70384ADC5}"/>
    <cellStyle name="Normal 4 2 2 3 2 3 5 2 3" xfId="16943" xr:uid="{C77E61FB-34C1-4FAC-842A-4369C24E28C8}"/>
    <cellStyle name="Normal 4 2 2 3 2 3 5 2 4" xfId="26193" xr:uid="{433DB2B7-01DB-4C8E-86B9-B82C8F116BE0}"/>
    <cellStyle name="Normal 4 2 2 3 2 3 5 2 5" xfId="12732" xr:uid="{1C37E7EC-9AEF-482A-B1D2-DD3F16D96BF0}"/>
    <cellStyle name="Normal 4 2 2 3 2 3 5 3" xfId="6376" xr:uid="{00000000-0005-0000-0000-00002C120000}"/>
    <cellStyle name="Normal 4 2 2 3 2 3 5 3 2" xfId="19009" xr:uid="{43829FD0-703E-400B-A2F0-501092A3E59D}"/>
    <cellStyle name="Normal 4 2 2 3 2 3 5 4" xfId="14798" xr:uid="{3610241E-EDF7-4451-8DC7-C99C63191669}"/>
    <cellStyle name="Normal 4 2 2 3 2 3 5 5" xfId="24048" xr:uid="{042CBA86-7C8D-4F24-8838-07BD2A15800B}"/>
    <cellStyle name="Normal 4 2 2 3 2 3 5 6" xfId="10587" xr:uid="{78C32B5D-80B8-483C-B989-8514EC328B93}"/>
    <cellStyle name="Normal 4 2 2 3 2 3 6" xfId="2504" xr:uid="{00000000-0005-0000-0000-00002D120000}"/>
    <cellStyle name="Normal 4 2 2 3 2 3 6 2" xfId="6789" xr:uid="{00000000-0005-0000-0000-00002E120000}"/>
    <cellStyle name="Normal 4 2 2 3 2 3 6 2 2" xfId="19422" xr:uid="{36743876-37D7-4356-AAA0-74D820B00D6D}"/>
    <cellStyle name="Normal 4 2 2 3 2 3 6 3" xfId="15211" xr:uid="{A91094D0-1C7E-4034-8100-A7D743A1ABA1}"/>
    <cellStyle name="Normal 4 2 2 3 2 3 6 4" xfId="24461" xr:uid="{C0D58F75-5F48-4CAC-9DA3-299B942A4A32}"/>
    <cellStyle name="Normal 4 2 2 3 2 3 6 5" xfId="11000" xr:uid="{3BC54390-1668-498F-8E02-E479DA48E372}"/>
    <cellStyle name="Normal 4 2 2 3 2 3 7" xfId="4724" xr:uid="{00000000-0005-0000-0000-00002F120000}"/>
    <cellStyle name="Normal 4 2 2 3 2 3 7 2" xfId="17357" xr:uid="{CCF677F2-734B-4EBC-91B7-1E7F7134C997}"/>
    <cellStyle name="Normal 4 2 2 3 2 3 8" xfId="21567" xr:uid="{6908D164-6663-4832-B363-4C4642763B10}"/>
    <cellStyle name="Normal 4 2 2 3 2 3 9" xfId="13146" xr:uid="{FFC638FD-8B4C-4D13-A7D3-10D63F623F5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9912" xr:uid="{854CD750-A852-44D3-911E-01FF5DA4B052}"/>
    <cellStyle name="Normal 4 2 2 3 2 4 2 3" xfId="15701" xr:uid="{88FEF5E1-F568-4349-9664-92173565B8ED}"/>
    <cellStyle name="Normal 4 2 2 3 2 4 2 4" xfId="24951" xr:uid="{74F064E7-198D-4B70-A2A6-0A03FF86B483}"/>
    <cellStyle name="Normal 4 2 2 3 2 4 2 5" xfId="11490" xr:uid="{F37F806B-6750-48E3-8F10-C3D7B8B59926}"/>
    <cellStyle name="Normal 4 2 2 3 2 4 3" xfId="5134" xr:uid="{00000000-0005-0000-0000-000033120000}"/>
    <cellStyle name="Normal 4 2 2 3 2 4 3 2" xfId="17767" xr:uid="{A8A75E93-BF75-432A-BA90-27273A7C2309}"/>
    <cellStyle name="Normal 4 2 2 3 2 4 4" xfId="21979" xr:uid="{0A8E4FA1-70F0-4A90-8A25-7DA723C16D53}"/>
    <cellStyle name="Normal 4 2 2 3 2 4 5" xfId="13556" xr:uid="{836AED76-F6F9-4175-AA0C-221B3C6EC15F}"/>
    <cellStyle name="Normal 4 2 2 3 2 4 6" xfId="22806" xr:uid="{2078D4A1-E93F-460A-9B15-4E92DF7B6011}"/>
    <cellStyle name="Normal 4 2 2 3 2 4 7" xfId="9345" xr:uid="{FF89D155-7B04-410A-8A21-E28D2E559623}"/>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20325" xr:uid="{BA266B41-646D-4C44-A072-3297F3108FE6}"/>
    <cellStyle name="Normal 4 2 2 3 2 5 2 3" xfId="16114" xr:uid="{C06112DE-F5E2-43C6-8078-E84DF8F34D70}"/>
    <cellStyle name="Normal 4 2 2 3 2 5 2 4" xfId="25364" xr:uid="{A55C2BDA-BD4F-4B2D-B67A-D68EB43156CC}"/>
    <cellStyle name="Normal 4 2 2 3 2 5 2 5" xfId="11903" xr:uid="{C38C559C-9AEA-44DF-9F47-76C0468E3490}"/>
    <cellStyle name="Normal 4 2 2 3 2 5 3" xfId="5547" xr:uid="{00000000-0005-0000-0000-000037120000}"/>
    <cellStyle name="Normal 4 2 2 3 2 5 3 2" xfId="18180" xr:uid="{0B3C187D-563D-4439-A750-0C8BCB425C5B}"/>
    <cellStyle name="Normal 4 2 2 3 2 5 4" xfId="13969" xr:uid="{66E24498-7308-43F8-9077-5D19304A0D23}"/>
    <cellStyle name="Normal 4 2 2 3 2 5 5" xfId="23219" xr:uid="{A856BAAB-45B3-4774-9955-CECC314F3A84}"/>
    <cellStyle name="Normal 4 2 2 3 2 5 6" xfId="9758" xr:uid="{7CF64897-2F66-4CE5-91DD-E8B75F145E12}"/>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20738" xr:uid="{5739D9CD-EC0C-4DF7-84E1-1ED3559F9EFD}"/>
    <cellStyle name="Normal 4 2 2 3 2 6 2 3" xfId="16527" xr:uid="{36C049F1-0BC7-4D15-8D97-06D5D0D83625}"/>
    <cellStyle name="Normal 4 2 2 3 2 6 2 4" xfId="25777" xr:uid="{A82E520A-BABB-4063-8C74-CAB659CAF216}"/>
    <cellStyle name="Normal 4 2 2 3 2 6 2 5" xfId="12316" xr:uid="{0482BCE0-1BAC-4352-893B-28FCD642EC5E}"/>
    <cellStyle name="Normal 4 2 2 3 2 6 3" xfId="5960" xr:uid="{00000000-0005-0000-0000-00003B120000}"/>
    <cellStyle name="Normal 4 2 2 3 2 6 3 2" xfId="18593" xr:uid="{B04C79AF-291E-42C3-B71D-0530D913F574}"/>
    <cellStyle name="Normal 4 2 2 3 2 6 4" xfId="14382" xr:uid="{9CFFD364-FDF7-465F-8F0C-742D4D9403C0}"/>
    <cellStyle name="Normal 4 2 2 3 2 6 5" xfId="23632" xr:uid="{76EE8BC2-A133-4466-B15A-D69021574C53}"/>
    <cellStyle name="Normal 4 2 2 3 2 6 6" xfId="10171" xr:uid="{0BAD7874-8776-4DE6-8E99-436CC7A25B17}"/>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21151" xr:uid="{6599E08D-57C5-4AAC-B96B-70FD70A2653E}"/>
    <cellStyle name="Normal 4 2 2 3 2 7 2 3" xfId="16940" xr:uid="{8E1AD27B-A3DE-4A60-B03E-D0841E914B67}"/>
    <cellStyle name="Normal 4 2 2 3 2 7 2 4" xfId="26190" xr:uid="{4F9E880B-32B8-41BE-88F1-47700E7E96EE}"/>
    <cellStyle name="Normal 4 2 2 3 2 7 2 5" xfId="12729" xr:uid="{3784EE65-6256-4A4F-9534-81153AE89317}"/>
    <cellStyle name="Normal 4 2 2 3 2 7 3" xfId="6373" xr:uid="{00000000-0005-0000-0000-00003F120000}"/>
    <cellStyle name="Normal 4 2 2 3 2 7 3 2" xfId="19006" xr:uid="{CDCD672F-0615-47F6-8D96-81965459D28C}"/>
    <cellStyle name="Normal 4 2 2 3 2 7 4" xfId="14795" xr:uid="{08A24E56-5C1B-453A-B2B8-55880B4098DF}"/>
    <cellStyle name="Normal 4 2 2 3 2 7 5" xfId="24045" xr:uid="{6F47D059-4A7F-4A10-BEFF-9A0704A178D4}"/>
    <cellStyle name="Normal 4 2 2 3 2 7 6" xfId="10584" xr:uid="{219D748A-235A-469D-AE62-725DEFC66BDC}"/>
    <cellStyle name="Normal 4 2 2 3 2 8" xfId="2501" xr:uid="{00000000-0005-0000-0000-000040120000}"/>
    <cellStyle name="Normal 4 2 2 3 2 8 2" xfId="6786" xr:uid="{00000000-0005-0000-0000-000041120000}"/>
    <cellStyle name="Normal 4 2 2 3 2 8 2 2" xfId="19419" xr:uid="{1741A457-6108-40E1-864A-37A622564199}"/>
    <cellStyle name="Normal 4 2 2 3 2 8 3" xfId="15208" xr:uid="{B771C92B-0B1D-4A1A-BA56-9B827F600E37}"/>
    <cellStyle name="Normal 4 2 2 3 2 8 4" xfId="24458" xr:uid="{19238C61-0128-448C-8098-F85D4416E8FE}"/>
    <cellStyle name="Normal 4 2 2 3 2 8 5" xfId="10997" xr:uid="{8E7FB2F6-538E-42BA-8C87-F56B19461F2F}"/>
    <cellStyle name="Normal 4 2 2 3 2 9" xfId="4721" xr:uid="{00000000-0005-0000-0000-000042120000}"/>
    <cellStyle name="Normal 4 2 2 3 2 9 2" xfId="17354" xr:uid="{0D73A196-395F-4B11-803B-B44DCAE6A75C}"/>
    <cellStyle name="Normal 4 2 2 3 3" xfId="344" xr:uid="{00000000-0005-0000-0000-000043120000}"/>
    <cellStyle name="Normal 4 2 2 3 3 10" xfId="13147" xr:uid="{E41403D8-892A-4ABD-9643-D4A56A6158F5}"/>
    <cellStyle name="Normal 4 2 2 3 3 11" xfId="22397" xr:uid="{1B220169-C6AB-4058-B95B-A26ADD6ED49E}"/>
    <cellStyle name="Normal 4 2 2 3 3 12" xfId="8936" xr:uid="{44926CD0-7315-443E-822A-3319CA65C92A}"/>
    <cellStyle name="Normal 4 2 2 3 3 2" xfId="345" xr:uid="{00000000-0005-0000-0000-000044120000}"/>
    <cellStyle name="Normal 4 2 2 3 3 2 10" xfId="22398" xr:uid="{722B06FF-A6FA-4646-B6DD-8E5A2734CEC0}"/>
    <cellStyle name="Normal 4 2 2 3 3 2 11" xfId="8937" xr:uid="{D37626CF-ACBA-4130-9354-9BBC18259AAA}"/>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9917" xr:uid="{8949C6D2-700B-4DBA-952B-DF96214EB851}"/>
    <cellStyle name="Normal 4 2 2 3 3 2 2 2 3" xfId="15706" xr:uid="{C98CF1DB-D7A5-487C-A9B5-B5373EDE50EA}"/>
    <cellStyle name="Normal 4 2 2 3 3 2 2 2 4" xfId="24956" xr:uid="{4DB2E2E9-9AF2-4756-A4AB-E46F4FAD0A55}"/>
    <cellStyle name="Normal 4 2 2 3 3 2 2 2 5" xfId="11495" xr:uid="{B27FA387-50D4-4201-A11A-3E660E5CC825}"/>
    <cellStyle name="Normal 4 2 2 3 3 2 2 3" xfId="5139" xr:uid="{00000000-0005-0000-0000-000048120000}"/>
    <cellStyle name="Normal 4 2 2 3 3 2 2 3 2" xfId="17772" xr:uid="{609B9876-0D72-4781-BED4-1F09CADBD3FB}"/>
    <cellStyle name="Normal 4 2 2 3 3 2 2 4" xfId="21984" xr:uid="{91E770B9-BB1B-4820-B807-4BFDC436B19B}"/>
    <cellStyle name="Normal 4 2 2 3 3 2 2 5" xfId="13561" xr:uid="{868A1767-C28E-4E93-B0D2-EE8A317EA02A}"/>
    <cellStyle name="Normal 4 2 2 3 3 2 2 6" xfId="22811" xr:uid="{B5C9BAA6-C126-4EF9-9B30-9D1CE231AE4C}"/>
    <cellStyle name="Normal 4 2 2 3 3 2 2 7" xfId="9350" xr:uid="{12F97C71-0914-41EA-8FF2-428B6229A31C}"/>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20330" xr:uid="{CC6DE13E-3844-46A2-8721-D1A32BEA6A2F}"/>
    <cellStyle name="Normal 4 2 2 3 3 2 3 2 3" xfId="16119" xr:uid="{CEF6E451-1695-42A6-A46D-82037F6B5098}"/>
    <cellStyle name="Normal 4 2 2 3 3 2 3 2 4" xfId="25369" xr:uid="{E1E30681-76FB-4209-8345-9EB65112063F}"/>
    <cellStyle name="Normal 4 2 2 3 3 2 3 2 5" xfId="11908" xr:uid="{9844EF98-C147-47A7-8F26-15F6A379FBB3}"/>
    <cellStyle name="Normal 4 2 2 3 3 2 3 3" xfId="5552" xr:uid="{00000000-0005-0000-0000-00004C120000}"/>
    <cellStyle name="Normal 4 2 2 3 3 2 3 3 2" xfId="18185" xr:uid="{BCA9ED45-DA6E-470B-8ABA-241357BAFC4F}"/>
    <cellStyle name="Normal 4 2 2 3 3 2 3 4" xfId="13974" xr:uid="{4A0E79CA-9E87-41B4-89E3-B4566FB40C0B}"/>
    <cellStyle name="Normal 4 2 2 3 3 2 3 5" xfId="23224" xr:uid="{3E8EBA1B-FDD9-4A83-8B59-E322F984006C}"/>
    <cellStyle name="Normal 4 2 2 3 3 2 3 6" xfId="9763" xr:uid="{37EF63B3-129D-4940-AF7B-440140851B18}"/>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20743" xr:uid="{CD760573-CDCA-4CA5-BC79-16D847B63732}"/>
    <cellStyle name="Normal 4 2 2 3 3 2 4 2 3" xfId="16532" xr:uid="{480CBFAB-138F-4EC7-BFAC-5BF380D6713D}"/>
    <cellStyle name="Normal 4 2 2 3 3 2 4 2 4" xfId="25782" xr:uid="{20A4A97A-B77C-43FC-8754-0E5FA6B63DB9}"/>
    <cellStyle name="Normal 4 2 2 3 3 2 4 2 5" xfId="12321" xr:uid="{9F34708B-96D2-4EC2-886F-03BAA3F6C88B}"/>
    <cellStyle name="Normal 4 2 2 3 3 2 4 3" xfId="5965" xr:uid="{00000000-0005-0000-0000-000050120000}"/>
    <cellStyle name="Normal 4 2 2 3 3 2 4 3 2" xfId="18598" xr:uid="{46407BD4-4080-4FBB-AFE2-C0B6669D2714}"/>
    <cellStyle name="Normal 4 2 2 3 3 2 4 4" xfId="14387" xr:uid="{BF51FB0C-E23B-4D8C-8AF7-32E709B362C7}"/>
    <cellStyle name="Normal 4 2 2 3 3 2 4 5" xfId="23637" xr:uid="{93065FB2-1630-4E6A-AFFD-DFFAC0BB18C9}"/>
    <cellStyle name="Normal 4 2 2 3 3 2 4 6" xfId="10176" xr:uid="{1297B2AD-B99D-4C57-918A-A668F4B3AF05}"/>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21156" xr:uid="{D75F603C-2B36-4547-A8D5-9EE627DFA3A1}"/>
    <cellStyle name="Normal 4 2 2 3 3 2 5 2 3" xfId="16945" xr:uid="{AA17E2EE-3A71-4F09-9B58-DF524522C9AE}"/>
    <cellStyle name="Normal 4 2 2 3 3 2 5 2 4" xfId="26195" xr:uid="{2A117140-1F7F-4053-BD70-7214FF8FA7B5}"/>
    <cellStyle name="Normal 4 2 2 3 3 2 5 2 5" xfId="12734" xr:uid="{BF7BEE5C-FD47-4E7A-8A0A-A1B9E4C456B7}"/>
    <cellStyle name="Normal 4 2 2 3 3 2 5 3" xfId="6378" xr:uid="{00000000-0005-0000-0000-000054120000}"/>
    <cellStyle name="Normal 4 2 2 3 3 2 5 3 2" xfId="19011" xr:uid="{E23A0B84-C56D-4E9B-81E3-07ABA54DFC88}"/>
    <cellStyle name="Normal 4 2 2 3 3 2 5 4" xfId="14800" xr:uid="{F486CE36-4E60-4B9B-9F0F-A2B974635EB8}"/>
    <cellStyle name="Normal 4 2 2 3 3 2 5 5" xfId="24050" xr:uid="{6AFF093F-53BF-413F-9FC7-293685A89502}"/>
    <cellStyle name="Normal 4 2 2 3 3 2 5 6" xfId="10589" xr:uid="{099F2156-D334-47BB-94BD-8155C167176C}"/>
    <cellStyle name="Normal 4 2 2 3 3 2 6" xfId="2506" xr:uid="{00000000-0005-0000-0000-000055120000}"/>
    <cellStyle name="Normal 4 2 2 3 3 2 6 2" xfId="6791" xr:uid="{00000000-0005-0000-0000-000056120000}"/>
    <cellStyle name="Normal 4 2 2 3 3 2 6 2 2" xfId="19424" xr:uid="{A3A468CF-6DAD-40D6-A144-771FB78D8A21}"/>
    <cellStyle name="Normal 4 2 2 3 3 2 6 3" xfId="15213" xr:uid="{D562A291-D18B-48FB-8255-B1A2A2F73398}"/>
    <cellStyle name="Normal 4 2 2 3 3 2 6 4" xfId="24463" xr:uid="{926CDDA8-CAD8-4CB8-ACF8-459FC5209D4D}"/>
    <cellStyle name="Normal 4 2 2 3 3 2 6 5" xfId="11002" xr:uid="{66CA63CC-DE30-4569-877B-D2837E58C976}"/>
    <cellStyle name="Normal 4 2 2 3 3 2 7" xfId="4726" xr:uid="{00000000-0005-0000-0000-000057120000}"/>
    <cellStyle name="Normal 4 2 2 3 3 2 7 2" xfId="17359" xr:uid="{A4CA2FB4-387E-4EAD-AF61-CF423F7759B7}"/>
    <cellStyle name="Normal 4 2 2 3 3 2 8" xfId="21569" xr:uid="{8ACDED30-460E-44C3-989B-21C5130C1DE6}"/>
    <cellStyle name="Normal 4 2 2 3 3 2 9" xfId="13148" xr:uid="{E82042FD-A524-49BA-BA43-3CA64E75A9BE}"/>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9916" xr:uid="{8F868E73-FA01-4D36-9E66-0D007B90CECE}"/>
    <cellStyle name="Normal 4 2 2 3 3 3 2 3" xfId="15705" xr:uid="{F7002D3C-2E59-4280-8FC7-765896C661CC}"/>
    <cellStyle name="Normal 4 2 2 3 3 3 2 4" xfId="24955" xr:uid="{0018A7E5-980D-4FFA-A370-CD61EAD9FC6E}"/>
    <cellStyle name="Normal 4 2 2 3 3 3 2 5" xfId="11494" xr:uid="{22BC36C8-5C1E-46A0-B4D0-1CED4563DCC3}"/>
    <cellStyle name="Normal 4 2 2 3 3 3 3" xfId="5138" xr:uid="{00000000-0005-0000-0000-00005B120000}"/>
    <cellStyle name="Normal 4 2 2 3 3 3 3 2" xfId="17771" xr:uid="{141F1038-9049-44E6-A32F-9AB2DB039110}"/>
    <cellStyle name="Normal 4 2 2 3 3 3 4" xfId="21983" xr:uid="{269A1635-3023-4EA7-9A82-135B98DE0306}"/>
    <cellStyle name="Normal 4 2 2 3 3 3 5" xfId="13560" xr:uid="{F43B025B-FC46-4B51-BC9D-14BE48A6493F}"/>
    <cellStyle name="Normal 4 2 2 3 3 3 6" xfId="22810" xr:uid="{3C987035-8A97-40D6-8BF7-B9213C8AE34B}"/>
    <cellStyle name="Normal 4 2 2 3 3 3 7" xfId="9349" xr:uid="{0711B7FE-88DA-4469-B655-7A187E722694}"/>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20329" xr:uid="{9A11D526-4737-46AE-AA56-871CAA2CACD3}"/>
    <cellStyle name="Normal 4 2 2 3 3 4 2 3" xfId="16118" xr:uid="{27B5AA5B-A6BA-4B48-85B0-2AD49E95B039}"/>
    <cellStyle name="Normal 4 2 2 3 3 4 2 4" xfId="25368" xr:uid="{BCB9F673-BFE4-473F-B2E9-EF2EB0B62E1C}"/>
    <cellStyle name="Normal 4 2 2 3 3 4 2 5" xfId="11907" xr:uid="{3B6036D6-DD03-49BE-8B28-560BFF3F1EC8}"/>
    <cellStyle name="Normal 4 2 2 3 3 4 3" xfId="5551" xr:uid="{00000000-0005-0000-0000-00005F120000}"/>
    <cellStyle name="Normal 4 2 2 3 3 4 3 2" xfId="18184" xr:uid="{8C571F17-6BE9-4717-9EE9-3016C7F18854}"/>
    <cellStyle name="Normal 4 2 2 3 3 4 4" xfId="13973" xr:uid="{F038767D-0A8F-47F3-8929-D61976DFC4AA}"/>
    <cellStyle name="Normal 4 2 2 3 3 4 5" xfId="23223" xr:uid="{0B21A58C-DAC3-4A51-AD79-A4F242BDA0CA}"/>
    <cellStyle name="Normal 4 2 2 3 3 4 6" xfId="9762" xr:uid="{165D4771-9488-4602-B31C-0F14433E2023}"/>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20742" xr:uid="{61A2DE70-570D-46E4-86BC-6399EEC74784}"/>
    <cellStyle name="Normal 4 2 2 3 3 5 2 3" xfId="16531" xr:uid="{388DEBE5-862D-4A67-967D-A294D745C2FE}"/>
    <cellStyle name="Normal 4 2 2 3 3 5 2 4" xfId="25781" xr:uid="{D06A4724-5296-4369-B938-955ABA0621F3}"/>
    <cellStyle name="Normal 4 2 2 3 3 5 2 5" xfId="12320" xr:uid="{195E2CAD-BE38-41B2-AE84-65EC1E44B3E8}"/>
    <cellStyle name="Normal 4 2 2 3 3 5 3" xfId="5964" xr:uid="{00000000-0005-0000-0000-000063120000}"/>
    <cellStyle name="Normal 4 2 2 3 3 5 3 2" xfId="18597" xr:uid="{65AF95AA-BE03-4161-B389-E311B6948873}"/>
    <cellStyle name="Normal 4 2 2 3 3 5 4" xfId="14386" xr:uid="{BE4BD2D0-DD70-44B8-B8DC-CBA147AF5CCD}"/>
    <cellStyle name="Normal 4 2 2 3 3 5 5" xfId="23636" xr:uid="{772529C2-9B08-472D-9EA0-7B0C0DD8DF9C}"/>
    <cellStyle name="Normal 4 2 2 3 3 5 6" xfId="10175" xr:uid="{73AE886F-02AA-4CB4-8FB9-1CC78AC8C1A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21155" xr:uid="{E27764FC-B946-4D66-8F2D-C50F3D115607}"/>
    <cellStyle name="Normal 4 2 2 3 3 6 2 3" xfId="16944" xr:uid="{B799AD56-7621-4828-B54C-FBF518BA197D}"/>
    <cellStyle name="Normal 4 2 2 3 3 6 2 4" xfId="26194" xr:uid="{4A3F82D2-EBA2-4155-BD36-B3793DA7036F}"/>
    <cellStyle name="Normal 4 2 2 3 3 6 2 5" xfId="12733" xr:uid="{1294E764-551E-462C-8F37-65786A89EE21}"/>
    <cellStyle name="Normal 4 2 2 3 3 6 3" xfId="6377" xr:uid="{00000000-0005-0000-0000-000067120000}"/>
    <cellStyle name="Normal 4 2 2 3 3 6 3 2" xfId="19010" xr:uid="{897D4BD6-1041-425A-AC93-7347713B5708}"/>
    <cellStyle name="Normal 4 2 2 3 3 6 4" xfId="14799" xr:uid="{BB35CB93-E828-41BD-A039-9D1D9BEC0DC8}"/>
    <cellStyle name="Normal 4 2 2 3 3 6 5" xfId="24049" xr:uid="{F4883B6B-2A9B-45DD-8D2F-0F652457F984}"/>
    <cellStyle name="Normal 4 2 2 3 3 6 6" xfId="10588" xr:uid="{70E8E2ED-484B-44C6-AE30-4F57787C5477}"/>
    <cellStyle name="Normal 4 2 2 3 3 7" xfId="2505" xr:uid="{00000000-0005-0000-0000-000068120000}"/>
    <cellStyle name="Normal 4 2 2 3 3 7 2" xfId="6790" xr:uid="{00000000-0005-0000-0000-000069120000}"/>
    <cellStyle name="Normal 4 2 2 3 3 7 2 2" xfId="19423" xr:uid="{790C2AE4-48F1-415F-B5A3-37E7970B7374}"/>
    <cellStyle name="Normal 4 2 2 3 3 7 3" xfId="15212" xr:uid="{E694D78F-1C54-4524-9FBD-C2A79B32FB01}"/>
    <cellStyle name="Normal 4 2 2 3 3 7 4" xfId="24462" xr:uid="{C0A28008-D273-495C-81A7-7E0B8029C0C5}"/>
    <cellStyle name="Normal 4 2 2 3 3 7 5" xfId="11001" xr:uid="{8CE8C81D-5BF4-4173-8321-B28E42D9E945}"/>
    <cellStyle name="Normal 4 2 2 3 3 8" xfId="4725" xr:uid="{00000000-0005-0000-0000-00006A120000}"/>
    <cellStyle name="Normal 4 2 2 3 3 8 2" xfId="17358" xr:uid="{3EB8BF7C-0118-436F-A5AF-20EAC3479ED2}"/>
    <cellStyle name="Normal 4 2 2 3 3 9" xfId="21568" xr:uid="{EC639F14-6EF9-462E-B713-EE8616537CB1}"/>
    <cellStyle name="Normal 4 2 2 3 4" xfId="346" xr:uid="{00000000-0005-0000-0000-00006B120000}"/>
    <cellStyle name="Normal 4 2 2 3 4 10" xfId="22399" xr:uid="{167F4D60-46F0-46B0-AAC0-DFCEAD4E1CBC}"/>
    <cellStyle name="Normal 4 2 2 3 4 11" xfId="8938" xr:uid="{FC645678-DBEB-4A8A-8797-DE98D7D2CC8E}"/>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9918" xr:uid="{807084A7-DC9F-40CA-BF1B-4E30CABDF3E4}"/>
    <cellStyle name="Normal 4 2 2 3 4 2 2 3" xfId="15707" xr:uid="{83AE62DE-9414-473F-82CC-90C4BA436EEB}"/>
    <cellStyle name="Normal 4 2 2 3 4 2 2 4" xfId="24957" xr:uid="{26F7ED8E-E5F4-46DD-B5F9-063B196B2B21}"/>
    <cellStyle name="Normal 4 2 2 3 4 2 2 5" xfId="11496" xr:uid="{F850FEE8-F481-465D-92BD-AC6D3B58D175}"/>
    <cellStyle name="Normal 4 2 2 3 4 2 3" xfId="5140" xr:uid="{00000000-0005-0000-0000-00006F120000}"/>
    <cellStyle name="Normal 4 2 2 3 4 2 3 2" xfId="17773" xr:uid="{48877C50-A132-4B12-8295-6FCF51EE71A4}"/>
    <cellStyle name="Normal 4 2 2 3 4 2 4" xfId="21985" xr:uid="{FF8CD72B-66D6-4B32-8533-3DA157E0E5FA}"/>
    <cellStyle name="Normal 4 2 2 3 4 2 5" xfId="13562" xr:uid="{2CA6D46D-34CA-454B-BFE0-727B9BC0D8E9}"/>
    <cellStyle name="Normal 4 2 2 3 4 2 6" xfId="22812" xr:uid="{BD010AD3-CF29-4503-8AE3-B564514E217B}"/>
    <cellStyle name="Normal 4 2 2 3 4 2 7" xfId="9351" xr:uid="{BC19FBBE-34CE-4A3F-A4AA-68E7910B2B81}"/>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20331" xr:uid="{FF889947-4F43-4B86-A1DF-66CFF6B07931}"/>
    <cellStyle name="Normal 4 2 2 3 4 3 2 3" xfId="16120" xr:uid="{E1FEA1C4-4E4F-47C1-88D4-60D244C7CD48}"/>
    <cellStyle name="Normal 4 2 2 3 4 3 2 4" xfId="25370" xr:uid="{A70BBB28-C135-4273-800E-70D5DD13666E}"/>
    <cellStyle name="Normal 4 2 2 3 4 3 2 5" xfId="11909" xr:uid="{F4FC6AFC-BD94-4B59-8048-0DDD33A07E77}"/>
    <cellStyle name="Normal 4 2 2 3 4 3 3" xfId="5553" xr:uid="{00000000-0005-0000-0000-000073120000}"/>
    <cellStyle name="Normal 4 2 2 3 4 3 3 2" xfId="18186" xr:uid="{2E437C9C-A649-43C4-BA72-99ADDFE97E13}"/>
    <cellStyle name="Normal 4 2 2 3 4 3 4" xfId="13975" xr:uid="{0DDB69C0-668E-49D5-9A82-53CD750708EB}"/>
    <cellStyle name="Normal 4 2 2 3 4 3 5" xfId="23225" xr:uid="{49D2D8AF-48D8-441A-94D1-F013278D3E3E}"/>
    <cellStyle name="Normal 4 2 2 3 4 3 6" xfId="9764" xr:uid="{025FA6EF-3EB0-4C2E-8ED5-6D8E252CAC2F}"/>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20744" xr:uid="{50811FA8-A67E-455A-A2AD-B442C78998EB}"/>
    <cellStyle name="Normal 4 2 2 3 4 4 2 3" xfId="16533" xr:uid="{5CC1B3F0-9F48-4DF4-A4F7-449AD03EB598}"/>
    <cellStyle name="Normal 4 2 2 3 4 4 2 4" xfId="25783" xr:uid="{99F3C040-7CE2-45AC-9BB2-19106FEF9B08}"/>
    <cellStyle name="Normal 4 2 2 3 4 4 2 5" xfId="12322" xr:uid="{71046992-6FE9-4468-9C7D-606D7C7FA501}"/>
    <cellStyle name="Normal 4 2 2 3 4 4 3" xfId="5966" xr:uid="{00000000-0005-0000-0000-000077120000}"/>
    <cellStyle name="Normal 4 2 2 3 4 4 3 2" xfId="18599" xr:uid="{C952E812-E238-480C-A324-B911DAB88C26}"/>
    <cellStyle name="Normal 4 2 2 3 4 4 4" xfId="14388" xr:uid="{2D311CE2-AC42-47C8-8815-D3F86BF244C5}"/>
    <cellStyle name="Normal 4 2 2 3 4 4 5" xfId="23638" xr:uid="{A9511E4C-0FB8-4C15-9BD0-7209558CA6DF}"/>
    <cellStyle name="Normal 4 2 2 3 4 4 6" xfId="10177" xr:uid="{49776C48-425B-4B0D-A123-FB9105035884}"/>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21157" xr:uid="{7B0FA2A4-3C0B-408B-9FD6-166F436C0205}"/>
    <cellStyle name="Normal 4 2 2 3 4 5 2 3" xfId="16946" xr:uid="{837E8BEF-BCEA-4A94-8E00-37D1E5F4FB01}"/>
    <cellStyle name="Normal 4 2 2 3 4 5 2 4" xfId="26196" xr:uid="{9FAAEAC0-8C64-4CAC-8C1A-56FC6CEE2795}"/>
    <cellStyle name="Normal 4 2 2 3 4 5 2 5" xfId="12735" xr:uid="{7DB18A57-E32E-4036-9E26-A2CBB788067A}"/>
    <cellStyle name="Normal 4 2 2 3 4 5 3" xfId="6379" xr:uid="{00000000-0005-0000-0000-00007B120000}"/>
    <cellStyle name="Normal 4 2 2 3 4 5 3 2" xfId="19012" xr:uid="{0F252A41-3F81-4AA6-8DB6-AFB42779C61A}"/>
    <cellStyle name="Normal 4 2 2 3 4 5 4" xfId="14801" xr:uid="{27DEE92D-8C6A-41A0-926A-F996D25C2AC9}"/>
    <cellStyle name="Normal 4 2 2 3 4 5 5" xfId="24051" xr:uid="{D3C9F448-5CBC-4A4C-9884-899CAE0BE94B}"/>
    <cellStyle name="Normal 4 2 2 3 4 5 6" xfId="10590" xr:uid="{E692D849-7B75-4E90-8C29-B16B8A2CA95E}"/>
    <cellStyle name="Normal 4 2 2 3 4 6" xfId="2507" xr:uid="{00000000-0005-0000-0000-00007C120000}"/>
    <cellStyle name="Normal 4 2 2 3 4 6 2" xfId="6792" xr:uid="{00000000-0005-0000-0000-00007D120000}"/>
    <cellStyle name="Normal 4 2 2 3 4 6 2 2" xfId="19425" xr:uid="{C3BC83D5-6AE8-4FCB-982F-3BC9295A1C73}"/>
    <cellStyle name="Normal 4 2 2 3 4 6 3" xfId="15214" xr:uid="{49747AA4-AD52-45D9-9FB3-D45E5DDE27D0}"/>
    <cellStyle name="Normal 4 2 2 3 4 6 4" xfId="24464" xr:uid="{759FF4A3-9428-454F-9853-53E28C048A82}"/>
    <cellStyle name="Normal 4 2 2 3 4 6 5" xfId="11003" xr:uid="{EAB8B2F6-E83A-46A5-8367-2E0DB98326AB}"/>
    <cellStyle name="Normal 4 2 2 3 4 7" xfId="4727" xr:uid="{00000000-0005-0000-0000-00007E120000}"/>
    <cellStyle name="Normal 4 2 2 3 4 7 2" xfId="17360" xr:uid="{06E3A03C-E2CB-459D-A391-9C2D5AA4EC76}"/>
    <cellStyle name="Normal 4 2 2 3 4 8" xfId="21570" xr:uid="{B6D1847D-E505-406C-8E82-0204784A504E}"/>
    <cellStyle name="Normal 4 2 2 3 4 9" xfId="13149" xr:uid="{6A5D7111-AB3C-4A0F-BCA1-ED0A253F8184}"/>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9911" xr:uid="{6534C8BD-8283-4BF1-8428-697FA44F07FB}"/>
    <cellStyle name="Normal 4 2 2 3 5 2 3" xfId="15700" xr:uid="{3F4DAEC9-6EE3-4397-8CAA-33E6EDB16006}"/>
    <cellStyle name="Normal 4 2 2 3 5 2 4" xfId="24950" xr:uid="{43E5A7BD-A95C-4F62-AA27-7E5696E0D80D}"/>
    <cellStyle name="Normal 4 2 2 3 5 2 5" xfId="11489" xr:uid="{121B1D69-33B0-4761-920D-D2F2C80135BA}"/>
    <cellStyle name="Normal 4 2 2 3 5 3" xfId="5133" xr:uid="{00000000-0005-0000-0000-000082120000}"/>
    <cellStyle name="Normal 4 2 2 3 5 3 2" xfId="17766" xr:uid="{9DB1FF25-2FCD-466A-B7A5-E4C8EEC5D52B}"/>
    <cellStyle name="Normal 4 2 2 3 5 4" xfId="21978" xr:uid="{B133B8DA-C3C1-4A38-9090-C7B481C56DD7}"/>
    <cellStyle name="Normal 4 2 2 3 5 5" xfId="13555" xr:uid="{E3D8EE34-7B9D-40AB-9F49-0DA3DC6B736D}"/>
    <cellStyle name="Normal 4 2 2 3 5 6" xfId="22805" xr:uid="{207BBD03-D801-4400-960E-55FEBD576023}"/>
    <cellStyle name="Normal 4 2 2 3 5 7" xfId="9344" xr:uid="{183F7AB5-48CA-43BE-87FC-6A727BD6926F}"/>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20324" xr:uid="{AFDBF826-1F31-4808-84E7-7422F13E7431}"/>
    <cellStyle name="Normal 4 2 2 3 6 2 3" xfId="16113" xr:uid="{CB52E639-5D42-4747-9189-1CFAF7721888}"/>
    <cellStyle name="Normal 4 2 2 3 6 2 4" xfId="25363" xr:uid="{77594994-2DF7-460F-8297-C08C66B6D8E4}"/>
    <cellStyle name="Normal 4 2 2 3 6 2 5" xfId="11902" xr:uid="{A4B6C294-9FBB-42E5-9057-DFD857DAC77A}"/>
    <cellStyle name="Normal 4 2 2 3 6 3" xfId="5546" xr:uid="{00000000-0005-0000-0000-000086120000}"/>
    <cellStyle name="Normal 4 2 2 3 6 3 2" xfId="18179" xr:uid="{012065E9-3DAA-4C50-9663-4FBA322C5CE4}"/>
    <cellStyle name="Normal 4 2 2 3 6 4" xfId="13968" xr:uid="{5EC8FA06-D4EC-45ED-B18E-1F7B5C4D5B51}"/>
    <cellStyle name="Normal 4 2 2 3 6 5" xfId="23218" xr:uid="{07E42486-AAA0-4378-A75E-6844B15D8D16}"/>
    <cellStyle name="Normal 4 2 2 3 6 6" xfId="9757" xr:uid="{2686E0FB-DED0-4F54-9114-1E3362D34CBE}"/>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20737" xr:uid="{FC0A34D0-064C-40DF-8CF0-29A98AF90F9A}"/>
    <cellStyle name="Normal 4 2 2 3 7 2 3" xfId="16526" xr:uid="{66801183-0563-4B42-9345-F73A859D949A}"/>
    <cellStyle name="Normal 4 2 2 3 7 2 4" xfId="25776" xr:uid="{C9C82623-9D2A-4BB5-8A65-0FF418B82CDD}"/>
    <cellStyle name="Normal 4 2 2 3 7 2 5" xfId="12315" xr:uid="{20A4521E-1250-4BAD-8031-295DCEB34ADD}"/>
    <cellStyle name="Normal 4 2 2 3 7 3" xfId="5959" xr:uid="{00000000-0005-0000-0000-00008A120000}"/>
    <cellStyle name="Normal 4 2 2 3 7 3 2" xfId="18592" xr:uid="{D68A21DD-77B4-4043-B6CB-027B7F19E21A}"/>
    <cellStyle name="Normal 4 2 2 3 7 4" xfId="14381" xr:uid="{B0E3818D-17FB-431A-9751-5F1D1DCA9F03}"/>
    <cellStyle name="Normal 4 2 2 3 7 5" xfId="23631" xr:uid="{524D7701-2CE4-48B1-A860-35279EC0CCDC}"/>
    <cellStyle name="Normal 4 2 2 3 7 6" xfId="10170" xr:uid="{7A841329-3DAC-45EB-A34C-7E9EBA2ED68E}"/>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21150" xr:uid="{128DC862-2A62-4FBB-869F-7D86D5124260}"/>
    <cellStyle name="Normal 4 2 2 3 8 2 3" xfId="16939" xr:uid="{F26A1890-89A7-4280-86A7-7474CFF1DB0D}"/>
    <cellStyle name="Normal 4 2 2 3 8 2 4" xfId="26189" xr:uid="{13CE3D2E-1B22-4364-A8D8-EBDC3B0EA38D}"/>
    <cellStyle name="Normal 4 2 2 3 8 2 5" xfId="12728" xr:uid="{84ED221F-C70B-4637-9D79-CD46F97D783F}"/>
    <cellStyle name="Normal 4 2 2 3 8 3" xfId="6372" xr:uid="{00000000-0005-0000-0000-00008E120000}"/>
    <cellStyle name="Normal 4 2 2 3 8 3 2" xfId="19005" xr:uid="{D1CDAAB1-FFC8-4E3C-94D2-9EE84CB22D6B}"/>
    <cellStyle name="Normal 4 2 2 3 8 4" xfId="14794" xr:uid="{53A93659-D35A-4F35-B537-52F32489DCC0}"/>
    <cellStyle name="Normal 4 2 2 3 8 5" xfId="24044" xr:uid="{95132696-115F-4AB5-8879-21ABAD896AAB}"/>
    <cellStyle name="Normal 4 2 2 3 8 6" xfId="10583" xr:uid="{3B0A2479-3EDD-45B5-8261-A04DD3695A6F}"/>
    <cellStyle name="Normal 4 2 2 3 9" xfId="2500" xr:uid="{00000000-0005-0000-0000-00008F120000}"/>
    <cellStyle name="Normal 4 2 2 3 9 2" xfId="6785" xr:uid="{00000000-0005-0000-0000-000090120000}"/>
    <cellStyle name="Normal 4 2 2 3 9 2 2" xfId="19418" xr:uid="{FB431EE9-7CBB-4656-8BDE-B9168A9696E7}"/>
    <cellStyle name="Normal 4 2 2 3 9 3" xfId="15207" xr:uid="{C27562AF-4037-4C76-80A2-E918EBD46C09}"/>
    <cellStyle name="Normal 4 2 2 3 9 4" xfId="24457" xr:uid="{F7E5F906-376D-4DA9-8294-53260E9EB8CB}"/>
    <cellStyle name="Normal 4 2 2 3 9 5" xfId="10996" xr:uid="{765AFC74-217B-4371-8D9B-D453A1487253}"/>
    <cellStyle name="Normal 4 2 2 4" xfId="347" xr:uid="{00000000-0005-0000-0000-000091120000}"/>
    <cellStyle name="Normal 4 2 2 4 10" xfId="21571" xr:uid="{2910388D-36C6-41DA-B767-B12F3C5AF5EB}"/>
    <cellStyle name="Normal 4 2 2 4 11" xfId="13150" xr:uid="{B6A27E1A-1A71-45D1-B802-0952241F9A56}"/>
    <cellStyle name="Normal 4 2 2 4 12" xfId="22400" xr:uid="{8CE65833-A9F8-484E-BE8B-60FF0575E76D}"/>
    <cellStyle name="Normal 4 2 2 4 13" xfId="8939" xr:uid="{44831824-FA57-4F66-9D39-7BD2E577FDE7}"/>
    <cellStyle name="Normal 4 2 2 4 2" xfId="348" xr:uid="{00000000-0005-0000-0000-000092120000}"/>
    <cellStyle name="Normal 4 2 2 4 2 10" xfId="13151" xr:uid="{AEE6412F-B9DB-497A-AD86-AE1F34F7439D}"/>
    <cellStyle name="Normal 4 2 2 4 2 11" xfId="22401" xr:uid="{E5AB2DE5-3C8A-429A-8524-5B31AC388B96}"/>
    <cellStyle name="Normal 4 2 2 4 2 12" xfId="8940" xr:uid="{07665A53-A929-48E1-AC67-CF78A9A19CC9}"/>
    <cellStyle name="Normal 4 2 2 4 2 2" xfId="349" xr:uid="{00000000-0005-0000-0000-000093120000}"/>
    <cellStyle name="Normal 4 2 2 4 2 2 10" xfId="22402" xr:uid="{D7B1F049-072D-4065-9F07-44F4E1B95FC7}"/>
    <cellStyle name="Normal 4 2 2 4 2 2 11" xfId="8941" xr:uid="{359DBB3F-A928-40BB-AE43-6B91555B3BDC}"/>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9921" xr:uid="{58CA4CDD-FD27-447C-B67C-712033203173}"/>
    <cellStyle name="Normal 4 2 2 4 2 2 2 2 3" xfId="15710" xr:uid="{4F56CEAE-7E69-49B9-BA30-300E2971ED5F}"/>
    <cellStyle name="Normal 4 2 2 4 2 2 2 2 4" xfId="24960" xr:uid="{CA20ECC8-E1F8-44B3-BC36-A3D9A16CAB0E}"/>
    <cellStyle name="Normal 4 2 2 4 2 2 2 2 5" xfId="11499" xr:uid="{70A4AF15-F145-4876-BB2E-6B748753BBC5}"/>
    <cellStyle name="Normal 4 2 2 4 2 2 2 3" xfId="5143" xr:uid="{00000000-0005-0000-0000-000097120000}"/>
    <cellStyle name="Normal 4 2 2 4 2 2 2 3 2" xfId="17776" xr:uid="{25676432-3E73-44EB-B763-5DEA661BB3BB}"/>
    <cellStyle name="Normal 4 2 2 4 2 2 2 4" xfId="21988" xr:uid="{372722ED-41CD-4893-9038-F3E8C1C9F896}"/>
    <cellStyle name="Normal 4 2 2 4 2 2 2 5" xfId="13565" xr:uid="{48A51BB9-EC88-40FD-9D4E-7D5650EB0B22}"/>
    <cellStyle name="Normal 4 2 2 4 2 2 2 6" xfId="22815" xr:uid="{D261023C-0210-484E-813D-1D99F00E761A}"/>
    <cellStyle name="Normal 4 2 2 4 2 2 2 7" xfId="9354" xr:uid="{6ABC3853-6194-4698-8E25-C7F1A9AD8598}"/>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20334" xr:uid="{7ED53B07-0D7A-446C-9F21-541E8A48F008}"/>
    <cellStyle name="Normal 4 2 2 4 2 2 3 2 3" xfId="16123" xr:uid="{59001F99-4F79-451A-87D9-8702CC77B187}"/>
    <cellStyle name="Normal 4 2 2 4 2 2 3 2 4" xfId="25373" xr:uid="{3D0E5786-AB0B-4A8A-9347-B4614D853D57}"/>
    <cellStyle name="Normal 4 2 2 4 2 2 3 2 5" xfId="11912" xr:uid="{B76A71D8-2ACF-4014-896C-22721F62F690}"/>
    <cellStyle name="Normal 4 2 2 4 2 2 3 3" xfId="5556" xr:uid="{00000000-0005-0000-0000-00009B120000}"/>
    <cellStyle name="Normal 4 2 2 4 2 2 3 3 2" xfId="18189" xr:uid="{FCA1B4BC-E06D-4F36-8180-89908D0906AE}"/>
    <cellStyle name="Normal 4 2 2 4 2 2 3 4" xfId="13978" xr:uid="{C2659586-FBF4-43D4-B1B7-F4FBAF0E51B6}"/>
    <cellStyle name="Normal 4 2 2 4 2 2 3 5" xfId="23228" xr:uid="{B4DEFC6F-8C13-408E-8C4C-2F528CF0CD1B}"/>
    <cellStyle name="Normal 4 2 2 4 2 2 3 6" xfId="9767" xr:uid="{903DC985-E700-4D85-9B44-A09FEC86BE7D}"/>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20747" xr:uid="{356DA159-885C-4CF7-89D6-1961A5D5F04F}"/>
    <cellStyle name="Normal 4 2 2 4 2 2 4 2 3" xfId="16536" xr:uid="{FF6AA918-6B23-4922-AB56-BC46126F58D8}"/>
    <cellStyle name="Normal 4 2 2 4 2 2 4 2 4" xfId="25786" xr:uid="{D33B1C2E-6586-4BE9-B6A1-6CF8D6B6C040}"/>
    <cellStyle name="Normal 4 2 2 4 2 2 4 2 5" xfId="12325" xr:uid="{250EBE38-EC19-458C-B961-56BCAC04874E}"/>
    <cellStyle name="Normal 4 2 2 4 2 2 4 3" xfId="5969" xr:uid="{00000000-0005-0000-0000-00009F120000}"/>
    <cellStyle name="Normal 4 2 2 4 2 2 4 3 2" xfId="18602" xr:uid="{5262652C-85B9-4EAA-A840-820EFD095507}"/>
    <cellStyle name="Normal 4 2 2 4 2 2 4 4" xfId="14391" xr:uid="{0D38D10A-7B63-48C6-9F9D-E2AE4B3D03CE}"/>
    <cellStyle name="Normal 4 2 2 4 2 2 4 5" xfId="23641" xr:uid="{B256FE86-EC86-476A-A990-2B9197C9D91B}"/>
    <cellStyle name="Normal 4 2 2 4 2 2 4 6" xfId="10180" xr:uid="{BBE7A3C1-0596-44A6-B184-9C1A9C70B182}"/>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21160" xr:uid="{6A8FDAF5-CE72-421B-8E93-98F103EFEF9A}"/>
    <cellStyle name="Normal 4 2 2 4 2 2 5 2 3" xfId="16949" xr:uid="{2F5F9F0C-E7AB-40C9-B8BB-AD69D824B2B7}"/>
    <cellStyle name="Normal 4 2 2 4 2 2 5 2 4" xfId="26199" xr:uid="{552C6B4B-C50D-4E16-93CD-71992601CF5B}"/>
    <cellStyle name="Normal 4 2 2 4 2 2 5 2 5" xfId="12738" xr:uid="{554228E7-9FBA-4963-91D7-BE23B26EDC48}"/>
    <cellStyle name="Normal 4 2 2 4 2 2 5 3" xfId="6382" xr:uid="{00000000-0005-0000-0000-0000A3120000}"/>
    <cellStyle name="Normal 4 2 2 4 2 2 5 3 2" xfId="19015" xr:uid="{736FC300-DD41-412C-842D-4F380926235D}"/>
    <cellStyle name="Normal 4 2 2 4 2 2 5 4" xfId="14804" xr:uid="{8FB0BB0F-1F7E-43CD-8A02-EFE339DE8A0C}"/>
    <cellStyle name="Normal 4 2 2 4 2 2 5 5" xfId="24054" xr:uid="{32E656DB-D04B-4BA6-A69D-08BD056D2DC6}"/>
    <cellStyle name="Normal 4 2 2 4 2 2 5 6" xfId="10593" xr:uid="{200517A6-41AF-470A-BF1B-8D7606C697FA}"/>
    <cellStyle name="Normal 4 2 2 4 2 2 6" xfId="2510" xr:uid="{00000000-0005-0000-0000-0000A4120000}"/>
    <cellStyle name="Normal 4 2 2 4 2 2 6 2" xfId="6795" xr:uid="{00000000-0005-0000-0000-0000A5120000}"/>
    <cellStyle name="Normal 4 2 2 4 2 2 6 2 2" xfId="19428" xr:uid="{4762A42D-E78E-41B0-BA41-420EDF6F0D2A}"/>
    <cellStyle name="Normal 4 2 2 4 2 2 6 3" xfId="15217" xr:uid="{D14453C3-D998-4057-A31C-813418B05A8A}"/>
    <cellStyle name="Normal 4 2 2 4 2 2 6 4" xfId="24467" xr:uid="{4F654666-333C-483A-8E91-CAB15D1C8E34}"/>
    <cellStyle name="Normal 4 2 2 4 2 2 6 5" xfId="11006" xr:uid="{3AA7C3F2-DA9B-4C93-8BD4-F92DD05017D6}"/>
    <cellStyle name="Normal 4 2 2 4 2 2 7" xfId="4730" xr:uid="{00000000-0005-0000-0000-0000A6120000}"/>
    <cellStyle name="Normal 4 2 2 4 2 2 7 2" xfId="17363" xr:uid="{979510E8-B6F4-4544-9ADE-E9CC89A51E91}"/>
    <cellStyle name="Normal 4 2 2 4 2 2 8" xfId="21573" xr:uid="{6E1C7A13-76B8-4650-BC3A-9751B9A7FAC0}"/>
    <cellStyle name="Normal 4 2 2 4 2 2 9" xfId="13152" xr:uid="{AA5A58A4-9A3F-40F7-AA25-AC64B667D55F}"/>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9920" xr:uid="{C56380A7-7C8E-412B-8B16-A1AC2A560D8F}"/>
    <cellStyle name="Normal 4 2 2 4 2 3 2 3" xfId="15709" xr:uid="{AF757511-86B8-4A02-A5E5-B23E6BEC8249}"/>
    <cellStyle name="Normal 4 2 2 4 2 3 2 4" xfId="24959" xr:uid="{52A28A0C-A366-4720-BB11-372A144904C4}"/>
    <cellStyle name="Normal 4 2 2 4 2 3 2 5" xfId="11498" xr:uid="{7E625F70-CB15-48DD-B5BF-4A3357570026}"/>
    <cellStyle name="Normal 4 2 2 4 2 3 3" xfId="5142" xr:uid="{00000000-0005-0000-0000-0000AA120000}"/>
    <cellStyle name="Normal 4 2 2 4 2 3 3 2" xfId="17775" xr:uid="{14093570-54BD-4757-A7C3-B768462FDE95}"/>
    <cellStyle name="Normal 4 2 2 4 2 3 4" xfId="21987" xr:uid="{75AD33A9-9687-40BA-B45F-D2BDA16EC970}"/>
    <cellStyle name="Normal 4 2 2 4 2 3 5" xfId="13564" xr:uid="{A47E9A7C-5B16-43F6-95F2-02E828292668}"/>
    <cellStyle name="Normal 4 2 2 4 2 3 6" xfId="22814" xr:uid="{4AA31D23-02A9-44D6-BE3E-5672A924D225}"/>
    <cellStyle name="Normal 4 2 2 4 2 3 7" xfId="9353" xr:uid="{72B2D0FE-D2FD-49E4-B8AF-E1A318DCDFEC}"/>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20333" xr:uid="{102CFFD6-0C54-4DA8-B173-A843C6ACDBA8}"/>
    <cellStyle name="Normal 4 2 2 4 2 4 2 3" xfId="16122" xr:uid="{0CD98CC7-A5FC-4860-926D-15A5E5F1584D}"/>
    <cellStyle name="Normal 4 2 2 4 2 4 2 4" xfId="25372" xr:uid="{157845F3-4C62-42A8-9C21-AA091E5BFDB6}"/>
    <cellStyle name="Normal 4 2 2 4 2 4 2 5" xfId="11911" xr:uid="{803570A7-01AC-4BF9-BB13-BEA3235DE9D7}"/>
    <cellStyle name="Normal 4 2 2 4 2 4 3" xfId="5555" xr:uid="{00000000-0005-0000-0000-0000AE120000}"/>
    <cellStyle name="Normal 4 2 2 4 2 4 3 2" xfId="18188" xr:uid="{0070D1FC-910F-44C5-9BB7-7CFB64235C41}"/>
    <cellStyle name="Normal 4 2 2 4 2 4 4" xfId="13977" xr:uid="{82FE93EE-DECA-495C-B390-36D91E526500}"/>
    <cellStyle name="Normal 4 2 2 4 2 4 5" xfId="23227" xr:uid="{2DCD51DC-DABF-4BD4-B061-5788C4266A68}"/>
    <cellStyle name="Normal 4 2 2 4 2 4 6" xfId="9766" xr:uid="{031F2F72-AFC2-467A-B865-427D4E24E2F2}"/>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20746" xr:uid="{02ADDC7D-3B25-4883-9892-57C3DFDC0FBE}"/>
    <cellStyle name="Normal 4 2 2 4 2 5 2 3" xfId="16535" xr:uid="{941F8D25-0633-4F32-8A27-7164BD8DE8DE}"/>
    <cellStyle name="Normal 4 2 2 4 2 5 2 4" xfId="25785" xr:uid="{B8FD293C-51B2-4ED8-9004-40A10450299F}"/>
    <cellStyle name="Normal 4 2 2 4 2 5 2 5" xfId="12324" xr:uid="{0BA3ED17-D8B8-4C25-BA71-917E4E0F40A5}"/>
    <cellStyle name="Normal 4 2 2 4 2 5 3" xfId="5968" xr:uid="{00000000-0005-0000-0000-0000B2120000}"/>
    <cellStyle name="Normal 4 2 2 4 2 5 3 2" xfId="18601" xr:uid="{82C13748-4CE5-4115-8008-0BD1571856E9}"/>
    <cellStyle name="Normal 4 2 2 4 2 5 4" xfId="14390" xr:uid="{68FBB2E8-2FD4-4A5A-BC25-C782EE1FF26C}"/>
    <cellStyle name="Normal 4 2 2 4 2 5 5" xfId="23640" xr:uid="{7024DCD8-2E91-4D6B-BAD2-33D63698E323}"/>
    <cellStyle name="Normal 4 2 2 4 2 5 6" xfId="10179" xr:uid="{E2C518ED-09D6-4216-875E-DB9A3A282AF8}"/>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21159" xr:uid="{066B937A-51FC-46E5-9592-0A6D7C5980C9}"/>
    <cellStyle name="Normal 4 2 2 4 2 6 2 3" xfId="16948" xr:uid="{DE64B59F-FCE3-4360-BD90-9495DC33C833}"/>
    <cellStyle name="Normal 4 2 2 4 2 6 2 4" xfId="26198" xr:uid="{F5931B29-B309-4C41-AC4C-B417AC310B79}"/>
    <cellStyle name="Normal 4 2 2 4 2 6 2 5" xfId="12737" xr:uid="{A07A802F-7FD5-4FC5-9631-2AC313746678}"/>
    <cellStyle name="Normal 4 2 2 4 2 6 3" xfId="6381" xr:uid="{00000000-0005-0000-0000-0000B6120000}"/>
    <cellStyle name="Normal 4 2 2 4 2 6 3 2" xfId="19014" xr:uid="{3A748643-226E-4C0C-8F85-B7F7B2ED6DE8}"/>
    <cellStyle name="Normal 4 2 2 4 2 6 4" xfId="14803" xr:uid="{1D76428F-F859-4DF8-81E7-C0047E79A12B}"/>
    <cellStyle name="Normal 4 2 2 4 2 6 5" xfId="24053" xr:uid="{63DE24A7-7B4A-4374-A1D9-E32AA84F76C9}"/>
    <cellStyle name="Normal 4 2 2 4 2 6 6" xfId="10592" xr:uid="{6D99DF29-4B1F-4B0D-B5D9-BFFA3B34E52D}"/>
    <cellStyle name="Normal 4 2 2 4 2 7" xfId="2509" xr:uid="{00000000-0005-0000-0000-0000B7120000}"/>
    <cellStyle name="Normal 4 2 2 4 2 7 2" xfId="6794" xr:uid="{00000000-0005-0000-0000-0000B8120000}"/>
    <cellStyle name="Normal 4 2 2 4 2 7 2 2" xfId="19427" xr:uid="{C55BA069-704C-4C40-BE35-0F65480D2BAA}"/>
    <cellStyle name="Normal 4 2 2 4 2 7 3" xfId="15216" xr:uid="{F570A2C3-4B7A-4B05-A9E6-E1238A2BA561}"/>
    <cellStyle name="Normal 4 2 2 4 2 7 4" xfId="24466" xr:uid="{4DF19EB1-5ED6-4931-A920-85F622BE0DFC}"/>
    <cellStyle name="Normal 4 2 2 4 2 7 5" xfId="11005" xr:uid="{AB33DE83-8CEF-4B64-A188-2C571AA91807}"/>
    <cellStyle name="Normal 4 2 2 4 2 8" xfId="4729" xr:uid="{00000000-0005-0000-0000-0000B9120000}"/>
    <cellStyle name="Normal 4 2 2 4 2 8 2" xfId="17362" xr:uid="{771CB6F8-F073-4BC5-A774-1842682560A9}"/>
    <cellStyle name="Normal 4 2 2 4 2 9" xfId="21572" xr:uid="{2CA6B297-4128-45FB-98A4-06E5351E355E}"/>
    <cellStyle name="Normal 4 2 2 4 3" xfId="350" xr:uid="{00000000-0005-0000-0000-0000BA120000}"/>
    <cellStyle name="Normal 4 2 2 4 3 10" xfId="22403" xr:uid="{95CE14EC-74EB-460B-AA0F-35655C8BF752}"/>
    <cellStyle name="Normal 4 2 2 4 3 11" xfId="8942" xr:uid="{E6ECC15D-FF62-45D7-B185-C027969F745A}"/>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9922" xr:uid="{056B8938-85BF-459F-BE72-8B343F3E19E4}"/>
    <cellStyle name="Normal 4 2 2 4 3 2 2 3" xfId="15711" xr:uid="{8384D211-44FC-4D0D-9CEE-A3576C62094E}"/>
    <cellStyle name="Normal 4 2 2 4 3 2 2 4" xfId="24961" xr:uid="{3A814FEE-DD0F-49A7-A453-C84286BCAD70}"/>
    <cellStyle name="Normal 4 2 2 4 3 2 2 5" xfId="11500" xr:uid="{587469FC-F3CB-4790-8E18-94E69B6F72A1}"/>
    <cellStyle name="Normal 4 2 2 4 3 2 3" xfId="5144" xr:uid="{00000000-0005-0000-0000-0000BE120000}"/>
    <cellStyle name="Normal 4 2 2 4 3 2 3 2" xfId="17777" xr:uid="{3BF746E9-D4EB-4281-A8A2-D454EEC2FA7C}"/>
    <cellStyle name="Normal 4 2 2 4 3 2 4" xfId="21989" xr:uid="{276630E3-3915-4A76-B64B-5D5F99D3F530}"/>
    <cellStyle name="Normal 4 2 2 4 3 2 5" xfId="13566" xr:uid="{9D5F235A-78CC-4E6E-A5AE-88AF7F8146DF}"/>
    <cellStyle name="Normal 4 2 2 4 3 2 6" xfId="22816" xr:uid="{E6DA3DEB-6DD4-4A13-B7C0-0C044808EB16}"/>
    <cellStyle name="Normal 4 2 2 4 3 2 7" xfId="9355" xr:uid="{1A259352-36CC-4775-88D9-46C106D81CBA}"/>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20335" xr:uid="{B013CCC9-2E74-4FDF-B83C-70F7692E56DB}"/>
    <cellStyle name="Normal 4 2 2 4 3 3 2 3" xfId="16124" xr:uid="{5712814C-5237-4134-B739-92792738A226}"/>
    <cellStyle name="Normal 4 2 2 4 3 3 2 4" xfId="25374" xr:uid="{95A5BE18-4838-43C3-A0D3-FCB9F3EB4C32}"/>
    <cellStyle name="Normal 4 2 2 4 3 3 2 5" xfId="11913" xr:uid="{4C58EDAF-356C-42D9-A738-490542486E46}"/>
    <cellStyle name="Normal 4 2 2 4 3 3 3" xfId="5557" xr:uid="{00000000-0005-0000-0000-0000C2120000}"/>
    <cellStyle name="Normal 4 2 2 4 3 3 3 2" xfId="18190" xr:uid="{174B7186-0777-4CA2-B3F7-03570A4CCE94}"/>
    <cellStyle name="Normal 4 2 2 4 3 3 4" xfId="13979" xr:uid="{4DC78E6A-BA89-4CBE-80D9-02C04E91303E}"/>
    <cellStyle name="Normal 4 2 2 4 3 3 5" xfId="23229" xr:uid="{75520FD7-E8DE-4FE0-8100-36381BECCA37}"/>
    <cellStyle name="Normal 4 2 2 4 3 3 6" xfId="9768" xr:uid="{B67B3E6E-2A98-4CFE-A244-926A4E3B7FC4}"/>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20748" xr:uid="{5CB33BD6-88AC-4C74-BC34-74CDC74C6E5C}"/>
    <cellStyle name="Normal 4 2 2 4 3 4 2 3" xfId="16537" xr:uid="{DEBC2282-DDC7-4F7C-B766-04494CE18421}"/>
    <cellStyle name="Normal 4 2 2 4 3 4 2 4" xfId="25787" xr:uid="{0B1533DB-6C0E-4610-9CE4-B8D5F4737754}"/>
    <cellStyle name="Normal 4 2 2 4 3 4 2 5" xfId="12326" xr:uid="{5D88D835-ED30-40A3-98B1-C260C2747C95}"/>
    <cellStyle name="Normal 4 2 2 4 3 4 3" xfId="5970" xr:uid="{00000000-0005-0000-0000-0000C6120000}"/>
    <cellStyle name="Normal 4 2 2 4 3 4 3 2" xfId="18603" xr:uid="{B038FC7B-3F8C-4515-84A3-9B8AFA31FC0B}"/>
    <cellStyle name="Normal 4 2 2 4 3 4 4" xfId="14392" xr:uid="{58D9EFEB-F65C-44FD-A36E-7A87757AD179}"/>
    <cellStyle name="Normal 4 2 2 4 3 4 5" xfId="23642" xr:uid="{07A9A577-21AC-4C5A-8BE9-96FB584C51F8}"/>
    <cellStyle name="Normal 4 2 2 4 3 4 6" xfId="10181" xr:uid="{57BC9CAA-1EF5-4967-81AC-A513F6AE03F1}"/>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21161" xr:uid="{2C0A5590-7931-45B9-8701-4E10FDCCB1BE}"/>
    <cellStyle name="Normal 4 2 2 4 3 5 2 3" xfId="16950" xr:uid="{D32DF824-E8B9-4A8F-9FAB-862DD3FC4A2F}"/>
    <cellStyle name="Normal 4 2 2 4 3 5 2 4" xfId="26200" xr:uid="{DECF07A1-B0AF-490F-8812-ABE92F5DADDD}"/>
    <cellStyle name="Normal 4 2 2 4 3 5 2 5" xfId="12739" xr:uid="{01649D81-A419-4620-882A-A276FBD0C173}"/>
    <cellStyle name="Normal 4 2 2 4 3 5 3" xfId="6383" xr:uid="{00000000-0005-0000-0000-0000CA120000}"/>
    <cellStyle name="Normal 4 2 2 4 3 5 3 2" xfId="19016" xr:uid="{5E84EA93-3CF9-455A-AE84-42D783E0DE44}"/>
    <cellStyle name="Normal 4 2 2 4 3 5 4" xfId="14805" xr:uid="{5C50EDCA-B288-493A-866C-91BD279B1832}"/>
    <cellStyle name="Normal 4 2 2 4 3 5 5" xfId="24055" xr:uid="{50CA0D5F-2E36-4C77-8203-5AB888A4BFFE}"/>
    <cellStyle name="Normal 4 2 2 4 3 5 6" xfId="10594" xr:uid="{6FC580D2-7D51-4312-A226-082AE98DA25F}"/>
    <cellStyle name="Normal 4 2 2 4 3 6" xfId="2511" xr:uid="{00000000-0005-0000-0000-0000CB120000}"/>
    <cellStyle name="Normal 4 2 2 4 3 6 2" xfId="6796" xr:uid="{00000000-0005-0000-0000-0000CC120000}"/>
    <cellStyle name="Normal 4 2 2 4 3 6 2 2" xfId="19429" xr:uid="{516F89B3-4A1E-431B-A0BC-50525AFDD830}"/>
    <cellStyle name="Normal 4 2 2 4 3 6 3" xfId="15218" xr:uid="{5A250776-F8DE-4237-BE69-8EB9125E9423}"/>
    <cellStyle name="Normal 4 2 2 4 3 6 4" xfId="24468" xr:uid="{A98912AF-F371-4F3E-82ED-42DA71802E4C}"/>
    <cellStyle name="Normal 4 2 2 4 3 6 5" xfId="11007" xr:uid="{A65FDE0C-96BD-4029-92D5-E156A73CAFDE}"/>
    <cellStyle name="Normal 4 2 2 4 3 7" xfId="4731" xr:uid="{00000000-0005-0000-0000-0000CD120000}"/>
    <cellStyle name="Normal 4 2 2 4 3 7 2" xfId="17364" xr:uid="{EEE7FDDD-B67D-4544-9D29-941D99839FE2}"/>
    <cellStyle name="Normal 4 2 2 4 3 8" xfId="21574" xr:uid="{0DCE56AF-DAC5-415D-8800-A89E29123E2B}"/>
    <cellStyle name="Normal 4 2 2 4 3 9" xfId="13153" xr:uid="{F5BBB647-4EC8-4230-A68C-F72BC6164629}"/>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9919" xr:uid="{54102D4E-C650-4293-B16F-21E3A3195CF2}"/>
    <cellStyle name="Normal 4 2 2 4 4 2 3" xfId="15708" xr:uid="{33D2B0FC-42CA-4F4A-BE9C-5039DC0160EC}"/>
    <cellStyle name="Normal 4 2 2 4 4 2 4" xfId="24958" xr:uid="{9B6CCE70-E377-4435-B0E4-8AE57718EFAC}"/>
    <cellStyle name="Normal 4 2 2 4 4 2 5" xfId="11497" xr:uid="{1B5D326E-CE1D-42BD-B4D0-FFAE65F49AD3}"/>
    <cellStyle name="Normal 4 2 2 4 4 3" xfId="5141" xr:uid="{00000000-0005-0000-0000-0000D1120000}"/>
    <cellStyle name="Normal 4 2 2 4 4 3 2" xfId="17774" xr:uid="{72186A7C-8019-48ED-AB6F-6C5915C6405A}"/>
    <cellStyle name="Normal 4 2 2 4 4 4" xfId="21986" xr:uid="{5C89C9BC-35FE-4AA3-AA4B-71DE671FD96B}"/>
    <cellStyle name="Normal 4 2 2 4 4 5" xfId="13563" xr:uid="{3AB85B0B-851A-4EE3-8394-74D6EB16720A}"/>
    <cellStyle name="Normal 4 2 2 4 4 6" xfId="22813" xr:uid="{35611B66-BA34-4692-AFDF-8F51EB25BF6D}"/>
    <cellStyle name="Normal 4 2 2 4 4 7" xfId="9352" xr:uid="{7C7F7DB1-8268-4A6A-8D89-C43C22C8A8CD}"/>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20332" xr:uid="{80592446-0D23-43D1-8E66-84715BAA82A2}"/>
    <cellStyle name="Normal 4 2 2 4 5 2 3" xfId="16121" xr:uid="{C86A5649-9191-4852-BC67-3E97A5E92885}"/>
    <cellStyle name="Normal 4 2 2 4 5 2 4" xfId="25371" xr:uid="{39929088-2488-40F3-B05B-9AD13D549BF1}"/>
    <cellStyle name="Normal 4 2 2 4 5 2 5" xfId="11910" xr:uid="{98244866-1BF3-4979-AAAB-BB017C04F01D}"/>
    <cellStyle name="Normal 4 2 2 4 5 3" xfId="5554" xr:uid="{00000000-0005-0000-0000-0000D5120000}"/>
    <cellStyle name="Normal 4 2 2 4 5 3 2" xfId="18187" xr:uid="{4855ACFF-BF30-486B-9A48-333DD9EA5D64}"/>
    <cellStyle name="Normal 4 2 2 4 5 4" xfId="13976" xr:uid="{83197DE1-8EA3-4850-9628-5449A9969373}"/>
    <cellStyle name="Normal 4 2 2 4 5 5" xfId="23226" xr:uid="{40A1957A-162D-489A-A8CA-ECCD9726A578}"/>
    <cellStyle name="Normal 4 2 2 4 5 6" xfId="9765" xr:uid="{B16F89C3-A26F-4C60-B4FC-B1AE0DBAE1C6}"/>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20745" xr:uid="{AE1BB3BC-5307-4ABC-89ED-EA38AA713A77}"/>
    <cellStyle name="Normal 4 2 2 4 6 2 3" xfId="16534" xr:uid="{F7FCA313-51B8-462D-AD53-83AD0D9EF7D5}"/>
    <cellStyle name="Normal 4 2 2 4 6 2 4" xfId="25784" xr:uid="{1721C842-06A7-4A18-BF1A-3FB47EE26885}"/>
    <cellStyle name="Normal 4 2 2 4 6 2 5" xfId="12323" xr:uid="{247EABD6-34DA-49C3-9F49-F2C857FF3D87}"/>
    <cellStyle name="Normal 4 2 2 4 6 3" xfId="5967" xr:uid="{00000000-0005-0000-0000-0000D9120000}"/>
    <cellStyle name="Normal 4 2 2 4 6 3 2" xfId="18600" xr:uid="{5392AEAE-1199-4A5E-822E-1C3D244B140F}"/>
    <cellStyle name="Normal 4 2 2 4 6 4" xfId="14389" xr:uid="{0A50C089-300B-4EE2-A671-9018FA180558}"/>
    <cellStyle name="Normal 4 2 2 4 6 5" xfId="23639" xr:uid="{AEFFA6E6-0892-473C-A262-E14D889A863A}"/>
    <cellStyle name="Normal 4 2 2 4 6 6" xfId="10178" xr:uid="{AD5464DF-D7DC-497D-9EDE-BBF7917DFF74}"/>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21158" xr:uid="{A8A50D62-9B6C-4B4B-B13D-F4C5E2A1596D}"/>
    <cellStyle name="Normal 4 2 2 4 7 2 3" xfId="16947" xr:uid="{D7F9243D-232F-4B33-8EB0-D63366F20CC2}"/>
    <cellStyle name="Normal 4 2 2 4 7 2 4" xfId="26197" xr:uid="{F4D18A02-E3D6-419A-A193-3761BCB1F19D}"/>
    <cellStyle name="Normal 4 2 2 4 7 2 5" xfId="12736" xr:uid="{465BE44E-05FA-4516-929D-5A883E0B6BFA}"/>
    <cellStyle name="Normal 4 2 2 4 7 3" xfId="6380" xr:uid="{00000000-0005-0000-0000-0000DD120000}"/>
    <cellStyle name="Normal 4 2 2 4 7 3 2" xfId="19013" xr:uid="{692B1DAA-7E0A-4D21-B8EA-D06AB9AB34E2}"/>
    <cellStyle name="Normal 4 2 2 4 7 4" xfId="14802" xr:uid="{16ED1A26-75E1-4D4B-83FB-107BD11ADC92}"/>
    <cellStyle name="Normal 4 2 2 4 7 5" xfId="24052" xr:uid="{842DA3E9-129B-471C-B14F-67DAC9217542}"/>
    <cellStyle name="Normal 4 2 2 4 7 6" xfId="10591" xr:uid="{A54E199C-36EB-4A2B-BB32-9EF42220E2A8}"/>
    <cellStyle name="Normal 4 2 2 4 8" xfId="2508" xr:uid="{00000000-0005-0000-0000-0000DE120000}"/>
    <cellStyle name="Normal 4 2 2 4 8 2" xfId="6793" xr:uid="{00000000-0005-0000-0000-0000DF120000}"/>
    <cellStyle name="Normal 4 2 2 4 8 2 2" xfId="19426" xr:uid="{E2D728B2-F530-45B6-8D95-F3797B1AC87F}"/>
    <cellStyle name="Normal 4 2 2 4 8 3" xfId="15215" xr:uid="{FC24E9A3-3829-407A-96D7-DFD1296536B6}"/>
    <cellStyle name="Normal 4 2 2 4 8 4" xfId="24465" xr:uid="{403CE8CC-CA5B-472F-ADAB-998F784BF6D4}"/>
    <cellStyle name="Normal 4 2 2 4 8 5" xfId="11004" xr:uid="{63F6A0FE-431F-4EA6-A253-7CC8439B66F3}"/>
    <cellStyle name="Normal 4 2 2 4 9" xfId="4728" xr:uid="{00000000-0005-0000-0000-0000E0120000}"/>
    <cellStyle name="Normal 4 2 2 4 9 2" xfId="17361" xr:uid="{4DC94AAA-4133-4F64-A4BA-4EE5F9F4464D}"/>
    <cellStyle name="Normal 4 2 2 5" xfId="351" xr:uid="{00000000-0005-0000-0000-0000E1120000}"/>
    <cellStyle name="Normal 4 2 2 5 10" xfId="13154" xr:uid="{0B213FE0-1ABF-4174-890F-02C559832A16}"/>
    <cellStyle name="Normal 4 2 2 5 11" xfId="22404" xr:uid="{65C2FAD3-5E28-44A5-BD0B-605DB46D3687}"/>
    <cellStyle name="Normal 4 2 2 5 12" xfId="8943" xr:uid="{E664E889-8291-4FF0-930E-EA37BF773E2B}"/>
    <cellStyle name="Normal 4 2 2 5 2" xfId="352" xr:uid="{00000000-0005-0000-0000-0000E2120000}"/>
    <cellStyle name="Normal 4 2 2 5 2 10" xfId="22405" xr:uid="{C893C9C5-6FF7-43F8-A9F3-12E414EAC258}"/>
    <cellStyle name="Normal 4 2 2 5 2 11" xfId="8944" xr:uid="{D6FCEAF8-ECC8-4403-9C5C-6F0EB5CB3346}"/>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9924" xr:uid="{26860673-FB56-4B3E-90D6-0B891DFB273D}"/>
    <cellStyle name="Normal 4 2 2 5 2 2 2 3" xfId="15713" xr:uid="{144F932D-E5EE-4A70-9FD8-FBDDE02C4628}"/>
    <cellStyle name="Normal 4 2 2 5 2 2 2 4" xfId="24963" xr:uid="{58AC6796-6D44-4F24-B559-9AA806F4C10F}"/>
    <cellStyle name="Normal 4 2 2 5 2 2 2 5" xfId="11502" xr:uid="{863EBFC5-CFF6-452B-A3DA-1ECBAFF90B01}"/>
    <cellStyle name="Normal 4 2 2 5 2 2 3" xfId="5146" xr:uid="{00000000-0005-0000-0000-0000E6120000}"/>
    <cellStyle name="Normal 4 2 2 5 2 2 3 2" xfId="17779" xr:uid="{82A58697-73A0-4A80-81A3-DB889BD23C1D}"/>
    <cellStyle name="Normal 4 2 2 5 2 2 4" xfId="21991" xr:uid="{B2FAEF0B-9AEC-4B22-A91D-09A31F626895}"/>
    <cellStyle name="Normal 4 2 2 5 2 2 5" xfId="13568" xr:uid="{C483D602-6713-46D1-A222-1182F904FDB2}"/>
    <cellStyle name="Normal 4 2 2 5 2 2 6" xfId="22818" xr:uid="{B20F7980-F56F-4D6A-99EC-307A05015506}"/>
    <cellStyle name="Normal 4 2 2 5 2 2 7" xfId="9357" xr:uid="{ABA50AC2-B4FA-4321-A7CA-DA39D75D7F1B}"/>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20337" xr:uid="{242DF950-CAD4-4FAF-AC06-DD7B702683BA}"/>
    <cellStyle name="Normal 4 2 2 5 2 3 2 3" xfId="16126" xr:uid="{BF9D3554-AB4C-4675-85C5-F5A0642F06AE}"/>
    <cellStyle name="Normal 4 2 2 5 2 3 2 4" xfId="25376" xr:uid="{796B5FE0-C925-4942-A9F7-E5CF6AA13DE6}"/>
    <cellStyle name="Normal 4 2 2 5 2 3 2 5" xfId="11915" xr:uid="{64D0471A-1079-4876-B7A5-71896D640BE3}"/>
    <cellStyle name="Normal 4 2 2 5 2 3 3" xfId="5559" xr:uid="{00000000-0005-0000-0000-0000EA120000}"/>
    <cellStyle name="Normal 4 2 2 5 2 3 3 2" xfId="18192" xr:uid="{EE201349-A105-401E-81B8-377AA27EBEF0}"/>
    <cellStyle name="Normal 4 2 2 5 2 3 4" xfId="13981" xr:uid="{4E598F8E-1DA6-4797-AA43-BB788D939B2C}"/>
    <cellStyle name="Normal 4 2 2 5 2 3 5" xfId="23231" xr:uid="{48041F52-1B76-4C3E-A42D-9B05FEFAD9EB}"/>
    <cellStyle name="Normal 4 2 2 5 2 3 6" xfId="9770" xr:uid="{45A56CBF-1837-409D-8CE2-B5072AE4643A}"/>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20750" xr:uid="{D2B18CA7-8D3E-4A09-9018-8A388C0DB51E}"/>
    <cellStyle name="Normal 4 2 2 5 2 4 2 3" xfId="16539" xr:uid="{0CAE6E66-407F-49A2-AAB0-CE3FCAF95825}"/>
    <cellStyle name="Normal 4 2 2 5 2 4 2 4" xfId="25789" xr:uid="{2B7B59C6-7174-4783-9505-C5B75AD8D718}"/>
    <cellStyle name="Normal 4 2 2 5 2 4 2 5" xfId="12328" xr:uid="{49259878-0A66-4D66-BE77-1E24685E1324}"/>
    <cellStyle name="Normal 4 2 2 5 2 4 3" xfId="5972" xr:uid="{00000000-0005-0000-0000-0000EE120000}"/>
    <cellStyle name="Normal 4 2 2 5 2 4 3 2" xfId="18605" xr:uid="{E880C14C-72E4-41EC-A8F7-92A952456C85}"/>
    <cellStyle name="Normal 4 2 2 5 2 4 4" xfId="14394" xr:uid="{421E0AE1-63D2-4215-B756-A9C3EBEBFBF0}"/>
    <cellStyle name="Normal 4 2 2 5 2 4 5" xfId="23644" xr:uid="{E7C4E549-0868-4A6E-95A5-9D5C87A9F949}"/>
    <cellStyle name="Normal 4 2 2 5 2 4 6" xfId="10183" xr:uid="{906C8396-2D05-4C87-B914-FE994A590749}"/>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21163" xr:uid="{EDC40761-84EA-4685-97F9-65B6F09C7FE6}"/>
    <cellStyle name="Normal 4 2 2 5 2 5 2 3" xfId="16952" xr:uid="{DA9C6A7C-437A-4C8D-BF54-8C54DB2DA48C}"/>
    <cellStyle name="Normal 4 2 2 5 2 5 2 4" xfId="26202" xr:uid="{866543BE-35AC-41A0-9C8B-AEB4BC3D8395}"/>
    <cellStyle name="Normal 4 2 2 5 2 5 2 5" xfId="12741" xr:uid="{11FA633E-5842-4AAE-AC7F-E597BC3518E9}"/>
    <cellStyle name="Normal 4 2 2 5 2 5 3" xfId="6385" xr:uid="{00000000-0005-0000-0000-0000F2120000}"/>
    <cellStyle name="Normal 4 2 2 5 2 5 3 2" xfId="19018" xr:uid="{95454687-B101-4630-BD87-09E955BF2D12}"/>
    <cellStyle name="Normal 4 2 2 5 2 5 4" xfId="14807" xr:uid="{825C88B5-4532-4B5E-BDDF-89EACF3E0367}"/>
    <cellStyle name="Normal 4 2 2 5 2 5 5" xfId="24057" xr:uid="{EBB3486A-E36A-47EB-8456-B5B07A8666D4}"/>
    <cellStyle name="Normal 4 2 2 5 2 5 6" xfId="10596" xr:uid="{F4E15769-3C4A-44D7-8B1A-380C4B114E13}"/>
    <cellStyle name="Normal 4 2 2 5 2 6" xfId="2513" xr:uid="{00000000-0005-0000-0000-0000F3120000}"/>
    <cellStyle name="Normal 4 2 2 5 2 6 2" xfId="6798" xr:uid="{00000000-0005-0000-0000-0000F4120000}"/>
    <cellStyle name="Normal 4 2 2 5 2 6 2 2" xfId="19431" xr:uid="{316056BE-431E-4CE9-8862-96CAFC2F1052}"/>
    <cellStyle name="Normal 4 2 2 5 2 6 3" xfId="15220" xr:uid="{4F02FB4B-E898-4FA5-BCD3-21AD3C02A4F4}"/>
    <cellStyle name="Normal 4 2 2 5 2 6 4" xfId="24470" xr:uid="{3F04A7FF-64B7-48B2-905E-716AFDCAA902}"/>
    <cellStyle name="Normal 4 2 2 5 2 6 5" xfId="11009" xr:uid="{88B82122-8D53-49CE-B130-BC889010F53C}"/>
    <cellStyle name="Normal 4 2 2 5 2 7" xfId="4733" xr:uid="{00000000-0005-0000-0000-0000F5120000}"/>
    <cellStyle name="Normal 4 2 2 5 2 7 2" xfId="17366" xr:uid="{AD77EB7E-2356-4A7F-A3BA-12B3429AEE2B}"/>
    <cellStyle name="Normal 4 2 2 5 2 8" xfId="21576" xr:uid="{B0C2085E-DA18-435F-A126-67FF5F9FB964}"/>
    <cellStyle name="Normal 4 2 2 5 2 9" xfId="13155" xr:uid="{D877113E-2CA5-47ED-A442-AC8BEC074542}"/>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9923" xr:uid="{22C8F1D3-EA65-42E3-A5DE-FFE38872D5C3}"/>
    <cellStyle name="Normal 4 2 2 5 3 2 3" xfId="15712" xr:uid="{ECCB8792-CBE5-4DE4-A2B2-6E96ECFB6FAC}"/>
    <cellStyle name="Normal 4 2 2 5 3 2 4" xfId="24962" xr:uid="{DF29D614-358A-4BCD-9DC0-B52C9872106E}"/>
    <cellStyle name="Normal 4 2 2 5 3 2 5" xfId="11501" xr:uid="{63F20178-122C-4802-9B1A-8D3DD68DC879}"/>
    <cellStyle name="Normal 4 2 2 5 3 3" xfId="5145" xr:uid="{00000000-0005-0000-0000-0000F9120000}"/>
    <cellStyle name="Normal 4 2 2 5 3 3 2" xfId="17778" xr:uid="{A78B9677-91BD-4FB8-8E51-247D3CC187CC}"/>
    <cellStyle name="Normal 4 2 2 5 3 4" xfId="21990" xr:uid="{0F5748FC-2F80-463E-80D9-C0C1FEF9A847}"/>
    <cellStyle name="Normal 4 2 2 5 3 5" xfId="13567" xr:uid="{BB1E539C-17B1-4ED2-8E09-D3AA9289524B}"/>
    <cellStyle name="Normal 4 2 2 5 3 6" xfId="22817" xr:uid="{52552247-92D6-44AB-BBDC-E3AF85AED255}"/>
    <cellStyle name="Normal 4 2 2 5 3 7" xfId="9356" xr:uid="{2C9A30C4-A42A-40DC-9FA8-60A9C7E0A494}"/>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20336" xr:uid="{2733ACA4-332B-4EFC-A6F5-F7A1C8DB4B50}"/>
    <cellStyle name="Normal 4 2 2 5 4 2 3" xfId="16125" xr:uid="{4A629B15-944A-4B1C-9E66-7D6017DB0B65}"/>
    <cellStyle name="Normal 4 2 2 5 4 2 4" xfId="25375" xr:uid="{EAB8EFBF-8E71-4205-A89C-8B92050F0CAB}"/>
    <cellStyle name="Normal 4 2 2 5 4 2 5" xfId="11914" xr:uid="{43CD75A1-4DDC-400B-8B26-F7FD9DEB2D1A}"/>
    <cellStyle name="Normal 4 2 2 5 4 3" xfId="5558" xr:uid="{00000000-0005-0000-0000-0000FD120000}"/>
    <cellStyle name="Normal 4 2 2 5 4 3 2" xfId="18191" xr:uid="{1FFE8431-CB20-425D-9422-6C2BA8658A62}"/>
    <cellStyle name="Normal 4 2 2 5 4 4" xfId="13980" xr:uid="{F0D0DC29-C37B-47E7-84C1-AACE1E805699}"/>
    <cellStyle name="Normal 4 2 2 5 4 5" xfId="23230" xr:uid="{23570D0A-90D8-4D09-839F-8EC613D5BB4D}"/>
    <cellStyle name="Normal 4 2 2 5 4 6" xfId="9769" xr:uid="{9091BA2D-189D-44A2-9486-8A59B43748E4}"/>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20749" xr:uid="{5B3853E2-89F2-462D-A3C9-73C719151BA0}"/>
    <cellStyle name="Normal 4 2 2 5 5 2 3" xfId="16538" xr:uid="{343E8700-B052-4654-B36A-CB61F412C91C}"/>
    <cellStyle name="Normal 4 2 2 5 5 2 4" xfId="25788" xr:uid="{4122E3DF-2F61-4FCE-A43C-397ED95D67BC}"/>
    <cellStyle name="Normal 4 2 2 5 5 2 5" xfId="12327" xr:uid="{E11EC57D-9492-4278-9BAF-77EA16EA30C8}"/>
    <cellStyle name="Normal 4 2 2 5 5 3" xfId="5971" xr:uid="{00000000-0005-0000-0000-000001130000}"/>
    <cellStyle name="Normal 4 2 2 5 5 3 2" xfId="18604" xr:uid="{E0E75323-6D7E-4A09-A5FE-F155E608AB5B}"/>
    <cellStyle name="Normal 4 2 2 5 5 4" xfId="14393" xr:uid="{F89CA12B-C822-4BA0-975B-44C49CFFF296}"/>
    <cellStyle name="Normal 4 2 2 5 5 5" xfId="23643" xr:uid="{4D24053B-97BD-44EB-9E61-18B11352BBDB}"/>
    <cellStyle name="Normal 4 2 2 5 5 6" xfId="10182" xr:uid="{6DC2E4DB-1168-4D62-9E0C-D9BB77053899}"/>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21162" xr:uid="{F61ABFAE-3588-42C0-8B7C-054D94E0EB11}"/>
    <cellStyle name="Normal 4 2 2 5 6 2 3" xfId="16951" xr:uid="{48944DD7-AC43-4A10-ADD3-C182D137E5DE}"/>
    <cellStyle name="Normal 4 2 2 5 6 2 4" xfId="26201" xr:uid="{FDA767C6-2159-4C72-BB37-179B8E0F4A04}"/>
    <cellStyle name="Normal 4 2 2 5 6 2 5" xfId="12740" xr:uid="{D93771A4-F6BF-4A2B-B6B0-38B12E1B4401}"/>
    <cellStyle name="Normal 4 2 2 5 6 3" xfId="6384" xr:uid="{00000000-0005-0000-0000-000005130000}"/>
    <cellStyle name="Normal 4 2 2 5 6 3 2" xfId="19017" xr:uid="{CFC14E1D-D503-499F-B877-3302D2A1066E}"/>
    <cellStyle name="Normal 4 2 2 5 6 4" xfId="14806" xr:uid="{347DEC42-5F06-479A-9675-EC5196ADEA5E}"/>
    <cellStyle name="Normal 4 2 2 5 6 5" xfId="24056" xr:uid="{241B07B6-1F80-4E0C-90A8-21A182A316DF}"/>
    <cellStyle name="Normal 4 2 2 5 6 6" xfId="10595" xr:uid="{BE633EB8-5AF5-4360-ADED-395A78BEDE86}"/>
    <cellStyle name="Normal 4 2 2 5 7" xfId="2512" xr:uid="{00000000-0005-0000-0000-000006130000}"/>
    <cellStyle name="Normal 4 2 2 5 7 2" xfId="6797" xr:uid="{00000000-0005-0000-0000-000007130000}"/>
    <cellStyle name="Normal 4 2 2 5 7 2 2" xfId="19430" xr:uid="{F0E0814D-5396-4B2E-8A77-74C24FFEAE39}"/>
    <cellStyle name="Normal 4 2 2 5 7 3" xfId="15219" xr:uid="{10DBEC91-85F1-4BC8-AFCC-EBF8E331A14E}"/>
    <cellStyle name="Normal 4 2 2 5 7 4" xfId="24469" xr:uid="{F77A9EB1-B418-4969-AFF6-C386BF36658A}"/>
    <cellStyle name="Normal 4 2 2 5 7 5" xfId="11008" xr:uid="{522E1042-659B-4839-A676-64FD9C9CF4C5}"/>
    <cellStyle name="Normal 4 2 2 5 8" xfId="4732" xr:uid="{00000000-0005-0000-0000-000008130000}"/>
    <cellStyle name="Normal 4 2 2 5 8 2" xfId="17365" xr:uid="{113F768E-2F1A-40DD-9C9A-C8F493A3154D}"/>
    <cellStyle name="Normal 4 2 2 5 9" xfId="21575" xr:uid="{561559D4-AA43-460A-B562-610A4E051930}"/>
    <cellStyle name="Normal 4 2 2 6" xfId="353" xr:uid="{00000000-0005-0000-0000-000009130000}"/>
    <cellStyle name="Normal 4 2 2 6 10" xfId="22406" xr:uid="{264CD739-EBA7-478D-99EC-D6754268A292}"/>
    <cellStyle name="Normal 4 2 2 6 11" xfId="8945" xr:uid="{F228DF84-F276-416D-8050-CFE42F20F9D6}"/>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9925" xr:uid="{4A66632A-6C17-410E-9634-A7393A612460}"/>
    <cellStyle name="Normal 4 2 2 6 2 2 3" xfId="15714" xr:uid="{33826B64-B783-448E-9469-0953515A81A6}"/>
    <cellStyle name="Normal 4 2 2 6 2 2 4" xfId="24964" xr:uid="{4BF8BDD5-56C9-4769-B6CB-2052E71E94EB}"/>
    <cellStyle name="Normal 4 2 2 6 2 2 5" xfId="11503" xr:uid="{70C28C8F-75F7-4E56-AB8E-0CE0EDDD3C5F}"/>
    <cellStyle name="Normal 4 2 2 6 2 3" xfId="5147" xr:uid="{00000000-0005-0000-0000-00000D130000}"/>
    <cellStyle name="Normal 4 2 2 6 2 3 2" xfId="17780" xr:uid="{3B572CF9-3BB7-4A44-979F-D4D788AB6BA6}"/>
    <cellStyle name="Normal 4 2 2 6 2 4" xfId="21992" xr:uid="{774D9929-D059-4594-9DAF-FEDF59F6E83F}"/>
    <cellStyle name="Normal 4 2 2 6 2 5" xfId="13569" xr:uid="{6F44CDCB-D1EA-41F4-B453-9B8C90E3D3C1}"/>
    <cellStyle name="Normal 4 2 2 6 2 6" xfId="22819" xr:uid="{EBD03557-781D-46A1-BF4E-A909FADCD3AF}"/>
    <cellStyle name="Normal 4 2 2 6 2 7" xfId="9358" xr:uid="{E0CEE3A1-78BE-416A-86F7-55D0CC8CBC81}"/>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20338" xr:uid="{E77E0103-9EFD-4421-BDE7-E0758B4A5DFC}"/>
    <cellStyle name="Normal 4 2 2 6 3 2 3" xfId="16127" xr:uid="{A170129C-B492-4F45-ADF3-5EBF6F2DCC6D}"/>
    <cellStyle name="Normal 4 2 2 6 3 2 4" xfId="25377" xr:uid="{19587A94-1478-4536-8B4E-3C2F69A0A9CE}"/>
    <cellStyle name="Normal 4 2 2 6 3 2 5" xfId="11916" xr:uid="{42ECF7AE-CF3B-4F76-9917-00BF15F020DC}"/>
    <cellStyle name="Normal 4 2 2 6 3 3" xfId="5560" xr:uid="{00000000-0005-0000-0000-000011130000}"/>
    <cellStyle name="Normal 4 2 2 6 3 3 2" xfId="18193" xr:uid="{7A0C0EF5-E738-4881-829A-B340875A25F8}"/>
    <cellStyle name="Normal 4 2 2 6 3 4" xfId="13982" xr:uid="{3E79F292-9FF9-4FEA-8E33-5254C4031022}"/>
    <cellStyle name="Normal 4 2 2 6 3 5" xfId="23232" xr:uid="{9D9BBAE9-97E2-47AA-A3C1-76671812A794}"/>
    <cellStyle name="Normal 4 2 2 6 3 6" xfId="9771" xr:uid="{9F6101CA-EB4F-46E8-BDD8-7254514BBA05}"/>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20751" xr:uid="{82CA9860-9B79-49C8-BA66-F60C53D2D22A}"/>
    <cellStyle name="Normal 4 2 2 6 4 2 3" xfId="16540" xr:uid="{A49EE884-0CAA-47AA-9E5D-3E52F5D72001}"/>
    <cellStyle name="Normal 4 2 2 6 4 2 4" xfId="25790" xr:uid="{3CE76A2A-8147-4CAC-B5FA-C069BD1C2F9F}"/>
    <cellStyle name="Normal 4 2 2 6 4 2 5" xfId="12329" xr:uid="{81E203EE-C5C8-477A-ABE2-96C4C2BA1E47}"/>
    <cellStyle name="Normal 4 2 2 6 4 3" xfId="5973" xr:uid="{00000000-0005-0000-0000-000015130000}"/>
    <cellStyle name="Normal 4 2 2 6 4 3 2" xfId="18606" xr:uid="{ECFD559D-B979-4B90-BA7F-73C41A704E73}"/>
    <cellStyle name="Normal 4 2 2 6 4 4" xfId="14395" xr:uid="{23D36C4A-6A6D-4278-8515-C3A76CB8C1E9}"/>
    <cellStyle name="Normal 4 2 2 6 4 5" xfId="23645" xr:uid="{1F397FB8-9C72-49DB-A9F8-26D774FD5444}"/>
    <cellStyle name="Normal 4 2 2 6 4 6" xfId="10184" xr:uid="{AD3BE76F-DBA7-4893-BA64-0AE16060870B}"/>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21164" xr:uid="{23F04E3C-0D97-4DF9-962E-390FC3829DA1}"/>
    <cellStyle name="Normal 4 2 2 6 5 2 3" xfId="16953" xr:uid="{E4AF9119-53A6-4DED-96AE-F5562323CC46}"/>
    <cellStyle name="Normal 4 2 2 6 5 2 4" xfId="26203" xr:uid="{0CD42821-A151-4D93-BD16-CC42DFFCFBCF}"/>
    <cellStyle name="Normal 4 2 2 6 5 2 5" xfId="12742" xr:uid="{2480AD4C-8041-4DF8-BD2D-F1678D765DDF}"/>
    <cellStyle name="Normal 4 2 2 6 5 3" xfId="6386" xr:uid="{00000000-0005-0000-0000-000019130000}"/>
    <cellStyle name="Normal 4 2 2 6 5 3 2" xfId="19019" xr:uid="{0DCDD323-2019-4386-A14E-49EC74498A12}"/>
    <cellStyle name="Normal 4 2 2 6 5 4" xfId="14808" xr:uid="{1CA123E4-5FA8-441B-99CF-7CDA19F17FF3}"/>
    <cellStyle name="Normal 4 2 2 6 5 5" xfId="24058" xr:uid="{17CA40D2-CC40-4FA5-9128-7DF15156F60D}"/>
    <cellStyle name="Normal 4 2 2 6 5 6" xfId="10597" xr:uid="{C21C3AD0-27BA-44AE-8083-52B2DF987CEF}"/>
    <cellStyle name="Normal 4 2 2 6 6" xfId="2514" xr:uid="{00000000-0005-0000-0000-00001A130000}"/>
    <cellStyle name="Normal 4 2 2 6 6 2" xfId="6799" xr:uid="{00000000-0005-0000-0000-00001B130000}"/>
    <cellStyle name="Normal 4 2 2 6 6 2 2" xfId="19432" xr:uid="{D688951B-934C-43B3-AC76-C2AF4475A941}"/>
    <cellStyle name="Normal 4 2 2 6 6 3" xfId="15221" xr:uid="{372B095B-B8EC-4C31-B465-6ED702D4BE06}"/>
    <cellStyle name="Normal 4 2 2 6 6 4" xfId="24471" xr:uid="{6C9B904D-8A8A-4C72-8A6F-DE7F449C443A}"/>
    <cellStyle name="Normal 4 2 2 6 6 5" xfId="11010" xr:uid="{E9EC3518-9085-44CA-A483-D401C0531B58}"/>
    <cellStyle name="Normal 4 2 2 6 7" xfId="4734" xr:uid="{00000000-0005-0000-0000-00001C130000}"/>
    <cellStyle name="Normal 4 2 2 6 7 2" xfId="17367" xr:uid="{557CC1B4-73BD-4C0B-90DB-06C066E56F4E}"/>
    <cellStyle name="Normal 4 2 2 6 8" xfId="21577" xr:uid="{6C336E6D-9ED2-4967-851A-5A02607C0886}"/>
    <cellStyle name="Normal 4 2 2 6 9" xfId="13156" xr:uid="{3B2EF968-E7FD-4397-8BBA-CFB169DA5065}"/>
    <cellStyle name="Normal 4 2 2 7" xfId="816" xr:uid="{00000000-0005-0000-0000-00001D130000}"/>
    <cellStyle name="Normal 4 2 2 7 2" xfId="3053" xr:uid="{00000000-0005-0000-0000-00001E130000}"/>
    <cellStyle name="Normal 4 2 2 7 2 2" xfId="7277" xr:uid="{00000000-0005-0000-0000-00001F130000}"/>
    <cellStyle name="Normal 4 2 2 7 2 2 2" xfId="19910" xr:uid="{A7B295CB-6270-47A4-993E-57B5CE66D446}"/>
    <cellStyle name="Normal 4 2 2 7 2 3" xfId="15699" xr:uid="{BD743A1E-513F-4818-AD54-AC64B726148C}"/>
    <cellStyle name="Normal 4 2 2 7 2 4" xfId="24949" xr:uid="{9901A812-0D90-4AA2-960E-C3E6084AD9E6}"/>
    <cellStyle name="Normal 4 2 2 7 2 5" xfId="11488" xr:uid="{E8D39DAB-928D-4E5B-8765-95086811DBD1}"/>
    <cellStyle name="Normal 4 2 2 7 3" xfId="5132" xr:uid="{00000000-0005-0000-0000-000020130000}"/>
    <cellStyle name="Normal 4 2 2 7 3 2" xfId="17765" xr:uid="{496B4E09-F896-4608-9226-FAB41361200A}"/>
    <cellStyle name="Normal 4 2 2 7 4" xfId="21977" xr:uid="{A6FA8758-BB29-4857-A3C6-377633E2227D}"/>
    <cellStyle name="Normal 4 2 2 7 5" xfId="13554" xr:uid="{D98B8597-C9C0-4641-9210-F220C68C5E8C}"/>
    <cellStyle name="Normal 4 2 2 7 6" xfId="22804" xr:uid="{008A698D-8A66-4CF5-B2C5-D0D384D8D795}"/>
    <cellStyle name="Normal 4 2 2 7 7" xfId="9343" xr:uid="{6BF2CAAB-EC55-4C42-9EBE-8C90DDE5783F}"/>
    <cellStyle name="Normal 4 2 2 8" xfId="1236" xr:uid="{00000000-0005-0000-0000-000021130000}"/>
    <cellStyle name="Normal 4 2 2 8 2" xfId="3466" xr:uid="{00000000-0005-0000-0000-000022130000}"/>
    <cellStyle name="Normal 4 2 2 8 2 2" xfId="7690" xr:uid="{00000000-0005-0000-0000-000023130000}"/>
    <cellStyle name="Normal 4 2 2 8 2 2 2" xfId="20323" xr:uid="{2B7BD6A2-4F50-44FC-A1E0-34BCAAE2EAE7}"/>
    <cellStyle name="Normal 4 2 2 8 2 3" xfId="16112" xr:uid="{034C4233-E7D9-4063-8409-E00A4381D88C}"/>
    <cellStyle name="Normal 4 2 2 8 2 4" xfId="25362" xr:uid="{D16E95DF-2E1A-4ACC-932E-506AE18EBB25}"/>
    <cellStyle name="Normal 4 2 2 8 2 5" xfId="11901" xr:uid="{BBC37843-4827-465B-BDFD-10DB0384B6E7}"/>
    <cellStyle name="Normal 4 2 2 8 3" xfId="5545" xr:uid="{00000000-0005-0000-0000-000024130000}"/>
    <cellStyle name="Normal 4 2 2 8 3 2" xfId="18178" xr:uid="{DC0A47F3-30F2-442B-87F4-0B39701E91DD}"/>
    <cellStyle name="Normal 4 2 2 8 4" xfId="13967" xr:uid="{9B85A3F1-2244-4F9C-9F1C-AC9CF0239DDA}"/>
    <cellStyle name="Normal 4 2 2 8 5" xfId="23217" xr:uid="{D1C74DE9-DAB1-4F0E-985B-0D895F73595C}"/>
    <cellStyle name="Normal 4 2 2 8 6" xfId="9756" xr:uid="{1A61B4AE-D847-41E2-A154-973850B2486B}"/>
    <cellStyle name="Normal 4 2 2 9" xfId="1649" xr:uid="{00000000-0005-0000-0000-000025130000}"/>
    <cellStyle name="Normal 4 2 2 9 2" xfId="3879" xr:uid="{00000000-0005-0000-0000-000026130000}"/>
    <cellStyle name="Normal 4 2 2 9 2 2" xfId="8103" xr:uid="{00000000-0005-0000-0000-000027130000}"/>
    <cellStyle name="Normal 4 2 2 9 2 2 2" xfId="20736" xr:uid="{2422F422-31CA-4619-93A8-327FF340E305}"/>
    <cellStyle name="Normal 4 2 2 9 2 3" xfId="16525" xr:uid="{BE324597-96D0-4BE4-95C4-B02CA4A5DF31}"/>
    <cellStyle name="Normal 4 2 2 9 2 4" xfId="25775" xr:uid="{D56CFFCA-C77F-4871-87C3-1FC8407C72B0}"/>
    <cellStyle name="Normal 4 2 2 9 2 5" xfId="12314" xr:uid="{6B05368C-C28A-4C0F-8743-781B5B299FFB}"/>
    <cellStyle name="Normal 4 2 2 9 3" xfId="5958" xr:uid="{00000000-0005-0000-0000-000028130000}"/>
    <cellStyle name="Normal 4 2 2 9 3 2" xfId="18591" xr:uid="{2CCC098B-6C35-4181-AD9F-549E1CF5B631}"/>
    <cellStyle name="Normal 4 2 2 9 4" xfId="14380" xr:uid="{AED637D0-4C9F-4A78-B0DE-A4AA6D32898A}"/>
    <cellStyle name="Normal 4 2 2 9 5" xfId="23630" xr:uid="{8BE10E72-1984-45EB-845D-F2FCBB342EC4}"/>
    <cellStyle name="Normal 4 2 2 9 6" xfId="10169" xr:uid="{8601CAFE-1EA6-4A46-8523-34837D1C9A07}"/>
    <cellStyle name="Normal 4 2 3" xfId="354" xr:uid="{00000000-0005-0000-0000-000029130000}"/>
    <cellStyle name="Normal 4 2 4" xfId="355" xr:uid="{00000000-0005-0000-0000-00002A130000}"/>
    <cellStyle name="Normal 4 2 4 10" xfId="4735" xr:uid="{00000000-0005-0000-0000-00002B130000}"/>
    <cellStyle name="Normal 4 2 4 10 2" xfId="17368" xr:uid="{4683BD32-8858-487C-A91F-87EAEAB45788}"/>
    <cellStyle name="Normal 4 2 4 11" xfId="21578" xr:uid="{D1A6F211-EB9C-493B-96AD-913846315680}"/>
    <cellStyle name="Normal 4 2 4 12" xfId="13157" xr:uid="{305F0E60-6859-4405-A685-1730B219A449}"/>
    <cellStyle name="Normal 4 2 4 13" xfId="22407" xr:uid="{D0ADFAB1-2D51-45C1-AF7D-DE4F265A9F78}"/>
    <cellStyle name="Normal 4 2 4 14" xfId="8946" xr:uid="{368BC0E0-F8D5-4B64-9C44-9084846DE920}"/>
    <cellStyle name="Normal 4 2 4 2" xfId="356" xr:uid="{00000000-0005-0000-0000-00002C130000}"/>
    <cellStyle name="Normal 4 2 4 2 10" xfId="21579" xr:uid="{FE91A381-0C49-41AF-BD44-632A62E4E6DD}"/>
    <cellStyle name="Normal 4 2 4 2 11" xfId="13158" xr:uid="{08C1A759-95DE-49D8-9105-3D6E4BF96AC1}"/>
    <cellStyle name="Normal 4 2 4 2 12" xfId="22408" xr:uid="{327C45F3-CC7B-4F9E-BC0D-29AE95B7B372}"/>
    <cellStyle name="Normal 4 2 4 2 13" xfId="8947" xr:uid="{01E2DCFC-AF94-421E-A3EB-29584909604C}"/>
    <cellStyle name="Normal 4 2 4 2 2" xfId="357" xr:uid="{00000000-0005-0000-0000-00002D130000}"/>
    <cellStyle name="Normal 4 2 4 2 2 10" xfId="13159" xr:uid="{19357344-803D-462B-B085-65A945678805}"/>
    <cellStyle name="Normal 4 2 4 2 2 11" xfId="22409" xr:uid="{A25FEF5A-C319-4171-892F-DDCBFC1525F4}"/>
    <cellStyle name="Normal 4 2 4 2 2 12" xfId="8948" xr:uid="{9C283CBB-1E89-42F0-9F4A-093D01AF3378}"/>
    <cellStyle name="Normal 4 2 4 2 2 2" xfId="358" xr:uid="{00000000-0005-0000-0000-00002E130000}"/>
    <cellStyle name="Normal 4 2 4 2 2 2 10" xfId="22410" xr:uid="{9B49CF8F-15D8-4167-B928-244C3EB817BC}"/>
    <cellStyle name="Normal 4 2 4 2 2 2 11" xfId="8949" xr:uid="{F7806320-DC1B-49C9-8361-931BB7A61BE6}"/>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9929" xr:uid="{368F1822-AFF4-4057-A4BC-BCF3FFEC441A}"/>
    <cellStyle name="Normal 4 2 4 2 2 2 2 2 3" xfId="15718" xr:uid="{88D5034A-AFAB-4B3F-A952-2C342E58BD92}"/>
    <cellStyle name="Normal 4 2 4 2 2 2 2 2 4" xfId="24968" xr:uid="{24896503-CDA6-4A5D-AE3B-998FD6140B5F}"/>
    <cellStyle name="Normal 4 2 4 2 2 2 2 2 5" xfId="11507" xr:uid="{3F51F195-DEE3-4701-B7A3-611CC6AE0ED3}"/>
    <cellStyle name="Normal 4 2 4 2 2 2 2 3" xfId="5151" xr:uid="{00000000-0005-0000-0000-000032130000}"/>
    <cellStyle name="Normal 4 2 4 2 2 2 2 3 2" xfId="17784" xr:uid="{4D6BF2FA-A3F0-4114-84E6-732E05E84F42}"/>
    <cellStyle name="Normal 4 2 4 2 2 2 2 4" xfId="21996" xr:uid="{737A0A45-794A-4C76-8CD3-105938945E2E}"/>
    <cellStyle name="Normal 4 2 4 2 2 2 2 5" xfId="13573" xr:uid="{D443CAA5-7B1C-4807-B27A-5EA67F70A77D}"/>
    <cellStyle name="Normal 4 2 4 2 2 2 2 6" xfId="22823" xr:uid="{E4E80459-B4C4-4642-9FA0-CB019B5F6115}"/>
    <cellStyle name="Normal 4 2 4 2 2 2 2 7" xfId="9362" xr:uid="{DE23ED70-31B9-48F3-86BE-AE8282CA89AA}"/>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20342" xr:uid="{8F96617F-ACE0-4503-845E-22E092DBFA84}"/>
    <cellStyle name="Normal 4 2 4 2 2 2 3 2 3" xfId="16131" xr:uid="{55347FD9-EE13-476E-8449-ACB271EEF00F}"/>
    <cellStyle name="Normal 4 2 4 2 2 2 3 2 4" xfId="25381" xr:uid="{6A416C9B-4A51-4123-92BC-AEDB993CA652}"/>
    <cellStyle name="Normal 4 2 4 2 2 2 3 2 5" xfId="11920" xr:uid="{A73EB0E9-81E5-414B-A8A8-177213648F69}"/>
    <cellStyle name="Normal 4 2 4 2 2 2 3 3" xfId="5564" xr:uid="{00000000-0005-0000-0000-000036130000}"/>
    <cellStyle name="Normal 4 2 4 2 2 2 3 3 2" xfId="18197" xr:uid="{E606698D-D08F-4411-911F-C87AFF97B91F}"/>
    <cellStyle name="Normal 4 2 4 2 2 2 3 4" xfId="13986" xr:uid="{72F3D8D6-D2BE-42D0-A1D7-9B00A9668E33}"/>
    <cellStyle name="Normal 4 2 4 2 2 2 3 5" xfId="23236" xr:uid="{6B81D89C-DE23-4595-B42A-8D83BA338F82}"/>
    <cellStyle name="Normal 4 2 4 2 2 2 3 6" xfId="9775" xr:uid="{B28F814B-0478-4A2B-98CA-414B9A2CE2B1}"/>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20755" xr:uid="{FD792478-2F8A-409F-A43B-976989FD4320}"/>
    <cellStyle name="Normal 4 2 4 2 2 2 4 2 3" xfId="16544" xr:uid="{D2759E74-ABA2-4BF1-AE66-43CCDEDAD92E}"/>
    <cellStyle name="Normal 4 2 4 2 2 2 4 2 4" xfId="25794" xr:uid="{1F3BE8F6-4840-4047-BC65-4A839E19C37D}"/>
    <cellStyle name="Normal 4 2 4 2 2 2 4 2 5" xfId="12333" xr:uid="{2A31E9ED-CCFE-4E0D-B494-C1603ECB5B81}"/>
    <cellStyle name="Normal 4 2 4 2 2 2 4 3" xfId="5977" xr:uid="{00000000-0005-0000-0000-00003A130000}"/>
    <cellStyle name="Normal 4 2 4 2 2 2 4 3 2" xfId="18610" xr:uid="{C3892340-4638-4094-96B8-B6DFDCF3CCA0}"/>
    <cellStyle name="Normal 4 2 4 2 2 2 4 4" xfId="14399" xr:uid="{C5194447-1F68-42A6-9DC5-7EFEA08DD847}"/>
    <cellStyle name="Normal 4 2 4 2 2 2 4 5" xfId="23649" xr:uid="{48016BF7-F097-4BEB-9E44-C6C2B00AB07A}"/>
    <cellStyle name="Normal 4 2 4 2 2 2 4 6" xfId="10188" xr:uid="{97BF5688-09B8-47F1-82DC-75E417F0CB05}"/>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21168" xr:uid="{337F14AF-AE2C-445A-AFFC-73B6C0000675}"/>
    <cellStyle name="Normal 4 2 4 2 2 2 5 2 3" xfId="16957" xr:uid="{D522DFEB-52C2-4067-B303-A2DF01B5FD45}"/>
    <cellStyle name="Normal 4 2 4 2 2 2 5 2 4" xfId="26207" xr:uid="{1ED05998-2A10-4C81-82B2-DC58C2EDA756}"/>
    <cellStyle name="Normal 4 2 4 2 2 2 5 2 5" xfId="12746" xr:uid="{C4E1D288-9E28-4215-995E-D1D461147B11}"/>
    <cellStyle name="Normal 4 2 4 2 2 2 5 3" xfId="6390" xr:uid="{00000000-0005-0000-0000-00003E130000}"/>
    <cellStyle name="Normal 4 2 4 2 2 2 5 3 2" xfId="19023" xr:uid="{CDCA6586-6314-4A5E-9839-86C6DE476C50}"/>
    <cellStyle name="Normal 4 2 4 2 2 2 5 4" xfId="14812" xr:uid="{29A65C30-CEE1-478E-B4F6-C7E3ACFA197C}"/>
    <cellStyle name="Normal 4 2 4 2 2 2 5 5" xfId="24062" xr:uid="{E7FE7557-BDB1-4B61-A79B-5D4145A3F62A}"/>
    <cellStyle name="Normal 4 2 4 2 2 2 5 6" xfId="10601" xr:uid="{F9AB331E-14E4-4C01-AF50-9AAFBA9652F0}"/>
    <cellStyle name="Normal 4 2 4 2 2 2 6" xfId="2518" xr:uid="{00000000-0005-0000-0000-00003F130000}"/>
    <cellStyle name="Normal 4 2 4 2 2 2 6 2" xfId="6803" xr:uid="{00000000-0005-0000-0000-000040130000}"/>
    <cellStyle name="Normal 4 2 4 2 2 2 6 2 2" xfId="19436" xr:uid="{B57167D3-8DF9-4E83-8D05-48F8479D9D17}"/>
    <cellStyle name="Normal 4 2 4 2 2 2 6 3" xfId="15225" xr:uid="{688B855D-1545-409C-932C-63B12B70DA99}"/>
    <cellStyle name="Normal 4 2 4 2 2 2 6 4" xfId="24475" xr:uid="{523A96A7-7EF6-4F21-965C-D6BA16B1894A}"/>
    <cellStyle name="Normal 4 2 4 2 2 2 6 5" xfId="11014" xr:uid="{5C575C06-2DE1-472E-8734-B5BB49B85F23}"/>
    <cellStyle name="Normal 4 2 4 2 2 2 7" xfId="4738" xr:uid="{00000000-0005-0000-0000-000041130000}"/>
    <cellStyle name="Normal 4 2 4 2 2 2 7 2" xfId="17371" xr:uid="{1D0A9677-E720-4FB1-A482-66B74F1BC32A}"/>
    <cellStyle name="Normal 4 2 4 2 2 2 8" xfId="21581" xr:uid="{A1427772-4D8E-4EF0-BB75-47AB2A118B1C}"/>
    <cellStyle name="Normal 4 2 4 2 2 2 9" xfId="13160" xr:uid="{3B2F8EBB-86B5-4653-A9F8-B504095CE861}"/>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9928" xr:uid="{0AE0194F-A194-4865-9BF5-D7528480D67B}"/>
    <cellStyle name="Normal 4 2 4 2 2 3 2 3" xfId="15717" xr:uid="{D46F2536-B11E-4D7A-A83A-FFF8A418117D}"/>
    <cellStyle name="Normal 4 2 4 2 2 3 2 4" xfId="24967" xr:uid="{18747CE1-4C23-4862-98F7-2259565EB5FE}"/>
    <cellStyle name="Normal 4 2 4 2 2 3 2 5" xfId="11506" xr:uid="{B0FFFA28-B440-477E-A934-18BF72B2E0CF}"/>
    <cellStyle name="Normal 4 2 4 2 2 3 3" xfId="5150" xr:uid="{00000000-0005-0000-0000-000045130000}"/>
    <cellStyle name="Normal 4 2 4 2 2 3 3 2" xfId="17783" xr:uid="{062EF594-0091-47E8-9442-3CB4EF23F1FF}"/>
    <cellStyle name="Normal 4 2 4 2 2 3 4" xfId="21995" xr:uid="{8B0C89EE-3EF6-41DD-8EB4-8019F8445BEA}"/>
    <cellStyle name="Normal 4 2 4 2 2 3 5" xfId="13572" xr:uid="{25BE1831-5941-4C3A-A503-277D890E58B9}"/>
    <cellStyle name="Normal 4 2 4 2 2 3 6" xfId="22822" xr:uid="{649DB586-1759-4817-8154-B40454E84870}"/>
    <cellStyle name="Normal 4 2 4 2 2 3 7" xfId="9361" xr:uid="{C694715C-1BE8-457E-BD4E-C6FB2B570ADF}"/>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20341" xr:uid="{BE9E3390-5005-4A70-8B16-BB88DA7BB87D}"/>
    <cellStyle name="Normal 4 2 4 2 2 4 2 3" xfId="16130" xr:uid="{1A8DD1E2-29B8-4DB1-AA13-AE0A94C65799}"/>
    <cellStyle name="Normal 4 2 4 2 2 4 2 4" xfId="25380" xr:uid="{A55693F2-97E8-4A10-A50F-AE2506BDB85A}"/>
    <cellStyle name="Normal 4 2 4 2 2 4 2 5" xfId="11919" xr:uid="{3D687759-57EA-4E0B-9B81-8F364FC8CA1A}"/>
    <cellStyle name="Normal 4 2 4 2 2 4 3" xfId="5563" xr:uid="{00000000-0005-0000-0000-000049130000}"/>
    <cellStyle name="Normal 4 2 4 2 2 4 3 2" xfId="18196" xr:uid="{15DB208D-EBF1-4F46-9B41-07BFA4509D83}"/>
    <cellStyle name="Normal 4 2 4 2 2 4 4" xfId="13985" xr:uid="{B5520465-2808-4B69-AB3C-2B4C6B2CDD8E}"/>
    <cellStyle name="Normal 4 2 4 2 2 4 5" xfId="23235" xr:uid="{DD5F7301-5B04-49D3-8518-EEA4F1C7C121}"/>
    <cellStyle name="Normal 4 2 4 2 2 4 6" xfId="9774" xr:uid="{0BFA8506-1331-4A15-8DA3-D3BCECF11DEC}"/>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20754" xr:uid="{ECBD28FF-28C7-4E57-B371-EEBA6CD44DFF}"/>
    <cellStyle name="Normal 4 2 4 2 2 5 2 3" xfId="16543" xr:uid="{138CB3BA-CFEF-4E3A-8A7E-F2BCDED8855E}"/>
    <cellStyle name="Normal 4 2 4 2 2 5 2 4" xfId="25793" xr:uid="{3BC36880-384D-4EAA-AAE2-7EEC6483DFCF}"/>
    <cellStyle name="Normal 4 2 4 2 2 5 2 5" xfId="12332" xr:uid="{E08DA156-8BA9-4548-9E67-E9FEAFA40BF7}"/>
    <cellStyle name="Normal 4 2 4 2 2 5 3" xfId="5976" xr:uid="{00000000-0005-0000-0000-00004D130000}"/>
    <cellStyle name="Normal 4 2 4 2 2 5 3 2" xfId="18609" xr:uid="{8FCA7C1D-6CBE-4CC5-AB62-BFFA99A19BAA}"/>
    <cellStyle name="Normal 4 2 4 2 2 5 4" xfId="14398" xr:uid="{139D9015-6348-431A-A2CA-F654DA8D41D8}"/>
    <cellStyle name="Normal 4 2 4 2 2 5 5" xfId="23648" xr:uid="{5A4838F8-04D3-46F0-99C7-2E4507BB6AE4}"/>
    <cellStyle name="Normal 4 2 4 2 2 5 6" xfId="10187" xr:uid="{778FB876-3FB4-4E39-A675-F84A5A00BBCA}"/>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21167" xr:uid="{13A54192-7D17-4E87-8A0C-B0BE009D7EC0}"/>
    <cellStyle name="Normal 4 2 4 2 2 6 2 3" xfId="16956" xr:uid="{3C204E36-DCAC-4155-96AE-9089828F562E}"/>
    <cellStyle name="Normal 4 2 4 2 2 6 2 4" xfId="26206" xr:uid="{79ECD59B-411C-4B16-9EA9-C1AE067643E3}"/>
    <cellStyle name="Normal 4 2 4 2 2 6 2 5" xfId="12745" xr:uid="{D57D502B-B083-4905-96C6-8CC12718991C}"/>
    <cellStyle name="Normal 4 2 4 2 2 6 3" xfId="6389" xr:uid="{00000000-0005-0000-0000-000051130000}"/>
    <cellStyle name="Normal 4 2 4 2 2 6 3 2" xfId="19022" xr:uid="{36AAC83D-4120-48E1-B061-B8088B90383B}"/>
    <cellStyle name="Normal 4 2 4 2 2 6 4" xfId="14811" xr:uid="{1F84BB5F-76B2-4282-BABA-DB7F2041717B}"/>
    <cellStyle name="Normal 4 2 4 2 2 6 5" xfId="24061" xr:uid="{6545504A-BCD0-4F2B-A30B-AE7866FBBD8C}"/>
    <cellStyle name="Normal 4 2 4 2 2 6 6" xfId="10600" xr:uid="{AE862E71-1837-46BD-90CC-ED1ABAA9FF9A}"/>
    <cellStyle name="Normal 4 2 4 2 2 7" xfId="2517" xr:uid="{00000000-0005-0000-0000-000052130000}"/>
    <cellStyle name="Normal 4 2 4 2 2 7 2" xfId="6802" xr:uid="{00000000-0005-0000-0000-000053130000}"/>
    <cellStyle name="Normal 4 2 4 2 2 7 2 2" xfId="19435" xr:uid="{41B53D52-AFBB-4518-B5AE-0566D8822A73}"/>
    <cellStyle name="Normal 4 2 4 2 2 7 3" xfId="15224" xr:uid="{44112D06-A8A2-41EE-B34D-D2964CFA92C3}"/>
    <cellStyle name="Normal 4 2 4 2 2 7 4" xfId="24474" xr:uid="{B082F2CA-5169-496F-B012-5DB3AE602424}"/>
    <cellStyle name="Normal 4 2 4 2 2 7 5" xfId="11013" xr:uid="{BD3139D4-9E98-443A-913F-9D9965561EDA}"/>
    <cellStyle name="Normal 4 2 4 2 2 8" xfId="4737" xr:uid="{00000000-0005-0000-0000-000054130000}"/>
    <cellStyle name="Normal 4 2 4 2 2 8 2" xfId="17370" xr:uid="{1BE6B513-B92A-4BF3-B6D4-D379F6D1464A}"/>
    <cellStyle name="Normal 4 2 4 2 2 9" xfId="21580" xr:uid="{8B66371E-20FE-4431-9E99-E361A1FC0B23}"/>
    <cellStyle name="Normal 4 2 4 2 3" xfId="359" xr:uid="{00000000-0005-0000-0000-000055130000}"/>
    <cellStyle name="Normal 4 2 4 2 3 10" xfId="22411" xr:uid="{2C289251-17AF-4E1F-8A8C-D98592011862}"/>
    <cellStyle name="Normal 4 2 4 2 3 11" xfId="8950" xr:uid="{6BD33D88-520F-45D5-B188-A9DE1C716087}"/>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9930" xr:uid="{A116401E-92D7-4F5D-A1CF-30C0D462E7FE}"/>
    <cellStyle name="Normal 4 2 4 2 3 2 2 3" xfId="15719" xr:uid="{74A102CB-2274-4BB0-AE36-BD215B8BE956}"/>
    <cellStyle name="Normal 4 2 4 2 3 2 2 4" xfId="24969" xr:uid="{CE93F0BC-CA26-463F-A572-B4128F1953C1}"/>
    <cellStyle name="Normal 4 2 4 2 3 2 2 5" xfId="11508" xr:uid="{43EE4874-D279-497E-B949-7A94A5C34A68}"/>
    <cellStyle name="Normal 4 2 4 2 3 2 3" xfId="5152" xr:uid="{00000000-0005-0000-0000-000059130000}"/>
    <cellStyle name="Normal 4 2 4 2 3 2 3 2" xfId="17785" xr:uid="{CBCF28E5-747B-4148-BDF3-31381A0ED638}"/>
    <cellStyle name="Normal 4 2 4 2 3 2 4" xfId="21997" xr:uid="{FC2D2A51-A520-4CEB-BC43-4964A1EADE9C}"/>
    <cellStyle name="Normal 4 2 4 2 3 2 5" xfId="13574" xr:uid="{D07C30AE-0B92-4F23-B1C8-F17284D01A14}"/>
    <cellStyle name="Normal 4 2 4 2 3 2 6" xfId="22824" xr:uid="{E982C98B-6F62-427B-8CCF-80F84E9A8624}"/>
    <cellStyle name="Normal 4 2 4 2 3 2 7" xfId="9363" xr:uid="{EF5CED11-470D-4085-BF97-89067501FC37}"/>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20343" xr:uid="{A1AAEFEC-8F5F-45D2-A2EC-F59E28BC028D}"/>
    <cellStyle name="Normal 4 2 4 2 3 3 2 3" xfId="16132" xr:uid="{9169F472-C127-4B3E-8A7A-D1D3FF42A22E}"/>
    <cellStyle name="Normal 4 2 4 2 3 3 2 4" xfId="25382" xr:uid="{1E7C2246-88D0-45CD-B841-6E362F7BD68D}"/>
    <cellStyle name="Normal 4 2 4 2 3 3 2 5" xfId="11921" xr:uid="{F66DFCB7-CB59-49F1-9C99-FC7B9F2D3764}"/>
    <cellStyle name="Normal 4 2 4 2 3 3 3" xfId="5565" xr:uid="{00000000-0005-0000-0000-00005D130000}"/>
    <cellStyle name="Normal 4 2 4 2 3 3 3 2" xfId="18198" xr:uid="{4437AACD-1E47-4A55-8C17-14E95E714F7B}"/>
    <cellStyle name="Normal 4 2 4 2 3 3 4" xfId="13987" xr:uid="{CD02D24B-CF6A-4C09-89BB-C7CA2F2F3808}"/>
    <cellStyle name="Normal 4 2 4 2 3 3 5" xfId="23237" xr:uid="{387DC99F-F36C-42C9-BFFC-78F2D87F262F}"/>
    <cellStyle name="Normal 4 2 4 2 3 3 6" xfId="9776" xr:uid="{F22F96A6-321E-4692-841A-7AC5D501A212}"/>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20756" xr:uid="{8A1675B9-B79F-4F18-A85D-867618DCED07}"/>
    <cellStyle name="Normal 4 2 4 2 3 4 2 3" xfId="16545" xr:uid="{49AD2341-DF32-4E2E-A675-9DDB3DAA7D85}"/>
    <cellStyle name="Normal 4 2 4 2 3 4 2 4" xfId="25795" xr:uid="{0A83E833-3B73-463F-8BD4-903FAF4F8C8A}"/>
    <cellStyle name="Normal 4 2 4 2 3 4 2 5" xfId="12334" xr:uid="{8B3E2C00-DE32-4D3C-9BE5-3F0DB935DEA5}"/>
    <cellStyle name="Normal 4 2 4 2 3 4 3" xfId="5978" xr:uid="{00000000-0005-0000-0000-000061130000}"/>
    <cellStyle name="Normal 4 2 4 2 3 4 3 2" xfId="18611" xr:uid="{DE018E84-C7C7-4E0C-8DEF-9E3009BB2191}"/>
    <cellStyle name="Normal 4 2 4 2 3 4 4" xfId="14400" xr:uid="{BFEB3DC5-1E88-4BEF-ABBB-A39786150551}"/>
    <cellStyle name="Normal 4 2 4 2 3 4 5" xfId="23650" xr:uid="{DA00123D-C34B-4F66-ABC1-66516318526E}"/>
    <cellStyle name="Normal 4 2 4 2 3 4 6" xfId="10189" xr:uid="{3687F01C-C4E4-434A-87F9-12FAAF3956CE}"/>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21169" xr:uid="{960ED16F-3D60-4B87-9173-120DF970B053}"/>
    <cellStyle name="Normal 4 2 4 2 3 5 2 3" xfId="16958" xr:uid="{020BC02A-9E04-43F8-A9C1-0369AF513350}"/>
    <cellStyle name="Normal 4 2 4 2 3 5 2 4" xfId="26208" xr:uid="{E0EAEE0C-70F9-4FD8-9221-8CFB9515D110}"/>
    <cellStyle name="Normal 4 2 4 2 3 5 2 5" xfId="12747" xr:uid="{2329BEA7-A917-4803-BABB-933F228AA001}"/>
    <cellStyle name="Normal 4 2 4 2 3 5 3" xfId="6391" xr:uid="{00000000-0005-0000-0000-000065130000}"/>
    <cellStyle name="Normal 4 2 4 2 3 5 3 2" xfId="19024" xr:uid="{7FECB9DD-5864-4225-9C48-DFAB9A6FE678}"/>
    <cellStyle name="Normal 4 2 4 2 3 5 4" xfId="14813" xr:uid="{EADB4135-7F5F-44FB-A4BA-CF2410EAC214}"/>
    <cellStyle name="Normal 4 2 4 2 3 5 5" xfId="24063" xr:uid="{55E8CD37-65C4-431D-8AD3-EC4E82A41CEF}"/>
    <cellStyle name="Normal 4 2 4 2 3 5 6" xfId="10602" xr:uid="{CAF29681-2B5D-442F-A758-CEB9615ED215}"/>
    <cellStyle name="Normal 4 2 4 2 3 6" xfId="2519" xr:uid="{00000000-0005-0000-0000-000066130000}"/>
    <cellStyle name="Normal 4 2 4 2 3 6 2" xfId="6804" xr:uid="{00000000-0005-0000-0000-000067130000}"/>
    <cellStyle name="Normal 4 2 4 2 3 6 2 2" xfId="19437" xr:uid="{64F95EA0-5B59-4DD5-8990-BCCF3FC57F52}"/>
    <cellStyle name="Normal 4 2 4 2 3 6 3" xfId="15226" xr:uid="{595B30DF-D613-4DAE-A7B5-2980E9C4D0CD}"/>
    <cellStyle name="Normal 4 2 4 2 3 6 4" xfId="24476" xr:uid="{C014C2E9-61F9-430F-AE9F-3ED6357FF910}"/>
    <cellStyle name="Normal 4 2 4 2 3 6 5" xfId="11015" xr:uid="{B0BAB613-79DD-42E9-907E-4230792AB138}"/>
    <cellStyle name="Normal 4 2 4 2 3 7" xfId="4739" xr:uid="{00000000-0005-0000-0000-000068130000}"/>
    <cellStyle name="Normal 4 2 4 2 3 7 2" xfId="17372" xr:uid="{4E22BE5E-ECD1-46D9-9BFE-37B3EBDA10EE}"/>
    <cellStyle name="Normal 4 2 4 2 3 8" xfId="21582" xr:uid="{C094B4C8-5A81-4CAA-B546-E0B8145B211A}"/>
    <cellStyle name="Normal 4 2 4 2 3 9" xfId="13161" xr:uid="{ED627CFC-BCE5-4833-A400-B59E534F149A}"/>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9927" xr:uid="{77F34F74-641B-4C09-9D75-664A9C70C269}"/>
    <cellStyle name="Normal 4 2 4 2 4 2 3" xfId="15716" xr:uid="{C745DE52-E979-41CB-B336-1732384CF85D}"/>
    <cellStyle name="Normal 4 2 4 2 4 2 4" xfId="24966" xr:uid="{F8B1FA63-6E35-43FE-8A5E-74CD497DDFE4}"/>
    <cellStyle name="Normal 4 2 4 2 4 2 5" xfId="11505" xr:uid="{BD5D40AC-C81E-4AEC-AAEB-773F0FF6FE99}"/>
    <cellStyle name="Normal 4 2 4 2 4 3" xfId="5149" xr:uid="{00000000-0005-0000-0000-00006C130000}"/>
    <cellStyle name="Normal 4 2 4 2 4 3 2" xfId="17782" xr:uid="{6D49FDA3-AD71-46AC-B9B7-E442369F48D1}"/>
    <cellStyle name="Normal 4 2 4 2 4 4" xfId="21994" xr:uid="{0DE188D3-06CE-4B0E-8447-F4A19D8FC84E}"/>
    <cellStyle name="Normal 4 2 4 2 4 5" xfId="13571" xr:uid="{21D0DC1C-B93D-4B58-9604-C30E9D629B4B}"/>
    <cellStyle name="Normal 4 2 4 2 4 6" xfId="22821" xr:uid="{7DB08AC2-34A4-46AA-BEAF-1FF56912944E}"/>
    <cellStyle name="Normal 4 2 4 2 4 7" xfId="9360" xr:uid="{2A6D7538-E4C5-48CF-B7DD-F762409A6547}"/>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20340" xr:uid="{3AECA2D1-E3BB-4948-AF20-BB80793A1440}"/>
    <cellStyle name="Normal 4 2 4 2 5 2 3" xfId="16129" xr:uid="{BBB07C0C-D97C-49BF-85B1-B1378779FC02}"/>
    <cellStyle name="Normal 4 2 4 2 5 2 4" xfId="25379" xr:uid="{37BBDA66-3D9D-42AB-B382-C4AE96B284CB}"/>
    <cellStyle name="Normal 4 2 4 2 5 2 5" xfId="11918" xr:uid="{A5EAFF0C-475D-412D-AAB0-A562F8BDC230}"/>
    <cellStyle name="Normal 4 2 4 2 5 3" xfId="5562" xr:uid="{00000000-0005-0000-0000-000070130000}"/>
    <cellStyle name="Normal 4 2 4 2 5 3 2" xfId="18195" xr:uid="{6BF95649-71E5-43DC-B04E-475FC78FB486}"/>
    <cellStyle name="Normal 4 2 4 2 5 4" xfId="13984" xr:uid="{9BF4F2F3-4D4C-4AF6-A57B-A7F0F6424609}"/>
    <cellStyle name="Normal 4 2 4 2 5 5" xfId="23234" xr:uid="{C199EEEE-8CF3-469A-8794-9362FDA88FBB}"/>
    <cellStyle name="Normal 4 2 4 2 5 6" xfId="9773" xr:uid="{B2B7B41C-E32E-4CE9-8A64-10B65D85787D}"/>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20753" xr:uid="{C2ED12E5-C65B-45B0-BB3E-AA0C25B1485F}"/>
    <cellStyle name="Normal 4 2 4 2 6 2 3" xfId="16542" xr:uid="{CCE30233-8C38-4ADF-82BB-9705FA85E16E}"/>
    <cellStyle name="Normal 4 2 4 2 6 2 4" xfId="25792" xr:uid="{BEBDAB4C-2701-4AF7-898D-56C402E83D9E}"/>
    <cellStyle name="Normal 4 2 4 2 6 2 5" xfId="12331" xr:uid="{77E7D619-4531-4B78-973E-3E49307BAE95}"/>
    <cellStyle name="Normal 4 2 4 2 6 3" xfId="5975" xr:uid="{00000000-0005-0000-0000-000074130000}"/>
    <cellStyle name="Normal 4 2 4 2 6 3 2" xfId="18608" xr:uid="{071D13EB-4D12-4560-AA8D-85A318068653}"/>
    <cellStyle name="Normal 4 2 4 2 6 4" xfId="14397" xr:uid="{6403BA04-88DC-49DE-BE35-A9A88A40F331}"/>
    <cellStyle name="Normal 4 2 4 2 6 5" xfId="23647" xr:uid="{00F1E65C-38D1-4680-A24D-C787E43E089B}"/>
    <cellStyle name="Normal 4 2 4 2 6 6" xfId="10186" xr:uid="{3A2CDF89-B1F4-4530-B845-ED603B820088}"/>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21166" xr:uid="{9712E7BA-4C7C-4A33-8D8A-BF56732F2EC0}"/>
    <cellStyle name="Normal 4 2 4 2 7 2 3" xfId="16955" xr:uid="{69BD1ADC-A483-4F72-AF79-902FF06F59D3}"/>
    <cellStyle name="Normal 4 2 4 2 7 2 4" xfId="26205" xr:uid="{6E5F5814-1E9C-4989-890D-99DC136F0B51}"/>
    <cellStyle name="Normal 4 2 4 2 7 2 5" xfId="12744" xr:uid="{4A281AB4-7A5F-4695-A45D-A00B5983089D}"/>
    <cellStyle name="Normal 4 2 4 2 7 3" xfId="6388" xr:uid="{00000000-0005-0000-0000-000078130000}"/>
    <cellStyle name="Normal 4 2 4 2 7 3 2" xfId="19021" xr:uid="{D5976D8C-1718-44D2-98C0-BD339C4AB08D}"/>
    <cellStyle name="Normal 4 2 4 2 7 4" xfId="14810" xr:uid="{16A6F834-5F29-466B-8380-F6AA43AA5545}"/>
    <cellStyle name="Normal 4 2 4 2 7 5" xfId="24060" xr:uid="{E6CAEE62-60B2-4337-B3CA-33552D6E4A80}"/>
    <cellStyle name="Normal 4 2 4 2 7 6" xfId="10599" xr:uid="{234531DE-9401-425D-A863-ED2446812608}"/>
    <cellStyle name="Normal 4 2 4 2 8" xfId="2516" xr:uid="{00000000-0005-0000-0000-000079130000}"/>
    <cellStyle name="Normal 4 2 4 2 8 2" xfId="6801" xr:uid="{00000000-0005-0000-0000-00007A130000}"/>
    <cellStyle name="Normal 4 2 4 2 8 2 2" xfId="19434" xr:uid="{06130566-0267-4DE8-B49C-FE10EA198C2A}"/>
    <cellStyle name="Normal 4 2 4 2 8 3" xfId="15223" xr:uid="{D50F4AD1-5776-4467-AA41-9764427D5E06}"/>
    <cellStyle name="Normal 4 2 4 2 8 4" xfId="24473" xr:uid="{E0E81382-045C-4786-B7A4-347C5076B311}"/>
    <cellStyle name="Normal 4 2 4 2 8 5" xfId="11012" xr:uid="{CD712FFA-D4AD-4CB2-9F8A-2D206A362D4E}"/>
    <cellStyle name="Normal 4 2 4 2 9" xfId="4736" xr:uid="{00000000-0005-0000-0000-00007B130000}"/>
    <cellStyle name="Normal 4 2 4 2 9 2" xfId="17369" xr:uid="{4F9DCCA4-6F58-414D-BA0E-B384AAA9B4AE}"/>
    <cellStyle name="Normal 4 2 4 3" xfId="360" xr:uid="{00000000-0005-0000-0000-00007C130000}"/>
    <cellStyle name="Normal 4 2 4 3 10" xfId="13162" xr:uid="{619BB2AF-A07D-45A7-B170-FF3C75DEFA69}"/>
    <cellStyle name="Normal 4 2 4 3 11" xfId="22412" xr:uid="{A564E579-D52F-4DBA-9087-09DCB4B39CDB}"/>
    <cellStyle name="Normal 4 2 4 3 12" xfId="8951" xr:uid="{3FF8C046-CD25-4779-B460-01405EC761F0}"/>
    <cellStyle name="Normal 4 2 4 3 2" xfId="361" xr:uid="{00000000-0005-0000-0000-00007D130000}"/>
    <cellStyle name="Normal 4 2 4 3 2 10" xfId="22413" xr:uid="{CB689D06-7150-4EEA-8D8C-0E3D7EF746EB}"/>
    <cellStyle name="Normal 4 2 4 3 2 11" xfId="8952" xr:uid="{6956229F-177D-40EC-964E-1687CA6606EA}"/>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9932" xr:uid="{9502EE5F-0FB0-470E-A777-2A82BE5AC152}"/>
    <cellStyle name="Normal 4 2 4 3 2 2 2 3" xfId="15721" xr:uid="{C11DA772-9D35-49CF-8CA8-8F82FD6B2D6C}"/>
    <cellStyle name="Normal 4 2 4 3 2 2 2 4" xfId="24971" xr:uid="{51ECF660-1279-4176-AE90-9FCBF5933751}"/>
    <cellStyle name="Normal 4 2 4 3 2 2 2 5" xfId="11510" xr:uid="{D3CC1BD9-EB61-4ED0-A2BB-19A12A7D9CA9}"/>
    <cellStyle name="Normal 4 2 4 3 2 2 3" xfId="5154" xr:uid="{00000000-0005-0000-0000-000081130000}"/>
    <cellStyle name="Normal 4 2 4 3 2 2 3 2" xfId="17787" xr:uid="{E58786B8-F769-4246-A1FE-498FBF9C6863}"/>
    <cellStyle name="Normal 4 2 4 3 2 2 4" xfId="21999" xr:uid="{F605A494-1ABB-4881-8831-6901D604B247}"/>
    <cellStyle name="Normal 4 2 4 3 2 2 5" xfId="13576" xr:uid="{7352F178-1673-45EA-8514-6246459D99EB}"/>
    <cellStyle name="Normal 4 2 4 3 2 2 6" xfId="22826" xr:uid="{D2AA438D-E998-4D79-BA25-84FC49F291A0}"/>
    <cellStyle name="Normal 4 2 4 3 2 2 7" xfId="9365" xr:uid="{F059C33D-24BB-4191-A60C-057F0889B239}"/>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20345" xr:uid="{EDEF4960-48B8-4489-BE2B-E583BDB57EF3}"/>
    <cellStyle name="Normal 4 2 4 3 2 3 2 3" xfId="16134" xr:uid="{40146983-81CA-48B4-B17B-9F9F34A13949}"/>
    <cellStyle name="Normal 4 2 4 3 2 3 2 4" xfId="25384" xr:uid="{92A9C718-A4FE-4C52-8FF5-0B1E4E7E4A2A}"/>
    <cellStyle name="Normal 4 2 4 3 2 3 2 5" xfId="11923" xr:uid="{D237E419-CA1A-46C7-85EF-51101F056217}"/>
    <cellStyle name="Normal 4 2 4 3 2 3 3" xfId="5567" xr:uid="{00000000-0005-0000-0000-000085130000}"/>
    <cellStyle name="Normal 4 2 4 3 2 3 3 2" xfId="18200" xr:uid="{6CC7D3C8-36AD-47D7-A5B9-D0BB58F9FB6C}"/>
    <cellStyle name="Normal 4 2 4 3 2 3 4" xfId="13989" xr:uid="{DFE60348-E729-4330-BA13-A82D35D09DBB}"/>
    <cellStyle name="Normal 4 2 4 3 2 3 5" xfId="23239" xr:uid="{C1C7203E-8E9D-4BC5-B47C-AD83C4E7C297}"/>
    <cellStyle name="Normal 4 2 4 3 2 3 6" xfId="9778" xr:uid="{E840D64D-26F2-4B57-A47C-2676204E95FD}"/>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20758" xr:uid="{1EEC1108-C099-4EF2-838C-9C32BCCE687C}"/>
    <cellStyle name="Normal 4 2 4 3 2 4 2 3" xfId="16547" xr:uid="{2156C987-34CF-4797-9BF9-92939474D511}"/>
    <cellStyle name="Normal 4 2 4 3 2 4 2 4" xfId="25797" xr:uid="{E415851A-A26F-4DE9-8F5C-5215AA01748A}"/>
    <cellStyle name="Normal 4 2 4 3 2 4 2 5" xfId="12336" xr:uid="{0224DA65-CB64-4A58-99CE-8381A5C415AE}"/>
    <cellStyle name="Normal 4 2 4 3 2 4 3" xfId="5980" xr:uid="{00000000-0005-0000-0000-000089130000}"/>
    <cellStyle name="Normal 4 2 4 3 2 4 3 2" xfId="18613" xr:uid="{70ABB633-6F7B-4972-BCC4-9DB2609E8F08}"/>
    <cellStyle name="Normal 4 2 4 3 2 4 4" xfId="14402" xr:uid="{78BC82B4-BAC6-469C-8B13-C42C2E2AFCF5}"/>
    <cellStyle name="Normal 4 2 4 3 2 4 5" xfId="23652" xr:uid="{76159658-19E1-433F-942C-E5E53D4FA1C1}"/>
    <cellStyle name="Normal 4 2 4 3 2 4 6" xfId="10191" xr:uid="{A09602AF-5798-4741-9DFD-9862E254A7BC}"/>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21171" xr:uid="{DF92F3B1-74A0-45C1-A28E-46D2E7C4BFC2}"/>
    <cellStyle name="Normal 4 2 4 3 2 5 2 3" xfId="16960" xr:uid="{F0D64693-6A88-4D3B-98BE-2968763E7FAD}"/>
    <cellStyle name="Normal 4 2 4 3 2 5 2 4" xfId="26210" xr:uid="{0CC7432A-5833-49E1-B96A-D1D16EA66E67}"/>
    <cellStyle name="Normal 4 2 4 3 2 5 2 5" xfId="12749" xr:uid="{8E8EE63F-9ED7-4FA9-8657-3CE9E08D656C}"/>
    <cellStyle name="Normal 4 2 4 3 2 5 3" xfId="6393" xr:uid="{00000000-0005-0000-0000-00008D130000}"/>
    <cellStyle name="Normal 4 2 4 3 2 5 3 2" xfId="19026" xr:uid="{1F96BF12-61FB-4D39-8E87-B6EA17A892ED}"/>
    <cellStyle name="Normal 4 2 4 3 2 5 4" xfId="14815" xr:uid="{EE059FDB-32B9-468A-B48A-3A694172949B}"/>
    <cellStyle name="Normal 4 2 4 3 2 5 5" xfId="24065" xr:uid="{E8A158E1-DF29-4CD2-82FE-5EE209EA81C9}"/>
    <cellStyle name="Normal 4 2 4 3 2 5 6" xfId="10604" xr:uid="{46DDF264-AC56-44DE-BF4E-10AAA2D43ADD}"/>
    <cellStyle name="Normal 4 2 4 3 2 6" xfId="2521" xr:uid="{00000000-0005-0000-0000-00008E130000}"/>
    <cellStyle name="Normal 4 2 4 3 2 6 2" xfId="6806" xr:uid="{00000000-0005-0000-0000-00008F130000}"/>
    <cellStyle name="Normal 4 2 4 3 2 6 2 2" xfId="19439" xr:uid="{C91051EE-DC2A-49AF-87C8-E41197AA75F7}"/>
    <cellStyle name="Normal 4 2 4 3 2 6 3" xfId="15228" xr:uid="{A2227005-5148-4D94-97FE-599BB3E09275}"/>
    <cellStyle name="Normal 4 2 4 3 2 6 4" xfId="24478" xr:uid="{23297B04-8B84-458B-B1A5-95E28DDFE9D5}"/>
    <cellStyle name="Normal 4 2 4 3 2 6 5" xfId="11017" xr:uid="{8F512F94-C63A-4E27-B35B-F61CBC17B2E0}"/>
    <cellStyle name="Normal 4 2 4 3 2 7" xfId="4741" xr:uid="{00000000-0005-0000-0000-000090130000}"/>
    <cellStyle name="Normal 4 2 4 3 2 7 2" xfId="17374" xr:uid="{D180BBFC-220A-4E35-8193-06A8E393CE3B}"/>
    <cellStyle name="Normal 4 2 4 3 2 8" xfId="21584" xr:uid="{7E88CDD1-EB43-40CD-B2BC-805C512C87E1}"/>
    <cellStyle name="Normal 4 2 4 3 2 9" xfId="13163" xr:uid="{C65D656A-7592-4570-A06D-0C1F1622A834}"/>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9931" xr:uid="{0A2973A3-3471-4FA8-B13F-8F14ABF9444C}"/>
    <cellStyle name="Normal 4 2 4 3 3 2 3" xfId="15720" xr:uid="{2B20553E-2850-44E5-9018-D687775C76BA}"/>
    <cellStyle name="Normal 4 2 4 3 3 2 4" xfId="24970" xr:uid="{F8CF245F-D23B-46A7-B62B-51B0E74B8BCD}"/>
    <cellStyle name="Normal 4 2 4 3 3 2 5" xfId="11509" xr:uid="{42DFD08F-F31D-4BA1-8F2F-D1D2730F1505}"/>
    <cellStyle name="Normal 4 2 4 3 3 3" xfId="5153" xr:uid="{00000000-0005-0000-0000-000094130000}"/>
    <cellStyle name="Normal 4 2 4 3 3 3 2" xfId="17786" xr:uid="{3AE710F1-80D9-457A-8F8A-94D375DC4882}"/>
    <cellStyle name="Normal 4 2 4 3 3 4" xfId="21998" xr:uid="{2FC2B07C-E274-43E6-95B1-225889BB7913}"/>
    <cellStyle name="Normal 4 2 4 3 3 5" xfId="13575" xr:uid="{A0D58ED8-8FD6-4D64-804D-2B3CDE276713}"/>
    <cellStyle name="Normal 4 2 4 3 3 6" xfId="22825" xr:uid="{8E993F06-FBEF-4B68-95E3-2B51DF29D6FB}"/>
    <cellStyle name="Normal 4 2 4 3 3 7" xfId="9364" xr:uid="{37BC67E7-60CE-4095-BB00-633342769B22}"/>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20344" xr:uid="{DE5ED90F-7E00-46F1-BD5F-429C9EE27F95}"/>
    <cellStyle name="Normal 4 2 4 3 4 2 3" xfId="16133" xr:uid="{A35DD64F-1A1E-459F-BE20-FDDF2C518904}"/>
    <cellStyle name="Normal 4 2 4 3 4 2 4" xfId="25383" xr:uid="{9A63A2E5-39DC-4265-9C87-5D3AFF7DAC9E}"/>
    <cellStyle name="Normal 4 2 4 3 4 2 5" xfId="11922" xr:uid="{D75BBF81-837F-44AA-889C-0EEB85A0EF7A}"/>
    <cellStyle name="Normal 4 2 4 3 4 3" xfId="5566" xr:uid="{00000000-0005-0000-0000-000098130000}"/>
    <cellStyle name="Normal 4 2 4 3 4 3 2" xfId="18199" xr:uid="{C00E87E8-E5E6-4487-B892-2FFD5AA0B341}"/>
    <cellStyle name="Normal 4 2 4 3 4 4" xfId="13988" xr:uid="{61A05E96-062B-496D-BF70-1F6CBC82AFAE}"/>
    <cellStyle name="Normal 4 2 4 3 4 5" xfId="23238" xr:uid="{FA75ABAE-FCA9-47BC-B6EF-356C9F241837}"/>
    <cellStyle name="Normal 4 2 4 3 4 6" xfId="9777" xr:uid="{63DADCD9-9FC8-41CF-89AF-E532106AB086}"/>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20757" xr:uid="{FFF5958B-5C0E-4B2D-AF13-FD59FAB67569}"/>
    <cellStyle name="Normal 4 2 4 3 5 2 3" xfId="16546" xr:uid="{4DD95678-1B66-4925-9E76-03753FBBB487}"/>
    <cellStyle name="Normal 4 2 4 3 5 2 4" xfId="25796" xr:uid="{DF0446EA-B18C-4D84-9CF1-70729CABA46E}"/>
    <cellStyle name="Normal 4 2 4 3 5 2 5" xfId="12335" xr:uid="{E417F6F1-3DC4-4501-A776-2772EDE8FC5C}"/>
    <cellStyle name="Normal 4 2 4 3 5 3" xfId="5979" xr:uid="{00000000-0005-0000-0000-00009C130000}"/>
    <cellStyle name="Normal 4 2 4 3 5 3 2" xfId="18612" xr:uid="{8F5DAB91-B5C0-4DF2-A94A-FAB18BADE318}"/>
    <cellStyle name="Normal 4 2 4 3 5 4" xfId="14401" xr:uid="{5474566F-C9E0-4DEE-986A-37703436BC3C}"/>
    <cellStyle name="Normal 4 2 4 3 5 5" xfId="23651" xr:uid="{B818368A-6A96-4B5C-AF02-BA921FF1E4B7}"/>
    <cellStyle name="Normal 4 2 4 3 5 6" xfId="10190" xr:uid="{009872E4-2664-48AC-BA50-3132E014B442}"/>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21170" xr:uid="{713794CC-DD51-461D-AD47-A9F07DB72B24}"/>
    <cellStyle name="Normal 4 2 4 3 6 2 3" xfId="16959" xr:uid="{8D794290-2F1F-4630-B958-ABC01FE2C281}"/>
    <cellStyle name="Normal 4 2 4 3 6 2 4" xfId="26209" xr:uid="{51CEE58D-302D-46FB-A738-C8A066B524B9}"/>
    <cellStyle name="Normal 4 2 4 3 6 2 5" xfId="12748" xr:uid="{CF98D50A-8DC6-4552-8423-E1B455F165BB}"/>
    <cellStyle name="Normal 4 2 4 3 6 3" xfId="6392" xr:uid="{00000000-0005-0000-0000-0000A0130000}"/>
    <cellStyle name="Normal 4 2 4 3 6 3 2" xfId="19025" xr:uid="{972D7088-7D25-4BAF-9E15-4D4FE8B407A2}"/>
    <cellStyle name="Normal 4 2 4 3 6 4" xfId="14814" xr:uid="{14AD34BB-9D6A-445D-A01E-CF54B82FF668}"/>
    <cellStyle name="Normal 4 2 4 3 6 5" xfId="24064" xr:uid="{732CE8E6-11A7-4995-8E48-27CE4459BB44}"/>
    <cellStyle name="Normal 4 2 4 3 6 6" xfId="10603" xr:uid="{4B5023E5-9C7E-4C07-9968-93313739E2C5}"/>
    <cellStyle name="Normal 4 2 4 3 7" xfId="2520" xr:uid="{00000000-0005-0000-0000-0000A1130000}"/>
    <cellStyle name="Normal 4 2 4 3 7 2" xfId="6805" xr:uid="{00000000-0005-0000-0000-0000A2130000}"/>
    <cellStyle name="Normal 4 2 4 3 7 2 2" xfId="19438" xr:uid="{E823F777-BF5D-4539-8216-39D609DB940E}"/>
    <cellStyle name="Normal 4 2 4 3 7 3" xfId="15227" xr:uid="{CFDAF980-3606-4E09-A3E8-8866693708FE}"/>
    <cellStyle name="Normal 4 2 4 3 7 4" xfId="24477" xr:uid="{4063892A-43FA-475E-AEA2-99A94CC56149}"/>
    <cellStyle name="Normal 4 2 4 3 7 5" xfId="11016" xr:uid="{BB463286-9E61-467D-8D97-A6781D382F6E}"/>
    <cellStyle name="Normal 4 2 4 3 8" xfId="4740" xr:uid="{00000000-0005-0000-0000-0000A3130000}"/>
    <cellStyle name="Normal 4 2 4 3 8 2" xfId="17373" xr:uid="{A0B18A67-4CA6-4FCB-A3CF-23FFC139090A}"/>
    <cellStyle name="Normal 4 2 4 3 9" xfId="21583" xr:uid="{3B36B21E-8B8B-4398-AB93-84CE04813C70}"/>
    <cellStyle name="Normal 4 2 4 4" xfId="362" xr:uid="{00000000-0005-0000-0000-0000A4130000}"/>
    <cellStyle name="Normal 4 2 4 4 10" xfId="22414" xr:uid="{D4F1DBAF-9CFD-45AF-A049-F2616DEADA12}"/>
    <cellStyle name="Normal 4 2 4 4 11" xfId="8953" xr:uid="{E5AC0998-CA1E-4CC7-9639-E6531B3DD4D1}"/>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9933" xr:uid="{75CC7ACC-CE85-4388-BD6F-590EC1DCB8C5}"/>
    <cellStyle name="Normal 4 2 4 4 2 2 3" xfId="15722" xr:uid="{67492DC0-3F90-4DF2-AAB5-8B89C1B886F6}"/>
    <cellStyle name="Normal 4 2 4 4 2 2 4" xfId="24972" xr:uid="{801C6B17-9D43-43FD-94C3-5DF53B25C2BD}"/>
    <cellStyle name="Normal 4 2 4 4 2 2 5" xfId="11511" xr:uid="{ED345CB9-7C6C-411C-B184-942FDAABD9E1}"/>
    <cellStyle name="Normal 4 2 4 4 2 3" xfId="5155" xr:uid="{00000000-0005-0000-0000-0000A8130000}"/>
    <cellStyle name="Normal 4 2 4 4 2 3 2" xfId="17788" xr:uid="{2717489E-1E9D-4584-A89F-4D130EAAB6E5}"/>
    <cellStyle name="Normal 4 2 4 4 2 4" xfId="22000" xr:uid="{73E76D76-731E-4406-919B-F97DDFFB6F60}"/>
    <cellStyle name="Normal 4 2 4 4 2 5" xfId="13577" xr:uid="{DA2928D7-CCD5-441B-AF73-24D65A9E0EB1}"/>
    <cellStyle name="Normal 4 2 4 4 2 6" xfId="22827" xr:uid="{558DCACD-8798-4B28-972F-C2DD57B59D8B}"/>
    <cellStyle name="Normal 4 2 4 4 2 7" xfId="9366" xr:uid="{DA50725F-01AE-479D-AC2A-C4DD21E2C467}"/>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20346" xr:uid="{D18D65E8-B773-4061-BF9D-B10A60AF6FFC}"/>
    <cellStyle name="Normal 4 2 4 4 3 2 3" xfId="16135" xr:uid="{2D2B69E0-F9DA-45F3-A372-CFA4950296C4}"/>
    <cellStyle name="Normal 4 2 4 4 3 2 4" xfId="25385" xr:uid="{765066C0-37F4-4713-94E7-C1A729FBB26D}"/>
    <cellStyle name="Normal 4 2 4 4 3 2 5" xfId="11924" xr:uid="{F512D645-F0FF-4E37-B0BC-B60D6869EC58}"/>
    <cellStyle name="Normal 4 2 4 4 3 3" xfId="5568" xr:uid="{00000000-0005-0000-0000-0000AC130000}"/>
    <cellStyle name="Normal 4 2 4 4 3 3 2" xfId="18201" xr:uid="{F6DE0683-AFF2-4C16-B78B-945A6B29D454}"/>
    <cellStyle name="Normal 4 2 4 4 3 4" xfId="13990" xr:uid="{FB56A82A-5D23-4042-B66E-0EF3E40B0C15}"/>
    <cellStyle name="Normal 4 2 4 4 3 5" xfId="23240" xr:uid="{983E3F79-E82B-4E3C-87C6-D1EC743398CF}"/>
    <cellStyle name="Normal 4 2 4 4 3 6" xfId="9779" xr:uid="{7CACC23A-CBF9-422D-AAB4-200DED34DB71}"/>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20759" xr:uid="{9A409FFE-5655-47E2-B4E6-126DE90BF677}"/>
    <cellStyle name="Normal 4 2 4 4 4 2 3" xfId="16548" xr:uid="{0D59D57C-D549-43D6-8088-C1E3C28FA293}"/>
    <cellStyle name="Normal 4 2 4 4 4 2 4" xfId="25798" xr:uid="{DC0A2D8D-EFD7-4AE3-816A-646889DEF8BB}"/>
    <cellStyle name="Normal 4 2 4 4 4 2 5" xfId="12337" xr:uid="{F8AC04D6-E3EC-4C94-BC3F-4AB25CE45977}"/>
    <cellStyle name="Normal 4 2 4 4 4 3" xfId="5981" xr:uid="{00000000-0005-0000-0000-0000B0130000}"/>
    <cellStyle name="Normal 4 2 4 4 4 3 2" xfId="18614" xr:uid="{200F56B3-8BB8-49E8-80B8-8EBAA070C1E9}"/>
    <cellStyle name="Normal 4 2 4 4 4 4" xfId="14403" xr:uid="{0346136F-0F82-4B65-9854-ADC028854FAC}"/>
    <cellStyle name="Normal 4 2 4 4 4 5" xfId="23653" xr:uid="{CE76D45B-7D4A-4589-B4C9-C50582356BEE}"/>
    <cellStyle name="Normal 4 2 4 4 4 6" xfId="10192" xr:uid="{8C32CC85-064D-4D39-B87F-C8334617F306}"/>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21172" xr:uid="{23276F17-9987-48C3-B495-30BC5C90F01A}"/>
    <cellStyle name="Normal 4 2 4 4 5 2 3" xfId="16961" xr:uid="{9E0F0C15-FBEA-4EB4-800B-82949140A4D9}"/>
    <cellStyle name="Normal 4 2 4 4 5 2 4" xfId="26211" xr:uid="{433CFB9E-7055-400A-882A-F706F66F4EBC}"/>
    <cellStyle name="Normal 4 2 4 4 5 2 5" xfId="12750" xr:uid="{845B4841-FDD0-4365-81C3-18C9ECABE45C}"/>
    <cellStyle name="Normal 4 2 4 4 5 3" xfId="6394" xr:uid="{00000000-0005-0000-0000-0000B4130000}"/>
    <cellStyle name="Normal 4 2 4 4 5 3 2" xfId="19027" xr:uid="{C147802C-17B9-488B-8021-6D63BB2DBB8D}"/>
    <cellStyle name="Normal 4 2 4 4 5 4" xfId="14816" xr:uid="{893A602B-8590-4B35-A14E-355AB053DC71}"/>
    <cellStyle name="Normal 4 2 4 4 5 5" xfId="24066" xr:uid="{F5EC37E4-FA5C-44D6-8381-710570A29EBB}"/>
    <cellStyle name="Normal 4 2 4 4 5 6" xfId="10605" xr:uid="{BCF75C94-4F18-4A66-A887-A045EE87DA2D}"/>
    <cellStyle name="Normal 4 2 4 4 6" xfId="2522" xr:uid="{00000000-0005-0000-0000-0000B5130000}"/>
    <cellStyle name="Normal 4 2 4 4 6 2" xfId="6807" xr:uid="{00000000-0005-0000-0000-0000B6130000}"/>
    <cellStyle name="Normal 4 2 4 4 6 2 2" xfId="19440" xr:uid="{2DC1D8A5-457F-4305-819B-D494EDF28CFE}"/>
    <cellStyle name="Normal 4 2 4 4 6 3" xfId="15229" xr:uid="{AC0E6906-2E10-414E-9858-2387BB3A7D6F}"/>
    <cellStyle name="Normal 4 2 4 4 6 4" xfId="24479" xr:uid="{25827BE7-BEFB-438A-AB37-9CE9E8ED2E8E}"/>
    <cellStyle name="Normal 4 2 4 4 6 5" xfId="11018" xr:uid="{2FF60D0B-0CE9-4563-A243-8949652EDA47}"/>
    <cellStyle name="Normal 4 2 4 4 7" xfId="4742" xr:uid="{00000000-0005-0000-0000-0000B7130000}"/>
    <cellStyle name="Normal 4 2 4 4 7 2" xfId="17375" xr:uid="{227A0851-C979-40E7-A333-18F07F63FD78}"/>
    <cellStyle name="Normal 4 2 4 4 8" xfId="21585" xr:uid="{DAD2AAC8-C70B-4548-A0DA-6BFF11E8957F}"/>
    <cellStyle name="Normal 4 2 4 4 9" xfId="13164" xr:uid="{065E8265-F93E-4A36-9470-E16521455FCC}"/>
    <cellStyle name="Normal 4 2 4 5" xfId="832" xr:uid="{00000000-0005-0000-0000-0000B8130000}"/>
    <cellStyle name="Normal 4 2 4 5 2" xfId="3069" xr:uid="{00000000-0005-0000-0000-0000B9130000}"/>
    <cellStyle name="Normal 4 2 4 5 2 2" xfId="7293" xr:uid="{00000000-0005-0000-0000-0000BA130000}"/>
    <cellStyle name="Normal 4 2 4 5 2 2 2" xfId="19926" xr:uid="{D4D29C78-51C3-425E-96D6-37ECDE476C4D}"/>
    <cellStyle name="Normal 4 2 4 5 2 3" xfId="15715" xr:uid="{F11F9BE7-D891-433D-888D-3FEFD0EB7D10}"/>
    <cellStyle name="Normal 4 2 4 5 2 4" xfId="24965" xr:uid="{28638D76-AB23-484E-82B9-01C3D84CF98C}"/>
    <cellStyle name="Normal 4 2 4 5 2 5" xfId="11504" xr:uid="{090292B4-4A12-474D-8A03-56F1CCE9C688}"/>
    <cellStyle name="Normal 4 2 4 5 3" xfId="5148" xr:uid="{00000000-0005-0000-0000-0000BB130000}"/>
    <cellStyle name="Normal 4 2 4 5 3 2" xfId="17781" xr:uid="{E68351E1-A21D-4F0D-A040-EF77613A4B2F}"/>
    <cellStyle name="Normal 4 2 4 5 4" xfId="21993" xr:uid="{37FFBA6C-0550-4842-A124-334394843FD3}"/>
    <cellStyle name="Normal 4 2 4 5 5" xfId="13570" xr:uid="{08F40E53-2E64-4AD8-9150-94E606FB5B1F}"/>
    <cellStyle name="Normal 4 2 4 5 6" xfId="22820" xr:uid="{150E8CB3-0A01-4BD5-A2C5-74BFE6BFBE19}"/>
    <cellStyle name="Normal 4 2 4 5 7" xfId="9359" xr:uid="{F074D1B5-EFEA-444E-875F-FE012353B43E}"/>
    <cellStyle name="Normal 4 2 4 6" xfId="1252" xr:uid="{00000000-0005-0000-0000-0000BC130000}"/>
    <cellStyle name="Normal 4 2 4 6 2" xfId="3482" xr:uid="{00000000-0005-0000-0000-0000BD130000}"/>
    <cellStyle name="Normal 4 2 4 6 2 2" xfId="7706" xr:uid="{00000000-0005-0000-0000-0000BE130000}"/>
    <cellStyle name="Normal 4 2 4 6 2 2 2" xfId="20339" xr:uid="{0EFF1E5F-CA09-4A40-BB90-393755CC4803}"/>
    <cellStyle name="Normal 4 2 4 6 2 3" xfId="16128" xr:uid="{428A2493-C3F7-46C9-A03B-E32D03CB73DF}"/>
    <cellStyle name="Normal 4 2 4 6 2 4" xfId="25378" xr:uid="{10C60BAB-6C9A-406E-AC74-B8098377D68D}"/>
    <cellStyle name="Normal 4 2 4 6 2 5" xfId="11917" xr:uid="{F5D52520-95CB-4759-9417-AA4A54439866}"/>
    <cellStyle name="Normal 4 2 4 6 3" xfId="5561" xr:uid="{00000000-0005-0000-0000-0000BF130000}"/>
    <cellStyle name="Normal 4 2 4 6 3 2" xfId="18194" xr:uid="{F7C66801-B1D8-4807-AD2D-8CD7EBDD84E5}"/>
    <cellStyle name="Normal 4 2 4 6 4" xfId="13983" xr:uid="{F9A86367-FB71-4799-81F6-EEF05061B99D}"/>
    <cellStyle name="Normal 4 2 4 6 5" xfId="23233" xr:uid="{029BBF45-0CE5-4D15-BED2-ABF32C1DF675}"/>
    <cellStyle name="Normal 4 2 4 6 6" xfId="9772" xr:uid="{9E334A6A-4F6D-44B2-BA37-C67B63C644F3}"/>
    <cellStyle name="Normal 4 2 4 7" xfId="1665" xr:uid="{00000000-0005-0000-0000-0000C0130000}"/>
    <cellStyle name="Normal 4 2 4 7 2" xfId="3895" xr:uid="{00000000-0005-0000-0000-0000C1130000}"/>
    <cellStyle name="Normal 4 2 4 7 2 2" xfId="8119" xr:uid="{00000000-0005-0000-0000-0000C2130000}"/>
    <cellStyle name="Normal 4 2 4 7 2 2 2" xfId="20752" xr:uid="{E70BE1EB-1918-4208-97DA-78F6FF0263AF}"/>
    <cellStyle name="Normal 4 2 4 7 2 3" xfId="16541" xr:uid="{D4438905-6208-4ACA-BD9B-9D960FA3B042}"/>
    <cellStyle name="Normal 4 2 4 7 2 4" xfId="25791" xr:uid="{4C8A3A64-AF0F-4760-8447-4D0EBB670983}"/>
    <cellStyle name="Normal 4 2 4 7 2 5" xfId="12330" xr:uid="{2E836C52-1000-4642-BE83-1C48BD936D1E}"/>
    <cellStyle name="Normal 4 2 4 7 3" xfId="5974" xr:uid="{00000000-0005-0000-0000-0000C3130000}"/>
    <cellStyle name="Normal 4 2 4 7 3 2" xfId="18607" xr:uid="{A41A9526-FC39-4E5B-82A7-30C56EFDE96F}"/>
    <cellStyle name="Normal 4 2 4 7 4" xfId="14396" xr:uid="{6B7B7625-CA9E-46D7-B61D-63961033CBD7}"/>
    <cellStyle name="Normal 4 2 4 7 5" xfId="23646" xr:uid="{DFBA06D4-A5B0-4B63-8AA8-41FBD7475F25}"/>
    <cellStyle name="Normal 4 2 4 7 6" xfId="10185" xr:uid="{5D915C8E-A195-4D97-8A1C-0D9617DEB387}"/>
    <cellStyle name="Normal 4 2 4 8" xfId="2079" xr:uid="{00000000-0005-0000-0000-0000C4130000}"/>
    <cellStyle name="Normal 4 2 4 8 2" xfId="4308" xr:uid="{00000000-0005-0000-0000-0000C5130000}"/>
    <cellStyle name="Normal 4 2 4 8 2 2" xfId="8532" xr:uid="{00000000-0005-0000-0000-0000C6130000}"/>
    <cellStyle name="Normal 4 2 4 8 2 2 2" xfId="21165" xr:uid="{44016E67-07E2-42FD-9CF1-0CA0C3135557}"/>
    <cellStyle name="Normal 4 2 4 8 2 3" xfId="16954" xr:uid="{8702F81B-83D2-4A36-B637-735A6FC2FBDD}"/>
    <cellStyle name="Normal 4 2 4 8 2 4" xfId="26204" xr:uid="{B724FC66-7EDC-49E7-984C-64E750AD5582}"/>
    <cellStyle name="Normal 4 2 4 8 2 5" xfId="12743" xr:uid="{B2D27A96-A79E-4A0E-B9E4-EF31EF96C199}"/>
    <cellStyle name="Normal 4 2 4 8 3" xfId="6387" xr:uid="{00000000-0005-0000-0000-0000C7130000}"/>
    <cellStyle name="Normal 4 2 4 8 3 2" xfId="19020" xr:uid="{9023187F-91F3-418D-B9E0-BEF23B228F68}"/>
    <cellStyle name="Normal 4 2 4 8 4" xfId="14809" xr:uid="{4768F4F4-2C8D-4AEB-A9D7-9525D6807814}"/>
    <cellStyle name="Normal 4 2 4 8 5" xfId="24059" xr:uid="{1C9984D5-F3DF-419E-B885-8F7282CE5B7C}"/>
    <cellStyle name="Normal 4 2 4 8 6" xfId="10598" xr:uid="{4B8BD2DF-883E-49B0-AEA5-266D222B549A}"/>
    <cellStyle name="Normal 4 2 4 9" xfId="2515" xr:uid="{00000000-0005-0000-0000-0000C8130000}"/>
    <cellStyle name="Normal 4 2 4 9 2" xfId="6800" xr:uid="{00000000-0005-0000-0000-0000C9130000}"/>
    <cellStyle name="Normal 4 2 4 9 2 2" xfId="19433" xr:uid="{7CF7009E-9969-4F31-ACA2-83CAC7D8F3D7}"/>
    <cellStyle name="Normal 4 2 4 9 3" xfId="15222" xr:uid="{4E1ABDB2-EB7C-4318-B5AA-F073378E0521}"/>
    <cellStyle name="Normal 4 2 4 9 4" xfId="24472" xr:uid="{28CE5D0F-25D0-424E-A945-64FDE73D4020}"/>
    <cellStyle name="Normal 4 2 4 9 5" xfId="11011" xr:uid="{B3C66090-1BEC-4827-B0B7-74BCC0CFB11E}"/>
    <cellStyle name="Normal 4 2 5" xfId="363" xr:uid="{00000000-0005-0000-0000-0000CA130000}"/>
    <cellStyle name="Normal 4 2 5 10" xfId="13165" xr:uid="{6C95C528-DAA5-4EFB-89DB-60EFB6C859BA}"/>
    <cellStyle name="Normal 4 2 5 11" xfId="22415" xr:uid="{50A63CCF-8CCF-4756-8F9F-D8279E936E2C}"/>
    <cellStyle name="Normal 4 2 5 12" xfId="8954" xr:uid="{18CD703C-C353-490E-B10E-1BB0ACC16B19}"/>
    <cellStyle name="Normal 4 2 5 2" xfId="364" xr:uid="{00000000-0005-0000-0000-0000CB130000}"/>
    <cellStyle name="Normal 4 2 5 2 10" xfId="22416" xr:uid="{10B507DB-0105-4F83-96EC-D785B5DB1DED}"/>
    <cellStyle name="Normal 4 2 5 2 11" xfId="8955" xr:uid="{CEF05515-B7F7-4BA1-A9A3-9B1F3691DAC8}"/>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9935" xr:uid="{659A66C3-D0BA-4442-A07C-06FAE4B99A76}"/>
    <cellStyle name="Normal 4 2 5 2 2 2 3" xfId="15724" xr:uid="{37F87AD5-0EA4-476A-971A-B414BAA3E7AE}"/>
    <cellStyle name="Normal 4 2 5 2 2 2 4" xfId="24974" xr:uid="{C9319D43-6455-4722-90B9-7AF90B59A5E7}"/>
    <cellStyle name="Normal 4 2 5 2 2 2 5" xfId="11513" xr:uid="{539C173F-F4FD-41BA-8586-95F6BFB355B8}"/>
    <cellStyle name="Normal 4 2 5 2 2 3" xfId="5157" xr:uid="{00000000-0005-0000-0000-0000CF130000}"/>
    <cellStyle name="Normal 4 2 5 2 2 3 2" xfId="17790" xr:uid="{D3A2E737-2E25-4E46-97FC-057ADD78B7B4}"/>
    <cellStyle name="Normal 4 2 5 2 2 4" xfId="22002" xr:uid="{C54561E3-77E5-4EAC-AEDB-D58DB0A6776C}"/>
    <cellStyle name="Normal 4 2 5 2 2 5" xfId="13579" xr:uid="{CC9A4F80-1201-4963-B945-0016BCCF42CD}"/>
    <cellStyle name="Normal 4 2 5 2 2 6" xfId="22829" xr:uid="{5FF6E5C3-1DAA-4141-B036-06B5F484E8DC}"/>
    <cellStyle name="Normal 4 2 5 2 2 7" xfId="9368" xr:uid="{2E698E0D-63BF-4EA7-B91C-BA3680BF6B26}"/>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20348" xr:uid="{B835D8F0-7764-4BAF-8CE3-6FE948FB5D73}"/>
    <cellStyle name="Normal 4 2 5 2 3 2 3" xfId="16137" xr:uid="{87AF972D-0633-461F-B170-86F11FA80560}"/>
    <cellStyle name="Normal 4 2 5 2 3 2 4" xfId="25387" xr:uid="{8ADAD1B2-80F8-42C8-AB49-DA3D9E923D70}"/>
    <cellStyle name="Normal 4 2 5 2 3 2 5" xfId="11926" xr:uid="{D44C9BA2-A333-4F7B-AF8B-48DA16A7520D}"/>
    <cellStyle name="Normal 4 2 5 2 3 3" xfId="5570" xr:uid="{00000000-0005-0000-0000-0000D3130000}"/>
    <cellStyle name="Normal 4 2 5 2 3 3 2" xfId="18203" xr:uid="{A1BC37B3-89EF-4C14-91EC-B3BC0C1A2645}"/>
    <cellStyle name="Normal 4 2 5 2 3 4" xfId="13992" xr:uid="{3A932B8A-C52B-4214-A905-E7A0170D8C7F}"/>
    <cellStyle name="Normal 4 2 5 2 3 5" xfId="23242" xr:uid="{72864F43-EBD3-42B1-A945-84169F7C831A}"/>
    <cellStyle name="Normal 4 2 5 2 3 6" xfId="9781" xr:uid="{AA4C7884-28CD-4C32-9FDD-102C627FA6D5}"/>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20761" xr:uid="{C9D48172-3C9F-4F45-BBE3-BD37D46B18C0}"/>
    <cellStyle name="Normal 4 2 5 2 4 2 3" xfId="16550" xr:uid="{398FA46A-F6B5-4DFB-ADB6-EA1B424DD38D}"/>
    <cellStyle name="Normal 4 2 5 2 4 2 4" xfId="25800" xr:uid="{944EAE02-B815-4C7A-A716-5BB9AAF8C36A}"/>
    <cellStyle name="Normal 4 2 5 2 4 2 5" xfId="12339" xr:uid="{AC0D3A81-3A89-471D-B8ED-60FAE4F0C1A2}"/>
    <cellStyle name="Normal 4 2 5 2 4 3" xfId="5983" xr:uid="{00000000-0005-0000-0000-0000D7130000}"/>
    <cellStyle name="Normal 4 2 5 2 4 3 2" xfId="18616" xr:uid="{A28978D0-0B85-4ABA-B146-FB64C5B3A981}"/>
    <cellStyle name="Normal 4 2 5 2 4 4" xfId="14405" xr:uid="{751603F5-3192-4E82-A6F2-52440F868653}"/>
    <cellStyle name="Normal 4 2 5 2 4 5" xfId="23655" xr:uid="{40BC671C-4F42-47AE-BA73-E0615951150F}"/>
    <cellStyle name="Normal 4 2 5 2 4 6" xfId="10194" xr:uid="{CB585D0F-1973-46FB-B528-1BF43676C393}"/>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21174" xr:uid="{AE4D84A4-247B-47B9-9853-D6C1DBF28EBB}"/>
    <cellStyle name="Normal 4 2 5 2 5 2 3" xfId="16963" xr:uid="{EF6043B1-D30B-4C44-BBE8-6C4CC6899AF9}"/>
    <cellStyle name="Normal 4 2 5 2 5 2 4" xfId="26213" xr:uid="{91997965-36BC-4241-9A94-EEE770C2F770}"/>
    <cellStyle name="Normal 4 2 5 2 5 2 5" xfId="12752" xr:uid="{02361348-7CC1-4563-880F-D01B193590ED}"/>
    <cellStyle name="Normal 4 2 5 2 5 3" xfId="6396" xr:uid="{00000000-0005-0000-0000-0000DB130000}"/>
    <cellStyle name="Normal 4 2 5 2 5 3 2" xfId="19029" xr:uid="{B6295DB0-E6B3-4902-866A-B0CB28CAA685}"/>
    <cellStyle name="Normal 4 2 5 2 5 4" xfId="14818" xr:uid="{BE485E83-9188-4FE7-BECE-E8EC7E3A374B}"/>
    <cellStyle name="Normal 4 2 5 2 5 5" xfId="24068" xr:uid="{87E036CF-CBDA-469C-A351-CC64ACA2E84D}"/>
    <cellStyle name="Normal 4 2 5 2 5 6" xfId="10607" xr:uid="{4BF28BF0-C41A-47A6-9331-E27365AD76C0}"/>
    <cellStyle name="Normal 4 2 5 2 6" xfId="2524" xr:uid="{00000000-0005-0000-0000-0000DC130000}"/>
    <cellStyle name="Normal 4 2 5 2 6 2" xfId="6809" xr:uid="{00000000-0005-0000-0000-0000DD130000}"/>
    <cellStyle name="Normal 4 2 5 2 6 2 2" xfId="19442" xr:uid="{3AD607A2-25A6-4327-B278-8B35563D33C0}"/>
    <cellStyle name="Normal 4 2 5 2 6 3" xfId="15231" xr:uid="{68165CF1-FCC8-4B6F-9EF5-597546889DEA}"/>
    <cellStyle name="Normal 4 2 5 2 6 4" xfId="24481" xr:uid="{D324FD62-562C-40F7-9313-504F41FCE869}"/>
    <cellStyle name="Normal 4 2 5 2 6 5" xfId="11020" xr:uid="{9107D828-E96A-474A-8CD4-C3D77815AEA5}"/>
    <cellStyle name="Normal 4 2 5 2 7" xfId="4744" xr:uid="{00000000-0005-0000-0000-0000DE130000}"/>
    <cellStyle name="Normal 4 2 5 2 7 2" xfId="17377" xr:uid="{91375847-30C0-4A3E-889A-AE6AC9D68626}"/>
    <cellStyle name="Normal 4 2 5 2 8" xfId="21587" xr:uid="{58BF75C6-9251-45B5-8BB4-F2460042113F}"/>
    <cellStyle name="Normal 4 2 5 2 9" xfId="13166" xr:uid="{88FD9B18-C5A1-4D0F-B76C-5DE4EBE51C27}"/>
    <cellStyle name="Normal 4 2 5 3" xfId="840" xr:uid="{00000000-0005-0000-0000-0000DF130000}"/>
    <cellStyle name="Normal 4 2 5 3 2" xfId="3077" xr:uid="{00000000-0005-0000-0000-0000E0130000}"/>
    <cellStyle name="Normal 4 2 5 3 2 2" xfId="7301" xr:uid="{00000000-0005-0000-0000-0000E1130000}"/>
    <cellStyle name="Normal 4 2 5 3 2 2 2" xfId="19934" xr:uid="{7E2B4596-2174-4618-9DF9-18DC57A32462}"/>
    <cellStyle name="Normal 4 2 5 3 2 3" xfId="15723" xr:uid="{D7CF9620-F1A0-4BA9-9B61-87FD75BDA647}"/>
    <cellStyle name="Normal 4 2 5 3 2 4" xfId="24973" xr:uid="{8FBDACB3-2169-499C-B313-29955BABF854}"/>
    <cellStyle name="Normal 4 2 5 3 2 5" xfId="11512" xr:uid="{D628343C-5DBE-4136-8757-962FA0F1F132}"/>
    <cellStyle name="Normal 4 2 5 3 3" xfId="5156" xr:uid="{00000000-0005-0000-0000-0000E2130000}"/>
    <cellStyle name="Normal 4 2 5 3 3 2" xfId="17789" xr:uid="{3102DA31-2606-47B0-9AF9-992A46AF4C88}"/>
    <cellStyle name="Normal 4 2 5 3 4" xfId="22001" xr:uid="{678BE46C-DA3B-4943-A9B9-5BCB13D638C4}"/>
    <cellStyle name="Normal 4 2 5 3 5" xfId="13578" xr:uid="{DFD0FF01-805E-462B-AFEE-A07A62AA02C9}"/>
    <cellStyle name="Normal 4 2 5 3 6" xfId="22828" xr:uid="{4A484E3E-AB45-4CAB-BD9D-864552A119B1}"/>
    <cellStyle name="Normal 4 2 5 3 7" xfId="9367" xr:uid="{963CEB5E-0A7F-4B9E-856A-AB20D1FE6A25}"/>
    <cellStyle name="Normal 4 2 5 4" xfId="1260" xr:uid="{00000000-0005-0000-0000-0000E3130000}"/>
    <cellStyle name="Normal 4 2 5 4 2" xfId="3490" xr:uid="{00000000-0005-0000-0000-0000E4130000}"/>
    <cellStyle name="Normal 4 2 5 4 2 2" xfId="7714" xr:uid="{00000000-0005-0000-0000-0000E5130000}"/>
    <cellStyle name="Normal 4 2 5 4 2 2 2" xfId="20347" xr:uid="{2B7044EF-32B3-4EEF-B1CF-EFB07D0F3925}"/>
    <cellStyle name="Normal 4 2 5 4 2 3" xfId="16136" xr:uid="{0FBB49CC-3C69-41A0-99BB-2A4BA1B74568}"/>
    <cellStyle name="Normal 4 2 5 4 2 4" xfId="25386" xr:uid="{AE8BE3B3-D949-433A-80E0-A32D12CF6B28}"/>
    <cellStyle name="Normal 4 2 5 4 2 5" xfId="11925" xr:uid="{CEC7B9A4-BDA4-46F6-8CE2-58D422AA9440}"/>
    <cellStyle name="Normal 4 2 5 4 3" xfId="5569" xr:uid="{00000000-0005-0000-0000-0000E6130000}"/>
    <cellStyle name="Normal 4 2 5 4 3 2" xfId="18202" xr:uid="{380CFF2F-B042-4298-891D-0C5D2A1BEBDA}"/>
    <cellStyle name="Normal 4 2 5 4 4" xfId="13991" xr:uid="{7BF1B46B-7565-4C50-A044-F055A06F753B}"/>
    <cellStyle name="Normal 4 2 5 4 5" xfId="23241" xr:uid="{88ECFB9D-BA1D-437B-B455-CE61E7DFF469}"/>
    <cellStyle name="Normal 4 2 5 4 6" xfId="9780" xr:uid="{ABCDB179-663D-4337-A027-75025506E956}"/>
    <cellStyle name="Normal 4 2 5 5" xfId="1673" xr:uid="{00000000-0005-0000-0000-0000E7130000}"/>
    <cellStyle name="Normal 4 2 5 5 2" xfId="3903" xr:uid="{00000000-0005-0000-0000-0000E8130000}"/>
    <cellStyle name="Normal 4 2 5 5 2 2" xfId="8127" xr:uid="{00000000-0005-0000-0000-0000E9130000}"/>
    <cellStyle name="Normal 4 2 5 5 2 2 2" xfId="20760" xr:uid="{358EBBB2-46A8-4BB1-B176-561EDDD536FA}"/>
    <cellStyle name="Normal 4 2 5 5 2 3" xfId="16549" xr:uid="{68AC52A3-DFA4-43CD-BD2D-371477746012}"/>
    <cellStyle name="Normal 4 2 5 5 2 4" xfId="25799" xr:uid="{1FCBD463-99D2-49FB-BE6E-A0B0EA6F8C29}"/>
    <cellStyle name="Normal 4 2 5 5 2 5" xfId="12338" xr:uid="{34224443-D03D-4D0A-8FCB-9A7006DC3CD5}"/>
    <cellStyle name="Normal 4 2 5 5 3" xfId="5982" xr:uid="{00000000-0005-0000-0000-0000EA130000}"/>
    <cellStyle name="Normal 4 2 5 5 3 2" xfId="18615" xr:uid="{59D9365C-96D1-411C-BB73-6B216BA97E05}"/>
    <cellStyle name="Normal 4 2 5 5 4" xfId="14404" xr:uid="{C7444942-D703-49CF-9F49-AB3CF1BB14A1}"/>
    <cellStyle name="Normal 4 2 5 5 5" xfId="23654" xr:uid="{DD1FB360-3727-4CD9-B1A5-7F162E770B0D}"/>
    <cellStyle name="Normal 4 2 5 5 6" xfId="10193" xr:uid="{20BC0B12-9A6C-458E-9AB7-EE433D38B754}"/>
    <cellStyle name="Normal 4 2 5 6" xfId="2087" xr:uid="{00000000-0005-0000-0000-0000EB130000}"/>
    <cellStyle name="Normal 4 2 5 6 2" xfId="4316" xr:uid="{00000000-0005-0000-0000-0000EC130000}"/>
    <cellStyle name="Normal 4 2 5 6 2 2" xfId="8540" xr:uid="{00000000-0005-0000-0000-0000ED130000}"/>
    <cellStyle name="Normal 4 2 5 6 2 2 2" xfId="21173" xr:uid="{8B4ACD4B-6A69-4E69-A7FF-F57258ACD77A}"/>
    <cellStyle name="Normal 4 2 5 6 2 3" xfId="16962" xr:uid="{35E8992F-5239-426F-9627-A9759C895303}"/>
    <cellStyle name="Normal 4 2 5 6 2 4" xfId="26212" xr:uid="{2C693641-C488-440F-871D-EA048D8356FB}"/>
    <cellStyle name="Normal 4 2 5 6 2 5" xfId="12751" xr:uid="{178964D9-5855-46E0-AAD3-1B9D4514956A}"/>
    <cellStyle name="Normal 4 2 5 6 3" xfId="6395" xr:uid="{00000000-0005-0000-0000-0000EE130000}"/>
    <cellStyle name="Normal 4 2 5 6 3 2" xfId="19028" xr:uid="{E6402D06-2BEC-4D04-A18D-8D8D2513F858}"/>
    <cellStyle name="Normal 4 2 5 6 4" xfId="14817" xr:uid="{67F6B41E-3DF9-4967-97B2-FC50C20160DE}"/>
    <cellStyle name="Normal 4 2 5 6 5" xfId="24067" xr:uid="{BF29896B-547D-47A5-9968-F02A55138AF2}"/>
    <cellStyle name="Normal 4 2 5 6 6" xfId="10606" xr:uid="{816DC936-46D9-4F0C-BD55-DFB0E2B02EB6}"/>
    <cellStyle name="Normal 4 2 5 7" xfId="2523" xr:uid="{00000000-0005-0000-0000-0000EF130000}"/>
    <cellStyle name="Normal 4 2 5 7 2" xfId="6808" xr:uid="{00000000-0005-0000-0000-0000F0130000}"/>
    <cellStyle name="Normal 4 2 5 7 2 2" xfId="19441" xr:uid="{6E74F031-E50C-4ACF-AAED-48F7CADD982C}"/>
    <cellStyle name="Normal 4 2 5 7 3" xfId="15230" xr:uid="{3CE73B86-EA76-460D-8646-670B1431ED12}"/>
    <cellStyle name="Normal 4 2 5 7 4" xfId="24480" xr:uid="{455AD96B-38E4-4B3A-9DBC-02CF19827A37}"/>
    <cellStyle name="Normal 4 2 5 7 5" xfId="11019" xr:uid="{3BD8252D-54AC-4505-A45A-B106A98BAAA2}"/>
    <cellStyle name="Normal 4 2 5 8" xfId="4743" xr:uid="{00000000-0005-0000-0000-0000F1130000}"/>
    <cellStyle name="Normal 4 2 5 8 2" xfId="17376" xr:uid="{D32ED234-1B35-4E5A-97E3-B041C43B34F0}"/>
    <cellStyle name="Normal 4 2 5 9" xfId="21586" xr:uid="{DDAF572C-B2A1-4F85-9675-AC8F5BC77D9E}"/>
    <cellStyle name="Normal 4 2 6" xfId="365" xr:uid="{00000000-0005-0000-0000-0000F2130000}"/>
    <cellStyle name="Normal 4 2 6 10" xfId="22417" xr:uid="{E4D0E556-18FA-4571-8078-94468F0EC5DF}"/>
    <cellStyle name="Normal 4 2 6 11" xfId="8956" xr:uid="{55907547-EC17-4143-979E-88B2E8E6C89E}"/>
    <cellStyle name="Normal 4 2 6 2" xfId="842" xr:uid="{00000000-0005-0000-0000-0000F3130000}"/>
    <cellStyle name="Normal 4 2 6 2 2" xfId="3079" xr:uid="{00000000-0005-0000-0000-0000F4130000}"/>
    <cellStyle name="Normal 4 2 6 2 2 2" xfId="7303" xr:uid="{00000000-0005-0000-0000-0000F5130000}"/>
    <cellStyle name="Normal 4 2 6 2 2 2 2" xfId="19936" xr:uid="{E7A2DF7B-2B16-490F-B0DE-67210CCC0E31}"/>
    <cellStyle name="Normal 4 2 6 2 2 3" xfId="15725" xr:uid="{5B46D0BC-DB5E-4720-A013-53401564C050}"/>
    <cellStyle name="Normal 4 2 6 2 2 4" xfId="24975" xr:uid="{C3500E66-4793-490B-A720-4D490B5ED169}"/>
    <cellStyle name="Normal 4 2 6 2 2 5" xfId="11514" xr:uid="{691365C5-8C3D-42D7-89DF-A74C66C0907A}"/>
    <cellStyle name="Normal 4 2 6 2 3" xfId="5158" xr:uid="{00000000-0005-0000-0000-0000F6130000}"/>
    <cellStyle name="Normal 4 2 6 2 3 2" xfId="17791" xr:uid="{88B2D88E-967E-42A3-A242-5171C2537BD5}"/>
    <cellStyle name="Normal 4 2 6 2 4" xfId="22003" xr:uid="{A922EB78-4A8A-48D6-967F-A6A8110D5087}"/>
    <cellStyle name="Normal 4 2 6 2 5" xfId="13580" xr:uid="{F867B483-7AAD-49AC-8D7A-873CA90B7618}"/>
    <cellStyle name="Normal 4 2 6 2 6" xfId="22830" xr:uid="{E205381B-7534-4C38-8A27-B59AC9CBC79A}"/>
    <cellStyle name="Normal 4 2 6 2 7" xfId="9369" xr:uid="{9869B442-4929-481D-88B2-A8BC922A0536}"/>
    <cellStyle name="Normal 4 2 6 3" xfId="1262" xr:uid="{00000000-0005-0000-0000-0000F7130000}"/>
    <cellStyle name="Normal 4 2 6 3 2" xfId="3492" xr:uid="{00000000-0005-0000-0000-0000F8130000}"/>
    <cellStyle name="Normal 4 2 6 3 2 2" xfId="7716" xr:uid="{00000000-0005-0000-0000-0000F9130000}"/>
    <cellStyle name="Normal 4 2 6 3 2 2 2" xfId="20349" xr:uid="{BA8F5F4E-6678-4102-9714-1E1FBF47F7DB}"/>
    <cellStyle name="Normal 4 2 6 3 2 3" xfId="16138" xr:uid="{9DEE1513-8907-49C8-BED1-5D608916CC65}"/>
    <cellStyle name="Normal 4 2 6 3 2 4" xfId="25388" xr:uid="{84B091C2-CF3D-4708-90DB-EA1B7766897E}"/>
    <cellStyle name="Normal 4 2 6 3 2 5" xfId="11927" xr:uid="{C6129DA8-2BC5-42EE-8A13-4593663AF137}"/>
    <cellStyle name="Normal 4 2 6 3 3" xfId="5571" xr:uid="{00000000-0005-0000-0000-0000FA130000}"/>
    <cellStyle name="Normal 4 2 6 3 3 2" xfId="18204" xr:uid="{FDAC1C6B-E193-4889-ADE0-CB0D1B10DF8E}"/>
    <cellStyle name="Normal 4 2 6 3 4" xfId="13993" xr:uid="{074925CC-098A-4506-9D29-1537DC8FF1FA}"/>
    <cellStyle name="Normal 4 2 6 3 5" xfId="23243" xr:uid="{2B3DE78C-77E3-4402-92E6-96EB4FBDEC1C}"/>
    <cellStyle name="Normal 4 2 6 3 6" xfId="9782" xr:uid="{0D1CE677-D884-485C-9F25-6787B48645E6}"/>
    <cellStyle name="Normal 4 2 6 4" xfId="1675" xr:uid="{00000000-0005-0000-0000-0000FB130000}"/>
    <cellStyle name="Normal 4 2 6 4 2" xfId="3905" xr:uid="{00000000-0005-0000-0000-0000FC130000}"/>
    <cellStyle name="Normal 4 2 6 4 2 2" xfId="8129" xr:uid="{00000000-0005-0000-0000-0000FD130000}"/>
    <cellStyle name="Normal 4 2 6 4 2 2 2" xfId="20762" xr:uid="{7E0FACD0-C3BA-4244-8AE7-29AAFDBF0021}"/>
    <cellStyle name="Normal 4 2 6 4 2 3" xfId="16551" xr:uid="{9FE940ED-3D05-40AD-BF05-E22FEEEC0ED9}"/>
    <cellStyle name="Normal 4 2 6 4 2 4" xfId="25801" xr:uid="{D1AECBA1-E9A4-4613-AE3B-FA06DF1E7CB2}"/>
    <cellStyle name="Normal 4 2 6 4 2 5" xfId="12340" xr:uid="{95CE82D1-8FCE-4838-85D9-4079EC902D32}"/>
    <cellStyle name="Normal 4 2 6 4 3" xfId="5984" xr:uid="{00000000-0005-0000-0000-0000FE130000}"/>
    <cellStyle name="Normal 4 2 6 4 3 2" xfId="18617" xr:uid="{1C4A9A2A-3C76-4376-85A0-F150083054AD}"/>
    <cellStyle name="Normal 4 2 6 4 4" xfId="14406" xr:uid="{A6636534-AC6A-4028-AEF5-C9A34261CE50}"/>
    <cellStyle name="Normal 4 2 6 4 5" xfId="23656" xr:uid="{D1956B97-7148-4B8A-B73B-1D99002B4E05}"/>
    <cellStyle name="Normal 4 2 6 4 6" xfId="10195" xr:uid="{FB526419-9937-4AFF-8AF2-1CF9B19178C6}"/>
    <cellStyle name="Normal 4 2 6 5" xfId="2089" xr:uid="{00000000-0005-0000-0000-0000FF130000}"/>
    <cellStyle name="Normal 4 2 6 5 2" xfId="4318" xr:uid="{00000000-0005-0000-0000-000000140000}"/>
    <cellStyle name="Normal 4 2 6 5 2 2" xfId="8542" xr:uid="{00000000-0005-0000-0000-000001140000}"/>
    <cellStyle name="Normal 4 2 6 5 2 2 2" xfId="21175" xr:uid="{DDC00928-F0AF-4D41-BCE9-D36381D8702A}"/>
    <cellStyle name="Normal 4 2 6 5 2 3" xfId="16964" xr:uid="{AA8A3C8E-123A-44D2-95BB-844EDD9AF64C}"/>
    <cellStyle name="Normal 4 2 6 5 2 4" xfId="26214" xr:uid="{64956D6A-EAE1-4073-A378-182A92E56117}"/>
    <cellStyle name="Normal 4 2 6 5 2 5" xfId="12753" xr:uid="{E403E779-EA66-43C9-B6EE-1425A09B9099}"/>
    <cellStyle name="Normal 4 2 6 5 3" xfId="6397" xr:uid="{00000000-0005-0000-0000-000002140000}"/>
    <cellStyle name="Normal 4 2 6 5 3 2" xfId="19030" xr:uid="{42223324-B794-4655-896A-74A494A83FC0}"/>
    <cellStyle name="Normal 4 2 6 5 4" xfId="14819" xr:uid="{B0071F51-3E43-4136-951B-7264F74CAE0B}"/>
    <cellStyle name="Normal 4 2 6 5 5" xfId="24069" xr:uid="{D82B2F38-6199-474B-BE24-632EC79BEA39}"/>
    <cellStyle name="Normal 4 2 6 5 6" xfId="10608" xr:uid="{5CB2350C-69AA-4C5F-925E-D192A192265D}"/>
    <cellStyle name="Normal 4 2 6 6" xfId="2525" xr:uid="{00000000-0005-0000-0000-000003140000}"/>
    <cellStyle name="Normal 4 2 6 6 2" xfId="6810" xr:uid="{00000000-0005-0000-0000-000004140000}"/>
    <cellStyle name="Normal 4 2 6 6 2 2" xfId="19443" xr:uid="{F488316B-385B-40E0-ABF9-7160C1E7E15F}"/>
    <cellStyle name="Normal 4 2 6 6 3" xfId="15232" xr:uid="{F0FD10D3-C302-443C-8C0F-5C51BCC14368}"/>
    <cellStyle name="Normal 4 2 6 6 4" xfId="24482" xr:uid="{716C0381-108B-4A23-9416-7B07D063643F}"/>
    <cellStyle name="Normal 4 2 6 6 5" xfId="11021" xr:uid="{840C9D04-5997-4F36-9EBE-A78404EB1706}"/>
    <cellStyle name="Normal 4 2 6 7" xfId="4745" xr:uid="{00000000-0005-0000-0000-000005140000}"/>
    <cellStyle name="Normal 4 2 6 7 2" xfId="17378" xr:uid="{B3E46C78-0BCC-4871-B447-18E90C3B9562}"/>
    <cellStyle name="Normal 4 2 6 8" xfId="21588" xr:uid="{D62F4F0E-D6FC-4A4A-A04A-E84846BC1E49}"/>
    <cellStyle name="Normal 4 2 6 9" xfId="13167" xr:uid="{478D907A-3D53-4119-81C0-C207AA1F329B}"/>
    <cellStyle name="Normal 4 3" xfId="366" xr:uid="{00000000-0005-0000-0000-000006140000}"/>
    <cellStyle name="Normal 4 3 10" xfId="21589" xr:uid="{8C6369A8-D86E-4D13-ADBF-68BABF5F2003}"/>
    <cellStyle name="Normal 4 3 11" xfId="13168" xr:uid="{F975B100-9A14-4B06-AB23-5DD4E31CAD1B}"/>
    <cellStyle name="Normal 4 3 12" xfId="22418" xr:uid="{41FAA36F-3312-4DD4-B22B-AA700E9B1CDE}"/>
    <cellStyle name="Normal 4 3 13" xfId="8957" xr:uid="{0A2502C3-C607-4946-BE41-A0ED3A03CC8E}"/>
    <cellStyle name="Normal 4 3 2" xfId="367" xr:uid="{00000000-0005-0000-0000-000007140000}"/>
    <cellStyle name="Normal 4 3 2 2" xfId="368" xr:uid="{00000000-0005-0000-0000-000008140000}"/>
    <cellStyle name="Normal 4 3 2 2 2" xfId="369" xr:uid="{00000000-0005-0000-0000-000009140000}"/>
    <cellStyle name="Normal 4 3 2 2 2 10" xfId="21590" xr:uid="{CDE030CC-0968-437A-B1BE-30EE4E3E15BE}"/>
    <cellStyle name="Normal 4 3 2 2 2 11" xfId="13169" xr:uid="{A7D307E5-A919-4F80-AC57-F4F10C665306}"/>
    <cellStyle name="Normal 4 3 2 2 2 12" xfId="22419" xr:uid="{8C71A4A7-6FA3-40D3-8230-50C69E59C0EF}"/>
    <cellStyle name="Normal 4 3 2 2 2 13" xfId="8958" xr:uid="{6EE0BED1-4750-4436-800B-516E909F1442}"/>
    <cellStyle name="Normal 4 3 2 2 2 2" xfId="370" xr:uid="{00000000-0005-0000-0000-00000A140000}"/>
    <cellStyle name="Normal 4 3 2 2 2 2 10" xfId="13170" xr:uid="{BDAFCA1A-CED5-4B72-8D92-FF2E002B44CA}"/>
    <cellStyle name="Normal 4 3 2 2 2 2 11" xfId="22420" xr:uid="{448B96E0-3076-4543-B947-9719F536F1E3}"/>
    <cellStyle name="Normal 4 3 2 2 2 2 12" xfId="8959" xr:uid="{5998EC73-B755-4163-ADC5-76AFA5921844}"/>
    <cellStyle name="Normal 4 3 2 2 2 2 2" xfId="371" xr:uid="{00000000-0005-0000-0000-00000B140000}"/>
    <cellStyle name="Normal 4 3 2 2 2 2 2 10" xfId="22421" xr:uid="{7EB4175F-4249-4F49-9972-E8FD35C603A7}"/>
    <cellStyle name="Normal 4 3 2 2 2 2 2 11" xfId="8960" xr:uid="{36440DEA-C990-4592-A294-35D3C531A281}"/>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9940" xr:uid="{D23B0506-1DEE-4F94-B56F-A517191C7F59}"/>
    <cellStyle name="Normal 4 3 2 2 2 2 2 2 2 3" xfId="15729" xr:uid="{8BD570AC-E73D-456C-98E9-9EAD202EB787}"/>
    <cellStyle name="Normal 4 3 2 2 2 2 2 2 2 4" xfId="24979" xr:uid="{4E6DC386-E0D2-4476-A151-6EF25006EDE1}"/>
    <cellStyle name="Normal 4 3 2 2 2 2 2 2 2 5" xfId="11518" xr:uid="{72AF7BB0-FDF2-4516-A65B-F42F0A60CAE9}"/>
    <cellStyle name="Normal 4 3 2 2 2 2 2 2 3" xfId="5162" xr:uid="{00000000-0005-0000-0000-00000F140000}"/>
    <cellStyle name="Normal 4 3 2 2 2 2 2 2 3 2" xfId="17795" xr:uid="{2BA90EEB-509E-47BE-BD18-180DE017B907}"/>
    <cellStyle name="Normal 4 3 2 2 2 2 2 2 4" xfId="22007" xr:uid="{EA5DDFD8-A6A8-45CD-90FE-7A3F4F709CB5}"/>
    <cellStyle name="Normal 4 3 2 2 2 2 2 2 5" xfId="13584" xr:uid="{D1ED2326-3089-479E-B5DB-C341BC795842}"/>
    <cellStyle name="Normal 4 3 2 2 2 2 2 2 6" xfId="22834" xr:uid="{EC24C1BA-48F4-470A-B218-CC731315D530}"/>
    <cellStyle name="Normal 4 3 2 2 2 2 2 2 7" xfId="9373" xr:uid="{0C010C0A-C627-40D8-8857-9D449E991484}"/>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20353" xr:uid="{9F584231-7CD2-4407-9304-10EB37E74391}"/>
    <cellStyle name="Normal 4 3 2 2 2 2 2 3 2 3" xfId="16142" xr:uid="{5A991E1F-619D-4BBB-BECD-81114421E789}"/>
    <cellStyle name="Normal 4 3 2 2 2 2 2 3 2 4" xfId="25392" xr:uid="{258ABFED-FD67-4938-826F-3022E405FFC0}"/>
    <cellStyle name="Normal 4 3 2 2 2 2 2 3 2 5" xfId="11931" xr:uid="{9B493C27-4DDF-43AF-ADFB-6D66F8DBF831}"/>
    <cellStyle name="Normal 4 3 2 2 2 2 2 3 3" xfId="5575" xr:uid="{00000000-0005-0000-0000-000013140000}"/>
    <cellStyle name="Normal 4 3 2 2 2 2 2 3 3 2" xfId="18208" xr:uid="{72E3442E-F29A-4443-B70B-99FBEDA38C5F}"/>
    <cellStyle name="Normal 4 3 2 2 2 2 2 3 4" xfId="13997" xr:uid="{6867E2BC-9FA1-46D2-B1E5-526ABD72DA66}"/>
    <cellStyle name="Normal 4 3 2 2 2 2 2 3 5" xfId="23247" xr:uid="{DD46487A-2FE6-41BC-BAA2-FC767CB370B0}"/>
    <cellStyle name="Normal 4 3 2 2 2 2 2 3 6" xfId="9786" xr:uid="{A6C77F7C-4870-4286-9B02-88E5041C0B6D}"/>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20766" xr:uid="{23A83E91-665B-480B-8519-EEDBBB08AE6A}"/>
    <cellStyle name="Normal 4 3 2 2 2 2 2 4 2 3" xfId="16555" xr:uid="{94B751A3-6A0C-4EB4-A83C-DC2275F81B80}"/>
    <cellStyle name="Normal 4 3 2 2 2 2 2 4 2 4" xfId="25805" xr:uid="{E19800E7-766E-4FC9-9FC2-938D7E5C6ACF}"/>
    <cellStyle name="Normal 4 3 2 2 2 2 2 4 2 5" xfId="12344" xr:uid="{E8BE6266-E012-4055-883E-958E350716A7}"/>
    <cellStyle name="Normal 4 3 2 2 2 2 2 4 3" xfId="5988" xr:uid="{00000000-0005-0000-0000-000017140000}"/>
    <cellStyle name="Normal 4 3 2 2 2 2 2 4 3 2" xfId="18621" xr:uid="{C5D34D42-F27D-4935-90D7-4E5BF1244C87}"/>
    <cellStyle name="Normal 4 3 2 2 2 2 2 4 4" xfId="14410" xr:uid="{FC4E095D-040D-4007-A1C6-310F622B1899}"/>
    <cellStyle name="Normal 4 3 2 2 2 2 2 4 5" xfId="23660" xr:uid="{E4F6DC9B-92EB-4464-8734-9E0F253C9BC2}"/>
    <cellStyle name="Normal 4 3 2 2 2 2 2 4 6" xfId="10199" xr:uid="{ACC16F52-2A81-4342-9422-806E20F304AB}"/>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21179" xr:uid="{670D169D-635B-4987-9926-9C89A0E38914}"/>
    <cellStyle name="Normal 4 3 2 2 2 2 2 5 2 3" xfId="16968" xr:uid="{EA9C951A-176D-4130-BE85-0E3D262CEB15}"/>
    <cellStyle name="Normal 4 3 2 2 2 2 2 5 2 4" xfId="26218" xr:uid="{1F6CAA12-1367-4F95-B439-EB3F2FC6647F}"/>
    <cellStyle name="Normal 4 3 2 2 2 2 2 5 2 5" xfId="12757" xr:uid="{87A17BA0-9263-4EB7-9A8F-873DD77E88D8}"/>
    <cellStyle name="Normal 4 3 2 2 2 2 2 5 3" xfId="6401" xr:uid="{00000000-0005-0000-0000-00001B140000}"/>
    <cellStyle name="Normal 4 3 2 2 2 2 2 5 3 2" xfId="19034" xr:uid="{948F0741-7FA7-43B9-9F45-EE398F18AEAD}"/>
    <cellStyle name="Normal 4 3 2 2 2 2 2 5 4" xfId="14823" xr:uid="{FEBB3A79-FEC2-4735-B92B-1B198F23B823}"/>
    <cellStyle name="Normal 4 3 2 2 2 2 2 5 5" xfId="24073" xr:uid="{F93FE60F-D4ED-44BF-8CB9-43885CD1FA8D}"/>
    <cellStyle name="Normal 4 3 2 2 2 2 2 5 6" xfId="10612" xr:uid="{0AD24D2C-4C02-4BF0-A06D-C9C9F4ABF36E}"/>
    <cellStyle name="Normal 4 3 2 2 2 2 2 6" xfId="2529" xr:uid="{00000000-0005-0000-0000-00001C140000}"/>
    <cellStyle name="Normal 4 3 2 2 2 2 2 6 2" xfId="6814" xr:uid="{00000000-0005-0000-0000-00001D140000}"/>
    <cellStyle name="Normal 4 3 2 2 2 2 2 6 2 2" xfId="19447" xr:uid="{10E58D8A-BF54-4C6B-98AA-E87FABE74378}"/>
    <cellStyle name="Normal 4 3 2 2 2 2 2 6 3" xfId="15236" xr:uid="{0424601D-043C-41BF-B038-DF85A569EE05}"/>
    <cellStyle name="Normal 4 3 2 2 2 2 2 6 4" xfId="24486" xr:uid="{4C7B56A9-8D93-40F3-9DED-A621D96D0D27}"/>
    <cellStyle name="Normal 4 3 2 2 2 2 2 6 5" xfId="11025" xr:uid="{BD73CDCA-842E-4F75-A188-D203B233EF3C}"/>
    <cellStyle name="Normal 4 3 2 2 2 2 2 7" xfId="4749" xr:uid="{00000000-0005-0000-0000-00001E140000}"/>
    <cellStyle name="Normal 4 3 2 2 2 2 2 7 2" xfId="17382" xr:uid="{121F9960-06BE-48E6-8218-D349A17EF829}"/>
    <cellStyle name="Normal 4 3 2 2 2 2 2 8" xfId="21592" xr:uid="{187F1787-A77A-4383-96CD-0E6FD0D98B92}"/>
    <cellStyle name="Normal 4 3 2 2 2 2 2 9" xfId="13171" xr:uid="{D4550585-F098-404B-A3EA-D1561148A3C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9939" xr:uid="{82CDEB18-6B98-48D5-8EAE-1023029AC071}"/>
    <cellStyle name="Normal 4 3 2 2 2 2 3 2 3" xfId="15728" xr:uid="{3D50C54E-7BC3-4F02-8EB4-06895A56E31D}"/>
    <cellStyle name="Normal 4 3 2 2 2 2 3 2 4" xfId="24978" xr:uid="{7F14BDDE-3879-4171-B23E-E23DB8F78A01}"/>
    <cellStyle name="Normal 4 3 2 2 2 2 3 2 5" xfId="11517" xr:uid="{66B79DE9-EB1F-4D5E-A24D-FC54EF205CA5}"/>
    <cellStyle name="Normal 4 3 2 2 2 2 3 3" xfId="5161" xr:uid="{00000000-0005-0000-0000-000022140000}"/>
    <cellStyle name="Normal 4 3 2 2 2 2 3 3 2" xfId="17794" xr:uid="{4C2AF8E0-0333-4455-83AD-05E6DF7294B7}"/>
    <cellStyle name="Normal 4 3 2 2 2 2 3 4" xfId="22006" xr:uid="{79C29ACC-A448-4CD2-ABBF-5FFA59EE55B5}"/>
    <cellStyle name="Normal 4 3 2 2 2 2 3 5" xfId="13583" xr:uid="{7606C7C0-C9AD-49A9-BA8C-6B39EC5B2964}"/>
    <cellStyle name="Normal 4 3 2 2 2 2 3 6" xfId="22833" xr:uid="{E6306C2A-A76C-449F-ABF8-3DF764EF2421}"/>
    <cellStyle name="Normal 4 3 2 2 2 2 3 7" xfId="9372" xr:uid="{6FF472F8-FE01-403A-AC1D-7020C077E7B6}"/>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20352" xr:uid="{92A5E24C-FE54-4F3D-A1E6-1016BADBF9BF}"/>
    <cellStyle name="Normal 4 3 2 2 2 2 4 2 3" xfId="16141" xr:uid="{9C63C2EA-5631-4A2A-A0CC-74C81001B303}"/>
    <cellStyle name="Normal 4 3 2 2 2 2 4 2 4" xfId="25391" xr:uid="{73D3B531-B5B3-4F88-819B-A63BBE5F89F8}"/>
    <cellStyle name="Normal 4 3 2 2 2 2 4 2 5" xfId="11930" xr:uid="{2710AAAC-49EA-4902-9D3B-DEE492C7052C}"/>
    <cellStyle name="Normal 4 3 2 2 2 2 4 3" xfId="5574" xr:uid="{00000000-0005-0000-0000-000026140000}"/>
    <cellStyle name="Normal 4 3 2 2 2 2 4 3 2" xfId="18207" xr:uid="{4FFD6279-8CEB-4C34-AC6F-037F5003A6B5}"/>
    <cellStyle name="Normal 4 3 2 2 2 2 4 4" xfId="13996" xr:uid="{FBE6EE83-8D5C-4D51-AA80-30FAC2ADE8F6}"/>
    <cellStyle name="Normal 4 3 2 2 2 2 4 5" xfId="23246" xr:uid="{51565C05-9E78-4A0F-B0EB-492FAB42940B}"/>
    <cellStyle name="Normal 4 3 2 2 2 2 4 6" xfId="9785" xr:uid="{FC8DFC54-E85C-41C6-B7C2-B7B7CE2CE9FF}"/>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20765" xr:uid="{FFCC28AA-9AA1-4EB4-B053-EA427E61A8A5}"/>
    <cellStyle name="Normal 4 3 2 2 2 2 5 2 3" xfId="16554" xr:uid="{7EE653A7-9676-4DC2-A230-05CCF4D71698}"/>
    <cellStyle name="Normal 4 3 2 2 2 2 5 2 4" xfId="25804" xr:uid="{8B2A2C58-BE81-4B04-945C-514134CF6105}"/>
    <cellStyle name="Normal 4 3 2 2 2 2 5 2 5" xfId="12343" xr:uid="{CB65C892-BE34-48A1-8A5E-093C3CE1D57C}"/>
    <cellStyle name="Normal 4 3 2 2 2 2 5 3" xfId="5987" xr:uid="{00000000-0005-0000-0000-00002A140000}"/>
    <cellStyle name="Normal 4 3 2 2 2 2 5 3 2" xfId="18620" xr:uid="{F6E0792D-A27D-4B93-B39B-A9DF76CAE5F3}"/>
    <cellStyle name="Normal 4 3 2 2 2 2 5 4" xfId="14409" xr:uid="{9562BA42-2DA3-4716-BBA0-F6F05F4E8B5B}"/>
    <cellStyle name="Normal 4 3 2 2 2 2 5 5" xfId="23659" xr:uid="{A2A3C6CC-60B3-45D2-B0E9-0CF6297C62BA}"/>
    <cellStyle name="Normal 4 3 2 2 2 2 5 6" xfId="10198" xr:uid="{6AC7B9ED-AB7A-4F4F-ACCE-657BF2FC4026}"/>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21178" xr:uid="{C3DC8676-C8F1-460E-9168-FB31AD657F1F}"/>
    <cellStyle name="Normal 4 3 2 2 2 2 6 2 3" xfId="16967" xr:uid="{33F9052F-AA07-48AB-AD53-EFA93F77D20F}"/>
    <cellStyle name="Normal 4 3 2 2 2 2 6 2 4" xfId="26217" xr:uid="{5EE7899A-4EE1-477A-A30C-583951E819FF}"/>
    <cellStyle name="Normal 4 3 2 2 2 2 6 2 5" xfId="12756" xr:uid="{C6421D37-77B6-44A4-BE36-E5903876CAC5}"/>
    <cellStyle name="Normal 4 3 2 2 2 2 6 3" xfId="6400" xr:uid="{00000000-0005-0000-0000-00002E140000}"/>
    <cellStyle name="Normal 4 3 2 2 2 2 6 3 2" xfId="19033" xr:uid="{66C883A7-5F7D-49EE-A6F3-B9333C266E3C}"/>
    <cellStyle name="Normal 4 3 2 2 2 2 6 4" xfId="14822" xr:uid="{C64B68ED-8030-4DDD-B29F-5716D16F242C}"/>
    <cellStyle name="Normal 4 3 2 2 2 2 6 5" xfId="24072" xr:uid="{ED150CF7-78CC-4D47-82F7-12CB83A024CC}"/>
    <cellStyle name="Normal 4 3 2 2 2 2 6 6" xfId="10611" xr:uid="{C96A1DAC-B5FA-46DC-A8E8-E6C08061136D}"/>
    <cellStyle name="Normal 4 3 2 2 2 2 7" xfId="2528" xr:uid="{00000000-0005-0000-0000-00002F140000}"/>
    <cellStyle name="Normal 4 3 2 2 2 2 7 2" xfId="6813" xr:uid="{00000000-0005-0000-0000-000030140000}"/>
    <cellStyle name="Normal 4 3 2 2 2 2 7 2 2" xfId="19446" xr:uid="{D5902C9C-C81E-441D-B3EB-8B33CF7F52E6}"/>
    <cellStyle name="Normal 4 3 2 2 2 2 7 3" xfId="15235" xr:uid="{AD4AABDB-3496-4F26-9EE7-47A7D75E62B2}"/>
    <cellStyle name="Normal 4 3 2 2 2 2 7 4" xfId="24485" xr:uid="{8E7773BE-61B3-4212-92C7-0CBAE21ADF4A}"/>
    <cellStyle name="Normal 4 3 2 2 2 2 7 5" xfId="11024" xr:uid="{F8E8B8F0-845A-4E60-AC47-AB3508B546F4}"/>
    <cellStyle name="Normal 4 3 2 2 2 2 8" xfId="4748" xr:uid="{00000000-0005-0000-0000-000031140000}"/>
    <cellStyle name="Normal 4 3 2 2 2 2 8 2" xfId="17381" xr:uid="{8F3482FE-F72A-4569-81F5-2AA8CEBFBDE9}"/>
    <cellStyle name="Normal 4 3 2 2 2 2 9" xfId="21591" xr:uid="{E5B3B9C7-9714-4185-B8F0-9458EF7C3682}"/>
    <cellStyle name="Normal 4 3 2 2 2 3" xfId="372" xr:uid="{00000000-0005-0000-0000-000032140000}"/>
    <cellStyle name="Normal 4 3 2 2 2 3 10" xfId="22422" xr:uid="{F6A22499-B2E2-4257-8ED2-5059E288BAD5}"/>
    <cellStyle name="Normal 4 3 2 2 2 3 11" xfId="8961" xr:uid="{084284F4-FE04-425A-AD03-B8399ABB4B1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9941" xr:uid="{F7544BE1-9DAB-4BFB-B3F0-A004E12425A4}"/>
    <cellStyle name="Normal 4 3 2 2 2 3 2 2 3" xfId="15730" xr:uid="{6E2E716D-BD57-4926-B820-6C4F2FA1447D}"/>
    <cellStyle name="Normal 4 3 2 2 2 3 2 2 4" xfId="24980" xr:uid="{C5717C01-C109-4E95-83F0-DF5A024FDC93}"/>
    <cellStyle name="Normal 4 3 2 2 2 3 2 2 5" xfId="11519" xr:uid="{60034540-787D-4D9E-9ADE-318A2DDFE2DB}"/>
    <cellStyle name="Normal 4 3 2 2 2 3 2 3" xfId="5163" xr:uid="{00000000-0005-0000-0000-000036140000}"/>
    <cellStyle name="Normal 4 3 2 2 2 3 2 3 2" xfId="17796" xr:uid="{C4852948-E14E-4650-907F-2C3BAE51B464}"/>
    <cellStyle name="Normal 4 3 2 2 2 3 2 4" xfId="22008" xr:uid="{3E158261-10AD-4057-B5FE-AB5B8D18A5C1}"/>
    <cellStyle name="Normal 4 3 2 2 2 3 2 5" xfId="13585" xr:uid="{9C2EE877-59D2-412A-8898-0CD164EDEFF6}"/>
    <cellStyle name="Normal 4 3 2 2 2 3 2 6" xfId="22835" xr:uid="{2E115F0D-7FDE-465E-B00F-430C9305B8C9}"/>
    <cellStyle name="Normal 4 3 2 2 2 3 2 7" xfId="9374" xr:uid="{D9E69970-7B0F-4DE3-89B8-8A083E505C46}"/>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20354" xr:uid="{AD6BE6A5-41FB-4A5D-BC43-6AD72FC43AE6}"/>
    <cellStyle name="Normal 4 3 2 2 2 3 3 2 3" xfId="16143" xr:uid="{CBF562E5-3434-40DC-85EB-5F3DF1DAA2FF}"/>
    <cellStyle name="Normal 4 3 2 2 2 3 3 2 4" xfId="25393" xr:uid="{08B2F8DB-DE0D-4D45-A28F-83434C628F72}"/>
    <cellStyle name="Normal 4 3 2 2 2 3 3 2 5" xfId="11932" xr:uid="{D16F535F-03F2-424E-AA0F-37793118E012}"/>
    <cellStyle name="Normal 4 3 2 2 2 3 3 3" xfId="5576" xr:uid="{00000000-0005-0000-0000-00003A140000}"/>
    <cellStyle name="Normal 4 3 2 2 2 3 3 3 2" xfId="18209" xr:uid="{1E045266-454F-4361-A673-22C88C40F3D4}"/>
    <cellStyle name="Normal 4 3 2 2 2 3 3 4" xfId="13998" xr:uid="{216B8BE1-30B0-4C5D-B007-7943C8E7A573}"/>
    <cellStyle name="Normal 4 3 2 2 2 3 3 5" xfId="23248" xr:uid="{DD89C1DD-1211-493E-B1E2-34F93F606C08}"/>
    <cellStyle name="Normal 4 3 2 2 2 3 3 6" xfId="9787" xr:uid="{6013A44D-11A9-485F-B679-925371DA8A76}"/>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20767" xr:uid="{5558D7F7-8B63-4951-A783-937E63C6BAA6}"/>
    <cellStyle name="Normal 4 3 2 2 2 3 4 2 3" xfId="16556" xr:uid="{50B5BDA9-46E7-4514-BE3E-6B40D01B3A42}"/>
    <cellStyle name="Normal 4 3 2 2 2 3 4 2 4" xfId="25806" xr:uid="{9B1AEF60-0AFF-460E-A98E-3870C4605E14}"/>
    <cellStyle name="Normal 4 3 2 2 2 3 4 2 5" xfId="12345" xr:uid="{173C47C3-B77E-4A41-8A0A-FB69CA0394BF}"/>
    <cellStyle name="Normal 4 3 2 2 2 3 4 3" xfId="5989" xr:uid="{00000000-0005-0000-0000-00003E140000}"/>
    <cellStyle name="Normal 4 3 2 2 2 3 4 3 2" xfId="18622" xr:uid="{3D9F966F-03C5-43E2-9AE2-25CA03631014}"/>
    <cellStyle name="Normal 4 3 2 2 2 3 4 4" xfId="14411" xr:uid="{733CAAEE-552F-41FB-9918-80D8D51A5CF2}"/>
    <cellStyle name="Normal 4 3 2 2 2 3 4 5" xfId="23661" xr:uid="{ED57F2D8-9623-4DA5-8A31-4846A2314EF9}"/>
    <cellStyle name="Normal 4 3 2 2 2 3 4 6" xfId="10200" xr:uid="{4F018D73-B2D6-4DBF-A363-713A902DA0FD}"/>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21180" xr:uid="{52D2DA57-6414-4965-804B-83BE07B7EE7D}"/>
    <cellStyle name="Normal 4 3 2 2 2 3 5 2 3" xfId="16969" xr:uid="{A8415BA9-50C0-4FCB-AC61-83F978461226}"/>
    <cellStyle name="Normal 4 3 2 2 2 3 5 2 4" xfId="26219" xr:uid="{BED166C3-07A8-4D4A-A793-7913577B1562}"/>
    <cellStyle name="Normal 4 3 2 2 2 3 5 2 5" xfId="12758" xr:uid="{B9E7CF2E-A304-4591-977B-77B0E2DFE429}"/>
    <cellStyle name="Normal 4 3 2 2 2 3 5 3" xfId="6402" xr:uid="{00000000-0005-0000-0000-000042140000}"/>
    <cellStyle name="Normal 4 3 2 2 2 3 5 3 2" xfId="19035" xr:uid="{E3160883-3D4C-4C41-82F9-4B9CE71F79E2}"/>
    <cellStyle name="Normal 4 3 2 2 2 3 5 4" xfId="14824" xr:uid="{5616F5CE-7F9F-44D8-9067-37C8A96333E5}"/>
    <cellStyle name="Normal 4 3 2 2 2 3 5 5" xfId="24074" xr:uid="{158FB357-42A3-4CDB-8798-9F8E1AD5C34D}"/>
    <cellStyle name="Normal 4 3 2 2 2 3 5 6" xfId="10613" xr:uid="{B1E662A5-27B6-458E-B91D-7321E9966650}"/>
    <cellStyle name="Normal 4 3 2 2 2 3 6" xfId="2530" xr:uid="{00000000-0005-0000-0000-000043140000}"/>
    <cellStyle name="Normal 4 3 2 2 2 3 6 2" xfId="6815" xr:uid="{00000000-0005-0000-0000-000044140000}"/>
    <cellStyle name="Normal 4 3 2 2 2 3 6 2 2" xfId="19448" xr:uid="{510E658B-9340-4E8E-949D-550E7ED98938}"/>
    <cellStyle name="Normal 4 3 2 2 2 3 6 3" xfId="15237" xr:uid="{644D896D-BB1E-462C-9702-95B4F3FD52D5}"/>
    <cellStyle name="Normal 4 3 2 2 2 3 6 4" xfId="24487" xr:uid="{05A1B8C9-405C-408D-A3DD-1907F1063790}"/>
    <cellStyle name="Normal 4 3 2 2 2 3 6 5" xfId="11026" xr:uid="{0F19DE1C-5E77-4F0F-8D6D-71E1CDEFDC46}"/>
    <cellStyle name="Normal 4 3 2 2 2 3 7" xfId="4750" xr:uid="{00000000-0005-0000-0000-000045140000}"/>
    <cellStyle name="Normal 4 3 2 2 2 3 7 2" xfId="17383" xr:uid="{6951B72F-9C48-4983-8ED5-2ADA4B64BDC0}"/>
    <cellStyle name="Normal 4 3 2 2 2 3 8" xfId="21593" xr:uid="{B7427BD3-A819-4882-B9F1-B829921530B4}"/>
    <cellStyle name="Normal 4 3 2 2 2 3 9" xfId="13172" xr:uid="{82320E95-7996-4DB4-BD38-BED3AF245E75}"/>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9938" xr:uid="{49405465-FD0A-4890-93F4-129D5ED97B6B}"/>
    <cellStyle name="Normal 4 3 2 2 2 4 2 3" xfId="15727" xr:uid="{3EF0D18D-8897-4B10-8F87-715C0DDEE1B8}"/>
    <cellStyle name="Normal 4 3 2 2 2 4 2 4" xfId="24977" xr:uid="{55C197A8-A77A-4755-9B58-1FEF01D14107}"/>
    <cellStyle name="Normal 4 3 2 2 2 4 2 5" xfId="11516" xr:uid="{D19FDD39-9DDB-42E5-9C8B-F560C0CE63F6}"/>
    <cellStyle name="Normal 4 3 2 2 2 4 3" xfId="5160" xr:uid="{00000000-0005-0000-0000-000049140000}"/>
    <cellStyle name="Normal 4 3 2 2 2 4 3 2" xfId="17793" xr:uid="{C0388D37-95A7-497A-A605-935C0D2BF676}"/>
    <cellStyle name="Normal 4 3 2 2 2 4 4" xfId="22005" xr:uid="{A39856D2-0919-4E81-90E5-5A59D4DCBC3C}"/>
    <cellStyle name="Normal 4 3 2 2 2 4 5" xfId="13582" xr:uid="{232A40B8-8F53-47C0-9AD1-25E363B3DFD5}"/>
    <cellStyle name="Normal 4 3 2 2 2 4 6" xfId="22832" xr:uid="{E8D2F0FD-4BE8-4BE2-A51B-92099FDC2EDB}"/>
    <cellStyle name="Normal 4 3 2 2 2 4 7" xfId="9371" xr:uid="{43989BCF-EFDD-4386-9BFB-72163424B36F}"/>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20351" xr:uid="{B8EA9B10-112A-41DD-9E38-2BCA7D243AAC}"/>
    <cellStyle name="Normal 4 3 2 2 2 5 2 3" xfId="16140" xr:uid="{413D4AF2-7304-4F46-8C68-9EE8A43B9103}"/>
    <cellStyle name="Normal 4 3 2 2 2 5 2 4" xfId="25390" xr:uid="{4152D00A-6CB4-4F35-9FD8-24F0FCD33F62}"/>
    <cellStyle name="Normal 4 3 2 2 2 5 2 5" xfId="11929" xr:uid="{3F6584BD-326D-46C4-816C-27310097570D}"/>
    <cellStyle name="Normal 4 3 2 2 2 5 3" xfId="5573" xr:uid="{00000000-0005-0000-0000-00004D140000}"/>
    <cellStyle name="Normal 4 3 2 2 2 5 3 2" xfId="18206" xr:uid="{C1A964F3-B102-4899-AB0E-FFE21043A52F}"/>
    <cellStyle name="Normal 4 3 2 2 2 5 4" xfId="13995" xr:uid="{51DC0EFA-2E87-4A79-91CA-3E0A7C0DD063}"/>
    <cellStyle name="Normal 4 3 2 2 2 5 5" xfId="23245" xr:uid="{AD106905-7BE2-4609-95AC-80A1D5836D45}"/>
    <cellStyle name="Normal 4 3 2 2 2 5 6" xfId="9784" xr:uid="{6C8A8F42-7310-4490-9C41-A20FEF63AF88}"/>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20764" xr:uid="{B51389CA-FCD6-4639-9AE3-62B039BFE1FA}"/>
    <cellStyle name="Normal 4 3 2 2 2 6 2 3" xfId="16553" xr:uid="{BFD40D13-E22B-4CD5-9C3E-0ADB3C3FDC13}"/>
    <cellStyle name="Normal 4 3 2 2 2 6 2 4" xfId="25803" xr:uid="{42C1943B-6665-4F8D-8D1B-F380A57D48CB}"/>
    <cellStyle name="Normal 4 3 2 2 2 6 2 5" xfId="12342" xr:uid="{40831935-016D-491F-A68B-878A3469C1E2}"/>
    <cellStyle name="Normal 4 3 2 2 2 6 3" xfId="5986" xr:uid="{00000000-0005-0000-0000-000051140000}"/>
    <cellStyle name="Normal 4 3 2 2 2 6 3 2" xfId="18619" xr:uid="{AA664512-6331-47E5-8C21-FC01336A18C2}"/>
    <cellStyle name="Normal 4 3 2 2 2 6 4" xfId="14408" xr:uid="{0C013236-B810-47FD-8D2E-72903BED6C37}"/>
    <cellStyle name="Normal 4 3 2 2 2 6 5" xfId="23658" xr:uid="{197B19E2-B561-460E-B162-AF0A46F8201A}"/>
    <cellStyle name="Normal 4 3 2 2 2 6 6" xfId="10197" xr:uid="{21C2C042-794C-4CA6-AB33-1FC6E0C35537}"/>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21177" xr:uid="{150E1B40-6F79-4982-BC16-E8A8679C5C0F}"/>
    <cellStyle name="Normal 4 3 2 2 2 7 2 3" xfId="16966" xr:uid="{55065DBE-F772-46C4-ADF9-0192D096F6BB}"/>
    <cellStyle name="Normal 4 3 2 2 2 7 2 4" xfId="26216" xr:uid="{9AC841EA-0F80-4CF3-A476-2EB7F4A459FB}"/>
    <cellStyle name="Normal 4 3 2 2 2 7 2 5" xfId="12755" xr:uid="{5775FEEB-5D10-44FA-98C4-3CDA2CAB2680}"/>
    <cellStyle name="Normal 4 3 2 2 2 7 3" xfId="6399" xr:uid="{00000000-0005-0000-0000-000055140000}"/>
    <cellStyle name="Normal 4 3 2 2 2 7 3 2" xfId="19032" xr:uid="{317B1623-1E5D-4266-9D91-BBF791BC3658}"/>
    <cellStyle name="Normal 4 3 2 2 2 7 4" xfId="14821" xr:uid="{BF661A49-7DEB-422C-823F-5EAAE5BB058F}"/>
    <cellStyle name="Normal 4 3 2 2 2 7 5" xfId="24071" xr:uid="{3252AD4B-EA3C-4E69-8F21-EEF0A35D33D1}"/>
    <cellStyle name="Normal 4 3 2 2 2 7 6" xfId="10610" xr:uid="{E1C669C8-CD03-44CF-BBBE-BA0C01178AEA}"/>
    <cellStyle name="Normal 4 3 2 2 2 8" xfId="2527" xr:uid="{00000000-0005-0000-0000-000056140000}"/>
    <cellStyle name="Normal 4 3 2 2 2 8 2" xfId="6812" xr:uid="{00000000-0005-0000-0000-000057140000}"/>
    <cellStyle name="Normal 4 3 2 2 2 8 2 2" xfId="19445" xr:uid="{5EDC5803-B99F-41C5-9A35-8C0661CEA61A}"/>
    <cellStyle name="Normal 4 3 2 2 2 8 3" xfId="15234" xr:uid="{E7420C34-9269-448F-90E5-34BAE635C1FF}"/>
    <cellStyle name="Normal 4 3 2 2 2 8 4" xfId="24484" xr:uid="{70C2132B-F9C2-433F-80F3-2309B3F973F7}"/>
    <cellStyle name="Normal 4 3 2 2 2 8 5" xfId="11023" xr:uid="{C4C31E3B-F052-4F18-9D27-7001C7285C35}"/>
    <cellStyle name="Normal 4 3 2 2 2 9" xfId="4747" xr:uid="{00000000-0005-0000-0000-000058140000}"/>
    <cellStyle name="Normal 4 3 2 2 2 9 2" xfId="17380" xr:uid="{E7DEBD30-131C-4826-A01F-FB354C96C52A}"/>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21594" xr:uid="{3BB0441B-CC83-4340-95BB-DB005082CD55}"/>
    <cellStyle name="Normal 4 3 3 11" xfId="13173" xr:uid="{ACCD2BE0-2241-48BC-AD13-D93AE96D8508}"/>
    <cellStyle name="Normal 4 3 3 12" xfId="22423" xr:uid="{82B015B3-6926-4D2E-904A-125EDC675B57}"/>
    <cellStyle name="Normal 4 3 3 13" xfId="8962" xr:uid="{A2D018A0-BA5E-48CA-8C84-3A9EF3AFEFAC}"/>
    <cellStyle name="Normal 4 3 3 2" xfId="375" xr:uid="{00000000-0005-0000-0000-00005D140000}"/>
    <cellStyle name="Normal 4 3 3 2 10" xfId="13174" xr:uid="{A5BF8682-7C3E-4779-AA09-A4D3C484EC0A}"/>
    <cellStyle name="Normal 4 3 3 2 11" xfId="22424" xr:uid="{75D04895-4211-4358-A864-92E70C43DFA9}"/>
    <cellStyle name="Normal 4 3 3 2 12" xfId="8963" xr:uid="{E89B0236-417D-4C3A-8CE7-FB15883DDADC}"/>
    <cellStyle name="Normal 4 3 3 2 2" xfId="376" xr:uid="{00000000-0005-0000-0000-00005E140000}"/>
    <cellStyle name="Normal 4 3 3 2 2 10" xfId="22425" xr:uid="{A142FC5C-C69F-4492-86A1-62F927449FF2}"/>
    <cellStyle name="Normal 4 3 3 2 2 11" xfId="8964" xr:uid="{BB37A46E-0315-4624-B9C7-B092B1C9F378}"/>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9944" xr:uid="{DBA7EB22-27DF-493E-A703-0485A3987FB3}"/>
    <cellStyle name="Normal 4 3 3 2 2 2 2 3" xfId="15733" xr:uid="{22D0CF6F-BB74-40AC-9365-D554F65A580D}"/>
    <cellStyle name="Normal 4 3 3 2 2 2 2 4" xfId="24983" xr:uid="{E63930A8-ACBA-452D-9F8F-93F7BD220647}"/>
    <cellStyle name="Normal 4 3 3 2 2 2 2 5" xfId="11522" xr:uid="{CC6EECC4-0D5F-401F-92C2-8EEA077BCA8A}"/>
    <cellStyle name="Normal 4 3 3 2 2 2 3" xfId="5166" xr:uid="{00000000-0005-0000-0000-000062140000}"/>
    <cellStyle name="Normal 4 3 3 2 2 2 3 2" xfId="17799" xr:uid="{D8872378-0282-44F8-A23E-A00888E7EC81}"/>
    <cellStyle name="Normal 4 3 3 2 2 2 4" xfId="22011" xr:uid="{5B751D06-4A87-4F63-83CB-95CB6714053A}"/>
    <cellStyle name="Normal 4 3 3 2 2 2 5" xfId="13588" xr:uid="{CCEEF34E-4E15-4CD2-83E8-B8DC7360DCCB}"/>
    <cellStyle name="Normal 4 3 3 2 2 2 6" xfId="22838" xr:uid="{7A99B84E-103E-41B6-B41F-258D8C2EA5DD}"/>
    <cellStyle name="Normal 4 3 3 2 2 2 7" xfId="9377" xr:uid="{4E759015-F4F6-4AD1-8E62-F751514EFBAF}"/>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20357" xr:uid="{97EDD3B7-2C83-4288-9AD6-D2E0AD05BBF1}"/>
    <cellStyle name="Normal 4 3 3 2 2 3 2 3" xfId="16146" xr:uid="{19684AFD-D7F4-4232-A598-7C594A9091F2}"/>
    <cellStyle name="Normal 4 3 3 2 2 3 2 4" xfId="25396" xr:uid="{314FDE54-3745-48EF-B385-9F03A1ECDDA8}"/>
    <cellStyle name="Normal 4 3 3 2 2 3 2 5" xfId="11935" xr:uid="{51A169BF-F1FA-49E9-8BB5-69D204C61397}"/>
    <cellStyle name="Normal 4 3 3 2 2 3 3" xfId="5579" xr:uid="{00000000-0005-0000-0000-000066140000}"/>
    <cellStyle name="Normal 4 3 3 2 2 3 3 2" xfId="18212" xr:uid="{0A3EB1A8-A984-4132-B648-AB0B2333519F}"/>
    <cellStyle name="Normal 4 3 3 2 2 3 4" xfId="14001" xr:uid="{18ABCE78-FC97-46F4-A839-517C1D94D107}"/>
    <cellStyle name="Normal 4 3 3 2 2 3 5" xfId="23251" xr:uid="{9A93B506-4736-4871-9AFA-FBE8C97815C3}"/>
    <cellStyle name="Normal 4 3 3 2 2 3 6" xfId="9790" xr:uid="{DFA38ABF-FC23-4752-9F79-FE8BDCB576D7}"/>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20770" xr:uid="{325F2813-6B46-4457-B387-380483D8C945}"/>
    <cellStyle name="Normal 4 3 3 2 2 4 2 3" xfId="16559" xr:uid="{EA8CCD2D-FCBB-41A2-BCBF-642D7FB7E0B2}"/>
    <cellStyle name="Normal 4 3 3 2 2 4 2 4" xfId="25809" xr:uid="{46AE0503-D2CB-4228-BB69-A3E287160C13}"/>
    <cellStyle name="Normal 4 3 3 2 2 4 2 5" xfId="12348" xr:uid="{98877740-7C89-4211-8799-FD2F245E1E74}"/>
    <cellStyle name="Normal 4 3 3 2 2 4 3" xfId="5992" xr:uid="{00000000-0005-0000-0000-00006A140000}"/>
    <cellStyle name="Normal 4 3 3 2 2 4 3 2" xfId="18625" xr:uid="{8A426A1C-D8D3-44E4-8356-F98FF52631F8}"/>
    <cellStyle name="Normal 4 3 3 2 2 4 4" xfId="14414" xr:uid="{E47ACF6D-0AE2-44F4-A441-AFB43A95C166}"/>
    <cellStyle name="Normal 4 3 3 2 2 4 5" xfId="23664" xr:uid="{76EDDA12-6449-4450-A7D7-3221E304DD56}"/>
    <cellStyle name="Normal 4 3 3 2 2 4 6" xfId="10203" xr:uid="{A33E539B-46CD-4492-80F6-EA7E47C477A7}"/>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21183" xr:uid="{1A29D1B8-F38E-417A-B3D5-A75F1CF42FA0}"/>
    <cellStyle name="Normal 4 3 3 2 2 5 2 3" xfId="16972" xr:uid="{1C9D4421-644A-46A0-A0AC-FC5C9D3CEDA5}"/>
    <cellStyle name="Normal 4 3 3 2 2 5 2 4" xfId="26222" xr:uid="{2D501442-FEAD-439D-AB1F-751668832FB9}"/>
    <cellStyle name="Normal 4 3 3 2 2 5 2 5" xfId="12761" xr:uid="{F06B1895-187F-4DAE-A594-E01283FBBDC5}"/>
    <cellStyle name="Normal 4 3 3 2 2 5 3" xfId="6405" xr:uid="{00000000-0005-0000-0000-00006E140000}"/>
    <cellStyle name="Normal 4 3 3 2 2 5 3 2" xfId="19038" xr:uid="{2F71FABD-654A-4092-9CB1-8B3D02AAAEF9}"/>
    <cellStyle name="Normal 4 3 3 2 2 5 4" xfId="14827" xr:uid="{9ACF36C1-4B4E-4F69-8F1F-FFA75D20916A}"/>
    <cellStyle name="Normal 4 3 3 2 2 5 5" xfId="24077" xr:uid="{86D5287C-A9FA-4768-A326-CD2B7287CB44}"/>
    <cellStyle name="Normal 4 3 3 2 2 5 6" xfId="10616" xr:uid="{43B775B0-4363-44ED-9A22-E647E6FA4CBC}"/>
    <cellStyle name="Normal 4 3 3 2 2 6" xfId="2533" xr:uid="{00000000-0005-0000-0000-00006F140000}"/>
    <cellStyle name="Normal 4 3 3 2 2 6 2" xfId="6818" xr:uid="{00000000-0005-0000-0000-000070140000}"/>
    <cellStyle name="Normal 4 3 3 2 2 6 2 2" xfId="19451" xr:uid="{73B87F2B-513E-43C4-9893-A45B51F95E6C}"/>
    <cellStyle name="Normal 4 3 3 2 2 6 3" xfId="15240" xr:uid="{132C4A33-4454-4DA4-992F-1B818790612E}"/>
    <cellStyle name="Normal 4 3 3 2 2 6 4" xfId="24490" xr:uid="{FCFCF1EC-7244-452E-AEA8-6D7442FFC6A7}"/>
    <cellStyle name="Normal 4 3 3 2 2 6 5" xfId="11029" xr:uid="{BC7921B4-9F0C-4E83-9634-1F39DE393730}"/>
    <cellStyle name="Normal 4 3 3 2 2 7" xfId="4753" xr:uid="{00000000-0005-0000-0000-000071140000}"/>
    <cellStyle name="Normal 4 3 3 2 2 7 2" xfId="17386" xr:uid="{37054B1C-BA4B-43C8-9C0A-73960ACF3440}"/>
    <cellStyle name="Normal 4 3 3 2 2 8" xfId="21596" xr:uid="{7E985A2B-D3F7-4D95-9E78-4CCCC53B2ADD}"/>
    <cellStyle name="Normal 4 3 3 2 2 9" xfId="13175" xr:uid="{A094CC3A-C0D0-4098-92D8-5555DE4313F7}"/>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9943" xr:uid="{8D130582-E818-4D52-B290-71451BDBC0E7}"/>
    <cellStyle name="Normal 4 3 3 2 3 2 3" xfId="15732" xr:uid="{C85A87EF-6B9D-42BE-92E7-53C25C474588}"/>
    <cellStyle name="Normal 4 3 3 2 3 2 4" xfId="24982" xr:uid="{377B20DC-2F0B-4D06-B729-EC142DB022FE}"/>
    <cellStyle name="Normal 4 3 3 2 3 2 5" xfId="11521" xr:uid="{AEC7B7E4-87DA-4797-A1DB-C544283E7450}"/>
    <cellStyle name="Normal 4 3 3 2 3 3" xfId="5165" xr:uid="{00000000-0005-0000-0000-000075140000}"/>
    <cellStyle name="Normal 4 3 3 2 3 3 2" xfId="17798" xr:uid="{B12CFA29-6263-43A7-BCA9-088088A5B751}"/>
    <cellStyle name="Normal 4 3 3 2 3 4" xfId="22010" xr:uid="{468D6676-4DA7-418F-AB79-1AD2C8554979}"/>
    <cellStyle name="Normal 4 3 3 2 3 5" xfId="13587" xr:uid="{BC516D1C-3838-4645-B9AD-665EE51B6ECD}"/>
    <cellStyle name="Normal 4 3 3 2 3 6" xfId="22837" xr:uid="{753C27E7-BA0C-4E18-AD06-9F67DF8F6623}"/>
    <cellStyle name="Normal 4 3 3 2 3 7" xfId="9376" xr:uid="{D2F6E9E9-FB97-4992-8B62-0CA6CFA1630B}"/>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20356" xr:uid="{A3853653-B6DF-45C4-B915-A789E5F1A009}"/>
    <cellStyle name="Normal 4 3 3 2 4 2 3" xfId="16145" xr:uid="{789983FC-716E-4516-9091-04186A713761}"/>
    <cellStyle name="Normal 4 3 3 2 4 2 4" xfId="25395" xr:uid="{265BCDA5-2B81-4D36-BCB6-175FA6C8CADA}"/>
    <cellStyle name="Normal 4 3 3 2 4 2 5" xfId="11934" xr:uid="{05C08E35-413C-48F4-8E08-3659AB1FB00B}"/>
    <cellStyle name="Normal 4 3 3 2 4 3" xfId="5578" xr:uid="{00000000-0005-0000-0000-000079140000}"/>
    <cellStyle name="Normal 4 3 3 2 4 3 2" xfId="18211" xr:uid="{580A511F-6A21-4C09-A0D9-F1AD02F4719D}"/>
    <cellStyle name="Normal 4 3 3 2 4 4" xfId="14000" xr:uid="{A4854B03-0049-4E44-95DE-6B587B03EB18}"/>
    <cellStyle name="Normal 4 3 3 2 4 5" xfId="23250" xr:uid="{6A99725C-4B0C-4A0A-A875-9FA12B6A214B}"/>
    <cellStyle name="Normal 4 3 3 2 4 6" xfId="9789" xr:uid="{73831E11-F544-4EFB-A04C-A1BDDD7BBE51}"/>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20769" xr:uid="{71495866-E683-47D7-B0B4-D292B73E5492}"/>
    <cellStyle name="Normal 4 3 3 2 5 2 3" xfId="16558" xr:uid="{FCA64851-848A-4224-9802-7E38BE0D4C4C}"/>
    <cellStyle name="Normal 4 3 3 2 5 2 4" xfId="25808" xr:uid="{B6DE9763-7EC5-4AB7-BA3D-D20160CF9ADC}"/>
    <cellStyle name="Normal 4 3 3 2 5 2 5" xfId="12347" xr:uid="{EA47D287-F0AC-42A2-A069-3631C5C03E24}"/>
    <cellStyle name="Normal 4 3 3 2 5 3" xfId="5991" xr:uid="{00000000-0005-0000-0000-00007D140000}"/>
    <cellStyle name="Normal 4 3 3 2 5 3 2" xfId="18624" xr:uid="{21106EDE-945F-464D-88AB-C9F89EFCF693}"/>
    <cellStyle name="Normal 4 3 3 2 5 4" xfId="14413" xr:uid="{107F0AF6-11B7-4748-B58E-4AEF49099E46}"/>
    <cellStyle name="Normal 4 3 3 2 5 5" xfId="23663" xr:uid="{4E4B7191-F814-40B1-9B7E-87DC37C0DF10}"/>
    <cellStyle name="Normal 4 3 3 2 5 6" xfId="10202" xr:uid="{7A3D1D8A-0E23-46DA-894C-7818CC1DAAA6}"/>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21182" xr:uid="{6B723213-A4FB-40C0-A159-00B2F5A8CDCF}"/>
    <cellStyle name="Normal 4 3 3 2 6 2 3" xfId="16971" xr:uid="{5BC68914-2234-468C-B01E-E352076C596C}"/>
    <cellStyle name="Normal 4 3 3 2 6 2 4" xfId="26221" xr:uid="{2B74DA44-312C-4F81-9BFE-E87D9730725E}"/>
    <cellStyle name="Normal 4 3 3 2 6 2 5" xfId="12760" xr:uid="{373AC09B-EF33-44A9-8A42-77F9874C2F49}"/>
    <cellStyle name="Normal 4 3 3 2 6 3" xfId="6404" xr:uid="{00000000-0005-0000-0000-000081140000}"/>
    <cellStyle name="Normal 4 3 3 2 6 3 2" xfId="19037" xr:uid="{CBDFC383-AB2B-402A-834D-334A9218D75E}"/>
    <cellStyle name="Normal 4 3 3 2 6 4" xfId="14826" xr:uid="{BCF41653-AD41-427C-BE34-66FFC55F8436}"/>
    <cellStyle name="Normal 4 3 3 2 6 5" xfId="24076" xr:uid="{26C83148-2F6D-4A9A-BD62-937EB383D2D7}"/>
    <cellStyle name="Normal 4 3 3 2 6 6" xfId="10615" xr:uid="{65EAAA4E-4097-4E83-9593-69AAD3726E34}"/>
    <cellStyle name="Normal 4 3 3 2 7" xfId="2532" xr:uid="{00000000-0005-0000-0000-000082140000}"/>
    <cellStyle name="Normal 4 3 3 2 7 2" xfId="6817" xr:uid="{00000000-0005-0000-0000-000083140000}"/>
    <cellStyle name="Normal 4 3 3 2 7 2 2" xfId="19450" xr:uid="{CE3A5323-65FA-49F1-9343-51E715F09935}"/>
    <cellStyle name="Normal 4 3 3 2 7 3" xfId="15239" xr:uid="{6B61B818-DE47-41E2-8916-961F5603E8BC}"/>
    <cellStyle name="Normal 4 3 3 2 7 4" xfId="24489" xr:uid="{FD78AA01-9B1A-4522-B9E7-D55C9E60986B}"/>
    <cellStyle name="Normal 4 3 3 2 7 5" xfId="11028" xr:uid="{6E0C057D-8935-4936-AB1B-9090763A8CDA}"/>
    <cellStyle name="Normal 4 3 3 2 8" xfId="4752" xr:uid="{00000000-0005-0000-0000-000084140000}"/>
    <cellStyle name="Normal 4 3 3 2 8 2" xfId="17385" xr:uid="{6242994A-4FB6-4C8E-8FFA-7603C474F279}"/>
    <cellStyle name="Normal 4 3 3 2 9" xfId="21595" xr:uid="{8EE7A81B-4D99-4FC1-B303-5E2F2725A834}"/>
    <cellStyle name="Normal 4 3 3 3" xfId="377" xr:uid="{00000000-0005-0000-0000-000085140000}"/>
    <cellStyle name="Normal 4 3 3 3 10" xfId="22426" xr:uid="{BA05BA0E-BBA1-4C24-8C4F-A12671F4E29B}"/>
    <cellStyle name="Normal 4 3 3 3 11" xfId="8965" xr:uid="{CE03B91D-AEF4-4C74-BFE6-15AC7E2CF534}"/>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9945" xr:uid="{3384DEDD-9F02-46DF-895F-92422899E9BA}"/>
    <cellStyle name="Normal 4 3 3 3 2 2 3" xfId="15734" xr:uid="{A2E4D729-7652-4DD9-B362-A7E06480B5E7}"/>
    <cellStyle name="Normal 4 3 3 3 2 2 4" xfId="24984" xr:uid="{4BCD3DFD-9C95-47FC-B836-268D8A9A9F34}"/>
    <cellStyle name="Normal 4 3 3 3 2 2 5" xfId="11523" xr:uid="{424F17B6-B91B-469F-B00F-66A07EEDBC25}"/>
    <cellStyle name="Normal 4 3 3 3 2 3" xfId="5167" xr:uid="{00000000-0005-0000-0000-000089140000}"/>
    <cellStyle name="Normal 4 3 3 3 2 3 2" xfId="17800" xr:uid="{0C71155C-4C33-4588-A3A0-CF38242D44EF}"/>
    <cellStyle name="Normal 4 3 3 3 2 4" xfId="22012" xr:uid="{32C3101B-5849-47D0-94E6-CEF78D32C527}"/>
    <cellStyle name="Normal 4 3 3 3 2 5" xfId="13589" xr:uid="{FAF43993-DBA5-40AE-AB2F-91934FB4F2CF}"/>
    <cellStyle name="Normal 4 3 3 3 2 6" xfId="22839" xr:uid="{B322C9F0-0168-477A-AF5E-BEA7D132FDD8}"/>
    <cellStyle name="Normal 4 3 3 3 2 7" xfId="9378" xr:uid="{2DD24B38-6C23-48C4-9831-DF500FE44A40}"/>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20358" xr:uid="{64487A30-5ACB-46A5-9CF1-644820505FB3}"/>
    <cellStyle name="Normal 4 3 3 3 3 2 3" xfId="16147" xr:uid="{51011612-0C5D-4B2C-87EA-1C660F601A91}"/>
    <cellStyle name="Normal 4 3 3 3 3 2 4" xfId="25397" xr:uid="{B8E20D8C-B367-4A03-BF55-E5E7DC7B962B}"/>
    <cellStyle name="Normal 4 3 3 3 3 2 5" xfId="11936" xr:uid="{2DF0E5F0-B3A3-4157-8EE9-40418242B898}"/>
    <cellStyle name="Normal 4 3 3 3 3 3" xfId="5580" xr:uid="{00000000-0005-0000-0000-00008D140000}"/>
    <cellStyle name="Normal 4 3 3 3 3 3 2" xfId="18213" xr:uid="{651FD1A2-83E8-435D-86DF-A24B7608BD1F}"/>
    <cellStyle name="Normal 4 3 3 3 3 4" xfId="14002" xr:uid="{5A68B6C5-920F-4711-A35D-2B018B870B09}"/>
    <cellStyle name="Normal 4 3 3 3 3 5" xfId="23252" xr:uid="{46B727F6-D50B-4839-B94E-82F8BC42CCEA}"/>
    <cellStyle name="Normal 4 3 3 3 3 6" xfId="9791" xr:uid="{4E18F4F8-F0D8-401D-80A4-A1AFD015FFE3}"/>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20771" xr:uid="{B67D9796-D62B-426B-95C1-F5F09D652B05}"/>
    <cellStyle name="Normal 4 3 3 3 4 2 3" xfId="16560" xr:uid="{EAB1455E-2FBB-42E3-A793-67AD85E39173}"/>
    <cellStyle name="Normal 4 3 3 3 4 2 4" xfId="25810" xr:uid="{5A981329-1AFF-4319-9374-8ABDCCA1CD70}"/>
    <cellStyle name="Normal 4 3 3 3 4 2 5" xfId="12349" xr:uid="{59CAADA9-DECD-456F-A9E9-A83E0E5CF655}"/>
    <cellStyle name="Normal 4 3 3 3 4 3" xfId="5993" xr:uid="{00000000-0005-0000-0000-000091140000}"/>
    <cellStyle name="Normal 4 3 3 3 4 3 2" xfId="18626" xr:uid="{3F1100E7-79F0-49F5-8613-DF38D7FE1220}"/>
    <cellStyle name="Normal 4 3 3 3 4 4" xfId="14415" xr:uid="{FE3AA06F-39EA-4AE2-B0EC-807683675326}"/>
    <cellStyle name="Normal 4 3 3 3 4 5" xfId="23665" xr:uid="{6AF8719E-D694-4ABD-9F82-761F5F868703}"/>
    <cellStyle name="Normal 4 3 3 3 4 6" xfId="10204" xr:uid="{F72E6880-3FC1-4A1A-91ED-BD78454510F6}"/>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21184" xr:uid="{AE71F869-8CEB-4208-AC13-2C6039A0597A}"/>
    <cellStyle name="Normal 4 3 3 3 5 2 3" xfId="16973" xr:uid="{534D72A4-B4A9-4EEC-9B32-14C49EB10C77}"/>
    <cellStyle name="Normal 4 3 3 3 5 2 4" xfId="26223" xr:uid="{FF36AC18-B857-437A-BEF5-3B6F06ACDCE1}"/>
    <cellStyle name="Normal 4 3 3 3 5 2 5" xfId="12762" xr:uid="{DE415928-85A1-4105-A925-5A32C0815D0C}"/>
    <cellStyle name="Normal 4 3 3 3 5 3" xfId="6406" xr:uid="{00000000-0005-0000-0000-000095140000}"/>
    <cellStyle name="Normal 4 3 3 3 5 3 2" xfId="19039" xr:uid="{3A8EAD5B-2C2F-40C5-9697-AEBD7F9E0ED8}"/>
    <cellStyle name="Normal 4 3 3 3 5 4" xfId="14828" xr:uid="{F2E21148-E3B8-4DA6-B6A8-E4317F7AF95F}"/>
    <cellStyle name="Normal 4 3 3 3 5 5" xfId="24078" xr:uid="{DA0F6A9C-CEC8-4966-9BA1-8C63736199FB}"/>
    <cellStyle name="Normal 4 3 3 3 5 6" xfId="10617" xr:uid="{08A21C97-55DF-4A0B-9FBC-15025CF30784}"/>
    <cellStyle name="Normal 4 3 3 3 6" xfId="2534" xr:uid="{00000000-0005-0000-0000-000096140000}"/>
    <cellStyle name="Normal 4 3 3 3 6 2" xfId="6819" xr:uid="{00000000-0005-0000-0000-000097140000}"/>
    <cellStyle name="Normal 4 3 3 3 6 2 2" xfId="19452" xr:uid="{8FC7F0CF-AB00-4260-B009-064B3A4B767D}"/>
    <cellStyle name="Normal 4 3 3 3 6 3" xfId="15241" xr:uid="{F6F06B1C-B288-4AF2-A398-0F624F3AF1F5}"/>
    <cellStyle name="Normal 4 3 3 3 6 4" xfId="24491" xr:uid="{95E111BF-475D-4792-9D58-63C19BFC900A}"/>
    <cellStyle name="Normal 4 3 3 3 6 5" xfId="11030" xr:uid="{16440810-59FD-4B6A-BC24-BCF724DE3811}"/>
    <cellStyle name="Normal 4 3 3 3 7" xfId="4754" xr:uid="{00000000-0005-0000-0000-000098140000}"/>
    <cellStyle name="Normal 4 3 3 3 7 2" xfId="17387" xr:uid="{0096F5EB-603F-46B4-B638-D6A0463BE7A5}"/>
    <cellStyle name="Normal 4 3 3 3 8" xfId="21597" xr:uid="{9474433A-AE3C-4D64-B58F-6114231164D2}"/>
    <cellStyle name="Normal 4 3 3 3 9" xfId="13176" xr:uid="{E907E1B1-E430-4964-AAB0-EF1DC6E19D06}"/>
    <cellStyle name="Normal 4 3 3 4" xfId="850" xr:uid="{00000000-0005-0000-0000-000099140000}"/>
    <cellStyle name="Normal 4 3 3 4 2" xfId="3085" xr:uid="{00000000-0005-0000-0000-00009A140000}"/>
    <cellStyle name="Normal 4 3 3 4 2 2" xfId="7309" xr:uid="{00000000-0005-0000-0000-00009B140000}"/>
    <cellStyle name="Normal 4 3 3 4 2 2 2" xfId="19942" xr:uid="{65E75CD8-002A-4736-84BE-64ED10BC4735}"/>
    <cellStyle name="Normal 4 3 3 4 2 3" xfId="15731" xr:uid="{F46B6FB1-1087-4EC8-AA80-3333B907F460}"/>
    <cellStyle name="Normal 4 3 3 4 2 4" xfId="24981" xr:uid="{5365BD95-D11E-4E53-948B-667A67F22821}"/>
    <cellStyle name="Normal 4 3 3 4 2 5" xfId="11520" xr:uid="{FD6586E3-3D1A-4B38-B8FF-CDDE4A859708}"/>
    <cellStyle name="Normal 4 3 3 4 3" xfId="5164" xr:uid="{00000000-0005-0000-0000-00009C140000}"/>
    <cellStyle name="Normal 4 3 3 4 3 2" xfId="17797" xr:uid="{18830B4D-D247-4484-A872-5E063F0CEF5D}"/>
    <cellStyle name="Normal 4 3 3 4 4" xfId="22009" xr:uid="{35CD860F-23C2-47E4-8E76-51F196E6DBBB}"/>
    <cellStyle name="Normal 4 3 3 4 5" xfId="13586" xr:uid="{32E7314E-4F71-4B2B-A6D1-89DAABA67288}"/>
    <cellStyle name="Normal 4 3 3 4 6" xfId="22836" xr:uid="{9CA73C3C-7FA7-4F11-A682-84DD290174C8}"/>
    <cellStyle name="Normal 4 3 3 4 7" xfId="9375" xr:uid="{BA4CFDA3-6DE4-4998-85A2-3E60F553FC95}"/>
    <cellStyle name="Normal 4 3 3 5" xfId="1268" xr:uid="{00000000-0005-0000-0000-00009D140000}"/>
    <cellStyle name="Normal 4 3 3 5 2" xfId="3498" xr:uid="{00000000-0005-0000-0000-00009E140000}"/>
    <cellStyle name="Normal 4 3 3 5 2 2" xfId="7722" xr:uid="{00000000-0005-0000-0000-00009F140000}"/>
    <cellStyle name="Normal 4 3 3 5 2 2 2" xfId="20355" xr:uid="{9BF99F28-F2B6-46D1-B1B7-4AB88D9E6297}"/>
    <cellStyle name="Normal 4 3 3 5 2 3" xfId="16144" xr:uid="{39282546-F5D1-4E53-9C02-3F6ADE188EA0}"/>
    <cellStyle name="Normal 4 3 3 5 2 4" xfId="25394" xr:uid="{18D0E3C4-DFF6-4BE6-8711-321C5FE4648C}"/>
    <cellStyle name="Normal 4 3 3 5 2 5" xfId="11933" xr:uid="{C60E0A61-B0C7-4B4A-9007-5C5FB881DB57}"/>
    <cellStyle name="Normal 4 3 3 5 3" xfId="5577" xr:uid="{00000000-0005-0000-0000-0000A0140000}"/>
    <cellStyle name="Normal 4 3 3 5 3 2" xfId="18210" xr:uid="{B4398C47-9511-4034-BB49-FDD0E7962758}"/>
    <cellStyle name="Normal 4 3 3 5 4" xfId="13999" xr:uid="{4331E8D4-E55C-4D6A-9738-7DE543FFF7C4}"/>
    <cellStyle name="Normal 4 3 3 5 5" xfId="23249" xr:uid="{C05AFD50-0BC4-4810-B2FA-87904FBE801C}"/>
    <cellStyle name="Normal 4 3 3 5 6" xfId="9788" xr:uid="{C7461F47-214D-4C79-B99A-973EF7916C5B}"/>
    <cellStyle name="Normal 4 3 3 6" xfId="1681" xr:uid="{00000000-0005-0000-0000-0000A1140000}"/>
    <cellStyle name="Normal 4 3 3 6 2" xfId="3911" xr:uid="{00000000-0005-0000-0000-0000A2140000}"/>
    <cellStyle name="Normal 4 3 3 6 2 2" xfId="8135" xr:uid="{00000000-0005-0000-0000-0000A3140000}"/>
    <cellStyle name="Normal 4 3 3 6 2 2 2" xfId="20768" xr:uid="{F0DC1963-ADA9-42F6-AC9A-D9D5262CE81D}"/>
    <cellStyle name="Normal 4 3 3 6 2 3" xfId="16557" xr:uid="{B3E9BB8B-0F57-44C0-8388-8C3B47278B02}"/>
    <cellStyle name="Normal 4 3 3 6 2 4" xfId="25807" xr:uid="{AF19F2C7-E865-45B7-8818-4D633A986212}"/>
    <cellStyle name="Normal 4 3 3 6 2 5" xfId="12346" xr:uid="{4F80690F-AF46-4662-AB58-AF8625B587F8}"/>
    <cellStyle name="Normal 4 3 3 6 3" xfId="5990" xr:uid="{00000000-0005-0000-0000-0000A4140000}"/>
    <cellStyle name="Normal 4 3 3 6 3 2" xfId="18623" xr:uid="{5F469F6D-9F73-428B-A17B-51090FEC0652}"/>
    <cellStyle name="Normal 4 3 3 6 4" xfId="14412" xr:uid="{2217CBCE-D0C2-4C17-82F1-D80CB1CA5E20}"/>
    <cellStyle name="Normal 4 3 3 6 5" xfId="23662" xr:uid="{731BC44E-CC65-4086-B8BB-3D681EB8F67A}"/>
    <cellStyle name="Normal 4 3 3 6 6" xfId="10201" xr:uid="{3DC99294-B656-44DB-9730-C517A44CC4CD}"/>
    <cellStyle name="Normal 4 3 3 7" xfId="2095" xr:uid="{00000000-0005-0000-0000-0000A5140000}"/>
    <cellStyle name="Normal 4 3 3 7 2" xfId="4324" xr:uid="{00000000-0005-0000-0000-0000A6140000}"/>
    <cellStyle name="Normal 4 3 3 7 2 2" xfId="8548" xr:uid="{00000000-0005-0000-0000-0000A7140000}"/>
    <cellStyle name="Normal 4 3 3 7 2 2 2" xfId="21181" xr:uid="{C2FB38B7-248F-46BB-8F79-0CA96D7FEBC2}"/>
    <cellStyle name="Normal 4 3 3 7 2 3" xfId="16970" xr:uid="{13EA732F-3792-434E-9208-8156142A771C}"/>
    <cellStyle name="Normal 4 3 3 7 2 4" xfId="26220" xr:uid="{B50225F3-B678-46A0-B75D-F54E972BBD73}"/>
    <cellStyle name="Normal 4 3 3 7 2 5" xfId="12759" xr:uid="{F1DA86D8-E0D8-421C-B060-686A431FF68A}"/>
    <cellStyle name="Normal 4 3 3 7 3" xfId="6403" xr:uid="{00000000-0005-0000-0000-0000A8140000}"/>
    <cellStyle name="Normal 4 3 3 7 3 2" xfId="19036" xr:uid="{B5171984-B201-4202-9612-DD4FE43845BD}"/>
    <cellStyle name="Normal 4 3 3 7 4" xfId="14825" xr:uid="{3E90F9BD-F12E-4A62-A7E8-C55313D4EB2D}"/>
    <cellStyle name="Normal 4 3 3 7 5" xfId="24075" xr:uid="{078CDB2A-ECBC-42D8-ACA6-72E928A326B5}"/>
    <cellStyle name="Normal 4 3 3 7 6" xfId="10614" xr:uid="{EB007777-CEB0-4B03-89EC-96E5E2D78334}"/>
    <cellStyle name="Normal 4 3 3 8" xfId="2531" xr:uid="{00000000-0005-0000-0000-0000A9140000}"/>
    <cellStyle name="Normal 4 3 3 8 2" xfId="6816" xr:uid="{00000000-0005-0000-0000-0000AA140000}"/>
    <cellStyle name="Normal 4 3 3 8 2 2" xfId="19449" xr:uid="{538918C7-AA33-425B-B391-20781234C361}"/>
    <cellStyle name="Normal 4 3 3 8 3" xfId="15238" xr:uid="{F779375D-53EB-45A1-8683-5C09CE60657B}"/>
    <cellStyle name="Normal 4 3 3 8 4" xfId="24488" xr:uid="{E0B8B836-A264-4C2D-8E69-14669E9B383F}"/>
    <cellStyle name="Normal 4 3 3 8 5" xfId="11027" xr:uid="{FA827CCE-A0F6-44CC-92F4-424F695758E8}"/>
    <cellStyle name="Normal 4 3 3 9" xfId="4751" xr:uid="{00000000-0005-0000-0000-0000AB140000}"/>
    <cellStyle name="Normal 4 3 3 9 2" xfId="17384" xr:uid="{E61CC457-1DE0-49DC-8B7B-790849C9608B}"/>
    <cellStyle name="Normal 4 3 4" xfId="843" xr:uid="{00000000-0005-0000-0000-0000AC140000}"/>
    <cellStyle name="Normal 4 3 4 2" xfId="3080" xr:uid="{00000000-0005-0000-0000-0000AD140000}"/>
    <cellStyle name="Normal 4 3 4 2 2" xfId="7304" xr:uid="{00000000-0005-0000-0000-0000AE140000}"/>
    <cellStyle name="Normal 4 3 4 2 2 2" xfId="19937" xr:uid="{7DF162A1-86E5-47DB-912F-BDC1DC5C45E3}"/>
    <cellStyle name="Normal 4 3 4 2 3" xfId="15726" xr:uid="{78BF848C-671E-4D01-AB4D-7C984CB5EE4D}"/>
    <cellStyle name="Normal 4 3 4 2 4" xfId="24976" xr:uid="{437CE6BA-B51E-4BCD-9560-16F21AE31B39}"/>
    <cellStyle name="Normal 4 3 4 2 5" xfId="11515" xr:uid="{735D03AD-2D2B-4E99-B896-B93284E91C07}"/>
    <cellStyle name="Normal 4 3 4 3" xfId="5159" xr:uid="{00000000-0005-0000-0000-0000AF140000}"/>
    <cellStyle name="Normal 4 3 4 3 2" xfId="17792" xr:uid="{E90551C0-FDDF-40D8-A971-36BB9E696183}"/>
    <cellStyle name="Normal 4 3 4 4" xfId="22004" xr:uid="{F40AA080-D00B-4EE5-AF10-845E69F68329}"/>
    <cellStyle name="Normal 4 3 4 5" xfId="13581" xr:uid="{CA722434-1B1A-4962-AF1C-EA18ADB52D02}"/>
    <cellStyle name="Normal 4 3 4 6" xfId="22831" xr:uid="{510790D3-A3D0-4A2A-8C62-FF04EE224A5A}"/>
    <cellStyle name="Normal 4 3 4 7" xfId="9370" xr:uid="{D5767885-AE70-42CD-8218-9737153742C4}"/>
    <cellStyle name="Normal 4 3 5" xfId="1263" xr:uid="{00000000-0005-0000-0000-0000B0140000}"/>
    <cellStyle name="Normal 4 3 5 2" xfId="3493" xr:uid="{00000000-0005-0000-0000-0000B1140000}"/>
    <cellStyle name="Normal 4 3 5 2 2" xfId="7717" xr:uid="{00000000-0005-0000-0000-0000B2140000}"/>
    <cellStyle name="Normal 4 3 5 2 2 2" xfId="20350" xr:uid="{DDE15254-CFE2-4EF5-9EE9-79DC11C8D95F}"/>
    <cellStyle name="Normal 4 3 5 2 3" xfId="16139" xr:uid="{2ABADDEB-B932-46E3-801F-78F2EB96CA88}"/>
    <cellStyle name="Normal 4 3 5 2 4" xfId="25389" xr:uid="{A4107920-4C96-4D53-8A8A-24AB830B204D}"/>
    <cellStyle name="Normal 4 3 5 2 5" xfId="11928" xr:uid="{F86D3B12-8450-4E93-94DB-833A9EC063B8}"/>
    <cellStyle name="Normal 4 3 5 3" xfId="5572" xr:uid="{00000000-0005-0000-0000-0000B3140000}"/>
    <cellStyle name="Normal 4 3 5 3 2" xfId="18205" xr:uid="{2529DDF3-F08C-4A5D-A991-5357859F3581}"/>
    <cellStyle name="Normal 4 3 5 4" xfId="13994" xr:uid="{5A3C5092-1AEB-4E41-B6F8-5A756DAE9E30}"/>
    <cellStyle name="Normal 4 3 5 5" xfId="23244" xr:uid="{5D3A3041-ED88-427F-BDAD-F74DB67993B1}"/>
    <cellStyle name="Normal 4 3 5 6" xfId="9783" xr:uid="{D745456C-59A5-4452-9401-33B4281FB4F0}"/>
    <cellStyle name="Normal 4 3 6" xfId="1676" xr:uid="{00000000-0005-0000-0000-0000B4140000}"/>
    <cellStyle name="Normal 4 3 6 2" xfId="3906" xr:uid="{00000000-0005-0000-0000-0000B5140000}"/>
    <cellStyle name="Normal 4 3 6 2 2" xfId="8130" xr:uid="{00000000-0005-0000-0000-0000B6140000}"/>
    <cellStyle name="Normal 4 3 6 2 2 2" xfId="20763" xr:uid="{733C81B5-C723-4882-8B8C-327D8E5235B7}"/>
    <cellStyle name="Normal 4 3 6 2 3" xfId="16552" xr:uid="{3C7D45A2-8EEE-4FA9-9DF9-74EAEB194B55}"/>
    <cellStyle name="Normal 4 3 6 2 4" xfId="25802" xr:uid="{F3F78418-8A88-4252-BA52-AAF408394AE8}"/>
    <cellStyle name="Normal 4 3 6 2 5" xfId="12341" xr:uid="{60BFF0E5-7146-4A13-92A0-406A285DDF49}"/>
    <cellStyle name="Normal 4 3 6 3" xfId="5985" xr:uid="{00000000-0005-0000-0000-0000B7140000}"/>
    <cellStyle name="Normal 4 3 6 3 2" xfId="18618" xr:uid="{0FE9E538-E08A-4CAB-BA5D-373E1D00C5BE}"/>
    <cellStyle name="Normal 4 3 6 4" xfId="14407" xr:uid="{7C8C3FB3-AD10-47C9-BDDD-0788F77CFA8A}"/>
    <cellStyle name="Normal 4 3 6 5" xfId="23657" xr:uid="{C84E41FE-08F8-464D-AE30-7B2742E61F3F}"/>
    <cellStyle name="Normal 4 3 6 6" xfId="10196" xr:uid="{3A50C5FE-C53B-43D8-AA0A-FDC7573CAC0C}"/>
    <cellStyle name="Normal 4 3 7" xfId="2090" xr:uid="{00000000-0005-0000-0000-0000B8140000}"/>
    <cellStyle name="Normal 4 3 7 2" xfId="4319" xr:uid="{00000000-0005-0000-0000-0000B9140000}"/>
    <cellStyle name="Normal 4 3 7 2 2" xfId="8543" xr:uid="{00000000-0005-0000-0000-0000BA140000}"/>
    <cellStyle name="Normal 4 3 7 2 2 2" xfId="21176" xr:uid="{DC5F58A6-7B34-4FED-B628-D65FF8DF36D4}"/>
    <cellStyle name="Normal 4 3 7 2 3" xfId="16965" xr:uid="{E04F9815-CB3B-4AA5-84FB-D7E05D52BEE0}"/>
    <cellStyle name="Normal 4 3 7 2 4" xfId="26215" xr:uid="{73D9AB04-15D4-4EC7-9CF9-05C6B6762F59}"/>
    <cellStyle name="Normal 4 3 7 2 5" xfId="12754" xr:uid="{B66D11C6-F896-4DD5-9ADB-652B6BACF546}"/>
    <cellStyle name="Normal 4 3 7 3" xfId="6398" xr:uid="{00000000-0005-0000-0000-0000BB140000}"/>
    <cellStyle name="Normal 4 3 7 3 2" xfId="19031" xr:uid="{9345AD38-B08D-49C9-A094-54C49F0AE20B}"/>
    <cellStyle name="Normal 4 3 7 4" xfId="14820" xr:uid="{38208C10-D941-4260-9F2C-EC11AEBBF98D}"/>
    <cellStyle name="Normal 4 3 7 5" xfId="24070" xr:uid="{F6FF4585-28A5-4EF6-B515-7C5FC0CFE50A}"/>
    <cellStyle name="Normal 4 3 7 6" xfId="10609" xr:uid="{F3065A96-73AB-495B-934F-19881B967F78}"/>
    <cellStyle name="Normal 4 3 8" xfId="2526" xr:uid="{00000000-0005-0000-0000-0000BC140000}"/>
    <cellStyle name="Normal 4 3 8 2" xfId="6811" xr:uid="{00000000-0005-0000-0000-0000BD140000}"/>
    <cellStyle name="Normal 4 3 8 2 2" xfId="19444" xr:uid="{01DDFAE6-36C1-4B16-B12A-C31FA8E1753F}"/>
    <cellStyle name="Normal 4 3 8 3" xfId="15233" xr:uid="{FAF22F63-B01C-4D1A-9DCC-BBF6BED58AB4}"/>
    <cellStyle name="Normal 4 3 8 4" xfId="24483" xr:uid="{3D4ADC9B-4303-4C5F-8ADC-DEFBA49227A4}"/>
    <cellStyle name="Normal 4 3 8 5" xfId="11022" xr:uid="{CDFBDB82-6172-4237-A30B-12F633D7553B}"/>
    <cellStyle name="Normal 4 3 9" xfId="4746" xr:uid="{00000000-0005-0000-0000-0000BE140000}"/>
    <cellStyle name="Normal 4 3 9 2" xfId="17379" xr:uid="{BFB2871A-68FA-4C0C-8D2A-C4431B5C182B}"/>
    <cellStyle name="Normal 4 4" xfId="378" xr:uid="{00000000-0005-0000-0000-0000BF140000}"/>
    <cellStyle name="Normal 4 4 10" xfId="2535" xr:uid="{00000000-0005-0000-0000-0000C0140000}"/>
    <cellStyle name="Normal 4 4 10 2" xfId="6820" xr:uid="{00000000-0005-0000-0000-0000C1140000}"/>
    <cellStyle name="Normal 4 4 10 2 2" xfId="19453" xr:uid="{30C54328-0286-4261-85E5-9483AF32E132}"/>
    <cellStyle name="Normal 4 4 10 3" xfId="15242" xr:uid="{F1BAF521-0292-40CA-B410-2E04BDB733AF}"/>
    <cellStyle name="Normal 4 4 10 4" xfId="24492" xr:uid="{18F59C3B-862A-4C71-82FC-82609EA77113}"/>
    <cellStyle name="Normal 4 4 10 5" xfId="11031" xr:uid="{9F5D13BA-AAAC-4E77-8ABF-326DB95E6399}"/>
    <cellStyle name="Normal 4 4 11" xfId="4755" xr:uid="{00000000-0005-0000-0000-0000C2140000}"/>
    <cellStyle name="Normal 4 4 11 2" xfId="17388" xr:uid="{8D0DE31A-2F9E-440C-BB09-2C62DABE6037}"/>
    <cellStyle name="Normal 4 4 12" xfId="21598" xr:uid="{E680A354-768C-4071-BF62-07563B2B8831}"/>
    <cellStyle name="Normal 4 4 13" xfId="13177" xr:uid="{12EF81D7-8C19-4497-89DC-439F250C868B}"/>
    <cellStyle name="Normal 4 4 14" xfId="22427" xr:uid="{A7557F53-866A-4244-BE0F-756EF0264DAC}"/>
    <cellStyle name="Normal 4 4 15" xfId="8966" xr:uid="{139FA886-CDAD-45CB-9A2D-1C2A67220F7A}"/>
    <cellStyle name="Normal 4 4 2" xfId="379" xr:uid="{00000000-0005-0000-0000-0000C3140000}"/>
    <cellStyle name="Normal 4 4 2 10" xfId="4756" xr:uid="{00000000-0005-0000-0000-0000C4140000}"/>
    <cellStyle name="Normal 4 4 2 10 2" xfId="17389" xr:uid="{92B5BF11-F814-4685-B142-5440CA492E43}"/>
    <cellStyle name="Normal 4 4 2 11" xfId="21599" xr:uid="{FD5C23C5-3906-4E44-99A2-D6A6792DAA6B}"/>
    <cellStyle name="Normal 4 4 2 12" xfId="13178" xr:uid="{DCABF1EF-8F0C-4D04-92FB-273C75FCE1A3}"/>
    <cellStyle name="Normal 4 4 2 13" xfId="22428" xr:uid="{1B5C7AD0-C5A5-45C4-9E0C-289353017FE5}"/>
    <cellStyle name="Normal 4 4 2 14" xfId="8967" xr:uid="{93B6F5EA-804F-4C58-878C-389B184BBCF8}"/>
    <cellStyle name="Normal 4 4 2 2" xfId="380" xr:uid="{00000000-0005-0000-0000-0000C5140000}"/>
    <cellStyle name="Normal 4 4 2 2 10" xfId="21600" xr:uid="{78A7CAC2-FDD3-47E4-A6CE-AAD2A6A877BE}"/>
    <cellStyle name="Normal 4 4 2 2 11" xfId="13179" xr:uid="{124DAA05-31E3-4284-A10A-60094C76B71A}"/>
    <cellStyle name="Normal 4 4 2 2 12" xfId="22429" xr:uid="{BFA2BAB2-D5DF-4DC6-B975-14455B6DDF77}"/>
    <cellStyle name="Normal 4 4 2 2 13" xfId="8968" xr:uid="{E5A24DE8-7A5E-423F-A66C-023E925FBEBF}"/>
    <cellStyle name="Normal 4 4 2 2 2" xfId="381" xr:uid="{00000000-0005-0000-0000-0000C6140000}"/>
    <cellStyle name="Normal 4 4 2 2 2 10" xfId="13180" xr:uid="{9BB14FC2-4ABE-4908-8E89-AEA74A7271C1}"/>
    <cellStyle name="Normal 4 4 2 2 2 11" xfId="22430" xr:uid="{A4A0555E-FDC2-477A-9197-3272C28418C3}"/>
    <cellStyle name="Normal 4 4 2 2 2 12" xfId="8969" xr:uid="{FB1AC73E-6920-425F-B2F4-A7340702B13D}"/>
    <cellStyle name="Normal 4 4 2 2 2 2" xfId="382" xr:uid="{00000000-0005-0000-0000-0000C7140000}"/>
    <cellStyle name="Normal 4 4 2 2 2 2 10" xfId="22431" xr:uid="{1692C2FD-A2BF-43EB-B7B3-1E04FE924D50}"/>
    <cellStyle name="Normal 4 4 2 2 2 2 11" xfId="8970" xr:uid="{C6E67883-0C4E-4757-9C46-DEAE17E3A0C5}"/>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9950" xr:uid="{F4E55C7A-FFDE-4535-BB11-63449751495B}"/>
    <cellStyle name="Normal 4 4 2 2 2 2 2 2 3" xfId="15739" xr:uid="{99444A91-D2D4-4C5B-9E88-9DFBB83A6A31}"/>
    <cellStyle name="Normal 4 4 2 2 2 2 2 2 4" xfId="24989" xr:uid="{21DDF346-1ABA-407C-B39E-D9B2C49B9DDC}"/>
    <cellStyle name="Normal 4 4 2 2 2 2 2 2 5" xfId="11528" xr:uid="{C1121477-9489-44D1-8EFF-BEBCC0B15A01}"/>
    <cellStyle name="Normal 4 4 2 2 2 2 2 3" xfId="5172" xr:uid="{00000000-0005-0000-0000-0000CB140000}"/>
    <cellStyle name="Normal 4 4 2 2 2 2 2 3 2" xfId="17805" xr:uid="{9B80EFD3-DA8E-4D9C-87E9-109824E894DB}"/>
    <cellStyle name="Normal 4 4 2 2 2 2 2 4" xfId="22017" xr:uid="{7C5AFCEF-FAC4-4962-A384-2D9A84F6F1A7}"/>
    <cellStyle name="Normal 4 4 2 2 2 2 2 5" xfId="13594" xr:uid="{94FE3375-6591-4724-958F-1247FC11D202}"/>
    <cellStyle name="Normal 4 4 2 2 2 2 2 6" xfId="22844" xr:uid="{9781DCC5-C263-4694-B4BC-724E3A5D8EF1}"/>
    <cellStyle name="Normal 4 4 2 2 2 2 2 7" xfId="9383" xr:uid="{88861F6D-169E-4ECE-99F6-99CA98C5F2D3}"/>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20363" xr:uid="{76F17CD0-3B63-4228-99B5-613AE18C5DF5}"/>
    <cellStyle name="Normal 4 4 2 2 2 2 3 2 3" xfId="16152" xr:uid="{26ABC479-09A3-461A-9836-DD6DBA63E240}"/>
    <cellStyle name="Normal 4 4 2 2 2 2 3 2 4" xfId="25402" xr:uid="{684597FB-056F-4CCA-AB1C-3FB82DA30A5E}"/>
    <cellStyle name="Normal 4 4 2 2 2 2 3 2 5" xfId="11941" xr:uid="{83240BF9-7C8A-46AA-8DFA-8AD12AC88BD9}"/>
    <cellStyle name="Normal 4 4 2 2 2 2 3 3" xfId="5585" xr:uid="{00000000-0005-0000-0000-0000CF140000}"/>
    <cellStyle name="Normal 4 4 2 2 2 2 3 3 2" xfId="18218" xr:uid="{1FC62085-CF88-48F3-98E9-378816C35CDE}"/>
    <cellStyle name="Normal 4 4 2 2 2 2 3 4" xfId="14007" xr:uid="{3E3230B4-0E73-4CCB-A311-D5C3DC69C185}"/>
    <cellStyle name="Normal 4 4 2 2 2 2 3 5" xfId="23257" xr:uid="{B76AF63A-1B84-46CD-8A82-B378860DCFC9}"/>
    <cellStyle name="Normal 4 4 2 2 2 2 3 6" xfId="9796" xr:uid="{A29BCBFB-2556-4BBF-B1FB-0ECE4B2C930E}"/>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20776" xr:uid="{FAE8E93F-8C9F-4042-B60F-6CEF042BAC82}"/>
    <cellStyle name="Normal 4 4 2 2 2 2 4 2 3" xfId="16565" xr:uid="{D7D5359B-8360-4E3A-B43B-F4EEFAE85B39}"/>
    <cellStyle name="Normal 4 4 2 2 2 2 4 2 4" xfId="25815" xr:uid="{E08E419F-40D2-4B38-9D71-C29735DA2BC0}"/>
    <cellStyle name="Normal 4 4 2 2 2 2 4 2 5" xfId="12354" xr:uid="{292AAEC9-F8B1-4A8A-B2A3-E457C679BE63}"/>
    <cellStyle name="Normal 4 4 2 2 2 2 4 3" xfId="5998" xr:uid="{00000000-0005-0000-0000-0000D3140000}"/>
    <cellStyle name="Normal 4 4 2 2 2 2 4 3 2" xfId="18631" xr:uid="{30BAC4C1-9EFB-446E-A304-80D9F8693AE8}"/>
    <cellStyle name="Normal 4 4 2 2 2 2 4 4" xfId="14420" xr:uid="{786064A3-ECA3-4794-BE85-5382EA79C863}"/>
    <cellStyle name="Normal 4 4 2 2 2 2 4 5" xfId="23670" xr:uid="{81EC1C13-8966-4F71-BC92-DB12065F9E5D}"/>
    <cellStyle name="Normal 4 4 2 2 2 2 4 6" xfId="10209" xr:uid="{7A77E577-9D98-4FFB-8597-1AC633F524BA}"/>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21189" xr:uid="{61ED9BC2-6EF0-4F8B-AC71-49677F79FD92}"/>
    <cellStyle name="Normal 4 4 2 2 2 2 5 2 3" xfId="16978" xr:uid="{320238BB-2B6B-4468-969E-46CED4B27322}"/>
    <cellStyle name="Normal 4 4 2 2 2 2 5 2 4" xfId="26228" xr:uid="{CEC79681-A85D-4700-87F5-4D453802F1C6}"/>
    <cellStyle name="Normal 4 4 2 2 2 2 5 2 5" xfId="12767" xr:uid="{93A62634-B8B0-418F-A1CF-81BEF2FB10BA}"/>
    <cellStyle name="Normal 4 4 2 2 2 2 5 3" xfId="6411" xr:uid="{00000000-0005-0000-0000-0000D7140000}"/>
    <cellStyle name="Normal 4 4 2 2 2 2 5 3 2" xfId="19044" xr:uid="{E47C85CE-0170-42EA-9231-DA565CC192C3}"/>
    <cellStyle name="Normal 4 4 2 2 2 2 5 4" xfId="14833" xr:uid="{07D4411A-AABA-45CB-A9BE-0A7AC129BF50}"/>
    <cellStyle name="Normal 4 4 2 2 2 2 5 5" xfId="24083" xr:uid="{9376F902-CC42-4DA6-8DBD-B006984A257C}"/>
    <cellStyle name="Normal 4 4 2 2 2 2 5 6" xfId="10622" xr:uid="{2080E05C-0D1E-4474-BF1E-9F193A191378}"/>
    <cellStyle name="Normal 4 4 2 2 2 2 6" xfId="2539" xr:uid="{00000000-0005-0000-0000-0000D8140000}"/>
    <cellStyle name="Normal 4 4 2 2 2 2 6 2" xfId="6824" xr:uid="{00000000-0005-0000-0000-0000D9140000}"/>
    <cellStyle name="Normal 4 4 2 2 2 2 6 2 2" xfId="19457" xr:uid="{26A919D6-DC97-46E0-B322-C7E75338F2BB}"/>
    <cellStyle name="Normal 4 4 2 2 2 2 6 3" xfId="15246" xr:uid="{2E5ED76A-3040-469E-879B-2C20AFE32252}"/>
    <cellStyle name="Normal 4 4 2 2 2 2 6 4" xfId="24496" xr:uid="{F7C4B3A2-7D02-4D53-898F-3D0BAC23B151}"/>
    <cellStyle name="Normal 4 4 2 2 2 2 6 5" xfId="11035" xr:uid="{55EF5896-8B1E-4D3E-AE5C-DEED86811117}"/>
    <cellStyle name="Normal 4 4 2 2 2 2 7" xfId="4759" xr:uid="{00000000-0005-0000-0000-0000DA140000}"/>
    <cellStyle name="Normal 4 4 2 2 2 2 7 2" xfId="17392" xr:uid="{98136B54-D0F1-402D-A269-E338FF00909C}"/>
    <cellStyle name="Normal 4 4 2 2 2 2 8" xfId="21602" xr:uid="{04BCE2E7-053B-4FEC-9924-AF3B284D52F8}"/>
    <cellStyle name="Normal 4 4 2 2 2 2 9" xfId="13181" xr:uid="{8A848FA7-5293-402A-A1AE-670A05784122}"/>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9949" xr:uid="{BB18794C-CE93-49A0-81C3-2733060F3DE9}"/>
    <cellStyle name="Normal 4 4 2 2 2 3 2 3" xfId="15738" xr:uid="{BEA87EDF-A35D-4B7C-B92B-5BCFF16024D2}"/>
    <cellStyle name="Normal 4 4 2 2 2 3 2 4" xfId="24988" xr:uid="{D5D80061-82AE-404F-AFB6-361C93A67C77}"/>
    <cellStyle name="Normal 4 4 2 2 2 3 2 5" xfId="11527" xr:uid="{EEFA5606-7424-4B3E-9A9E-A40254C17482}"/>
    <cellStyle name="Normal 4 4 2 2 2 3 3" xfId="5171" xr:uid="{00000000-0005-0000-0000-0000DE140000}"/>
    <cellStyle name="Normal 4 4 2 2 2 3 3 2" xfId="17804" xr:uid="{B4CE8BF5-9755-4378-A01F-9A0902E678BA}"/>
    <cellStyle name="Normal 4 4 2 2 2 3 4" xfId="22016" xr:uid="{233C5876-D25A-412B-BE83-040707121310}"/>
    <cellStyle name="Normal 4 4 2 2 2 3 5" xfId="13593" xr:uid="{BB87320C-DF05-4BEC-A5D5-B56A29225577}"/>
    <cellStyle name="Normal 4 4 2 2 2 3 6" xfId="22843" xr:uid="{912E1411-8411-4B90-879A-C2C9B253AE01}"/>
    <cellStyle name="Normal 4 4 2 2 2 3 7" xfId="9382" xr:uid="{2FA617B4-F6FC-47B5-8098-32E6527522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20362" xr:uid="{2DF89953-D62A-4932-A325-EAF102B020FA}"/>
    <cellStyle name="Normal 4 4 2 2 2 4 2 3" xfId="16151" xr:uid="{B4333A7B-18C6-45F2-9EE6-51CA42A70878}"/>
    <cellStyle name="Normal 4 4 2 2 2 4 2 4" xfId="25401" xr:uid="{567B3534-9B39-435D-B494-EC67C4401CDC}"/>
    <cellStyle name="Normal 4 4 2 2 2 4 2 5" xfId="11940" xr:uid="{3925A2CF-5380-451D-89B1-0F6B84676B7F}"/>
    <cellStyle name="Normal 4 4 2 2 2 4 3" xfId="5584" xr:uid="{00000000-0005-0000-0000-0000E2140000}"/>
    <cellStyle name="Normal 4 4 2 2 2 4 3 2" xfId="18217" xr:uid="{AEF2F452-2C4E-45EC-9D54-BD8E90675906}"/>
    <cellStyle name="Normal 4 4 2 2 2 4 4" xfId="14006" xr:uid="{B5B8017B-290C-4B9E-9FFD-0689E745D0D4}"/>
    <cellStyle name="Normal 4 4 2 2 2 4 5" xfId="23256" xr:uid="{23714D2C-5DFC-4DC1-8016-298644B74E2F}"/>
    <cellStyle name="Normal 4 4 2 2 2 4 6" xfId="9795" xr:uid="{D7904A21-E978-4782-9632-EB3773068026}"/>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20775" xr:uid="{B94E18E8-9E6E-48F0-A449-8926968A155B}"/>
    <cellStyle name="Normal 4 4 2 2 2 5 2 3" xfId="16564" xr:uid="{2E50E11E-B52C-46F8-A1E7-9DCF4C2ACED8}"/>
    <cellStyle name="Normal 4 4 2 2 2 5 2 4" xfId="25814" xr:uid="{BC846CA6-A368-44FE-9429-5A3D07D2A9D3}"/>
    <cellStyle name="Normal 4 4 2 2 2 5 2 5" xfId="12353" xr:uid="{E1AFACC6-7729-42F9-AD53-418F4495396F}"/>
    <cellStyle name="Normal 4 4 2 2 2 5 3" xfId="5997" xr:uid="{00000000-0005-0000-0000-0000E6140000}"/>
    <cellStyle name="Normal 4 4 2 2 2 5 3 2" xfId="18630" xr:uid="{D72A1DE3-5D55-42B3-90D2-F92681DE2591}"/>
    <cellStyle name="Normal 4 4 2 2 2 5 4" xfId="14419" xr:uid="{45D66224-E230-47F3-8D79-D9F6926BAFB5}"/>
    <cellStyle name="Normal 4 4 2 2 2 5 5" xfId="23669" xr:uid="{C9AEBB14-C9F4-4BEB-B98E-B5D712792BF8}"/>
    <cellStyle name="Normal 4 4 2 2 2 5 6" xfId="10208" xr:uid="{92EACA0E-6D22-40BE-9BD1-C969C9631CDB}"/>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21188" xr:uid="{AA1376C7-FA15-4DE5-9155-2599B7CD4D26}"/>
    <cellStyle name="Normal 4 4 2 2 2 6 2 3" xfId="16977" xr:uid="{6B925E03-BA43-41E7-9383-4EFE87959895}"/>
    <cellStyle name="Normal 4 4 2 2 2 6 2 4" xfId="26227" xr:uid="{08B179E4-B5DE-4F09-A0D1-05B06A5ED151}"/>
    <cellStyle name="Normal 4 4 2 2 2 6 2 5" xfId="12766" xr:uid="{723B237C-4406-4352-B664-1B9BB855B73D}"/>
    <cellStyle name="Normal 4 4 2 2 2 6 3" xfId="6410" xr:uid="{00000000-0005-0000-0000-0000EA140000}"/>
    <cellStyle name="Normal 4 4 2 2 2 6 3 2" xfId="19043" xr:uid="{2840E123-6607-40BE-A7C3-63E2557A99DD}"/>
    <cellStyle name="Normal 4 4 2 2 2 6 4" xfId="14832" xr:uid="{A46CAB88-7592-4C9F-BAB2-4556B5D3F62C}"/>
    <cellStyle name="Normal 4 4 2 2 2 6 5" xfId="24082" xr:uid="{F55A2D6B-87B2-4827-A1D9-097DBD49EEF2}"/>
    <cellStyle name="Normal 4 4 2 2 2 6 6" xfId="10621" xr:uid="{0C7A983D-9C6E-4C69-81AF-8155A43C1D40}"/>
    <cellStyle name="Normal 4 4 2 2 2 7" xfId="2538" xr:uid="{00000000-0005-0000-0000-0000EB140000}"/>
    <cellStyle name="Normal 4 4 2 2 2 7 2" xfId="6823" xr:uid="{00000000-0005-0000-0000-0000EC140000}"/>
    <cellStyle name="Normal 4 4 2 2 2 7 2 2" xfId="19456" xr:uid="{DB7D30A4-19D1-46ED-84ED-BD2ABBE14C55}"/>
    <cellStyle name="Normal 4 4 2 2 2 7 3" xfId="15245" xr:uid="{660F837B-4C35-4B84-9148-D60069E20743}"/>
    <cellStyle name="Normal 4 4 2 2 2 7 4" xfId="24495" xr:uid="{69A95FB3-DADD-46AA-90A9-D816C5A50853}"/>
    <cellStyle name="Normal 4 4 2 2 2 7 5" xfId="11034" xr:uid="{EB61B25A-4152-4A3C-8067-88147DD355EB}"/>
    <cellStyle name="Normal 4 4 2 2 2 8" xfId="4758" xr:uid="{00000000-0005-0000-0000-0000ED140000}"/>
    <cellStyle name="Normal 4 4 2 2 2 8 2" xfId="17391" xr:uid="{D193B66A-B563-4393-8540-94DA3BAC687C}"/>
    <cellStyle name="Normal 4 4 2 2 2 9" xfId="21601" xr:uid="{4F382A59-4FD6-4870-BA09-E06B74651BC4}"/>
    <cellStyle name="Normal 4 4 2 2 3" xfId="383" xr:uid="{00000000-0005-0000-0000-0000EE140000}"/>
    <cellStyle name="Normal 4 4 2 2 3 10" xfId="22432" xr:uid="{88452D5C-25FC-40EA-80B0-24D33918E4F4}"/>
    <cellStyle name="Normal 4 4 2 2 3 11" xfId="8971" xr:uid="{D5D46804-5091-46F3-8901-A281D857FE69}"/>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9951" xr:uid="{6939DDC0-6697-491A-9127-5D3E405D96BC}"/>
    <cellStyle name="Normal 4 4 2 2 3 2 2 3" xfId="15740" xr:uid="{370E9B92-4618-4211-9FFE-3DC2072745BC}"/>
    <cellStyle name="Normal 4 4 2 2 3 2 2 4" xfId="24990" xr:uid="{FA747F40-AC1E-4957-BDBB-FA5F724C8A66}"/>
    <cellStyle name="Normal 4 4 2 2 3 2 2 5" xfId="11529" xr:uid="{83093301-883B-488C-9BE3-65CBCDBDA680}"/>
    <cellStyle name="Normal 4 4 2 2 3 2 3" xfId="5173" xr:uid="{00000000-0005-0000-0000-0000F2140000}"/>
    <cellStyle name="Normal 4 4 2 2 3 2 3 2" xfId="17806" xr:uid="{C569F6A6-56BD-4E85-91E3-F431DC2FE2F3}"/>
    <cellStyle name="Normal 4 4 2 2 3 2 4" xfId="22018" xr:uid="{8942D780-D336-4121-B3B7-BB5196887CC0}"/>
    <cellStyle name="Normal 4 4 2 2 3 2 5" xfId="13595" xr:uid="{89FC8DE0-F9D9-4158-8470-874E4ADDDA20}"/>
    <cellStyle name="Normal 4 4 2 2 3 2 6" xfId="22845" xr:uid="{50D1B74C-7654-47F4-9EB0-219D03C92529}"/>
    <cellStyle name="Normal 4 4 2 2 3 2 7" xfId="9384" xr:uid="{CBBE377D-5826-4422-8575-9F3F8760ECA8}"/>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20364" xr:uid="{0B1F264A-47AD-4589-B464-DEDC136DA951}"/>
    <cellStyle name="Normal 4 4 2 2 3 3 2 3" xfId="16153" xr:uid="{9974D0DE-A1C3-4652-9005-CC222BB7BA63}"/>
    <cellStyle name="Normal 4 4 2 2 3 3 2 4" xfId="25403" xr:uid="{6F7E316D-6427-43D7-A650-C68766180E27}"/>
    <cellStyle name="Normal 4 4 2 2 3 3 2 5" xfId="11942" xr:uid="{3195E11B-E7E0-4A6D-8256-37250503D6E1}"/>
    <cellStyle name="Normal 4 4 2 2 3 3 3" xfId="5586" xr:uid="{00000000-0005-0000-0000-0000F6140000}"/>
    <cellStyle name="Normal 4 4 2 2 3 3 3 2" xfId="18219" xr:uid="{B17D6A74-7B58-414A-A7B7-0C790285E430}"/>
    <cellStyle name="Normal 4 4 2 2 3 3 4" xfId="14008" xr:uid="{9934A9CD-5B7D-4C4E-A357-774F164BE9B1}"/>
    <cellStyle name="Normal 4 4 2 2 3 3 5" xfId="23258" xr:uid="{3C3FC37B-A2B9-4A05-B79F-E873035F3943}"/>
    <cellStyle name="Normal 4 4 2 2 3 3 6" xfId="9797" xr:uid="{3FF4A6B3-7F79-426A-8C6C-ACC63D2B6DBD}"/>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20777" xr:uid="{BE2F22F9-AEF7-4695-81CB-72ACACB389EB}"/>
    <cellStyle name="Normal 4 4 2 2 3 4 2 3" xfId="16566" xr:uid="{09B3C56F-1003-4345-B864-2FFD722ECCA0}"/>
    <cellStyle name="Normal 4 4 2 2 3 4 2 4" xfId="25816" xr:uid="{4851BE22-C106-42A0-9D0D-7CB8E8F45AFD}"/>
    <cellStyle name="Normal 4 4 2 2 3 4 2 5" xfId="12355" xr:uid="{A694533F-9AC1-4C26-B045-D50C0A17CCD3}"/>
    <cellStyle name="Normal 4 4 2 2 3 4 3" xfId="5999" xr:uid="{00000000-0005-0000-0000-0000FA140000}"/>
    <cellStyle name="Normal 4 4 2 2 3 4 3 2" xfId="18632" xr:uid="{C388B5F4-3E69-418C-A8F7-CAF19E9BBC38}"/>
    <cellStyle name="Normal 4 4 2 2 3 4 4" xfId="14421" xr:uid="{43F07AF9-9A03-43E2-93B1-4F7FDE0F4CE5}"/>
    <cellStyle name="Normal 4 4 2 2 3 4 5" xfId="23671" xr:uid="{603018B1-CCA4-47EE-A779-3F3C7D9B8CFB}"/>
    <cellStyle name="Normal 4 4 2 2 3 4 6" xfId="10210" xr:uid="{15F1AD22-777F-40AF-9033-7AE85AB4B329}"/>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21190" xr:uid="{FF07B40E-A4AB-42D2-9699-2FD712E623B9}"/>
    <cellStyle name="Normal 4 4 2 2 3 5 2 3" xfId="16979" xr:uid="{49A24AF3-DA7A-4886-9218-008888AA2BD7}"/>
    <cellStyle name="Normal 4 4 2 2 3 5 2 4" xfId="26229" xr:uid="{1248C9E1-6BAA-406D-8BB3-BAE6E3203366}"/>
    <cellStyle name="Normal 4 4 2 2 3 5 2 5" xfId="12768" xr:uid="{3C559507-D549-4E67-84A2-0321CAECBF6A}"/>
    <cellStyle name="Normal 4 4 2 2 3 5 3" xfId="6412" xr:uid="{00000000-0005-0000-0000-0000FE140000}"/>
    <cellStyle name="Normal 4 4 2 2 3 5 3 2" xfId="19045" xr:uid="{DEE0EB3B-CAC5-4BB7-9560-D2E47E573AA1}"/>
    <cellStyle name="Normal 4 4 2 2 3 5 4" xfId="14834" xr:uid="{B0169A70-75A1-48CF-8E65-C179E0D14884}"/>
    <cellStyle name="Normal 4 4 2 2 3 5 5" xfId="24084" xr:uid="{0338F9C9-F4AE-4752-AC6F-65845A3352C8}"/>
    <cellStyle name="Normal 4 4 2 2 3 5 6" xfId="10623" xr:uid="{061C910C-0AFC-4A38-8621-BA5F37E55837}"/>
    <cellStyle name="Normal 4 4 2 2 3 6" xfId="2540" xr:uid="{00000000-0005-0000-0000-0000FF140000}"/>
    <cellStyle name="Normal 4 4 2 2 3 6 2" xfId="6825" xr:uid="{00000000-0005-0000-0000-000000150000}"/>
    <cellStyle name="Normal 4 4 2 2 3 6 2 2" xfId="19458" xr:uid="{BCE2303A-FC2F-4B45-87EC-BC1B5532827B}"/>
    <cellStyle name="Normal 4 4 2 2 3 6 3" xfId="15247" xr:uid="{B0B00E15-7C82-415C-B54D-2DC7BC10FF30}"/>
    <cellStyle name="Normal 4 4 2 2 3 6 4" xfId="24497" xr:uid="{E99CF48E-27EC-4BDD-BAC0-39A31730CCE2}"/>
    <cellStyle name="Normal 4 4 2 2 3 6 5" xfId="11036" xr:uid="{47598A33-810E-44C8-84DB-CCAA589E0400}"/>
    <cellStyle name="Normal 4 4 2 2 3 7" xfId="4760" xr:uid="{00000000-0005-0000-0000-000001150000}"/>
    <cellStyle name="Normal 4 4 2 2 3 7 2" xfId="17393" xr:uid="{78C96C29-7BBC-42A7-B5B1-22153CE26767}"/>
    <cellStyle name="Normal 4 4 2 2 3 8" xfId="21603" xr:uid="{A1217391-2B20-4E82-8BB5-3A6F4DB5F583}"/>
    <cellStyle name="Normal 4 4 2 2 3 9" xfId="13182" xr:uid="{EFFCB836-F6A1-4D49-BD32-9C56AD7446BF}"/>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9948" xr:uid="{1F828634-1CF1-4FCE-A706-475165C17AFB}"/>
    <cellStyle name="Normal 4 4 2 2 4 2 3" xfId="15737" xr:uid="{ACD56E64-23E2-4C83-877E-7E1F92F73DD8}"/>
    <cellStyle name="Normal 4 4 2 2 4 2 4" xfId="24987" xr:uid="{4A1AA9EC-681C-4CC4-A9C8-F17D71ADD59B}"/>
    <cellStyle name="Normal 4 4 2 2 4 2 5" xfId="11526" xr:uid="{0E0CDCF5-BE62-4BA4-8836-171104729098}"/>
    <cellStyle name="Normal 4 4 2 2 4 3" xfId="5170" xr:uid="{00000000-0005-0000-0000-000005150000}"/>
    <cellStyle name="Normal 4 4 2 2 4 3 2" xfId="17803" xr:uid="{25EF7D9A-2D69-4800-9CA3-046131B53406}"/>
    <cellStyle name="Normal 4 4 2 2 4 4" xfId="22015" xr:uid="{45A8C0FF-004F-4693-A6C1-869C4F097767}"/>
    <cellStyle name="Normal 4 4 2 2 4 5" xfId="13592" xr:uid="{2131DBB3-C08D-4F3B-9D6D-703AA2C3897C}"/>
    <cellStyle name="Normal 4 4 2 2 4 6" xfId="22842" xr:uid="{271D9D4F-A8F5-45DD-8ECF-DB1D6445402D}"/>
    <cellStyle name="Normal 4 4 2 2 4 7" xfId="9381" xr:uid="{B4935F23-32CF-42C8-9CEA-05EAD18E7DAA}"/>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20361" xr:uid="{25EEDAD1-85EE-4F74-8B3D-F6E28DAB2CEA}"/>
    <cellStyle name="Normal 4 4 2 2 5 2 3" xfId="16150" xr:uid="{AD8F8DF5-ED02-4050-8D44-0B203BF77A98}"/>
    <cellStyle name="Normal 4 4 2 2 5 2 4" xfId="25400" xr:uid="{A6DD543A-6CE7-4AA6-B337-0640EDD068A2}"/>
    <cellStyle name="Normal 4 4 2 2 5 2 5" xfId="11939" xr:uid="{444EE0A6-15AB-456C-83E4-863D3A9719D3}"/>
    <cellStyle name="Normal 4 4 2 2 5 3" xfId="5583" xr:uid="{00000000-0005-0000-0000-000009150000}"/>
    <cellStyle name="Normal 4 4 2 2 5 3 2" xfId="18216" xr:uid="{1B34AAA2-A3CF-43AF-8029-609F7D274374}"/>
    <cellStyle name="Normal 4 4 2 2 5 4" xfId="14005" xr:uid="{DC0E569C-532C-49BA-B3C8-0226C37186F7}"/>
    <cellStyle name="Normal 4 4 2 2 5 5" xfId="23255" xr:uid="{101AF1EF-2B74-41A2-ACA4-9A35B347B32E}"/>
    <cellStyle name="Normal 4 4 2 2 5 6" xfId="9794" xr:uid="{8EEA1F81-4E75-4052-9AF0-785BF27517C2}"/>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20774" xr:uid="{09EFC841-D96E-4296-9A60-9D5738A0CD16}"/>
    <cellStyle name="Normal 4 4 2 2 6 2 3" xfId="16563" xr:uid="{456F06A6-44C3-446A-A4DA-BA09673A2DC3}"/>
    <cellStyle name="Normal 4 4 2 2 6 2 4" xfId="25813" xr:uid="{78A48EB8-308E-4DC5-A2B6-4C16CBC7982F}"/>
    <cellStyle name="Normal 4 4 2 2 6 2 5" xfId="12352" xr:uid="{D1A08B47-9008-4CCC-8B20-2369F3615759}"/>
    <cellStyle name="Normal 4 4 2 2 6 3" xfId="5996" xr:uid="{00000000-0005-0000-0000-00000D150000}"/>
    <cellStyle name="Normal 4 4 2 2 6 3 2" xfId="18629" xr:uid="{72358BA6-6123-4331-876C-A7CB502CE739}"/>
    <cellStyle name="Normal 4 4 2 2 6 4" xfId="14418" xr:uid="{830A1DD1-F1B5-40F5-BF0D-3D864A2B3385}"/>
    <cellStyle name="Normal 4 4 2 2 6 5" xfId="23668" xr:uid="{A128C04E-4F67-42BB-95F5-D273F98EAE24}"/>
    <cellStyle name="Normal 4 4 2 2 6 6" xfId="10207" xr:uid="{16CBD27E-60E9-4746-928F-0D1B6AC9ECB9}"/>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21187" xr:uid="{1BD257E7-338E-435B-9F7F-0F6C2186A15F}"/>
    <cellStyle name="Normal 4 4 2 2 7 2 3" xfId="16976" xr:uid="{38F53085-8FE7-41ED-95FC-EDFC037C4E0C}"/>
    <cellStyle name="Normal 4 4 2 2 7 2 4" xfId="26226" xr:uid="{4351480E-B119-4A1E-9617-D4CB8B17E0E6}"/>
    <cellStyle name="Normal 4 4 2 2 7 2 5" xfId="12765" xr:uid="{A8E02632-9170-4004-AF56-532E73F0B56D}"/>
    <cellStyle name="Normal 4 4 2 2 7 3" xfId="6409" xr:uid="{00000000-0005-0000-0000-000011150000}"/>
    <cellStyle name="Normal 4 4 2 2 7 3 2" xfId="19042" xr:uid="{9F73BCE2-1F45-4736-ADA9-FDC3CA71582A}"/>
    <cellStyle name="Normal 4 4 2 2 7 4" xfId="14831" xr:uid="{89F605A0-486E-4D61-BE66-8EA6CB07CDB8}"/>
    <cellStyle name="Normal 4 4 2 2 7 5" xfId="24081" xr:uid="{ADE5DD9B-03D4-4F2C-AB2D-F8942EA4F761}"/>
    <cellStyle name="Normal 4 4 2 2 7 6" xfId="10620" xr:uid="{0E62BC51-1BCB-43FA-9251-B43FD6D23C13}"/>
    <cellStyle name="Normal 4 4 2 2 8" xfId="2537" xr:uid="{00000000-0005-0000-0000-000012150000}"/>
    <cellStyle name="Normal 4 4 2 2 8 2" xfId="6822" xr:uid="{00000000-0005-0000-0000-000013150000}"/>
    <cellStyle name="Normal 4 4 2 2 8 2 2" xfId="19455" xr:uid="{DA2A7278-1100-4FCE-A3D5-40957DA57DD3}"/>
    <cellStyle name="Normal 4 4 2 2 8 3" xfId="15244" xr:uid="{9327A9AD-AD6F-431E-B8D4-72E6D5E12EF2}"/>
    <cellStyle name="Normal 4 4 2 2 8 4" xfId="24494" xr:uid="{A97685CF-0BCF-4BA0-910E-0134A3AC5BE6}"/>
    <cellStyle name="Normal 4 4 2 2 8 5" xfId="11033" xr:uid="{F546E6F8-C90D-40D3-9D9B-9ED2375563B8}"/>
    <cellStyle name="Normal 4 4 2 2 9" xfId="4757" xr:uid="{00000000-0005-0000-0000-000014150000}"/>
    <cellStyle name="Normal 4 4 2 2 9 2" xfId="17390" xr:uid="{86EF041C-415E-4342-91B8-2C055F87938B}"/>
    <cellStyle name="Normal 4 4 2 3" xfId="384" xr:uid="{00000000-0005-0000-0000-000015150000}"/>
    <cellStyle name="Normal 4 4 2 3 10" xfId="13183" xr:uid="{52D8FEBF-6415-4345-8342-350EB9D669E4}"/>
    <cellStyle name="Normal 4 4 2 3 11" xfId="22433" xr:uid="{930528BA-BAA6-4F3A-8BF1-243B5995BCED}"/>
    <cellStyle name="Normal 4 4 2 3 12" xfId="8972" xr:uid="{197134BA-0D4C-471B-BAF2-C3ABBB179BF2}"/>
    <cellStyle name="Normal 4 4 2 3 2" xfId="385" xr:uid="{00000000-0005-0000-0000-000016150000}"/>
    <cellStyle name="Normal 4 4 2 3 2 10" xfId="22434" xr:uid="{C338735A-A642-4741-B9E3-EF988AC4D691}"/>
    <cellStyle name="Normal 4 4 2 3 2 11" xfId="8973" xr:uid="{89848026-4036-4EE6-A942-2421F9FA6F5B}"/>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9953" xr:uid="{23C23A33-33F7-4CFA-A298-B94E0006F570}"/>
    <cellStyle name="Normal 4 4 2 3 2 2 2 3" xfId="15742" xr:uid="{9D8E5B2D-34D4-4FEB-95CE-228DA50FA2B1}"/>
    <cellStyle name="Normal 4 4 2 3 2 2 2 4" xfId="24992" xr:uid="{D2BCEE33-2D00-4CF6-B3DB-6E947CFED53D}"/>
    <cellStyle name="Normal 4 4 2 3 2 2 2 5" xfId="11531" xr:uid="{ED789390-C21C-4A94-8565-E237976038AC}"/>
    <cellStyle name="Normal 4 4 2 3 2 2 3" xfId="5175" xr:uid="{00000000-0005-0000-0000-00001A150000}"/>
    <cellStyle name="Normal 4 4 2 3 2 2 3 2" xfId="17808" xr:uid="{FEE9D9F3-2905-49D2-9F10-24B2EFCB26BC}"/>
    <cellStyle name="Normal 4 4 2 3 2 2 4" xfId="22020" xr:uid="{7AC82791-8A06-4167-980A-98B13E541750}"/>
    <cellStyle name="Normal 4 4 2 3 2 2 5" xfId="13597" xr:uid="{5F46CB61-C34C-4A7F-ABDA-478EB4ED706C}"/>
    <cellStyle name="Normal 4 4 2 3 2 2 6" xfId="22847" xr:uid="{53B1D231-43AC-447F-8CC1-BD5B016B0A16}"/>
    <cellStyle name="Normal 4 4 2 3 2 2 7" xfId="9386" xr:uid="{DD6720B1-C56E-4408-802A-AA3A17DC02D1}"/>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20366" xr:uid="{02E8FF59-A271-45B9-ADCE-40E4CE114722}"/>
    <cellStyle name="Normal 4 4 2 3 2 3 2 3" xfId="16155" xr:uid="{C9EB6649-2710-43B2-A464-D21535235049}"/>
    <cellStyle name="Normal 4 4 2 3 2 3 2 4" xfId="25405" xr:uid="{9BBB83C7-FA19-40F7-B6DA-5B7238082376}"/>
    <cellStyle name="Normal 4 4 2 3 2 3 2 5" xfId="11944" xr:uid="{3AF887C2-2CA6-40B2-9556-6055679C700A}"/>
    <cellStyle name="Normal 4 4 2 3 2 3 3" xfId="5588" xr:uid="{00000000-0005-0000-0000-00001E150000}"/>
    <cellStyle name="Normal 4 4 2 3 2 3 3 2" xfId="18221" xr:uid="{8CCD4E36-980D-4ACD-8C6B-5E2BB30401E3}"/>
    <cellStyle name="Normal 4 4 2 3 2 3 4" xfId="14010" xr:uid="{7FFF3B1A-DA97-4A43-80C0-DF75ACDCB742}"/>
    <cellStyle name="Normal 4 4 2 3 2 3 5" xfId="23260" xr:uid="{F7DC8E02-7E7A-4789-9E1B-CAA2C8CA6888}"/>
    <cellStyle name="Normal 4 4 2 3 2 3 6" xfId="9799" xr:uid="{34ABFE2E-1266-4CD6-B414-868685007E3F}"/>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20779" xr:uid="{3597A18D-AF64-429E-B1CD-D198157F7138}"/>
    <cellStyle name="Normal 4 4 2 3 2 4 2 3" xfId="16568" xr:uid="{6207B0F0-5DA6-4AE5-83A2-A3AF9111C76B}"/>
    <cellStyle name="Normal 4 4 2 3 2 4 2 4" xfId="25818" xr:uid="{5D396692-57A3-4F97-95F5-29C148A0136B}"/>
    <cellStyle name="Normal 4 4 2 3 2 4 2 5" xfId="12357" xr:uid="{E9A87B50-DA39-4C27-BC28-B703AAF24E2E}"/>
    <cellStyle name="Normal 4 4 2 3 2 4 3" xfId="6001" xr:uid="{00000000-0005-0000-0000-000022150000}"/>
    <cellStyle name="Normal 4 4 2 3 2 4 3 2" xfId="18634" xr:uid="{13E62C83-0440-4F3A-8D0A-AFDC0209ABAA}"/>
    <cellStyle name="Normal 4 4 2 3 2 4 4" xfId="14423" xr:uid="{243453D5-AEC3-4E28-96F6-FEBD075D6BB2}"/>
    <cellStyle name="Normal 4 4 2 3 2 4 5" xfId="23673" xr:uid="{E3DA8818-EA90-4476-AFFE-1325829F31DD}"/>
    <cellStyle name="Normal 4 4 2 3 2 4 6" xfId="10212" xr:uid="{CD0BC307-918A-4103-A022-7B7A9536C911}"/>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21192" xr:uid="{F49A7DF4-4155-4784-9EC6-9452B40530EC}"/>
    <cellStyle name="Normal 4 4 2 3 2 5 2 3" xfId="16981" xr:uid="{D206F2E0-9335-44ED-B4CF-323E6A8DDE57}"/>
    <cellStyle name="Normal 4 4 2 3 2 5 2 4" xfId="26231" xr:uid="{1C752583-9989-465B-A06D-5C217669CA27}"/>
    <cellStyle name="Normal 4 4 2 3 2 5 2 5" xfId="12770" xr:uid="{42BB5D57-E13D-4A01-B403-94C6E97F6EC5}"/>
    <cellStyle name="Normal 4 4 2 3 2 5 3" xfId="6414" xr:uid="{00000000-0005-0000-0000-000026150000}"/>
    <cellStyle name="Normal 4 4 2 3 2 5 3 2" xfId="19047" xr:uid="{C6AA1C36-BB4D-43D5-AF4D-6250BD4B4721}"/>
    <cellStyle name="Normal 4 4 2 3 2 5 4" xfId="14836" xr:uid="{1EE35CD0-1A32-427F-87C8-7B58ACF1B331}"/>
    <cellStyle name="Normal 4 4 2 3 2 5 5" xfId="24086" xr:uid="{5F2E54BD-3279-44AE-A8AE-0DB2A0F18E9C}"/>
    <cellStyle name="Normal 4 4 2 3 2 5 6" xfId="10625" xr:uid="{33A4591E-23A1-43B5-8439-A3152D11C82D}"/>
    <cellStyle name="Normal 4 4 2 3 2 6" xfId="2542" xr:uid="{00000000-0005-0000-0000-000027150000}"/>
    <cellStyle name="Normal 4 4 2 3 2 6 2" xfId="6827" xr:uid="{00000000-0005-0000-0000-000028150000}"/>
    <cellStyle name="Normal 4 4 2 3 2 6 2 2" xfId="19460" xr:uid="{7472DB08-13C8-4274-A60D-02DC1C3FB3BE}"/>
    <cellStyle name="Normal 4 4 2 3 2 6 3" xfId="15249" xr:uid="{6C5680EB-D001-474C-915B-6326D1C08821}"/>
    <cellStyle name="Normal 4 4 2 3 2 6 4" xfId="24499" xr:uid="{69F57269-97B9-46F7-99DA-F80ABEEF7E5E}"/>
    <cellStyle name="Normal 4 4 2 3 2 6 5" xfId="11038" xr:uid="{6B500F45-EE25-4533-A9F0-DF661F4B162D}"/>
    <cellStyle name="Normal 4 4 2 3 2 7" xfId="4762" xr:uid="{00000000-0005-0000-0000-000029150000}"/>
    <cellStyle name="Normal 4 4 2 3 2 7 2" xfId="17395" xr:uid="{20DA9C4F-AE78-48D6-AE48-5FAB2A6804B3}"/>
    <cellStyle name="Normal 4 4 2 3 2 8" xfId="21605" xr:uid="{C131C2FC-A5C7-4591-97AA-CF6388D2BC0D}"/>
    <cellStyle name="Normal 4 4 2 3 2 9" xfId="13184" xr:uid="{0BB086E7-1092-4F19-B417-4EF5B60F2AA8}"/>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9952" xr:uid="{BD9A8ECB-7270-41C4-A480-E9E8357B2C95}"/>
    <cellStyle name="Normal 4 4 2 3 3 2 3" xfId="15741" xr:uid="{01C4FA66-7FED-4AC3-98FB-670FFE82261C}"/>
    <cellStyle name="Normal 4 4 2 3 3 2 4" xfId="24991" xr:uid="{3CA5DA17-0916-4D02-BAFC-5DB94C441E92}"/>
    <cellStyle name="Normal 4 4 2 3 3 2 5" xfId="11530" xr:uid="{1E53449B-EB42-434E-898B-E70B4BB9666D}"/>
    <cellStyle name="Normal 4 4 2 3 3 3" xfId="5174" xr:uid="{00000000-0005-0000-0000-00002D150000}"/>
    <cellStyle name="Normal 4 4 2 3 3 3 2" xfId="17807" xr:uid="{1C04388B-FF10-418B-88F0-1500FD471934}"/>
    <cellStyle name="Normal 4 4 2 3 3 4" xfId="22019" xr:uid="{618A7F15-71F9-446B-957E-2EF57F722F02}"/>
    <cellStyle name="Normal 4 4 2 3 3 5" xfId="13596" xr:uid="{81C1B4B7-C00C-45C7-9865-7701573BE9F2}"/>
    <cellStyle name="Normal 4 4 2 3 3 6" xfId="22846" xr:uid="{BF0185DB-818D-4D2E-A795-505E3CF3A773}"/>
    <cellStyle name="Normal 4 4 2 3 3 7" xfId="9385" xr:uid="{9C1752CC-2F8C-4B44-9F84-FB10D75462D9}"/>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20365" xr:uid="{609CBE88-2EAD-4410-9A56-6E44600FABC1}"/>
    <cellStyle name="Normal 4 4 2 3 4 2 3" xfId="16154" xr:uid="{9D88A015-F0D3-4244-952F-E2D6559D2888}"/>
    <cellStyle name="Normal 4 4 2 3 4 2 4" xfId="25404" xr:uid="{883B3CD5-C12E-4515-BE26-C1462612CA83}"/>
    <cellStyle name="Normal 4 4 2 3 4 2 5" xfId="11943" xr:uid="{F555CA9D-4384-4621-A895-3D01E360E69F}"/>
    <cellStyle name="Normal 4 4 2 3 4 3" xfId="5587" xr:uid="{00000000-0005-0000-0000-000031150000}"/>
    <cellStyle name="Normal 4 4 2 3 4 3 2" xfId="18220" xr:uid="{AAB944CC-AB3C-481D-BBD9-58C9993DFCE0}"/>
    <cellStyle name="Normal 4 4 2 3 4 4" xfId="14009" xr:uid="{9B4D0349-6BB5-4C7C-905F-3ABBA42CA1DD}"/>
    <cellStyle name="Normal 4 4 2 3 4 5" xfId="23259" xr:uid="{84AC5D10-6427-433E-8BFC-C3703879BC63}"/>
    <cellStyle name="Normal 4 4 2 3 4 6" xfId="9798" xr:uid="{1614A4E7-DF89-4C1F-99A2-43B00403D13A}"/>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20778" xr:uid="{43E5353F-F1C4-4789-9508-486EF324A9FC}"/>
    <cellStyle name="Normal 4 4 2 3 5 2 3" xfId="16567" xr:uid="{63B35892-213C-4250-8A68-286BD3643D80}"/>
    <cellStyle name="Normal 4 4 2 3 5 2 4" xfId="25817" xr:uid="{7EB5D006-3232-4E05-91BB-FCCD8630886E}"/>
    <cellStyle name="Normal 4 4 2 3 5 2 5" xfId="12356" xr:uid="{B2E3C6B5-5190-4F66-84A2-1D56A0531980}"/>
    <cellStyle name="Normal 4 4 2 3 5 3" xfId="6000" xr:uid="{00000000-0005-0000-0000-000035150000}"/>
    <cellStyle name="Normal 4 4 2 3 5 3 2" xfId="18633" xr:uid="{80F6B2DB-EC14-4A66-B09C-85D9C613716B}"/>
    <cellStyle name="Normal 4 4 2 3 5 4" xfId="14422" xr:uid="{288CCAFB-5D26-471B-956B-438394CDF868}"/>
    <cellStyle name="Normal 4 4 2 3 5 5" xfId="23672" xr:uid="{504864B1-16BC-4230-A688-344F23306D17}"/>
    <cellStyle name="Normal 4 4 2 3 5 6" xfId="10211" xr:uid="{48A93A7B-B3EA-48A0-B909-C35993CD1585}"/>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21191" xr:uid="{527AA8BC-F41C-4F4F-AE8F-2774F8A5CB46}"/>
    <cellStyle name="Normal 4 4 2 3 6 2 3" xfId="16980" xr:uid="{7D44F6A3-B893-424F-8A2F-834A30A4D792}"/>
    <cellStyle name="Normal 4 4 2 3 6 2 4" xfId="26230" xr:uid="{C995C35D-7450-4077-BE6C-6F7E8ACED4B2}"/>
    <cellStyle name="Normal 4 4 2 3 6 2 5" xfId="12769" xr:uid="{F0D29DEE-D366-4E1C-86F5-66A651F7917B}"/>
    <cellStyle name="Normal 4 4 2 3 6 3" xfId="6413" xr:uid="{00000000-0005-0000-0000-000039150000}"/>
    <cellStyle name="Normal 4 4 2 3 6 3 2" xfId="19046" xr:uid="{E438568F-84CE-481C-B485-097863106304}"/>
    <cellStyle name="Normal 4 4 2 3 6 4" xfId="14835" xr:uid="{DAADE362-4024-4C62-B19F-A3252B19EC65}"/>
    <cellStyle name="Normal 4 4 2 3 6 5" xfId="24085" xr:uid="{414E4079-50CF-4527-92E8-56ED32E758B3}"/>
    <cellStyle name="Normal 4 4 2 3 6 6" xfId="10624" xr:uid="{E72F3482-FBA0-405F-BB8F-05BDB65F6E7F}"/>
    <cellStyle name="Normal 4 4 2 3 7" xfId="2541" xr:uid="{00000000-0005-0000-0000-00003A150000}"/>
    <cellStyle name="Normal 4 4 2 3 7 2" xfId="6826" xr:uid="{00000000-0005-0000-0000-00003B150000}"/>
    <cellStyle name="Normal 4 4 2 3 7 2 2" xfId="19459" xr:uid="{D90186F0-DEBC-4274-BDDC-48542FBCC126}"/>
    <cellStyle name="Normal 4 4 2 3 7 3" xfId="15248" xr:uid="{05D6666E-DFB1-4D1B-9A6A-C70B2C5ABC2C}"/>
    <cellStyle name="Normal 4 4 2 3 7 4" xfId="24498" xr:uid="{B178EBEA-0B13-4544-A7D0-31F630CEF738}"/>
    <cellStyle name="Normal 4 4 2 3 7 5" xfId="11037" xr:uid="{2EBE14FD-D93C-48A9-AA54-9412ECC4D449}"/>
    <cellStyle name="Normal 4 4 2 3 8" xfId="4761" xr:uid="{00000000-0005-0000-0000-00003C150000}"/>
    <cellStyle name="Normal 4 4 2 3 8 2" xfId="17394" xr:uid="{8DA99C7F-445F-4679-98BC-F2EED92B7480}"/>
    <cellStyle name="Normal 4 4 2 3 9" xfId="21604" xr:uid="{8035BB5C-C934-4245-A98B-759D5F82B327}"/>
    <cellStyle name="Normal 4 4 2 4" xfId="386" xr:uid="{00000000-0005-0000-0000-00003D150000}"/>
    <cellStyle name="Normal 4 4 2 4 10" xfId="22435" xr:uid="{6F1CC06D-02CC-465D-9737-6C9B8741C35B}"/>
    <cellStyle name="Normal 4 4 2 4 11" xfId="8974" xr:uid="{C14A391E-929B-489E-9F3A-94E87557D156}"/>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9954" xr:uid="{3573065B-6FB3-4FC5-96F7-555A9FDFB53C}"/>
    <cellStyle name="Normal 4 4 2 4 2 2 3" xfId="15743" xr:uid="{088DC43B-C40C-4E12-A836-B35108429504}"/>
    <cellStyle name="Normal 4 4 2 4 2 2 4" xfId="24993" xr:uid="{74586600-DEDC-4A1E-9653-3E01DDF73E50}"/>
    <cellStyle name="Normal 4 4 2 4 2 2 5" xfId="11532" xr:uid="{79584733-FB19-4C3B-80B9-D345E94BDEF4}"/>
    <cellStyle name="Normal 4 4 2 4 2 3" xfId="5176" xr:uid="{00000000-0005-0000-0000-000041150000}"/>
    <cellStyle name="Normal 4 4 2 4 2 3 2" xfId="17809" xr:uid="{68B51E63-B7A9-4BFB-B176-9B4767E1F006}"/>
    <cellStyle name="Normal 4 4 2 4 2 4" xfId="22021" xr:uid="{030B95A8-C1E3-4D5B-8C43-B770DC0338D9}"/>
    <cellStyle name="Normal 4 4 2 4 2 5" xfId="13598" xr:uid="{D18A07CB-A9A5-4491-A840-191ACB8C303E}"/>
    <cellStyle name="Normal 4 4 2 4 2 6" xfId="22848" xr:uid="{4F2A599F-3033-4E43-8520-585175A270EA}"/>
    <cellStyle name="Normal 4 4 2 4 2 7" xfId="9387" xr:uid="{1EDBBB94-FF7D-4201-9218-B4119F04A649}"/>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20367" xr:uid="{FED1A413-2C12-45D4-AEB1-BD98FF42A013}"/>
    <cellStyle name="Normal 4 4 2 4 3 2 3" xfId="16156" xr:uid="{FAA9E353-3712-4EAD-A58A-25EFCF0DDB04}"/>
    <cellStyle name="Normal 4 4 2 4 3 2 4" xfId="25406" xr:uid="{F4870EF9-82AE-4183-B242-835FC253ECAE}"/>
    <cellStyle name="Normal 4 4 2 4 3 2 5" xfId="11945" xr:uid="{0F8BBA77-49D1-4B81-9D88-162A304AE504}"/>
    <cellStyle name="Normal 4 4 2 4 3 3" xfId="5589" xr:uid="{00000000-0005-0000-0000-000045150000}"/>
    <cellStyle name="Normal 4 4 2 4 3 3 2" xfId="18222" xr:uid="{87543777-FE5F-4CB1-9E6B-613B447701AA}"/>
    <cellStyle name="Normal 4 4 2 4 3 4" xfId="14011" xr:uid="{CBDB0B35-0761-4A1A-B956-9C9580AABD0B}"/>
    <cellStyle name="Normal 4 4 2 4 3 5" xfId="23261" xr:uid="{6AA0249E-3A85-4935-9B40-3A25BE9C39ED}"/>
    <cellStyle name="Normal 4 4 2 4 3 6" xfId="9800" xr:uid="{76466DA9-8FF1-4218-A7F5-1C6063810EE6}"/>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20780" xr:uid="{7AE72540-4921-41ED-B283-B2DA1AD4BB8A}"/>
    <cellStyle name="Normal 4 4 2 4 4 2 3" xfId="16569" xr:uid="{1CE1B8FB-2080-4E8C-B7DE-3DCC64F5DA1A}"/>
    <cellStyle name="Normal 4 4 2 4 4 2 4" xfId="25819" xr:uid="{32C5C53B-0352-40CD-82DE-2EA1885E935B}"/>
    <cellStyle name="Normal 4 4 2 4 4 2 5" xfId="12358" xr:uid="{2EEAAB0F-E70F-4DCA-AAD8-945BADC02133}"/>
    <cellStyle name="Normal 4 4 2 4 4 3" xfId="6002" xr:uid="{00000000-0005-0000-0000-000049150000}"/>
    <cellStyle name="Normal 4 4 2 4 4 3 2" xfId="18635" xr:uid="{50B47C38-F488-4C36-AEC3-6B7BD428252C}"/>
    <cellStyle name="Normal 4 4 2 4 4 4" xfId="14424" xr:uid="{C7A5A8BF-D868-431A-9968-D5B0964532FD}"/>
    <cellStyle name="Normal 4 4 2 4 4 5" xfId="23674" xr:uid="{E12C5ADC-ACB9-4207-89E9-F8244E7CB90C}"/>
    <cellStyle name="Normal 4 4 2 4 4 6" xfId="10213" xr:uid="{FF70CED6-EBB7-42ED-8EFA-A0374D9B2A70}"/>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21193" xr:uid="{4B8DE6B8-F164-4326-BE22-7C5A22AC0AA6}"/>
    <cellStyle name="Normal 4 4 2 4 5 2 3" xfId="16982" xr:uid="{84840C92-D999-417C-8076-BFD6DFA6EA28}"/>
    <cellStyle name="Normal 4 4 2 4 5 2 4" xfId="26232" xr:uid="{421C48CA-1382-44C5-AADD-2901C3EFFB1E}"/>
    <cellStyle name="Normal 4 4 2 4 5 2 5" xfId="12771" xr:uid="{8CD6B07A-5BE8-43A3-AE77-F7564AA64B7C}"/>
    <cellStyle name="Normal 4 4 2 4 5 3" xfId="6415" xr:uid="{00000000-0005-0000-0000-00004D150000}"/>
    <cellStyle name="Normal 4 4 2 4 5 3 2" xfId="19048" xr:uid="{1EA67447-C40D-45E2-9974-A8224746CCD7}"/>
    <cellStyle name="Normal 4 4 2 4 5 4" xfId="14837" xr:uid="{D5EEFAFB-5C57-42BA-878F-582B0AF7434A}"/>
    <cellStyle name="Normal 4 4 2 4 5 5" xfId="24087" xr:uid="{3099017F-F701-4D01-AB6E-271D65FD2D49}"/>
    <cellStyle name="Normal 4 4 2 4 5 6" xfId="10626" xr:uid="{1A1FDB1C-1425-49B5-9A37-540589CE28A4}"/>
    <cellStyle name="Normal 4 4 2 4 6" xfId="2543" xr:uid="{00000000-0005-0000-0000-00004E150000}"/>
    <cellStyle name="Normal 4 4 2 4 6 2" xfId="6828" xr:uid="{00000000-0005-0000-0000-00004F150000}"/>
    <cellStyle name="Normal 4 4 2 4 6 2 2" xfId="19461" xr:uid="{94F21ADE-BEFF-446B-A152-802AB7DEBEC6}"/>
    <cellStyle name="Normal 4 4 2 4 6 3" xfId="15250" xr:uid="{9AEC3581-3F53-4433-90FD-E81C8F0CE109}"/>
    <cellStyle name="Normal 4 4 2 4 6 4" xfId="24500" xr:uid="{B1DA6EA1-3E69-4437-AF01-A336070ED4F5}"/>
    <cellStyle name="Normal 4 4 2 4 6 5" xfId="11039" xr:uid="{44F41FC2-22D9-4DE2-BB30-AD45825EFC42}"/>
    <cellStyle name="Normal 4 4 2 4 7" xfId="4763" xr:uid="{00000000-0005-0000-0000-000050150000}"/>
    <cellStyle name="Normal 4 4 2 4 7 2" xfId="17396" xr:uid="{DE101115-450E-4C41-A2C9-46710FD2552E}"/>
    <cellStyle name="Normal 4 4 2 4 8" xfId="21606" xr:uid="{2107F836-F314-4857-A6B6-063A0332041E}"/>
    <cellStyle name="Normal 4 4 2 4 9" xfId="13185" xr:uid="{F0FDBC66-8A07-42E9-BD9B-295C86449735}"/>
    <cellStyle name="Normal 4 4 2 5" xfId="855" xr:uid="{00000000-0005-0000-0000-000051150000}"/>
    <cellStyle name="Normal 4 4 2 5 2" xfId="3090" xr:uid="{00000000-0005-0000-0000-000052150000}"/>
    <cellStyle name="Normal 4 4 2 5 2 2" xfId="7314" xr:uid="{00000000-0005-0000-0000-000053150000}"/>
    <cellStyle name="Normal 4 4 2 5 2 2 2" xfId="19947" xr:uid="{2EB3A439-3340-40CD-B978-ACA2033B8A30}"/>
    <cellStyle name="Normal 4 4 2 5 2 3" xfId="15736" xr:uid="{CF1B2596-C66C-4301-89DE-0383D461F6E8}"/>
    <cellStyle name="Normal 4 4 2 5 2 4" xfId="24986" xr:uid="{BCB96882-8EE5-4F22-B535-75C107BB8311}"/>
    <cellStyle name="Normal 4 4 2 5 2 5" xfId="11525" xr:uid="{3F5332CA-7EC7-4C59-8588-280961327EC8}"/>
    <cellStyle name="Normal 4 4 2 5 3" xfId="5169" xr:uid="{00000000-0005-0000-0000-000054150000}"/>
    <cellStyle name="Normal 4 4 2 5 3 2" xfId="17802" xr:uid="{AC4E332D-4526-4740-8657-02B282DE14F9}"/>
    <cellStyle name="Normal 4 4 2 5 4" xfId="22014" xr:uid="{E16FDA96-71FE-4E92-8F80-EC92D5D959AB}"/>
    <cellStyle name="Normal 4 4 2 5 5" xfId="13591" xr:uid="{545BD490-F45F-486B-96AD-86924DB96E8B}"/>
    <cellStyle name="Normal 4 4 2 5 6" xfId="22841" xr:uid="{8705029C-960E-4910-8D9E-6685F3F12483}"/>
    <cellStyle name="Normal 4 4 2 5 7" xfId="9380" xr:uid="{CF495D09-98B0-405A-B9D5-513F7423F0D2}"/>
    <cellStyle name="Normal 4 4 2 6" xfId="1273" xr:uid="{00000000-0005-0000-0000-000055150000}"/>
    <cellStyle name="Normal 4 4 2 6 2" xfId="3503" xr:uid="{00000000-0005-0000-0000-000056150000}"/>
    <cellStyle name="Normal 4 4 2 6 2 2" xfId="7727" xr:uid="{00000000-0005-0000-0000-000057150000}"/>
    <cellStyle name="Normal 4 4 2 6 2 2 2" xfId="20360" xr:uid="{E7F01DFD-5243-4E99-A902-9B1A5CCF465E}"/>
    <cellStyle name="Normal 4 4 2 6 2 3" xfId="16149" xr:uid="{2984265C-E02B-4191-8F00-0ED61E12E3C2}"/>
    <cellStyle name="Normal 4 4 2 6 2 4" xfId="25399" xr:uid="{B76EF196-88DC-4127-ADCE-DA8B04B16E5B}"/>
    <cellStyle name="Normal 4 4 2 6 2 5" xfId="11938" xr:uid="{E5A3E341-E7B3-4A2F-BA21-6E3EFA7621F8}"/>
    <cellStyle name="Normal 4 4 2 6 3" xfId="5582" xr:uid="{00000000-0005-0000-0000-000058150000}"/>
    <cellStyle name="Normal 4 4 2 6 3 2" xfId="18215" xr:uid="{21218B85-A7F0-456E-8D39-ECE240460B1A}"/>
    <cellStyle name="Normal 4 4 2 6 4" xfId="14004" xr:uid="{290D4F16-9E22-48D7-B17F-3F42C123EA1F}"/>
    <cellStyle name="Normal 4 4 2 6 5" xfId="23254" xr:uid="{C1804C8F-CE4C-4F6D-8B18-D17B6C891530}"/>
    <cellStyle name="Normal 4 4 2 6 6" xfId="9793" xr:uid="{F0CFC5FC-256C-4343-99FA-FD4B96526042}"/>
    <cellStyle name="Normal 4 4 2 7" xfId="1686" xr:uid="{00000000-0005-0000-0000-000059150000}"/>
    <cellStyle name="Normal 4 4 2 7 2" xfId="3916" xr:uid="{00000000-0005-0000-0000-00005A150000}"/>
    <cellStyle name="Normal 4 4 2 7 2 2" xfId="8140" xr:uid="{00000000-0005-0000-0000-00005B150000}"/>
    <cellStyle name="Normal 4 4 2 7 2 2 2" xfId="20773" xr:uid="{633F0865-FA44-4EF8-8F75-3879872A0C7B}"/>
    <cellStyle name="Normal 4 4 2 7 2 3" xfId="16562" xr:uid="{C3413DA6-3A6A-4D33-8467-3E9A17EE540D}"/>
    <cellStyle name="Normal 4 4 2 7 2 4" xfId="25812" xr:uid="{A70E233F-35E1-4138-B58A-1E2FE6FF58CD}"/>
    <cellStyle name="Normal 4 4 2 7 2 5" xfId="12351" xr:uid="{331C3754-9667-4427-9D7C-14EA803C0E29}"/>
    <cellStyle name="Normal 4 4 2 7 3" xfId="5995" xr:uid="{00000000-0005-0000-0000-00005C150000}"/>
    <cellStyle name="Normal 4 4 2 7 3 2" xfId="18628" xr:uid="{66CE5832-2478-4958-984B-F962423E9BE1}"/>
    <cellStyle name="Normal 4 4 2 7 4" xfId="14417" xr:uid="{49D50C6E-5941-4EF5-BB30-FB4798AC9A55}"/>
    <cellStyle name="Normal 4 4 2 7 5" xfId="23667" xr:uid="{13166BF8-EA4F-4CE1-A7D2-A9E9421E0872}"/>
    <cellStyle name="Normal 4 4 2 7 6" xfId="10206" xr:uid="{F198B5AD-EF6E-4781-8170-616B9665D2AE}"/>
    <cellStyle name="Normal 4 4 2 8" xfId="2100" xr:uid="{00000000-0005-0000-0000-00005D150000}"/>
    <cellStyle name="Normal 4 4 2 8 2" xfId="4329" xr:uid="{00000000-0005-0000-0000-00005E150000}"/>
    <cellStyle name="Normal 4 4 2 8 2 2" xfId="8553" xr:uid="{00000000-0005-0000-0000-00005F150000}"/>
    <cellStyle name="Normal 4 4 2 8 2 2 2" xfId="21186" xr:uid="{A4444AAB-967C-47B2-B780-17DEC79BDDD6}"/>
    <cellStyle name="Normal 4 4 2 8 2 3" xfId="16975" xr:uid="{BE9FD576-64DA-4B0A-B0A5-5C3BC57BB1F0}"/>
    <cellStyle name="Normal 4 4 2 8 2 4" xfId="26225" xr:uid="{00775268-46EC-4369-9B40-FB322526B51D}"/>
    <cellStyle name="Normal 4 4 2 8 2 5" xfId="12764" xr:uid="{C5B560D1-A7B6-4D62-AFCF-7D84E7A84EFE}"/>
    <cellStyle name="Normal 4 4 2 8 3" xfId="6408" xr:uid="{00000000-0005-0000-0000-000060150000}"/>
    <cellStyle name="Normal 4 4 2 8 3 2" xfId="19041" xr:uid="{CC99EE3E-3EF2-4E2A-87FD-E9D7BE8C0A4E}"/>
    <cellStyle name="Normal 4 4 2 8 4" xfId="14830" xr:uid="{FA7BAFD8-29C4-4B5B-A54F-2DA6D8C06C25}"/>
    <cellStyle name="Normal 4 4 2 8 5" xfId="24080" xr:uid="{1D38396A-8139-4496-9C8A-27A1CE41E9FE}"/>
    <cellStyle name="Normal 4 4 2 8 6" xfId="10619" xr:uid="{5FCE326A-0BDA-460A-8CC1-F0C8A971809E}"/>
    <cellStyle name="Normal 4 4 2 9" xfId="2536" xr:uid="{00000000-0005-0000-0000-000061150000}"/>
    <cellStyle name="Normal 4 4 2 9 2" xfId="6821" xr:uid="{00000000-0005-0000-0000-000062150000}"/>
    <cellStyle name="Normal 4 4 2 9 2 2" xfId="19454" xr:uid="{F0E9619D-43B7-450C-B3C5-80A48B11D2B4}"/>
    <cellStyle name="Normal 4 4 2 9 3" xfId="15243" xr:uid="{BD93E837-ECEA-4CD6-89BB-938946570F94}"/>
    <cellStyle name="Normal 4 4 2 9 4" xfId="24493" xr:uid="{A5E77E9F-A361-4C39-867C-12AC9B34F6C1}"/>
    <cellStyle name="Normal 4 4 2 9 5" xfId="11032" xr:uid="{5AA98B24-3A73-4FA9-95A7-D5D19A7F9A14}"/>
    <cellStyle name="Normal 4 4 3" xfId="387" xr:uid="{00000000-0005-0000-0000-000063150000}"/>
    <cellStyle name="Normal 4 4 3 10" xfId="21607" xr:uid="{24911F73-D76A-404C-B932-46C690A8E751}"/>
    <cellStyle name="Normal 4 4 3 11" xfId="13186" xr:uid="{E6D2BA2D-5943-4074-8799-00B5F9A8944C}"/>
    <cellStyle name="Normal 4 4 3 12" xfId="22436" xr:uid="{ADA5E9E9-FCF9-4947-B4B1-0AA0ABD20AAC}"/>
    <cellStyle name="Normal 4 4 3 13" xfId="8975" xr:uid="{3FB50C82-50D8-4D5C-886C-794A9F1BDC98}"/>
    <cellStyle name="Normal 4 4 3 2" xfId="388" xr:uid="{00000000-0005-0000-0000-000064150000}"/>
    <cellStyle name="Normal 4 4 3 2 10" xfId="13187" xr:uid="{63909249-1906-4889-B7B7-2FE1377E2FDA}"/>
    <cellStyle name="Normal 4 4 3 2 11" xfId="22437" xr:uid="{7A4146CE-E3F0-4093-858F-A5D3F97B3AAE}"/>
    <cellStyle name="Normal 4 4 3 2 12" xfId="8976" xr:uid="{EFA5A5D8-71F1-4031-B01C-03B5788816EB}"/>
    <cellStyle name="Normal 4 4 3 2 2" xfId="389" xr:uid="{00000000-0005-0000-0000-000065150000}"/>
    <cellStyle name="Normal 4 4 3 2 2 10" xfId="22438" xr:uid="{47C695BD-98B8-4996-8930-D01620E532D9}"/>
    <cellStyle name="Normal 4 4 3 2 2 11" xfId="8977" xr:uid="{8C18609E-1338-4CC8-BAE9-BF5E013274D5}"/>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9957" xr:uid="{5F987B99-E756-43F4-9B89-950B8075C123}"/>
    <cellStyle name="Normal 4 4 3 2 2 2 2 3" xfId="15746" xr:uid="{222F27B9-2034-407B-BE44-28FD33FF3AFA}"/>
    <cellStyle name="Normal 4 4 3 2 2 2 2 4" xfId="24996" xr:uid="{9569AA64-256F-4A9C-B1A9-502D86B67103}"/>
    <cellStyle name="Normal 4 4 3 2 2 2 2 5" xfId="11535" xr:uid="{0CCBCC75-E5FC-4618-AE4F-DD4936B30911}"/>
    <cellStyle name="Normal 4 4 3 2 2 2 3" xfId="5179" xr:uid="{00000000-0005-0000-0000-000069150000}"/>
    <cellStyle name="Normal 4 4 3 2 2 2 3 2" xfId="17812" xr:uid="{4C3DB457-9BB3-4D7A-853A-F49A4BAF636A}"/>
    <cellStyle name="Normal 4 4 3 2 2 2 4" xfId="22024" xr:uid="{5856316D-F1EA-48D4-9032-72377F371066}"/>
    <cellStyle name="Normal 4 4 3 2 2 2 5" xfId="13601" xr:uid="{D3AD073B-EE08-4F2D-B596-889FD4433254}"/>
    <cellStyle name="Normal 4 4 3 2 2 2 6" xfId="22851" xr:uid="{CB211918-91E6-4DE1-804A-3CCBB9BC9017}"/>
    <cellStyle name="Normal 4 4 3 2 2 2 7" xfId="9390" xr:uid="{7F7C70FB-7E2D-41E4-9129-EB1AE7AE9616}"/>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20370" xr:uid="{AD82B971-A087-4EC9-BFC8-FC5B06A715F6}"/>
    <cellStyle name="Normal 4 4 3 2 2 3 2 3" xfId="16159" xr:uid="{ACC027F6-41F6-49A7-BD7A-A7C2640AAC00}"/>
    <cellStyle name="Normal 4 4 3 2 2 3 2 4" xfId="25409" xr:uid="{95B8512F-1DB8-4181-973C-218904C906DB}"/>
    <cellStyle name="Normal 4 4 3 2 2 3 2 5" xfId="11948" xr:uid="{187C21C7-1D54-42CC-B022-E2B95C4F3B21}"/>
    <cellStyle name="Normal 4 4 3 2 2 3 3" xfId="5592" xr:uid="{00000000-0005-0000-0000-00006D150000}"/>
    <cellStyle name="Normal 4 4 3 2 2 3 3 2" xfId="18225" xr:uid="{57C82478-030C-420D-9903-9767EED50A07}"/>
    <cellStyle name="Normal 4 4 3 2 2 3 4" xfId="14014" xr:uid="{4BEE2BD2-0F40-4E6B-B35C-B0C3686DC6EE}"/>
    <cellStyle name="Normal 4 4 3 2 2 3 5" xfId="23264" xr:uid="{58A60DFF-441D-4F2D-8DB8-C5FFC61C9EF0}"/>
    <cellStyle name="Normal 4 4 3 2 2 3 6" xfId="9803" xr:uid="{6B449D58-2D3D-4982-BF26-03287358F072}"/>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20783" xr:uid="{0A9D7045-3D9D-4A2C-BC10-9FC5AA6AACCA}"/>
    <cellStyle name="Normal 4 4 3 2 2 4 2 3" xfId="16572" xr:uid="{CDFAE537-9B7D-476C-8632-33CB474B02B6}"/>
    <cellStyle name="Normal 4 4 3 2 2 4 2 4" xfId="25822" xr:uid="{567A9CF1-5CF2-4B04-9477-C4EAAB934E65}"/>
    <cellStyle name="Normal 4 4 3 2 2 4 2 5" xfId="12361" xr:uid="{067B54B5-6159-49AE-9600-714B36946D26}"/>
    <cellStyle name="Normal 4 4 3 2 2 4 3" xfId="6005" xr:uid="{00000000-0005-0000-0000-000071150000}"/>
    <cellStyle name="Normal 4 4 3 2 2 4 3 2" xfId="18638" xr:uid="{9F13BF1E-4792-4925-8BFD-38D55C307CE1}"/>
    <cellStyle name="Normal 4 4 3 2 2 4 4" xfId="14427" xr:uid="{57A5175B-FB7D-4D77-89E3-D82917FFFA34}"/>
    <cellStyle name="Normal 4 4 3 2 2 4 5" xfId="23677" xr:uid="{617D6642-7185-4511-A693-2340D26EA408}"/>
    <cellStyle name="Normal 4 4 3 2 2 4 6" xfId="10216" xr:uid="{60F50146-50CA-4AE0-A545-7BDBF01D0673}"/>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21196" xr:uid="{5BAEC0E3-B8C1-4F11-A534-E7B6E034E317}"/>
    <cellStyle name="Normal 4 4 3 2 2 5 2 3" xfId="16985" xr:uid="{F88206BA-EAC0-4AF9-993D-7F57E07676A4}"/>
    <cellStyle name="Normal 4 4 3 2 2 5 2 4" xfId="26235" xr:uid="{B7379D6D-F4BC-402C-9B56-40BFD0D8600A}"/>
    <cellStyle name="Normal 4 4 3 2 2 5 2 5" xfId="12774" xr:uid="{88552416-3F5F-4742-9BB6-F34F3D890C54}"/>
    <cellStyle name="Normal 4 4 3 2 2 5 3" xfId="6418" xr:uid="{00000000-0005-0000-0000-000075150000}"/>
    <cellStyle name="Normal 4 4 3 2 2 5 3 2" xfId="19051" xr:uid="{F6DEEE68-A50A-43B0-B164-5664851C30AF}"/>
    <cellStyle name="Normal 4 4 3 2 2 5 4" xfId="14840" xr:uid="{CE65E2A6-FCD3-46A6-BED8-1DEDD1E5A0F0}"/>
    <cellStyle name="Normal 4 4 3 2 2 5 5" xfId="24090" xr:uid="{5CE5291E-1010-4D63-BA6C-4D276639D415}"/>
    <cellStyle name="Normal 4 4 3 2 2 5 6" xfId="10629" xr:uid="{46DE4EAB-5D68-4889-B34C-E85367E19791}"/>
    <cellStyle name="Normal 4 4 3 2 2 6" xfId="2546" xr:uid="{00000000-0005-0000-0000-000076150000}"/>
    <cellStyle name="Normal 4 4 3 2 2 6 2" xfId="6831" xr:uid="{00000000-0005-0000-0000-000077150000}"/>
    <cellStyle name="Normal 4 4 3 2 2 6 2 2" xfId="19464" xr:uid="{C0762C8D-F461-4E52-B746-BAFF3E41A680}"/>
    <cellStyle name="Normal 4 4 3 2 2 6 3" xfId="15253" xr:uid="{E1656F7F-8FD4-48AF-A3FF-ACFC214A0465}"/>
    <cellStyle name="Normal 4 4 3 2 2 6 4" xfId="24503" xr:uid="{A8654A68-B920-4229-8E69-4E0166FA24AD}"/>
    <cellStyle name="Normal 4 4 3 2 2 6 5" xfId="11042" xr:uid="{D26C63E7-AA81-45A9-8714-05358B99CB80}"/>
    <cellStyle name="Normal 4 4 3 2 2 7" xfId="4766" xr:uid="{00000000-0005-0000-0000-000078150000}"/>
    <cellStyle name="Normal 4 4 3 2 2 7 2" xfId="17399" xr:uid="{9DFC6388-E5F7-44B4-A3D3-ABF2A4C7FD92}"/>
    <cellStyle name="Normal 4 4 3 2 2 8" xfId="21609" xr:uid="{081BDCE6-4294-49DF-83E5-95EA4244F7F7}"/>
    <cellStyle name="Normal 4 4 3 2 2 9" xfId="13188" xr:uid="{2D1A3345-5533-44B3-81A3-9AF593B2EA38}"/>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9956" xr:uid="{8F784DAE-960F-4961-B7F7-43AE6A498CE1}"/>
    <cellStyle name="Normal 4 4 3 2 3 2 3" xfId="15745" xr:uid="{A715737D-ADA6-4E58-9578-D46A3A5AD1F7}"/>
    <cellStyle name="Normal 4 4 3 2 3 2 4" xfId="24995" xr:uid="{D41DC576-E136-4655-8B7B-595221D14F95}"/>
    <cellStyle name="Normal 4 4 3 2 3 2 5" xfId="11534" xr:uid="{1C82A7B9-1E96-4051-BBFC-04457FAA69CA}"/>
    <cellStyle name="Normal 4 4 3 2 3 3" xfId="5178" xr:uid="{00000000-0005-0000-0000-00007C150000}"/>
    <cellStyle name="Normal 4 4 3 2 3 3 2" xfId="17811" xr:uid="{EFA4009D-78B4-45B5-B13D-2E75C6C3C018}"/>
    <cellStyle name="Normal 4 4 3 2 3 4" xfId="22023" xr:uid="{DACB1088-FAE0-4B7F-86E9-EB8C0ECBBE49}"/>
    <cellStyle name="Normal 4 4 3 2 3 5" xfId="13600" xr:uid="{3A9B1712-D09C-4E87-B197-1663E39F7ECA}"/>
    <cellStyle name="Normal 4 4 3 2 3 6" xfId="22850" xr:uid="{0082F795-ECF8-4784-A115-4D550373D3D6}"/>
    <cellStyle name="Normal 4 4 3 2 3 7" xfId="9389" xr:uid="{58C276FA-7F08-436D-8DB6-EE0753064E46}"/>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20369" xr:uid="{A838AFB4-996F-4A36-8C2D-74D463A757B4}"/>
    <cellStyle name="Normal 4 4 3 2 4 2 3" xfId="16158" xr:uid="{AD9A6BF9-DCD9-4C04-B27B-44CF5528606D}"/>
    <cellStyle name="Normal 4 4 3 2 4 2 4" xfId="25408" xr:uid="{15F6A420-0F2B-430A-9216-B135FD87BC81}"/>
    <cellStyle name="Normal 4 4 3 2 4 2 5" xfId="11947" xr:uid="{B1E8C204-EE82-4B03-A1E0-BBFE4D68C694}"/>
    <cellStyle name="Normal 4 4 3 2 4 3" xfId="5591" xr:uid="{00000000-0005-0000-0000-000080150000}"/>
    <cellStyle name="Normal 4 4 3 2 4 3 2" xfId="18224" xr:uid="{27E61FF3-A96D-451E-A41F-314FF4C35AED}"/>
    <cellStyle name="Normal 4 4 3 2 4 4" xfId="14013" xr:uid="{8E2D5221-3AD4-4B5F-A2B4-3DF19C2A6F9C}"/>
    <cellStyle name="Normal 4 4 3 2 4 5" xfId="23263" xr:uid="{70F1F9F9-A740-49AB-AAFF-3D1691DF58AC}"/>
    <cellStyle name="Normal 4 4 3 2 4 6" xfId="9802" xr:uid="{A65F3B69-6546-4BFC-8342-AD9461818A97}"/>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20782" xr:uid="{0C33A0C8-E2FD-4405-84D7-544C2E7A2A81}"/>
    <cellStyle name="Normal 4 4 3 2 5 2 3" xfId="16571" xr:uid="{69BF04D5-35D4-4865-B01A-83370584BE05}"/>
    <cellStyle name="Normal 4 4 3 2 5 2 4" xfId="25821" xr:uid="{35DCFD6B-C0B4-461D-9968-2E62DC8A7750}"/>
    <cellStyle name="Normal 4 4 3 2 5 2 5" xfId="12360" xr:uid="{5BA27C8B-A7B6-4F97-807E-0440F921427A}"/>
    <cellStyle name="Normal 4 4 3 2 5 3" xfId="6004" xr:uid="{00000000-0005-0000-0000-000084150000}"/>
    <cellStyle name="Normal 4 4 3 2 5 3 2" xfId="18637" xr:uid="{FC55C633-C458-4363-A655-33B7B7E9773C}"/>
    <cellStyle name="Normal 4 4 3 2 5 4" xfId="14426" xr:uid="{CE9B56D3-6460-4C48-B458-678D3DEF50A7}"/>
    <cellStyle name="Normal 4 4 3 2 5 5" xfId="23676" xr:uid="{F2727042-E9B3-41F8-84B0-B40AD2922554}"/>
    <cellStyle name="Normal 4 4 3 2 5 6" xfId="10215" xr:uid="{6DB8B22F-7E96-4167-B928-5DDCB7ECD16C}"/>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21195" xr:uid="{CA001451-7D6F-475B-B8D5-68A313EB50B5}"/>
    <cellStyle name="Normal 4 4 3 2 6 2 3" xfId="16984" xr:uid="{CA7B885F-AA7C-466A-B5BE-03D1F303C42E}"/>
    <cellStyle name="Normal 4 4 3 2 6 2 4" xfId="26234" xr:uid="{F7A7C496-141D-4B5E-A286-7C67EA8C2868}"/>
    <cellStyle name="Normal 4 4 3 2 6 2 5" xfId="12773" xr:uid="{C92F4D98-0ADF-4082-989A-38A303EE0E25}"/>
    <cellStyle name="Normal 4 4 3 2 6 3" xfId="6417" xr:uid="{00000000-0005-0000-0000-000088150000}"/>
    <cellStyle name="Normal 4 4 3 2 6 3 2" xfId="19050" xr:uid="{6CA61A6F-AF7C-4B7A-8C32-E2D877757C3E}"/>
    <cellStyle name="Normal 4 4 3 2 6 4" xfId="14839" xr:uid="{3A318AC4-3E10-4B1E-8D8D-A60F199C725A}"/>
    <cellStyle name="Normal 4 4 3 2 6 5" xfId="24089" xr:uid="{FB6F0D12-9ADE-40AF-BA39-150C02C02628}"/>
    <cellStyle name="Normal 4 4 3 2 6 6" xfId="10628" xr:uid="{8FA4F0F1-DB36-497D-8ABE-13F7048E22C4}"/>
    <cellStyle name="Normal 4 4 3 2 7" xfId="2545" xr:uid="{00000000-0005-0000-0000-000089150000}"/>
    <cellStyle name="Normal 4 4 3 2 7 2" xfId="6830" xr:uid="{00000000-0005-0000-0000-00008A150000}"/>
    <cellStyle name="Normal 4 4 3 2 7 2 2" xfId="19463" xr:uid="{745A431B-EF09-462E-BC04-D395CDE85E11}"/>
    <cellStyle name="Normal 4 4 3 2 7 3" xfId="15252" xr:uid="{D5898411-2CB3-40C6-89AD-FA7F04304D5C}"/>
    <cellStyle name="Normal 4 4 3 2 7 4" xfId="24502" xr:uid="{85402676-3A00-4F5D-A089-A9BB123A4AA0}"/>
    <cellStyle name="Normal 4 4 3 2 7 5" xfId="11041" xr:uid="{D49D2DB1-1382-43F8-A0E4-5D3493260D22}"/>
    <cellStyle name="Normal 4 4 3 2 8" xfId="4765" xr:uid="{00000000-0005-0000-0000-00008B150000}"/>
    <cellStyle name="Normal 4 4 3 2 8 2" xfId="17398" xr:uid="{71181567-651A-46E3-84F8-6797860335DA}"/>
    <cellStyle name="Normal 4 4 3 2 9" xfId="21608" xr:uid="{A053CACD-A4E3-4CBD-8239-CAE3521C3636}"/>
    <cellStyle name="Normal 4 4 3 3" xfId="390" xr:uid="{00000000-0005-0000-0000-00008C150000}"/>
    <cellStyle name="Normal 4 4 3 3 10" xfId="22439" xr:uid="{336E0110-6894-4897-B1AB-57C0D2A8F6E7}"/>
    <cellStyle name="Normal 4 4 3 3 11" xfId="8978" xr:uid="{410806E7-0413-4D21-A11D-749436F3CCDF}"/>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9958" xr:uid="{2411D648-35A3-4364-B17D-7BAE093F7373}"/>
    <cellStyle name="Normal 4 4 3 3 2 2 3" xfId="15747" xr:uid="{4D776A9B-F8A1-4E7D-AF20-596C1CAD3B15}"/>
    <cellStyle name="Normal 4 4 3 3 2 2 4" xfId="24997" xr:uid="{991354B6-D7A3-4E88-911F-DFD726C3C10D}"/>
    <cellStyle name="Normal 4 4 3 3 2 2 5" xfId="11536" xr:uid="{587B301A-8DC8-42D6-9533-AC99CC9E59EB}"/>
    <cellStyle name="Normal 4 4 3 3 2 3" xfId="5180" xr:uid="{00000000-0005-0000-0000-000090150000}"/>
    <cellStyle name="Normal 4 4 3 3 2 3 2" xfId="17813" xr:uid="{5F06CB2E-5B61-4F10-B496-6876E295AF40}"/>
    <cellStyle name="Normal 4 4 3 3 2 4" xfId="22025" xr:uid="{32E38913-C1E1-471F-9326-4DFD17F0569A}"/>
    <cellStyle name="Normal 4 4 3 3 2 5" xfId="13602" xr:uid="{CA4FD462-B61C-465F-89D7-68BE934E1803}"/>
    <cellStyle name="Normal 4 4 3 3 2 6" xfId="22852" xr:uid="{3790A921-746A-4EC8-8121-5936AEBB946C}"/>
    <cellStyle name="Normal 4 4 3 3 2 7" xfId="9391" xr:uid="{BB6BC0E5-4197-41DC-A233-DDAAF29946EA}"/>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20371" xr:uid="{310C1E5F-E4C7-4DA3-839B-BE5223009F10}"/>
    <cellStyle name="Normal 4 4 3 3 3 2 3" xfId="16160" xr:uid="{1BFFA91F-3CA3-4EF9-B203-FD28FED58B16}"/>
    <cellStyle name="Normal 4 4 3 3 3 2 4" xfId="25410" xr:uid="{7370C915-FA8D-44DC-A468-11821B1E5BFD}"/>
    <cellStyle name="Normal 4 4 3 3 3 2 5" xfId="11949" xr:uid="{821FA997-AC08-45D1-9949-874FCB89D9ED}"/>
    <cellStyle name="Normal 4 4 3 3 3 3" xfId="5593" xr:uid="{00000000-0005-0000-0000-000094150000}"/>
    <cellStyle name="Normal 4 4 3 3 3 3 2" xfId="18226" xr:uid="{889D1284-1EA5-4F30-81C4-6D261570F480}"/>
    <cellStyle name="Normal 4 4 3 3 3 4" xfId="14015" xr:uid="{82C860C3-A012-4AFC-81A2-5D03391CD60F}"/>
    <cellStyle name="Normal 4 4 3 3 3 5" xfId="23265" xr:uid="{25C0A888-BD18-47F9-ACA3-7409B415FF08}"/>
    <cellStyle name="Normal 4 4 3 3 3 6" xfId="9804" xr:uid="{4C53E690-6DB2-4117-894D-C939BE9C5C58}"/>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20784" xr:uid="{C68B1C64-E276-4FB4-AA41-CD7D34723188}"/>
    <cellStyle name="Normal 4 4 3 3 4 2 3" xfId="16573" xr:uid="{B0705329-1D4A-43A8-8029-4C0EF2585554}"/>
    <cellStyle name="Normal 4 4 3 3 4 2 4" xfId="25823" xr:uid="{04FCD9B8-031B-409C-8573-C5E5A054103A}"/>
    <cellStyle name="Normal 4 4 3 3 4 2 5" xfId="12362" xr:uid="{6227ECB4-6D9C-44D2-B503-FC72199562C3}"/>
    <cellStyle name="Normal 4 4 3 3 4 3" xfId="6006" xr:uid="{00000000-0005-0000-0000-000098150000}"/>
    <cellStyle name="Normal 4 4 3 3 4 3 2" xfId="18639" xr:uid="{2BCA51BE-7862-4CF6-9CD1-7B5721B197F0}"/>
    <cellStyle name="Normal 4 4 3 3 4 4" xfId="14428" xr:uid="{F540F956-AA6E-4AD6-A67A-1AB7E7A80544}"/>
    <cellStyle name="Normal 4 4 3 3 4 5" xfId="23678" xr:uid="{72F5A5B0-97BA-469A-861F-6E1F2D5A2BB7}"/>
    <cellStyle name="Normal 4 4 3 3 4 6" xfId="10217" xr:uid="{A3DCBE1B-CFC6-4A54-A605-F6913F44DB5B}"/>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21197" xr:uid="{18A3A9DD-E186-48D0-A6EA-1D89B341825F}"/>
    <cellStyle name="Normal 4 4 3 3 5 2 3" xfId="16986" xr:uid="{01A6A175-07C0-4DFC-A2A3-255B1F804B33}"/>
    <cellStyle name="Normal 4 4 3 3 5 2 4" xfId="26236" xr:uid="{055236C1-153B-4233-9D12-F9487E72FF45}"/>
    <cellStyle name="Normal 4 4 3 3 5 2 5" xfId="12775" xr:uid="{29500BDD-CD7B-48E3-9622-8FBD3D1816F8}"/>
    <cellStyle name="Normal 4 4 3 3 5 3" xfId="6419" xr:uid="{00000000-0005-0000-0000-00009C150000}"/>
    <cellStyle name="Normal 4 4 3 3 5 3 2" xfId="19052" xr:uid="{A02851D7-187C-4A84-8DBA-10998D2F804A}"/>
    <cellStyle name="Normal 4 4 3 3 5 4" xfId="14841" xr:uid="{1429A639-A23C-4C03-A7C2-9F11554E481D}"/>
    <cellStyle name="Normal 4 4 3 3 5 5" xfId="24091" xr:uid="{A8FD28CB-37E2-433D-90A4-2188BACE4307}"/>
    <cellStyle name="Normal 4 4 3 3 5 6" xfId="10630" xr:uid="{2A58D4C9-B07A-4ED0-A9F8-A621B9ADD93D}"/>
    <cellStyle name="Normal 4 4 3 3 6" xfId="2547" xr:uid="{00000000-0005-0000-0000-00009D150000}"/>
    <cellStyle name="Normal 4 4 3 3 6 2" xfId="6832" xr:uid="{00000000-0005-0000-0000-00009E150000}"/>
    <cellStyle name="Normal 4 4 3 3 6 2 2" xfId="19465" xr:uid="{BA7036E0-B043-465E-8962-DC227191773D}"/>
    <cellStyle name="Normal 4 4 3 3 6 3" xfId="15254" xr:uid="{17779D61-5857-4B36-9E8D-C1ED281FAD8F}"/>
    <cellStyle name="Normal 4 4 3 3 6 4" xfId="24504" xr:uid="{CD3B883B-EC87-4421-BF9E-9A76CA584078}"/>
    <cellStyle name="Normal 4 4 3 3 6 5" xfId="11043" xr:uid="{C5072233-E530-4EFD-9F0B-68B3B8AE57C7}"/>
    <cellStyle name="Normal 4 4 3 3 7" xfId="4767" xr:uid="{00000000-0005-0000-0000-00009F150000}"/>
    <cellStyle name="Normal 4 4 3 3 7 2" xfId="17400" xr:uid="{6A43F95C-F31F-4B8A-883C-C03224DB012D}"/>
    <cellStyle name="Normal 4 4 3 3 8" xfId="21610" xr:uid="{77F37408-9927-4E5D-9529-F7BBA90E108F}"/>
    <cellStyle name="Normal 4 4 3 3 9" xfId="13189" xr:uid="{B63B0639-676E-4125-B4FC-8372A153C90E}"/>
    <cellStyle name="Normal 4 4 3 4" xfId="863" xr:uid="{00000000-0005-0000-0000-0000A0150000}"/>
    <cellStyle name="Normal 4 4 3 4 2" xfId="3098" xr:uid="{00000000-0005-0000-0000-0000A1150000}"/>
    <cellStyle name="Normal 4 4 3 4 2 2" xfId="7322" xr:uid="{00000000-0005-0000-0000-0000A2150000}"/>
    <cellStyle name="Normal 4 4 3 4 2 2 2" xfId="19955" xr:uid="{53DD0987-2009-4BF1-9DE9-C5930FD46BD8}"/>
    <cellStyle name="Normal 4 4 3 4 2 3" xfId="15744" xr:uid="{F25750D3-A649-4F67-9A22-E58796755B6A}"/>
    <cellStyle name="Normal 4 4 3 4 2 4" xfId="24994" xr:uid="{81E35A3C-DB9C-4C07-AFC0-664AD5420C11}"/>
    <cellStyle name="Normal 4 4 3 4 2 5" xfId="11533" xr:uid="{CB1FBEB9-C0D7-4513-8853-CEA7C6A57534}"/>
    <cellStyle name="Normal 4 4 3 4 3" xfId="5177" xr:uid="{00000000-0005-0000-0000-0000A3150000}"/>
    <cellStyle name="Normal 4 4 3 4 3 2" xfId="17810" xr:uid="{781BB091-48A4-4B71-86A7-B05F2280A8DA}"/>
    <cellStyle name="Normal 4 4 3 4 4" xfId="22022" xr:uid="{185F24B0-5D19-4149-A92E-0BBAF041093F}"/>
    <cellStyle name="Normal 4 4 3 4 5" xfId="13599" xr:uid="{FB86F274-A3DE-4778-A0D9-1A5EFC122362}"/>
    <cellStyle name="Normal 4 4 3 4 6" xfId="22849" xr:uid="{72D2C30F-FE65-44AC-BDB7-0B8A9236A6BC}"/>
    <cellStyle name="Normal 4 4 3 4 7" xfId="9388" xr:uid="{25F0D6F2-FA8B-424A-A2EE-504095E0FF19}"/>
    <cellStyle name="Normal 4 4 3 5" xfId="1281" xr:uid="{00000000-0005-0000-0000-0000A4150000}"/>
    <cellStyle name="Normal 4 4 3 5 2" xfId="3511" xr:uid="{00000000-0005-0000-0000-0000A5150000}"/>
    <cellStyle name="Normal 4 4 3 5 2 2" xfId="7735" xr:uid="{00000000-0005-0000-0000-0000A6150000}"/>
    <cellStyle name="Normal 4 4 3 5 2 2 2" xfId="20368" xr:uid="{9C0D5FA3-F2CF-4E1D-9B2D-93351C00AAC3}"/>
    <cellStyle name="Normal 4 4 3 5 2 3" xfId="16157" xr:uid="{9B3901D9-AC1F-403A-B9FD-FE653D6CD8DC}"/>
    <cellStyle name="Normal 4 4 3 5 2 4" xfId="25407" xr:uid="{A00E24E9-6A8D-486E-AA22-2BE000EBEF65}"/>
    <cellStyle name="Normal 4 4 3 5 2 5" xfId="11946" xr:uid="{09E64B51-B7C5-4023-A284-E4FDF80724EF}"/>
    <cellStyle name="Normal 4 4 3 5 3" xfId="5590" xr:uid="{00000000-0005-0000-0000-0000A7150000}"/>
    <cellStyle name="Normal 4 4 3 5 3 2" xfId="18223" xr:uid="{01E8140E-D81E-45B9-9B24-E6C339668BDD}"/>
    <cellStyle name="Normal 4 4 3 5 4" xfId="14012" xr:uid="{5DC6B479-5617-4251-9E56-DD6C00F85956}"/>
    <cellStyle name="Normal 4 4 3 5 5" xfId="23262" xr:uid="{B31193E6-C9E3-4D6E-A99F-9E8CA3EFCFD7}"/>
    <cellStyle name="Normal 4 4 3 5 6" xfId="9801" xr:uid="{5FDEB866-74F3-427F-851F-3D7DEB32AF69}"/>
    <cellStyle name="Normal 4 4 3 6" xfId="1694" xr:uid="{00000000-0005-0000-0000-0000A8150000}"/>
    <cellStyle name="Normal 4 4 3 6 2" xfId="3924" xr:uid="{00000000-0005-0000-0000-0000A9150000}"/>
    <cellStyle name="Normal 4 4 3 6 2 2" xfId="8148" xr:uid="{00000000-0005-0000-0000-0000AA150000}"/>
    <cellStyle name="Normal 4 4 3 6 2 2 2" xfId="20781" xr:uid="{68D848EB-D1F3-46E5-BB4A-9CBF994E6607}"/>
    <cellStyle name="Normal 4 4 3 6 2 3" xfId="16570" xr:uid="{7D810AB3-CC34-424C-A447-745799AAE2E4}"/>
    <cellStyle name="Normal 4 4 3 6 2 4" xfId="25820" xr:uid="{A4A58B64-428D-4630-9755-CB7B7D247ED8}"/>
    <cellStyle name="Normal 4 4 3 6 2 5" xfId="12359" xr:uid="{ADD6A2D2-A879-40B4-8F73-2C09BB39A32E}"/>
    <cellStyle name="Normal 4 4 3 6 3" xfId="6003" xr:uid="{00000000-0005-0000-0000-0000AB150000}"/>
    <cellStyle name="Normal 4 4 3 6 3 2" xfId="18636" xr:uid="{70D4763B-64B4-4337-927A-14AEAB814957}"/>
    <cellStyle name="Normal 4 4 3 6 4" xfId="14425" xr:uid="{737B78B9-AEA3-4996-878B-C49560B04B80}"/>
    <cellStyle name="Normal 4 4 3 6 5" xfId="23675" xr:uid="{2F9C7CEB-2825-45A6-A064-8C912E2D8DF6}"/>
    <cellStyle name="Normal 4 4 3 6 6" xfId="10214" xr:uid="{E5323F93-0BA8-4E2B-B3EA-39B2E113DC7E}"/>
    <cellStyle name="Normal 4 4 3 7" xfId="2108" xr:uid="{00000000-0005-0000-0000-0000AC150000}"/>
    <cellStyle name="Normal 4 4 3 7 2" xfId="4337" xr:uid="{00000000-0005-0000-0000-0000AD150000}"/>
    <cellStyle name="Normal 4 4 3 7 2 2" xfId="8561" xr:uid="{00000000-0005-0000-0000-0000AE150000}"/>
    <cellStyle name="Normal 4 4 3 7 2 2 2" xfId="21194" xr:uid="{FBB98453-0E2C-4BA9-B7F7-7E5086AE473C}"/>
    <cellStyle name="Normal 4 4 3 7 2 3" xfId="16983" xr:uid="{A6AE982A-0A14-4E7C-9E03-7FE927A40025}"/>
    <cellStyle name="Normal 4 4 3 7 2 4" xfId="26233" xr:uid="{3840F944-209A-4BBC-B5AE-43CD58574FED}"/>
    <cellStyle name="Normal 4 4 3 7 2 5" xfId="12772" xr:uid="{F2400D2A-1479-479A-A286-8EDFD1A7BC19}"/>
    <cellStyle name="Normal 4 4 3 7 3" xfId="6416" xr:uid="{00000000-0005-0000-0000-0000AF150000}"/>
    <cellStyle name="Normal 4 4 3 7 3 2" xfId="19049" xr:uid="{29E46F7E-37DC-45DB-A6B6-C5F9C98DEFFE}"/>
    <cellStyle name="Normal 4 4 3 7 4" xfId="14838" xr:uid="{D0DF00E0-8F6D-424D-86F9-A620783BDA06}"/>
    <cellStyle name="Normal 4 4 3 7 5" xfId="24088" xr:uid="{C1781F0E-141E-4847-8C09-027D8333A5F1}"/>
    <cellStyle name="Normal 4 4 3 7 6" xfId="10627" xr:uid="{B8290C38-62B7-4FD8-86F7-D9D74A43866A}"/>
    <cellStyle name="Normal 4 4 3 8" xfId="2544" xr:uid="{00000000-0005-0000-0000-0000B0150000}"/>
    <cellStyle name="Normal 4 4 3 8 2" xfId="6829" xr:uid="{00000000-0005-0000-0000-0000B1150000}"/>
    <cellStyle name="Normal 4 4 3 8 2 2" xfId="19462" xr:uid="{B00176DE-3E18-4CD5-9C49-8A4B9FE3781F}"/>
    <cellStyle name="Normal 4 4 3 8 3" xfId="15251" xr:uid="{45F73B37-206E-4122-AC5D-254D40296B07}"/>
    <cellStyle name="Normal 4 4 3 8 4" xfId="24501" xr:uid="{45DC005E-BEBD-41B4-8AA8-7125ACBADF05}"/>
    <cellStyle name="Normal 4 4 3 8 5" xfId="11040" xr:uid="{9C361BD3-15C5-4542-962C-B916BAA791C7}"/>
    <cellStyle name="Normal 4 4 3 9" xfId="4764" xr:uid="{00000000-0005-0000-0000-0000B2150000}"/>
    <cellStyle name="Normal 4 4 3 9 2" xfId="17397" xr:uid="{233ABA91-C6F3-44B0-9770-EE0EF3C8E027}"/>
    <cellStyle name="Normal 4 4 4" xfId="391" xr:uid="{00000000-0005-0000-0000-0000B3150000}"/>
    <cellStyle name="Normal 4 4 4 10" xfId="13190" xr:uid="{C8815777-3336-4FE0-AE5F-89962E69031F}"/>
    <cellStyle name="Normal 4 4 4 11" xfId="22440" xr:uid="{55942F5F-B649-4732-B598-53D385AF2C37}"/>
    <cellStyle name="Normal 4 4 4 12" xfId="8979" xr:uid="{823FC20D-F6A1-445C-8F33-3DDC619E5DF0}"/>
    <cellStyle name="Normal 4 4 4 2" xfId="392" xr:uid="{00000000-0005-0000-0000-0000B4150000}"/>
    <cellStyle name="Normal 4 4 4 2 10" xfId="22441" xr:uid="{F08EC45E-278B-45C0-9FDC-09B363FD2CEA}"/>
    <cellStyle name="Normal 4 4 4 2 11" xfId="8980" xr:uid="{D70B564E-363B-401C-A850-57C7EA18213A}"/>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9960" xr:uid="{29010D24-30B1-4EE7-83DA-902CFAB7DB31}"/>
    <cellStyle name="Normal 4 4 4 2 2 2 3" xfId="15749" xr:uid="{B2B698A9-3321-4E63-823F-55D0466306C8}"/>
    <cellStyle name="Normal 4 4 4 2 2 2 4" xfId="24999" xr:uid="{CDB6FFE7-78AE-4F9C-9AA5-2859D2465066}"/>
    <cellStyle name="Normal 4 4 4 2 2 2 5" xfId="11538" xr:uid="{C899FB28-FFA4-4C05-BE9E-29806A3E915E}"/>
    <cellStyle name="Normal 4 4 4 2 2 3" xfId="5182" xr:uid="{00000000-0005-0000-0000-0000B8150000}"/>
    <cellStyle name="Normal 4 4 4 2 2 3 2" xfId="17815" xr:uid="{B7FCD940-A580-49CD-A9DA-7F61DE618652}"/>
    <cellStyle name="Normal 4 4 4 2 2 4" xfId="22027" xr:uid="{CECE1F8B-6B3F-460F-A004-C433A27345EE}"/>
    <cellStyle name="Normal 4 4 4 2 2 5" xfId="13604" xr:uid="{9F3EEC45-3084-4EF4-8C28-BDA5AC8336C0}"/>
    <cellStyle name="Normal 4 4 4 2 2 6" xfId="22854" xr:uid="{60F1E161-E43E-4640-A937-BC9374B96613}"/>
    <cellStyle name="Normal 4 4 4 2 2 7" xfId="9393" xr:uid="{CFF779D8-22B8-47B7-9736-07753DEA2361}"/>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20373" xr:uid="{03E2FA82-BAE1-434B-B71E-58522C09D1EB}"/>
    <cellStyle name="Normal 4 4 4 2 3 2 3" xfId="16162" xr:uid="{3E69FD9E-0E03-454E-9CFE-FA5B3FC98BC3}"/>
    <cellStyle name="Normal 4 4 4 2 3 2 4" xfId="25412" xr:uid="{308514F7-2D60-4BB7-AE90-6935BAE9F7FA}"/>
    <cellStyle name="Normal 4 4 4 2 3 2 5" xfId="11951" xr:uid="{573D317F-9CA4-4F34-AF73-F520933D6148}"/>
    <cellStyle name="Normal 4 4 4 2 3 3" xfId="5595" xr:uid="{00000000-0005-0000-0000-0000BC150000}"/>
    <cellStyle name="Normal 4 4 4 2 3 3 2" xfId="18228" xr:uid="{FFF15677-ABF5-416C-825F-997D8AAEE122}"/>
    <cellStyle name="Normal 4 4 4 2 3 4" xfId="14017" xr:uid="{87DC6B32-E476-4502-B0FB-2EEED80BE730}"/>
    <cellStyle name="Normal 4 4 4 2 3 5" xfId="23267" xr:uid="{83D1137E-4CE7-44EA-BE93-61F1F58DC1E2}"/>
    <cellStyle name="Normal 4 4 4 2 3 6" xfId="9806" xr:uid="{702F49BB-32A5-41AD-8B06-4832190E3219}"/>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20786" xr:uid="{77B57D62-DF68-4CF4-9E3E-ED9BE24419AB}"/>
    <cellStyle name="Normal 4 4 4 2 4 2 3" xfId="16575" xr:uid="{3CB924F2-E4F2-4EE8-8DF8-6328D4C0D831}"/>
    <cellStyle name="Normal 4 4 4 2 4 2 4" xfId="25825" xr:uid="{5F7EE36A-569A-406E-AE50-BB5E43E2CCF4}"/>
    <cellStyle name="Normal 4 4 4 2 4 2 5" xfId="12364" xr:uid="{04934A7C-ADB2-45D0-9F67-CBB5F6DCD54A}"/>
    <cellStyle name="Normal 4 4 4 2 4 3" xfId="6008" xr:uid="{00000000-0005-0000-0000-0000C0150000}"/>
    <cellStyle name="Normal 4 4 4 2 4 3 2" xfId="18641" xr:uid="{57EE7F94-C909-4E78-92F7-B6586151DE93}"/>
    <cellStyle name="Normal 4 4 4 2 4 4" xfId="14430" xr:uid="{7E7578BB-D710-4978-AA89-66D91DFBAB3A}"/>
    <cellStyle name="Normal 4 4 4 2 4 5" xfId="23680" xr:uid="{8F99342D-D86B-4469-B108-A0139B4B8808}"/>
    <cellStyle name="Normal 4 4 4 2 4 6" xfId="10219" xr:uid="{BD51B01A-2405-4574-B1EF-CBBEDDADE916}"/>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21199" xr:uid="{A29EEB40-1C7C-4A22-BA90-72EC0FC3992C}"/>
    <cellStyle name="Normal 4 4 4 2 5 2 3" xfId="16988" xr:uid="{6B431D84-D501-479D-8906-229A51D6FDBC}"/>
    <cellStyle name="Normal 4 4 4 2 5 2 4" xfId="26238" xr:uid="{EFA74357-D0FB-40CC-A4A6-E45A34FDD617}"/>
    <cellStyle name="Normal 4 4 4 2 5 2 5" xfId="12777" xr:uid="{6C0AECF8-CABD-447E-BF5F-433AE5605428}"/>
    <cellStyle name="Normal 4 4 4 2 5 3" xfId="6421" xr:uid="{00000000-0005-0000-0000-0000C4150000}"/>
    <cellStyle name="Normal 4 4 4 2 5 3 2" xfId="19054" xr:uid="{CC815250-9520-4641-BC75-E0C484C50BAB}"/>
    <cellStyle name="Normal 4 4 4 2 5 4" xfId="14843" xr:uid="{005A1E6E-2A98-4872-B8D1-3B59126D6622}"/>
    <cellStyle name="Normal 4 4 4 2 5 5" xfId="24093" xr:uid="{8200805A-CC0F-40A9-BD31-2911AA6178D6}"/>
    <cellStyle name="Normal 4 4 4 2 5 6" xfId="10632" xr:uid="{E27AF8A2-D1D3-4805-A428-CCF00CEDDD3F}"/>
    <cellStyle name="Normal 4 4 4 2 6" xfId="2549" xr:uid="{00000000-0005-0000-0000-0000C5150000}"/>
    <cellStyle name="Normal 4 4 4 2 6 2" xfId="6834" xr:uid="{00000000-0005-0000-0000-0000C6150000}"/>
    <cellStyle name="Normal 4 4 4 2 6 2 2" xfId="19467" xr:uid="{8E3BDF7B-6607-4218-96CC-7CE995C48AB9}"/>
    <cellStyle name="Normal 4 4 4 2 6 3" xfId="15256" xr:uid="{2BE17619-ACF0-4AE6-B4F5-86B9F0F278E9}"/>
    <cellStyle name="Normal 4 4 4 2 6 4" xfId="24506" xr:uid="{39DDFC4E-84FA-4E2E-8606-0C72702693C5}"/>
    <cellStyle name="Normal 4 4 4 2 6 5" xfId="11045" xr:uid="{AD7B406B-AAC8-4EE7-AFA7-11FF95B4B5BE}"/>
    <cellStyle name="Normal 4 4 4 2 7" xfId="4769" xr:uid="{00000000-0005-0000-0000-0000C7150000}"/>
    <cellStyle name="Normal 4 4 4 2 7 2" xfId="17402" xr:uid="{D61317A7-246B-4922-BDBF-B73FE35DC2DC}"/>
    <cellStyle name="Normal 4 4 4 2 8" xfId="21612" xr:uid="{EB5FAB91-86C8-4C74-9E20-DBBEFEEB2767}"/>
    <cellStyle name="Normal 4 4 4 2 9" xfId="13191" xr:uid="{7D274802-8CF0-4E80-9F2F-D2818ADAE9B6}"/>
    <cellStyle name="Normal 4 4 4 3" xfId="867" xr:uid="{00000000-0005-0000-0000-0000C8150000}"/>
    <cellStyle name="Normal 4 4 4 3 2" xfId="3102" xr:uid="{00000000-0005-0000-0000-0000C9150000}"/>
    <cellStyle name="Normal 4 4 4 3 2 2" xfId="7326" xr:uid="{00000000-0005-0000-0000-0000CA150000}"/>
    <cellStyle name="Normal 4 4 4 3 2 2 2" xfId="19959" xr:uid="{85763BD1-89DF-419A-8878-E2B311DA5338}"/>
    <cellStyle name="Normal 4 4 4 3 2 3" xfId="15748" xr:uid="{0A44A580-9B67-491D-BDD0-5CA79C2D16DA}"/>
    <cellStyle name="Normal 4 4 4 3 2 4" xfId="24998" xr:uid="{6B7B907E-9F2F-4D54-BCCE-49700D092225}"/>
    <cellStyle name="Normal 4 4 4 3 2 5" xfId="11537" xr:uid="{48E4C8D5-5FDC-46C7-91B8-59FABEAFDAC2}"/>
    <cellStyle name="Normal 4 4 4 3 3" xfId="5181" xr:uid="{00000000-0005-0000-0000-0000CB150000}"/>
    <cellStyle name="Normal 4 4 4 3 3 2" xfId="17814" xr:uid="{2DBAC4F6-0D66-4AB5-B926-F9380BC7B051}"/>
    <cellStyle name="Normal 4 4 4 3 4" xfId="22026" xr:uid="{C0BCEE70-A27D-4150-A3BB-A61B1E62CCD5}"/>
    <cellStyle name="Normal 4 4 4 3 5" xfId="13603" xr:uid="{4C7585F7-BA23-4F52-8F62-16AA783CADB8}"/>
    <cellStyle name="Normal 4 4 4 3 6" xfId="22853" xr:uid="{4D98F1FC-8039-482B-9B2B-DE5CC90D85B0}"/>
    <cellStyle name="Normal 4 4 4 3 7" xfId="9392" xr:uid="{621CAF27-B126-4417-8584-CED43F35992E}"/>
    <cellStyle name="Normal 4 4 4 4" xfId="1285" xr:uid="{00000000-0005-0000-0000-0000CC150000}"/>
    <cellStyle name="Normal 4 4 4 4 2" xfId="3515" xr:uid="{00000000-0005-0000-0000-0000CD150000}"/>
    <cellStyle name="Normal 4 4 4 4 2 2" xfId="7739" xr:uid="{00000000-0005-0000-0000-0000CE150000}"/>
    <cellStyle name="Normal 4 4 4 4 2 2 2" xfId="20372" xr:uid="{0EFC511D-E52F-4118-BB82-40DDC3FB33E8}"/>
    <cellStyle name="Normal 4 4 4 4 2 3" xfId="16161" xr:uid="{868A8EBF-23DD-42F7-8441-23631A513B29}"/>
    <cellStyle name="Normal 4 4 4 4 2 4" xfId="25411" xr:uid="{1CF8CB31-5BE3-4C34-A89E-62EBAD14ED47}"/>
    <cellStyle name="Normal 4 4 4 4 2 5" xfId="11950" xr:uid="{6661B2B8-14B7-4340-9AFA-F5F219CE0A2D}"/>
    <cellStyle name="Normal 4 4 4 4 3" xfId="5594" xr:uid="{00000000-0005-0000-0000-0000CF150000}"/>
    <cellStyle name="Normal 4 4 4 4 3 2" xfId="18227" xr:uid="{C4AA4637-0B13-40E3-9DD7-1B023612820A}"/>
    <cellStyle name="Normal 4 4 4 4 4" xfId="14016" xr:uid="{51DD0B1A-2CED-4F35-8A2E-DBFC2058EA75}"/>
    <cellStyle name="Normal 4 4 4 4 5" xfId="23266" xr:uid="{13BACF88-C725-4F1E-A82D-66E86BEEC556}"/>
    <cellStyle name="Normal 4 4 4 4 6" xfId="9805" xr:uid="{25851AEF-D105-4007-A69E-6092CD28575D}"/>
    <cellStyle name="Normal 4 4 4 5" xfId="1698" xr:uid="{00000000-0005-0000-0000-0000D0150000}"/>
    <cellStyle name="Normal 4 4 4 5 2" xfId="3928" xr:uid="{00000000-0005-0000-0000-0000D1150000}"/>
    <cellStyle name="Normal 4 4 4 5 2 2" xfId="8152" xr:uid="{00000000-0005-0000-0000-0000D2150000}"/>
    <cellStyle name="Normal 4 4 4 5 2 2 2" xfId="20785" xr:uid="{D09430D6-24A5-4E72-AE1A-AF4AE72844EA}"/>
    <cellStyle name="Normal 4 4 4 5 2 3" xfId="16574" xr:uid="{30C5D175-70BB-4406-BB60-2821BF13BEB6}"/>
    <cellStyle name="Normal 4 4 4 5 2 4" xfId="25824" xr:uid="{B46EC872-522F-4DF6-9BBB-514E835ED427}"/>
    <cellStyle name="Normal 4 4 4 5 2 5" xfId="12363" xr:uid="{B07C528E-75DA-45C4-9E31-1BE3329D1091}"/>
    <cellStyle name="Normal 4 4 4 5 3" xfId="6007" xr:uid="{00000000-0005-0000-0000-0000D3150000}"/>
    <cellStyle name="Normal 4 4 4 5 3 2" xfId="18640" xr:uid="{9364EC58-02B6-4056-B956-C6F0B5D91534}"/>
    <cellStyle name="Normal 4 4 4 5 4" xfId="14429" xr:uid="{DC91B685-B0BC-4241-BE50-75CB9A774D07}"/>
    <cellStyle name="Normal 4 4 4 5 5" xfId="23679" xr:uid="{08FE282D-3E0F-4590-B728-468DDFE36069}"/>
    <cellStyle name="Normal 4 4 4 5 6" xfId="10218" xr:uid="{E696BEF3-FA25-45BF-B1D6-E97EF2C5B635}"/>
    <cellStyle name="Normal 4 4 4 6" xfId="2112" xr:uid="{00000000-0005-0000-0000-0000D4150000}"/>
    <cellStyle name="Normal 4 4 4 6 2" xfId="4341" xr:uid="{00000000-0005-0000-0000-0000D5150000}"/>
    <cellStyle name="Normal 4 4 4 6 2 2" xfId="8565" xr:uid="{00000000-0005-0000-0000-0000D6150000}"/>
    <cellStyle name="Normal 4 4 4 6 2 2 2" xfId="21198" xr:uid="{E57485D2-DFFF-4C68-B121-87C110743BAA}"/>
    <cellStyle name="Normal 4 4 4 6 2 3" xfId="16987" xr:uid="{B4D6AF1D-B279-4558-B7B2-F709B5FB0802}"/>
    <cellStyle name="Normal 4 4 4 6 2 4" xfId="26237" xr:uid="{812C6B1F-E2D5-40FE-9AF5-622D12E48AA9}"/>
    <cellStyle name="Normal 4 4 4 6 2 5" xfId="12776" xr:uid="{13B56D8B-6025-45F5-916B-F880D91D3CA7}"/>
    <cellStyle name="Normal 4 4 4 6 3" xfId="6420" xr:uid="{00000000-0005-0000-0000-0000D7150000}"/>
    <cellStyle name="Normal 4 4 4 6 3 2" xfId="19053" xr:uid="{5359E933-86E1-4776-A781-41955845D3DD}"/>
    <cellStyle name="Normal 4 4 4 6 4" xfId="14842" xr:uid="{24CE1CA4-36A6-485C-9C8A-79105D332EDD}"/>
    <cellStyle name="Normal 4 4 4 6 5" xfId="24092" xr:uid="{60372778-BF64-48AD-9066-ED631EFD5EA4}"/>
    <cellStyle name="Normal 4 4 4 6 6" xfId="10631" xr:uid="{87172EB6-B9D6-46CF-8E0C-CCD9D96A867C}"/>
    <cellStyle name="Normal 4 4 4 7" xfId="2548" xr:uid="{00000000-0005-0000-0000-0000D8150000}"/>
    <cellStyle name="Normal 4 4 4 7 2" xfId="6833" xr:uid="{00000000-0005-0000-0000-0000D9150000}"/>
    <cellStyle name="Normal 4 4 4 7 2 2" xfId="19466" xr:uid="{E3A028B6-6276-408B-A0AD-2AFB32C978D0}"/>
    <cellStyle name="Normal 4 4 4 7 3" xfId="15255" xr:uid="{98601EB1-5CB7-4DDE-9F14-066377FF442B}"/>
    <cellStyle name="Normal 4 4 4 7 4" xfId="24505" xr:uid="{05018022-1B0E-49BC-A097-87F86D8244D7}"/>
    <cellStyle name="Normal 4 4 4 7 5" xfId="11044" xr:uid="{BD529096-D03C-48DD-A901-07D4B841A246}"/>
    <cellStyle name="Normal 4 4 4 8" xfId="4768" xr:uid="{00000000-0005-0000-0000-0000DA150000}"/>
    <cellStyle name="Normal 4 4 4 8 2" xfId="17401" xr:uid="{8AA1E866-5CDA-45B0-BC21-DE996D5CC3CE}"/>
    <cellStyle name="Normal 4 4 4 9" xfId="21611" xr:uid="{E647D1C3-8843-4F5E-8D9A-B3E5B1A8DB19}"/>
    <cellStyle name="Normal 4 4 5" xfId="393" xr:uid="{00000000-0005-0000-0000-0000DB150000}"/>
    <cellStyle name="Normal 4 4 5 10" xfId="22442" xr:uid="{87CC7A60-D8DA-4A8E-83F2-B789280C3860}"/>
    <cellStyle name="Normal 4 4 5 11" xfId="8981" xr:uid="{0D5C12DE-0206-4739-9AAE-4205D6B43521}"/>
    <cellStyle name="Normal 4 4 5 2" xfId="869" xr:uid="{00000000-0005-0000-0000-0000DC150000}"/>
    <cellStyle name="Normal 4 4 5 2 2" xfId="3104" xr:uid="{00000000-0005-0000-0000-0000DD150000}"/>
    <cellStyle name="Normal 4 4 5 2 2 2" xfId="7328" xr:uid="{00000000-0005-0000-0000-0000DE150000}"/>
    <cellStyle name="Normal 4 4 5 2 2 2 2" xfId="19961" xr:uid="{A8806DB4-CB87-4B36-810A-138E23D25D0F}"/>
    <cellStyle name="Normal 4 4 5 2 2 3" xfId="15750" xr:uid="{82A8D136-68A2-4977-AAFB-F404F24CDB10}"/>
    <cellStyle name="Normal 4 4 5 2 2 4" xfId="25000" xr:uid="{F3F2E07F-8B11-4E11-ADB8-1F09B5F27714}"/>
    <cellStyle name="Normal 4 4 5 2 2 5" xfId="11539" xr:uid="{6448746E-A17E-4747-AF79-0AB81AEDD034}"/>
    <cellStyle name="Normal 4 4 5 2 3" xfId="5183" xr:uid="{00000000-0005-0000-0000-0000DF150000}"/>
    <cellStyle name="Normal 4 4 5 2 3 2" xfId="17816" xr:uid="{AE2ECAA1-A55D-4A1C-AFE6-FFA903D3A5E4}"/>
    <cellStyle name="Normal 4 4 5 2 4" xfId="22028" xr:uid="{55C0E7BB-00AE-457B-9CC5-A073F29E7322}"/>
    <cellStyle name="Normal 4 4 5 2 5" xfId="13605" xr:uid="{DB65AB5D-1F8C-476D-8F20-E82805A0721D}"/>
    <cellStyle name="Normal 4 4 5 2 6" xfId="22855" xr:uid="{57699758-A1DE-4BC0-8F23-7FB1AD8ACD46}"/>
    <cellStyle name="Normal 4 4 5 2 7" xfId="9394" xr:uid="{80BEC6B8-BDAF-4D47-85D4-DF5FE5BCB87D}"/>
    <cellStyle name="Normal 4 4 5 3" xfId="1287" xr:uid="{00000000-0005-0000-0000-0000E0150000}"/>
    <cellStyle name="Normal 4 4 5 3 2" xfId="3517" xr:uid="{00000000-0005-0000-0000-0000E1150000}"/>
    <cellStyle name="Normal 4 4 5 3 2 2" xfId="7741" xr:uid="{00000000-0005-0000-0000-0000E2150000}"/>
    <cellStyle name="Normal 4 4 5 3 2 2 2" xfId="20374" xr:uid="{FAC1E687-C7D7-4A9D-932F-F2919FB73E9F}"/>
    <cellStyle name="Normal 4 4 5 3 2 3" xfId="16163" xr:uid="{45ECA91C-FB2A-4BC7-8018-F3045432FE61}"/>
    <cellStyle name="Normal 4 4 5 3 2 4" xfId="25413" xr:uid="{58D12107-156A-4CCD-89C8-751DF5D8AA83}"/>
    <cellStyle name="Normal 4 4 5 3 2 5" xfId="11952" xr:uid="{00723F4F-BBED-49F9-AEA1-B01078004AD6}"/>
    <cellStyle name="Normal 4 4 5 3 3" xfId="5596" xr:uid="{00000000-0005-0000-0000-0000E3150000}"/>
    <cellStyle name="Normal 4 4 5 3 3 2" xfId="18229" xr:uid="{D9AEEF1B-65D8-40BD-A95E-DC75EF81C775}"/>
    <cellStyle name="Normal 4 4 5 3 4" xfId="14018" xr:uid="{E3EAA545-F643-4FE7-A6F8-E85B674488DA}"/>
    <cellStyle name="Normal 4 4 5 3 5" xfId="23268" xr:uid="{F0246A5A-B9E7-4428-A006-F382F9250CBD}"/>
    <cellStyle name="Normal 4 4 5 3 6" xfId="9807" xr:uid="{AAFFC1DD-A855-434D-9E23-AABD0065B70A}"/>
    <cellStyle name="Normal 4 4 5 4" xfId="1700" xr:uid="{00000000-0005-0000-0000-0000E4150000}"/>
    <cellStyle name="Normal 4 4 5 4 2" xfId="3930" xr:uid="{00000000-0005-0000-0000-0000E5150000}"/>
    <cellStyle name="Normal 4 4 5 4 2 2" xfId="8154" xr:uid="{00000000-0005-0000-0000-0000E6150000}"/>
    <cellStyle name="Normal 4 4 5 4 2 2 2" xfId="20787" xr:uid="{8834F2E4-BE7C-40B9-BF20-B3C2898BD3A6}"/>
    <cellStyle name="Normal 4 4 5 4 2 3" xfId="16576" xr:uid="{086E6A36-AC91-447A-B155-BEBF6352391E}"/>
    <cellStyle name="Normal 4 4 5 4 2 4" xfId="25826" xr:uid="{E0D6499B-95E7-4DEB-8BE8-EAAF678A520A}"/>
    <cellStyle name="Normal 4 4 5 4 2 5" xfId="12365" xr:uid="{C4FD1627-9804-4059-8289-40BE4DE335C2}"/>
    <cellStyle name="Normal 4 4 5 4 3" xfId="6009" xr:uid="{00000000-0005-0000-0000-0000E7150000}"/>
    <cellStyle name="Normal 4 4 5 4 3 2" xfId="18642" xr:uid="{1D589F1A-C25A-45BE-AAFF-23432FC19351}"/>
    <cellStyle name="Normal 4 4 5 4 4" xfId="14431" xr:uid="{C67ECAFD-DC41-48EC-B205-3553548CF8D0}"/>
    <cellStyle name="Normal 4 4 5 4 5" xfId="23681" xr:uid="{1D47A481-B289-41CF-91B4-E35FEAE2C785}"/>
    <cellStyle name="Normal 4 4 5 4 6" xfId="10220" xr:uid="{6E55036E-5ECD-4ADC-8464-CD24D1C517E6}"/>
    <cellStyle name="Normal 4 4 5 5" xfId="2114" xr:uid="{00000000-0005-0000-0000-0000E8150000}"/>
    <cellStyle name="Normal 4 4 5 5 2" xfId="4343" xr:uid="{00000000-0005-0000-0000-0000E9150000}"/>
    <cellStyle name="Normal 4 4 5 5 2 2" xfId="8567" xr:uid="{00000000-0005-0000-0000-0000EA150000}"/>
    <cellStyle name="Normal 4 4 5 5 2 2 2" xfId="21200" xr:uid="{307481BA-D534-4CB9-8ABF-2301A55B6E53}"/>
    <cellStyle name="Normal 4 4 5 5 2 3" xfId="16989" xr:uid="{A854D5F1-7DA5-4230-A2C1-51F34D4D2681}"/>
    <cellStyle name="Normal 4 4 5 5 2 4" xfId="26239" xr:uid="{07D9D247-D36F-4CBE-BFAB-59B56505D7C6}"/>
    <cellStyle name="Normal 4 4 5 5 2 5" xfId="12778" xr:uid="{8580F274-E754-4D28-9119-A8AE17366159}"/>
    <cellStyle name="Normal 4 4 5 5 3" xfId="6422" xr:uid="{00000000-0005-0000-0000-0000EB150000}"/>
    <cellStyle name="Normal 4 4 5 5 3 2" xfId="19055" xr:uid="{D645A67C-94A4-4170-8DCF-3FC836315A7F}"/>
    <cellStyle name="Normal 4 4 5 5 4" xfId="14844" xr:uid="{D7185A2F-056D-494C-A1F3-1B9AB84593F8}"/>
    <cellStyle name="Normal 4 4 5 5 5" xfId="24094" xr:uid="{D7E5414F-138A-483C-83BB-D5683672F6B9}"/>
    <cellStyle name="Normal 4 4 5 5 6" xfId="10633" xr:uid="{0C0A69FB-1D8A-4A0D-A689-18BA332BA91E}"/>
    <cellStyle name="Normal 4 4 5 6" xfId="2550" xr:uid="{00000000-0005-0000-0000-0000EC150000}"/>
    <cellStyle name="Normal 4 4 5 6 2" xfId="6835" xr:uid="{00000000-0005-0000-0000-0000ED150000}"/>
    <cellStyle name="Normal 4 4 5 6 2 2" xfId="19468" xr:uid="{72CD45B2-C452-4168-8356-B74D41C5EF72}"/>
    <cellStyle name="Normal 4 4 5 6 3" xfId="15257" xr:uid="{73109721-5004-4656-8B37-DA4383F942D0}"/>
    <cellStyle name="Normal 4 4 5 6 4" xfId="24507" xr:uid="{5272E6A6-C1A8-407E-8C4B-31BD3D4D4987}"/>
    <cellStyle name="Normal 4 4 5 6 5" xfId="11046" xr:uid="{6634C0FE-AE1A-40E8-8FCC-7C8DF206AA08}"/>
    <cellStyle name="Normal 4 4 5 7" xfId="4770" xr:uid="{00000000-0005-0000-0000-0000EE150000}"/>
    <cellStyle name="Normal 4 4 5 7 2" xfId="17403" xr:uid="{A30C407A-5755-4AAE-B6B0-A51FF8EB0CC0}"/>
    <cellStyle name="Normal 4 4 5 8" xfId="21613" xr:uid="{B9C8566F-B716-4E1B-8096-7722C36CD398}"/>
    <cellStyle name="Normal 4 4 5 9" xfId="13192" xr:uid="{FEB87952-F872-49CB-BC30-D0B2A23AB8E3}"/>
    <cellStyle name="Normal 4 4 6" xfId="854" xr:uid="{00000000-0005-0000-0000-0000EF150000}"/>
    <cellStyle name="Normal 4 4 6 2" xfId="3089" xr:uid="{00000000-0005-0000-0000-0000F0150000}"/>
    <cellStyle name="Normal 4 4 6 2 2" xfId="7313" xr:uid="{00000000-0005-0000-0000-0000F1150000}"/>
    <cellStyle name="Normal 4 4 6 2 2 2" xfId="19946" xr:uid="{BF698820-A40B-4E11-8748-18CC713A9D96}"/>
    <cellStyle name="Normal 4 4 6 2 3" xfId="15735" xr:uid="{691A5D74-C31D-4066-828D-E233A91DA854}"/>
    <cellStyle name="Normal 4 4 6 2 4" xfId="24985" xr:uid="{66C875D6-CF17-4BF5-BC05-CE2CAF73A911}"/>
    <cellStyle name="Normal 4 4 6 2 5" xfId="11524" xr:uid="{19DCFAB2-7136-4215-8564-81DFA51621F9}"/>
    <cellStyle name="Normal 4 4 6 3" xfId="5168" xr:uid="{00000000-0005-0000-0000-0000F2150000}"/>
    <cellStyle name="Normal 4 4 6 3 2" xfId="17801" xr:uid="{50E7456F-23F8-49E0-84E4-3FC4A09F8DAC}"/>
    <cellStyle name="Normal 4 4 6 4" xfId="22013" xr:uid="{33E2A88F-B76E-44CF-8236-815DDCD95986}"/>
    <cellStyle name="Normal 4 4 6 5" xfId="13590" xr:uid="{D7D72B6C-6379-43FD-8BB0-8471125D28C9}"/>
    <cellStyle name="Normal 4 4 6 6" xfId="22840" xr:uid="{AC204071-031B-4474-9468-CBF3312350A8}"/>
    <cellStyle name="Normal 4 4 6 7" xfId="9379" xr:uid="{12B14743-093F-4608-A545-A942EE05BCB1}"/>
    <cellStyle name="Normal 4 4 7" xfId="1272" xr:uid="{00000000-0005-0000-0000-0000F3150000}"/>
    <cellStyle name="Normal 4 4 7 2" xfId="3502" xr:uid="{00000000-0005-0000-0000-0000F4150000}"/>
    <cellStyle name="Normal 4 4 7 2 2" xfId="7726" xr:uid="{00000000-0005-0000-0000-0000F5150000}"/>
    <cellStyle name="Normal 4 4 7 2 2 2" xfId="20359" xr:uid="{EC0BD40C-D69A-4073-9C0E-BF1EA8DDEC27}"/>
    <cellStyle name="Normal 4 4 7 2 3" xfId="16148" xr:uid="{5CFD494C-A907-4F03-A6A4-2E53D4E4573C}"/>
    <cellStyle name="Normal 4 4 7 2 4" xfId="25398" xr:uid="{EA304E33-702E-4193-9631-0789EB6EF632}"/>
    <cellStyle name="Normal 4 4 7 2 5" xfId="11937" xr:uid="{68AA48D8-6622-47FD-A82B-7E523B352790}"/>
    <cellStyle name="Normal 4 4 7 3" xfId="5581" xr:uid="{00000000-0005-0000-0000-0000F6150000}"/>
    <cellStyle name="Normal 4 4 7 3 2" xfId="18214" xr:uid="{F9A58D63-7FB4-4823-BFBC-51422182B534}"/>
    <cellStyle name="Normal 4 4 7 4" xfId="14003" xr:uid="{42A920C8-4FAC-4403-9D27-0D57AA989792}"/>
    <cellStyle name="Normal 4 4 7 5" xfId="23253" xr:uid="{107A8C8F-5E51-4E61-856C-3CB697B0542D}"/>
    <cellStyle name="Normal 4 4 7 6" xfId="9792" xr:uid="{FDAFFC4A-3CFD-4940-8670-433C05DC1643}"/>
    <cellStyle name="Normal 4 4 8" xfId="1685" xr:uid="{00000000-0005-0000-0000-0000F7150000}"/>
    <cellStyle name="Normal 4 4 8 2" xfId="3915" xr:uid="{00000000-0005-0000-0000-0000F8150000}"/>
    <cellStyle name="Normal 4 4 8 2 2" xfId="8139" xr:uid="{00000000-0005-0000-0000-0000F9150000}"/>
    <cellStyle name="Normal 4 4 8 2 2 2" xfId="20772" xr:uid="{37D5A156-B92B-4DB5-9119-5946730ABC33}"/>
    <cellStyle name="Normal 4 4 8 2 3" xfId="16561" xr:uid="{95E76AC8-3995-4BD4-8633-CCBCE9466006}"/>
    <cellStyle name="Normal 4 4 8 2 4" xfId="25811" xr:uid="{867326DC-FC05-4E3B-AA16-28C32C54902A}"/>
    <cellStyle name="Normal 4 4 8 2 5" xfId="12350" xr:uid="{9E3CC991-D938-43B0-B9AD-67AFC7762BE0}"/>
    <cellStyle name="Normal 4 4 8 3" xfId="5994" xr:uid="{00000000-0005-0000-0000-0000FA150000}"/>
    <cellStyle name="Normal 4 4 8 3 2" xfId="18627" xr:uid="{DC0F2ACA-C3BF-4D1F-BD84-70D9CB167FE6}"/>
    <cellStyle name="Normal 4 4 8 4" xfId="14416" xr:uid="{48D97D86-B1A5-41DF-8F2F-4386941502F0}"/>
    <cellStyle name="Normal 4 4 8 5" xfId="23666" xr:uid="{BAB1FF04-6EE4-4D4B-838C-6F26A04DC6A0}"/>
    <cellStyle name="Normal 4 4 8 6" xfId="10205" xr:uid="{97EC2BEE-803D-47CB-9470-9670D1E03212}"/>
    <cellStyle name="Normal 4 4 9" xfId="2099" xr:uid="{00000000-0005-0000-0000-0000FB150000}"/>
    <cellStyle name="Normal 4 4 9 2" xfId="4328" xr:uid="{00000000-0005-0000-0000-0000FC150000}"/>
    <cellStyle name="Normal 4 4 9 2 2" xfId="8552" xr:uid="{00000000-0005-0000-0000-0000FD150000}"/>
    <cellStyle name="Normal 4 4 9 2 2 2" xfId="21185" xr:uid="{A4A95CCC-CD81-439B-8443-8902A4FE3DC7}"/>
    <cellStyle name="Normal 4 4 9 2 3" xfId="16974" xr:uid="{899AA31C-A849-410B-88B6-371B368BC4FE}"/>
    <cellStyle name="Normal 4 4 9 2 4" xfId="26224" xr:uid="{358626B4-9926-4493-B9BE-EE9287B176AF}"/>
    <cellStyle name="Normal 4 4 9 2 5" xfId="12763" xr:uid="{076239CB-35FE-4725-B6FB-25E0F6638DEF}"/>
    <cellStyle name="Normal 4 4 9 3" xfId="6407" xr:uid="{00000000-0005-0000-0000-0000FE150000}"/>
    <cellStyle name="Normal 4 4 9 3 2" xfId="19040" xr:uid="{F93C8722-F420-4C0F-8A5B-8778983CC229}"/>
    <cellStyle name="Normal 4 4 9 4" xfId="14829" xr:uid="{7D0A935B-C70A-426D-8025-CD70DC03340E}"/>
    <cellStyle name="Normal 4 4 9 5" xfId="24079" xr:uid="{303AB565-3CBD-471D-B347-5BF0DED0F617}"/>
    <cellStyle name="Normal 4 4 9 6" xfId="10618" xr:uid="{0CE7158F-C27E-4C3D-931E-52EDA30DDB84}"/>
    <cellStyle name="Normal 4 5" xfId="394" xr:uid="{00000000-0005-0000-0000-0000FF150000}"/>
    <cellStyle name="Normal 4 6" xfId="395" xr:uid="{00000000-0005-0000-0000-000000160000}"/>
    <cellStyle name="Normal 4 6 10" xfId="4771" xr:uid="{00000000-0005-0000-0000-000001160000}"/>
    <cellStyle name="Normal 4 6 10 2" xfId="17404" xr:uid="{A0B87A0E-5CB4-40A7-B465-EDDC0779A660}"/>
    <cellStyle name="Normal 4 6 11" xfId="21614" xr:uid="{DD11E6B9-77B7-47DF-8A8C-61AFBD17A23B}"/>
    <cellStyle name="Normal 4 6 12" xfId="13193" xr:uid="{C5249165-B797-4941-A67C-ECEF43C8B72F}"/>
    <cellStyle name="Normal 4 6 13" xfId="22443" xr:uid="{8AA27CBC-5334-4019-9817-8B0F53213D11}"/>
    <cellStyle name="Normal 4 6 14" xfId="8982" xr:uid="{B9F613C5-B9A0-40A1-A7A1-1E340A2406AD}"/>
    <cellStyle name="Normal 4 6 2" xfId="396" xr:uid="{00000000-0005-0000-0000-000002160000}"/>
    <cellStyle name="Normal 4 6 2 10" xfId="21615" xr:uid="{C6D19AB7-06A6-4FD7-9467-4A40BBBBEBED}"/>
    <cellStyle name="Normal 4 6 2 11" xfId="13194" xr:uid="{2F496FE3-0593-4BD9-AD66-5ECFF4197047}"/>
    <cellStyle name="Normal 4 6 2 12" xfId="22444" xr:uid="{552F3C65-EB3F-426F-AFF3-B8D33083CDD8}"/>
    <cellStyle name="Normal 4 6 2 13" xfId="8983" xr:uid="{12DAB536-3A51-4587-B727-6EA7D22395FE}"/>
    <cellStyle name="Normal 4 6 2 2" xfId="397" xr:uid="{00000000-0005-0000-0000-000003160000}"/>
    <cellStyle name="Normal 4 6 2 2 10" xfId="13195" xr:uid="{04D2FA88-4A7B-4947-A2ED-6BAAF45307C9}"/>
    <cellStyle name="Normal 4 6 2 2 11" xfId="22445" xr:uid="{0B06685F-4796-4046-9BDE-BD1006C1ACC9}"/>
    <cellStyle name="Normal 4 6 2 2 12" xfId="8984" xr:uid="{53A7B09A-6642-4A83-9AA7-C7558EFF106A}"/>
    <cellStyle name="Normal 4 6 2 2 2" xfId="398" xr:uid="{00000000-0005-0000-0000-000004160000}"/>
    <cellStyle name="Normal 4 6 2 2 2 10" xfId="22446" xr:uid="{CD3A8337-1942-4FF4-BCAE-15B60647B201}"/>
    <cellStyle name="Normal 4 6 2 2 2 11" xfId="8985" xr:uid="{B8005F53-AA41-403C-B787-4DC3469F745A}"/>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9965" xr:uid="{21BBAD91-75A9-4E58-BEE8-F67BF8A7D886}"/>
    <cellStyle name="Normal 4 6 2 2 2 2 2 3" xfId="15754" xr:uid="{B16DC2C1-F657-4B33-8F99-C9B2FB11FCD4}"/>
    <cellStyle name="Normal 4 6 2 2 2 2 2 4" xfId="25004" xr:uid="{F1951BD4-8CAC-4532-A317-0DF10B367247}"/>
    <cellStyle name="Normal 4 6 2 2 2 2 2 5" xfId="11543" xr:uid="{45A3BC78-AAA9-448F-844F-C7F3F0F5B5C8}"/>
    <cellStyle name="Normal 4 6 2 2 2 2 3" xfId="5187" xr:uid="{00000000-0005-0000-0000-000008160000}"/>
    <cellStyle name="Normal 4 6 2 2 2 2 3 2" xfId="17820" xr:uid="{D704B605-D134-4EA4-AB36-3BB6311658BE}"/>
    <cellStyle name="Normal 4 6 2 2 2 2 4" xfId="22032" xr:uid="{F7CE278E-4FF6-4315-8E4C-94844CDBEF3C}"/>
    <cellStyle name="Normal 4 6 2 2 2 2 5" xfId="13609" xr:uid="{C0DA9AFD-8D10-486E-B1D3-5880D5FA36D4}"/>
    <cellStyle name="Normal 4 6 2 2 2 2 6" xfId="22859" xr:uid="{A0689A26-2C3E-4F98-9E1C-783FC4072D6D}"/>
    <cellStyle name="Normal 4 6 2 2 2 2 7" xfId="9398" xr:uid="{4BAF5FDC-3D56-4449-BBC9-4E011EE059A9}"/>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20378" xr:uid="{AB80024E-8D96-4347-A114-A30A89216384}"/>
    <cellStyle name="Normal 4 6 2 2 2 3 2 3" xfId="16167" xr:uid="{666A293F-D436-4BBC-897E-E2DE48F35145}"/>
    <cellStyle name="Normal 4 6 2 2 2 3 2 4" xfId="25417" xr:uid="{19BBDDC7-5F52-4DDB-8C1B-DECE32BD3E73}"/>
    <cellStyle name="Normal 4 6 2 2 2 3 2 5" xfId="11956" xr:uid="{51A54FA9-1FFE-40B8-B6BF-A111DC16087F}"/>
    <cellStyle name="Normal 4 6 2 2 2 3 3" xfId="5600" xr:uid="{00000000-0005-0000-0000-00000C160000}"/>
    <cellStyle name="Normal 4 6 2 2 2 3 3 2" xfId="18233" xr:uid="{99804AF7-EC35-40BC-BAE8-6D86573EE6FB}"/>
    <cellStyle name="Normal 4 6 2 2 2 3 4" xfId="14022" xr:uid="{317B8AA7-0DED-4BEC-9CAA-2B5ACDAB0E99}"/>
    <cellStyle name="Normal 4 6 2 2 2 3 5" xfId="23272" xr:uid="{327869E8-46BD-47A1-B7C3-5FC7BA88DF0D}"/>
    <cellStyle name="Normal 4 6 2 2 2 3 6" xfId="9811" xr:uid="{75A6850C-A5BB-4EC0-84F7-5DB1C358B91F}"/>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20791" xr:uid="{7989035D-A751-45E9-8738-488E527A41D4}"/>
    <cellStyle name="Normal 4 6 2 2 2 4 2 3" xfId="16580" xr:uid="{4E57BC1B-206B-4587-9148-E03F3BE43BCD}"/>
    <cellStyle name="Normal 4 6 2 2 2 4 2 4" xfId="25830" xr:uid="{4296F281-0501-4431-B535-F36E1C62E2E4}"/>
    <cellStyle name="Normal 4 6 2 2 2 4 2 5" xfId="12369" xr:uid="{2E420992-F25B-451C-B64E-F99129914D86}"/>
    <cellStyle name="Normal 4 6 2 2 2 4 3" xfId="6013" xr:uid="{00000000-0005-0000-0000-000010160000}"/>
    <cellStyle name="Normal 4 6 2 2 2 4 3 2" xfId="18646" xr:uid="{BE274A4A-DFC4-4AF9-BF4A-FCCC1FE6288C}"/>
    <cellStyle name="Normal 4 6 2 2 2 4 4" xfId="14435" xr:uid="{8B55B505-87E0-4D1B-B58A-481623137BB0}"/>
    <cellStyle name="Normal 4 6 2 2 2 4 5" xfId="23685" xr:uid="{D152BBC8-A549-4970-B8C3-F673BCD80F6C}"/>
    <cellStyle name="Normal 4 6 2 2 2 4 6" xfId="10224" xr:uid="{5BCD9ED1-71B2-4797-A97F-94336366F14C}"/>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21204" xr:uid="{2C2E67B9-3C12-4A4C-9AA8-E535FE2E974F}"/>
    <cellStyle name="Normal 4 6 2 2 2 5 2 3" xfId="16993" xr:uid="{01D16C43-0A3C-43FB-B036-C1754FD8D3E0}"/>
    <cellStyle name="Normal 4 6 2 2 2 5 2 4" xfId="26243" xr:uid="{583914DE-2C03-4193-9322-6E51FE4ECE06}"/>
    <cellStyle name="Normal 4 6 2 2 2 5 2 5" xfId="12782" xr:uid="{4F02C16F-5DF2-498F-BCDA-840099777E24}"/>
    <cellStyle name="Normal 4 6 2 2 2 5 3" xfId="6426" xr:uid="{00000000-0005-0000-0000-000014160000}"/>
    <cellStyle name="Normal 4 6 2 2 2 5 3 2" xfId="19059" xr:uid="{8933DAD7-AFD9-4E9B-8BCB-E9DE07D96882}"/>
    <cellStyle name="Normal 4 6 2 2 2 5 4" xfId="14848" xr:uid="{94EC0D22-F8FE-43EF-9226-7BB749956FD6}"/>
    <cellStyle name="Normal 4 6 2 2 2 5 5" xfId="24098" xr:uid="{CB898980-CAA1-45F3-A4B1-20884FE8FE89}"/>
    <cellStyle name="Normal 4 6 2 2 2 5 6" xfId="10637" xr:uid="{7A65B8E3-4BC8-40C0-8683-CDCAB75B835D}"/>
    <cellStyle name="Normal 4 6 2 2 2 6" xfId="2554" xr:uid="{00000000-0005-0000-0000-000015160000}"/>
    <cellStyle name="Normal 4 6 2 2 2 6 2" xfId="6839" xr:uid="{00000000-0005-0000-0000-000016160000}"/>
    <cellStyle name="Normal 4 6 2 2 2 6 2 2" xfId="19472" xr:uid="{F4856050-0AC9-4D5F-8592-CE99E6CE8323}"/>
    <cellStyle name="Normal 4 6 2 2 2 6 3" xfId="15261" xr:uid="{4B4462EC-3E70-49F0-A2FD-6EEEC548A023}"/>
    <cellStyle name="Normal 4 6 2 2 2 6 4" xfId="24511" xr:uid="{976E12B6-E5DD-4042-B944-9E344E589A92}"/>
    <cellStyle name="Normal 4 6 2 2 2 6 5" xfId="11050" xr:uid="{1FAA4F64-EFA5-4D80-8ED5-84931E6F4E6F}"/>
    <cellStyle name="Normal 4 6 2 2 2 7" xfId="4774" xr:uid="{00000000-0005-0000-0000-000017160000}"/>
    <cellStyle name="Normal 4 6 2 2 2 7 2" xfId="17407" xr:uid="{FD513313-DB3C-4529-BC83-D1FBA8371F08}"/>
    <cellStyle name="Normal 4 6 2 2 2 8" xfId="21617" xr:uid="{770CF616-6802-4F9F-85F1-5DE264461D49}"/>
    <cellStyle name="Normal 4 6 2 2 2 9" xfId="13196" xr:uid="{ED7B898C-A1AB-4113-A8F4-E7299CBF7101}"/>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9964" xr:uid="{4E7AD851-4A57-4B34-B30A-67EE03DD358C}"/>
    <cellStyle name="Normal 4 6 2 2 3 2 3" xfId="15753" xr:uid="{40513677-D7EF-4A5B-8D63-A466B34CF8B9}"/>
    <cellStyle name="Normal 4 6 2 2 3 2 4" xfId="25003" xr:uid="{85358D7D-EF54-4E62-B879-8D1E169196F3}"/>
    <cellStyle name="Normal 4 6 2 2 3 2 5" xfId="11542" xr:uid="{1018DF4E-119F-4C11-A5E7-886A69834A96}"/>
    <cellStyle name="Normal 4 6 2 2 3 3" xfId="5186" xr:uid="{00000000-0005-0000-0000-00001B160000}"/>
    <cellStyle name="Normal 4 6 2 2 3 3 2" xfId="17819" xr:uid="{83D11CE3-3B8A-4671-BED5-00B162F141BF}"/>
    <cellStyle name="Normal 4 6 2 2 3 4" xfId="22031" xr:uid="{243DB92E-76CA-4ABE-B9A4-0CA18AE93AAC}"/>
    <cellStyle name="Normal 4 6 2 2 3 5" xfId="13608" xr:uid="{09E3EFAF-88AF-4902-9D12-B936BA359C0C}"/>
    <cellStyle name="Normal 4 6 2 2 3 6" xfId="22858" xr:uid="{FAD4AEA0-F41E-4A04-A6BA-3A3C70138368}"/>
    <cellStyle name="Normal 4 6 2 2 3 7" xfId="9397" xr:uid="{1CD86EA5-C24E-4C1F-9AA5-EE58465B8CFF}"/>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20377" xr:uid="{1F66B34F-10C8-4E87-9654-6BC2BA12444E}"/>
    <cellStyle name="Normal 4 6 2 2 4 2 3" xfId="16166" xr:uid="{B5AB88DD-376E-4296-B118-193B293F4D5A}"/>
    <cellStyle name="Normal 4 6 2 2 4 2 4" xfId="25416" xr:uid="{E272FECC-8565-4311-A88A-62CC3636B337}"/>
    <cellStyle name="Normal 4 6 2 2 4 2 5" xfId="11955" xr:uid="{D631ABD7-7F1E-4662-BC08-D8EFCE4625B9}"/>
    <cellStyle name="Normal 4 6 2 2 4 3" xfId="5599" xr:uid="{00000000-0005-0000-0000-00001F160000}"/>
    <cellStyle name="Normal 4 6 2 2 4 3 2" xfId="18232" xr:uid="{F7312E61-45DD-4415-B514-DB1A3861B492}"/>
    <cellStyle name="Normal 4 6 2 2 4 4" xfId="14021" xr:uid="{12CF4138-6EDD-4893-8283-01F487A35CC4}"/>
    <cellStyle name="Normal 4 6 2 2 4 5" xfId="23271" xr:uid="{CA92EA70-1880-4BC1-98B0-F8A8B3779A59}"/>
    <cellStyle name="Normal 4 6 2 2 4 6" xfId="9810" xr:uid="{65CF4DF3-6570-4200-87AC-B0FC664948CE}"/>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20790" xr:uid="{E9FA26B4-C9A5-411D-97BA-3CEAF67E02FF}"/>
    <cellStyle name="Normal 4 6 2 2 5 2 3" xfId="16579" xr:uid="{D76834F2-CDA9-46A1-811A-714BDC750EC0}"/>
    <cellStyle name="Normal 4 6 2 2 5 2 4" xfId="25829" xr:uid="{04ECC73D-2912-45D7-87B9-4C463AB6CACF}"/>
    <cellStyle name="Normal 4 6 2 2 5 2 5" xfId="12368" xr:uid="{63AEAB13-FC4E-4E43-95FE-BDDCDD8A2AEA}"/>
    <cellStyle name="Normal 4 6 2 2 5 3" xfId="6012" xr:uid="{00000000-0005-0000-0000-000023160000}"/>
    <cellStyle name="Normal 4 6 2 2 5 3 2" xfId="18645" xr:uid="{58C3786D-394B-4069-B8BD-1737574F154C}"/>
    <cellStyle name="Normal 4 6 2 2 5 4" xfId="14434" xr:uid="{24F16F6C-9C2D-4668-B930-4EF89AEB7F73}"/>
    <cellStyle name="Normal 4 6 2 2 5 5" xfId="23684" xr:uid="{CFD08622-3ACB-419C-94D6-C9C6B6F7F19D}"/>
    <cellStyle name="Normal 4 6 2 2 5 6" xfId="10223" xr:uid="{CE1F45F3-026A-472F-A2C1-2DC889C9331D}"/>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21203" xr:uid="{02096854-459F-474D-B21B-4BC49A3A5DC5}"/>
    <cellStyle name="Normal 4 6 2 2 6 2 3" xfId="16992" xr:uid="{D4AAA668-9BBE-4ABF-9869-F9E868AA39B1}"/>
    <cellStyle name="Normal 4 6 2 2 6 2 4" xfId="26242" xr:uid="{15F42663-9D58-421A-8320-7F030DB4BC49}"/>
    <cellStyle name="Normal 4 6 2 2 6 2 5" xfId="12781" xr:uid="{9C5BD842-1F4F-469A-AA4D-7B2FFBBBD750}"/>
    <cellStyle name="Normal 4 6 2 2 6 3" xfId="6425" xr:uid="{00000000-0005-0000-0000-000027160000}"/>
    <cellStyle name="Normal 4 6 2 2 6 3 2" xfId="19058" xr:uid="{B98A77EB-394B-4243-BB91-D2C96C3788C8}"/>
    <cellStyle name="Normal 4 6 2 2 6 4" xfId="14847" xr:uid="{FA121754-EF09-46BE-95C6-4BB917FF6ED6}"/>
    <cellStyle name="Normal 4 6 2 2 6 5" xfId="24097" xr:uid="{128D4355-5955-4CB4-865B-BE4D41D2587A}"/>
    <cellStyle name="Normal 4 6 2 2 6 6" xfId="10636" xr:uid="{6FA97200-8F63-47D3-9839-9025A1240B09}"/>
    <cellStyle name="Normal 4 6 2 2 7" xfId="2553" xr:uid="{00000000-0005-0000-0000-000028160000}"/>
    <cellStyle name="Normal 4 6 2 2 7 2" xfId="6838" xr:uid="{00000000-0005-0000-0000-000029160000}"/>
    <cellStyle name="Normal 4 6 2 2 7 2 2" xfId="19471" xr:uid="{3C56551D-217F-4D45-BA91-114B16B162EE}"/>
    <cellStyle name="Normal 4 6 2 2 7 3" xfId="15260" xr:uid="{181D22B6-05DA-4FE6-9904-755C8FAE3018}"/>
    <cellStyle name="Normal 4 6 2 2 7 4" xfId="24510" xr:uid="{216B67DA-3E96-4197-A02A-C65C217E9222}"/>
    <cellStyle name="Normal 4 6 2 2 7 5" xfId="11049" xr:uid="{4033BA91-7607-449B-9ED7-1F851B766AFC}"/>
    <cellStyle name="Normal 4 6 2 2 8" xfId="4773" xr:uid="{00000000-0005-0000-0000-00002A160000}"/>
    <cellStyle name="Normal 4 6 2 2 8 2" xfId="17406" xr:uid="{3279495D-8BB7-4987-9CD5-B913E45400B0}"/>
    <cellStyle name="Normal 4 6 2 2 9" xfId="21616" xr:uid="{4BC98FC7-C4F3-4E08-B234-69061440961D}"/>
    <cellStyle name="Normal 4 6 2 3" xfId="399" xr:uid="{00000000-0005-0000-0000-00002B160000}"/>
    <cellStyle name="Normal 4 6 2 3 10" xfId="22447" xr:uid="{11FFD593-CC15-4DE2-A824-AD5D920F92A1}"/>
    <cellStyle name="Normal 4 6 2 3 11" xfId="8986" xr:uid="{CEDBFA97-52A4-4C27-8398-27F92422B77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9966" xr:uid="{4C2849C2-FFBC-479E-9DFB-1176DEFA61A5}"/>
    <cellStyle name="Normal 4 6 2 3 2 2 3" xfId="15755" xr:uid="{BC6229BB-9305-4F3A-B713-0736DCA975FB}"/>
    <cellStyle name="Normal 4 6 2 3 2 2 4" xfId="25005" xr:uid="{C391BCDC-E75E-4DF1-8FE0-FD9E3FB244DF}"/>
    <cellStyle name="Normal 4 6 2 3 2 2 5" xfId="11544" xr:uid="{19F0E840-41B3-49DE-BC87-103BBCB0CE2A}"/>
    <cellStyle name="Normal 4 6 2 3 2 3" xfId="5188" xr:uid="{00000000-0005-0000-0000-00002F160000}"/>
    <cellStyle name="Normal 4 6 2 3 2 3 2" xfId="17821" xr:uid="{81C5D37A-8D69-4D40-8D81-ACB09A269F30}"/>
    <cellStyle name="Normal 4 6 2 3 2 4" xfId="22033" xr:uid="{8E0050E1-9BAD-4136-954F-21F7D8960FE0}"/>
    <cellStyle name="Normal 4 6 2 3 2 5" xfId="13610" xr:uid="{274D456A-7C20-4409-B603-01985F32D346}"/>
    <cellStyle name="Normal 4 6 2 3 2 6" xfId="22860" xr:uid="{91D4942C-E64B-454A-9392-41A390E55100}"/>
    <cellStyle name="Normal 4 6 2 3 2 7" xfId="9399" xr:uid="{B1383636-3DD2-4B47-96B7-A848F1357928}"/>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20379" xr:uid="{544357FE-E33E-4956-911C-366AD2646499}"/>
    <cellStyle name="Normal 4 6 2 3 3 2 3" xfId="16168" xr:uid="{069ECF0C-A10D-4A19-909C-C5296DB0E0C6}"/>
    <cellStyle name="Normal 4 6 2 3 3 2 4" xfId="25418" xr:uid="{08F2FFE7-D9B6-475B-B096-999D28584A88}"/>
    <cellStyle name="Normal 4 6 2 3 3 2 5" xfId="11957" xr:uid="{C3B36732-BCB8-4CE4-BCCE-3EA6D334284E}"/>
    <cellStyle name="Normal 4 6 2 3 3 3" xfId="5601" xr:uid="{00000000-0005-0000-0000-000033160000}"/>
    <cellStyle name="Normal 4 6 2 3 3 3 2" xfId="18234" xr:uid="{068BBE1B-5ABC-492F-ACB5-D7420F20C2F6}"/>
    <cellStyle name="Normal 4 6 2 3 3 4" xfId="14023" xr:uid="{85C86501-F2F1-4D74-99CC-D53A1C318E73}"/>
    <cellStyle name="Normal 4 6 2 3 3 5" xfId="23273" xr:uid="{6F58CADB-616D-4F87-8878-7D6B1176D84F}"/>
    <cellStyle name="Normal 4 6 2 3 3 6" xfId="9812" xr:uid="{D0723AD7-7558-4E82-AE35-F0C583AB72ED}"/>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20792" xr:uid="{B581372F-F9A4-4007-9175-7B7C71B17A82}"/>
    <cellStyle name="Normal 4 6 2 3 4 2 3" xfId="16581" xr:uid="{6A7E1EE4-A2C1-4287-9E12-8B8A26AC8EF0}"/>
    <cellStyle name="Normal 4 6 2 3 4 2 4" xfId="25831" xr:uid="{5B784B24-A350-4822-88E5-267AD12A5189}"/>
    <cellStyle name="Normal 4 6 2 3 4 2 5" xfId="12370" xr:uid="{847666C7-A312-4ABD-BD73-1CD41B708697}"/>
    <cellStyle name="Normal 4 6 2 3 4 3" xfId="6014" xr:uid="{00000000-0005-0000-0000-000037160000}"/>
    <cellStyle name="Normal 4 6 2 3 4 3 2" xfId="18647" xr:uid="{B2BCA4AC-C82E-4CC8-B6DB-5D36FC5EAAB1}"/>
    <cellStyle name="Normal 4 6 2 3 4 4" xfId="14436" xr:uid="{A5CED37C-845F-4601-A8D4-AF6686CDB2CC}"/>
    <cellStyle name="Normal 4 6 2 3 4 5" xfId="23686" xr:uid="{5E73EA9A-DC6E-47DD-8255-6112FD7A95EF}"/>
    <cellStyle name="Normal 4 6 2 3 4 6" xfId="10225" xr:uid="{85930D28-C240-4E01-80D1-69A1617A9C48}"/>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21205" xr:uid="{6BDA163D-CF6F-46AA-B1EE-828115E1BF39}"/>
    <cellStyle name="Normal 4 6 2 3 5 2 3" xfId="16994" xr:uid="{40B516ED-2FC5-4258-99D3-F2C696F1704D}"/>
    <cellStyle name="Normal 4 6 2 3 5 2 4" xfId="26244" xr:uid="{FD976F62-70EF-457B-B72A-DA05736B74F7}"/>
    <cellStyle name="Normal 4 6 2 3 5 2 5" xfId="12783" xr:uid="{CADBA29A-2E1A-403E-BADC-9C34676DFF9D}"/>
    <cellStyle name="Normal 4 6 2 3 5 3" xfId="6427" xr:uid="{00000000-0005-0000-0000-00003B160000}"/>
    <cellStyle name="Normal 4 6 2 3 5 3 2" xfId="19060" xr:uid="{B7A9A72D-4832-47B8-AFA0-1FD6F90B460C}"/>
    <cellStyle name="Normal 4 6 2 3 5 4" xfId="14849" xr:uid="{E96AB9D9-1A6B-485C-B802-C5872236F41F}"/>
    <cellStyle name="Normal 4 6 2 3 5 5" xfId="24099" xr:uid="{A0CE6B84-C3A5-44F0-873D-4C4424806349}"/>
    <cellStyle name="Normal 4 6 2 3 5 6" xfId="10638" xr:uid="{884E5071-831F-4CDB-B74C-2AB446260237}"/>
    <cellStyle name="Normal 4 6 2 3 6" xfId="2555" xr:uid="{00000000-0005-0000-0000-00003C160000}"/>
    <cellStyle name="Normal 4 6 2 3 6 2" xfId="6840" xr:uid="{00000000-0005-0000-0000-00003D160000}"/>
    <cellStyle name="Normal 4 6 2 3 6 2 2" xfId="19473" xr:uid="{D0D42F57-9D47-4122-8A44-D5C2625BA06D}"/>
    <cellStyle name="Normal 4 6 2 3 6 3" xfId="15262" xr:uid="{66F2FEF4-7A85-4DD3-A03B-435007590863}"/>
    <cellStyle name="Normal 4 6 2 3 6 4" xfId="24512" xr:uid="{4FB405BD-EB72-46F4-A1BF-061760C26A92}"/>
    <cellStyle name="Normal 4 6 2 3 6 5" xfId="11051" xr:uid="{20B4F6E8-FB35-4AC7-A437-EF2047E1E33C}"/>
    <cellStyle name="Normal 4 6 2 3 7" xfId="4775" xr:uid="{00000000-0005-0000-0000-00003E160000}"/>
    <cellStyle name="Normal 4 6 2 3 7 2" xfId="17408" xr:uid="{F9C9D0C9-C67C-48DC-91E0-566AB95F6D7D}"/>
    <cellStyle name="Normal 4 6 2 3 8" xfId="21618" xr:uid="{957A86F0-5399-4912-B3E2-109D22CF6D0E}"/>
    <cellStyle name="Normal 4 6 2 3 9" xfId="13197" xr:uid="{B7BA4A78-5118-42EE-BB2F-CAF10439822F}"/>
    <cellStyle name="Normal 4 6 2 4" xfId="871" xr:uid="{00000000-0005-0000-0000-00003F160000}"/>
    <cellStyle name="Normal 4 6 2 4 2" xfId="3106" xr:uid="{00000000-0005-0000-0000-000040160000}"/>
    <cellStyle name="Normal 4 6 2 4 2 2" xfId="7330" xr:uid="{00000000-0005-0000-0000-000041160000}"/>
    <cellStyle name="Normal 4 6 2 4 2 2 2" xfId="19963" xr:uid="{D56BA90C-B314-483D-87E6-732D2CD32A80}"/>
    <cellStyle name="Normal 4 6 2 4 2 3" xfId="15752" xr:uid="{007B1C25-E4B7-4F18-B999-9D3E6B9A7975}"/>
    <cellStyle name="Normal 4 6 2 4 2 4" xfId="25002" xr:uid="{AFB11672-522E-41AC-887D-A99702F9A2ED}"/>
    <cellStyle name="Normal 4 6 2 4 2 5" xfId="11541" xr:uid="{46BA316A-5FEE-42B8-9E4F-2331024861E1}"/>
    <cellStyle name="Normal 4 6 2 4 3" xfId="5185" xr:uid="{00000000-0005-0000-0000-000042160000}"/>
    <cellStyle name="Normal 4 6 2 4 3 2" xfId="17818" xr:uid="{744DF782-8A71-4566-8CED-CC51AED692C7}"/>
    <cellStyle name="Normal 4 6 2 4 4" xfId="22030" xr:uid="{2E4822F1-07FF-46C0-B1A4-4435A3ABAED8}"/>
    <cellStyle name="Normal 4 6 2 4 5" xfId="13607" xr:uid="{48B671AE-63A4-4B5C-A344-E9768401E70E}"/>
    <cellStyle name="Normal 4 6 2 4 6" xfId="22857" xr:uid="{B437E706-EF0A-4224-A766-5509BADCFB47}"/>
    <cellStyle name="Normal 4 6 2 4 7" xfId="9396" xr:uid="{9A140C1D-5ABC-4F58-8636-320EDF54F709}"/>
    <cellStyle name="Normal 4 6 2 5" xfId="1289" xr:uid="{00000000-0005-0000-0000-000043160000}"/>
    <cellStyle name="Normal 4 6 2 5 2" xfId="3519" xr:uid="{00000000-0005-0000-0000-000044160000}"/>
    <cellStyle name="Normal 4 6 2 5 2 2" xfId="7743" xr:uid="{00000000-0005-0000-0000-000045160000}"/>
    <cellStyle name="Normal 4 6 2 5 2 2 2" xfId="20376" xr:uid="{AE9897C9-48C5-46BF-A899-4311B369A73E}"/>
    <cellStyle name="Normal 4 6 2 5 2 3" xfId="16165" xr:uid="{87276C9D-0593-41DF-823B-C3E70EE0955B}"/>
    <cellStyle name="Normal 4 6 2 5 2 4" xfId="25415" xr:uid="{2A341182-6AC9-4BE6-9198-FFC2337432D8}"/>
    <cellStyle name="Normal 4 6 2 5 2 5" xfId="11954" xr:uid="{F1BFE71D-80D6-4F4A-BBD3-7D0486C93D79}"/>
    <cellStyle name="Normal 4 6 2 5 3" xfId="5598" xr:uid="{00000000-0005-0000-0000-000046160000}"/>
    <cellStyle name="Normal 4 6 2 5 3 2" xfId="18231" xr:uid="{00AAA056-3636-4A18-AE3A-6A74AAC1A116}"/>
    <cellStyle name="Normal 4 6 2 5 4" xfId="14020" xr:uid="{BD9E482A-36E7-484E-B025-C6882BB53E25}"/>
    <cellStyle name="Normal 4 6 2 5 5" xfId="23270" xr:uid="{EC7F4AC5-0546-4D82-8B5B-59677D719812}"/>
    <cellStyle name="Normal 4 6 2 5 6" xfId="9809" xr:uid="{0AFDDD96-4F97-4D36-A280-3DA70A9D7E26}"/>
    <cellStyle name="Normal 4 6 2 6" xfId="1702" xr:uid="{00000000-0005-0000-0000-000047160000}"/>
    <cellStyle name="Normal 4 6 2 6 2" xfId="3932" xr:uid="{00000000-0005-0000-0000-000048160000}"/>
    <cellStyle name="Normal 4 6 2 6 2 2" xfId="8156" xr:uid="{00000000-0005-0000-0000-000049160000}"/>
    <cellStyle name="Normal 4 6 2 6 2 2 2" xfId="20789" xr:uid="{CA60AD46-87BB-48ED-B971-D1FDFB368219}"/>
    <cellStyle name="Normal 4 6 2 6 2 3" xfId="16578" xr:uid="{579C4303-1153-498C-BF92-52E51BDDB252}"/>
    <cellStyle name="Normal 4 6 2 6 2 4" xfId="25828" xr:uid="{9B4D6C17-43D8-46EF-B0A5-C0EF1F1CC9D8}"/>
    <cellStyle name="Normal 4 6 2 6 2 5" xfId="12367" xr:uid="{A2542BEC-925F-4A28-8358-DC581FE4E8F3}"/>
    <cellStyle name="Normal 4 6 2 6 3" xfId="6011" xr:uid="{00000000-0005-0000-0000-00004A160000}"/>
    <cellStyle name="Normal 4 6 2 6 3 2" xfId="18644" xr:uid="{E0652CF7-C712-47A4-B2D7-5C7B944CDEC2}"/>
    <cellStyle name="Normal 4 6 2 6 4" xfId="14433" xr:uid="{BFC08483-ED24-4D36-B921-8234ED54C0FD}"/>
    <cellStyle name="Normal 4 6 2 6 5" xfId="23683" xr:uid="{FC151960-09B7-4A8C-B013-0BA621E18326}"/>
    <cellStyle name="Normal 4 6 2 6 6" xfId="10222" xr:uid="{2F3B5F5B-C3DC-4D12-981C-6A381836B485}"/>
    <cellStyle name="Normal 4 6 2 7" xfId="2116" xr:uid="{00000000-0005-0000-0000-00004B160000}"/>
    <cellStyle name="Normal 4 6 2 7 2" xfId="4345" xr:uid="{00000000-0005-0000-0000-00004C160000}"/>
    <cellStyle name="Normal 4 6 2 7 2 2" xfId="8569" xr:uid="{00000000-0005-0000-0000-00004D160000}"/>
    <cellStyle name="Normal 4 6 2 7 2 2 2" xfId="21202" xr:uid="{7ACE9506-9A9E-42A7-96BE-CC2C8F2B0CE6}"/>
    <cellStyle name="Normal 4 6 2 7 2 3" xfId="16991" xr:uid="{8C13EA4E-BD26-4E0C-A31D-B1E0C2BAE520}"/>
    <cellStyle name="Normal 4 6 2 7 2 4" xfId="26241" xr:uid="{328AD44A-B206-4B73-9BCB-1F93466B2148}"/>
    <cellStyle name="Normal 4 6 2 7 2 5" xfId="12780" xr:uid="{D210512D-F886-4CF2-95D1-D9A84612F2C1}"/>
    <cellStyle name="Normal 4 6 2 7 3" xfId="6424" xr:uid="{00000000-0005-0000-0000-00004E160000}"/>
    <cellStyle name="Normal 4 6 2 7 3 2" xfId="19057" xr:uid="{797F5474-E5FC-4ED5-B38F-23EF3348CEF3}"/>
    <cellStyle name="Normal 4 6 2 7 4" xfId="14846" xr:uid="{F7914876-0A4D-44A4-BDB5-A7698FBD25F1}"/>
    <cellStyle name="Normal 4 6 2 7 5" xfId="24096" xr:uid="{DBD8E6C2-5CC3-478F-988A-5AE6CCCE7E44}"/>
    <cellStyle name="Normal 4 6 2 7 6" xfId="10635" xr:uid="{469E90E4-CC8D-4A1B-B22B-84747A4D46E2}"/>
    <cellStyle name="Normal 4 6 2 8" xfId="2552" xr:uid="{00000000-0005-0000-0000-00004F160000}"/>
    <cellStyle name="Normal 4 6 2 8 2" xfId="6837" xr:uid="{00000000-0005-0000-0000-000050160000}"/>
    <cellStyle name="Normal 4 6 2 8 2 2" xfId="19470" xr:uid="{B9AF003C-70A8-4164-A28A-C3A925EF9E1B}"/>
    <cellStyle name="Normal 4 6 2 8 3" xfId="15259" xr:uid="{73746815-AD2D-4F0A-B46B-2F8C6F71FE59}"/>
    <cellStyle name="Normal 4 6 2 8 4" xfId="24509" xr:uid="{2456A933-30BA-41AA-A52E-1CFD4909DF21}"/>
    <cellStyle name="Normal 4 6 2 8 5" xfId="11048" xr:uid="{A2A42FC9-E147-471C-9CCA-3A475824E02C}"/>
    <cellStyle name="Normal 4 6 2 9" xfId="4772" xr:uid="{00000000-0005-0000-0000-000051160000}"/>
    <cellStyle name="Normal 4 6 2 9 2" xfId="17405" xr:uid="{2A1BA1A6-564C-432E-8CB1-1A00491C05C6}"/>
    <cellStyle name="Normal 4 6 3" xfId="400" xr:uid="{00000000-0005-0000-0000-000052160000}"/>
    <cellStyle name="Normal 4 6 3 10" xfId="13198" xr:uid="{1DB27264-6B33-4778-A7F3-BE93F7BA0DF1}"/>
    <cellStyle name="Normal 4 6 3 11" xfId="22448" xr:uid="{2A3932BE-7A94-4253-8748-2579926F22A8}"/>
    <cellStyle name="Normal 4 6 3 12" xfId="8987" xr:uid="{770385E0-E6B5-4105-A384-F53F5F125E9D}"/>
    <cellStyle name="Normal 4 6 3 2" xfId="401" xr:uid="{00000000-0005-0000-0000-000053160000}"/>
    <cellStyle name="Normal 4 6 3 2 10" xfId="22449" xr:uid="{3AAC72AC-D9E9-4354-9A0C-14E406C9A3EF}"/>
    <cellStyle name="Normal 4 6 3 2 11" xfId="8988" xr:uid="{F3504B58-4373-4004-A7AB-40C217973CD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9968" xr:uid="{565E1E59-22E5-4820-AF93-DCB08F69AB3B}"/>
    <cellStyle name="Normal 4 6 3 2 2 2 3" xfId="15757" xr:uid="{02FB96A3-9C6E-43DF-B175-DF1BD8BBF971}"/>
    <cellStyle name="Normal 4 6 3 2 2 2 4" xfId="25007" xr:uid="{33AB7015-4E7E-41AE-8A24-0F105B98940E}"/>
    <cellStyle name="Normal 4 6 3 2 2 2 5" xfId="11546" xr:uid="{125D769C-C033-4000-B32C-23EF6E914F26}"/>
    <cellStyle name="Normal 4 6 3 2 2 3" xfId="5190" xr:uid="{00000000-0005-0000-0000-000057160000}"/>
    <cellStyle name="Normal 4 6 3 2 2 3 2" xfId="17823" xr:uid="{1C41402D-8078-49BA-80C4-A9805CDE1E7B}"/>
    <cellStyle name="Normal 4 6 3 2 2 4" xfId="22035" xr:uid="{9C1553BE-F643-48D4-964A-26AF28C73B14}"/>
    <cellStyle name="Normal 4 6 3 2 2 5" xfId="13612" xr:uid="{2EF02E93-0CF9-4C16-BC50-2EC4AEAEF9AE}"/>
    <cellStyle name="Normal 4 6 3 2 2 6" xfId="22862" xr:uid="{1A2046AE-13B4-487A-A1F1-364DB66DE619}"/>
    <cellStyle name="Normal 4 6 3 2 2 7" xfId="9401" xr:uid="{3015DA53-C666-4B2E-9A92-62D3AE60C4F3}"/>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20381" xr:uid="{3F2C09F8-7F06-4548-AC56-E91733A6E139}"/>
    <cellStyle name="Normal 4 6 3 2 3 2 3" xfId="16170" xr:uid="{A23A27E9-97D8-49D9-8B6D-A9B3E2BC370A}"/>
    <cellStyle name="Normal 4 6 3 2 3 2 4" xfId="25420" xr:uid="{C54AED27-A2B9-492E-92E0-0C74B013742F}"/>
    <cellStyle name="Normal 4 6 3 2 3 2 5" xfId="11959" xr:uid="{980A0B6B-C023-4C12-9EE3-B981132F84C2}"/>
    <cellStyle name="Normal 4 6 3 2 3 3" xfId="5603" xr:uid="{00000000-0005-0000-0000-00005B160000}"/>
    <cellStyle name="Normal 4 6 3 2 3 3 2" xfId="18236" xr:uid="{74C53C6C-6B47-416B-8837-99AB660C1AFC}"/>
    <cellStyle name="Normal 4 6 3 2 3 4" xfId="14025" xr:uid="{6EE76642-9078-4456-A58A-67526231098D}"/>
    <cellStyle name="Normal 4 6 3 2 3 5" xfId="23275" xr:uid="{5B637501-AB9C-4387-BAE1-0C0D9EB327E8}"/>
    <cellStyle name="Normal 4 6 3 2 3 6" xfId="9814" xr:uid="{0A357AA9-B4DC-436B-95A6-6B97E59938CB}"/>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20794" xr:uid="{83B0752A-F05E-41B4-AF0F-CCA1C67A44F8}"/>
    <cellStyle name="Normal 4 6 3 2 4 2 3" xfId="16583" xr:uid="{0306A83E-8B8E-494F-A944-2F6E054D7891}"/>
    <cellStyle name="Normal 4 6 3 2 4 2 4" xfId="25833" xr:uid="{D6E71306-5D47-4387-AF7C-BC892F25CE1D}"/>
    <cellStyle name="Normal 4 6 3 2 4 2 5" xfId="12372" xr:uid="{1070744F-7AFA-431F-8E94-9F822B944AFA}"/>
    <cellStyle name="Normal 4 6 3 2 4 3" xfId="6016" xr:uid="{00000000-0005-0000-0000-00005F160000}"/>
    <cellStyle name="Normal 4 6 3 2 4 3 2" xfId="18649" xr:uid="{E3253479-1336-403D-954D-04A08FCAEC53}"/>
    <cellStyle name="Normal 4 6 3 2 4 4" xfId="14438" xr:uid="{92DE47B0-38CC-43A8-8B3D-44AE7CD1FDBB}"/>
    <cellStyle name="Normal 4 6 3 2 4 5" xfId="23688" xr:uid="{CED62919-BAB8-46E1-81E3-D068B57F2DD6}"/>
    <cellStyle name="Normal 4 6 3 2 4 6" xfId="10227" xr:uid="{4E474205-37E0-4D0B-9AF7-BF59D80AAFFC}"/>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21207" xr:uid="{EC4682CB-2E07-41F9-BB87-26AAD3D9907E}"/>
    <cellStyle name="Normal 4 6 3 2 5 2 3" xfId="16996" xr:uid="{3F24338B-3385-4FA8-AB78-E04131FDC7F2}"/>
    <cellStyle name="Normal 4 6 3 2 5 2 4" xfId="26246" xr:uid="{FD2979E0-4FF2-4E91-8A97-75C5B2AF4A8A}"/>
    <cellStyle name="Normal 4 6 3 2 5 2 5" xfId="12785" xr:uid="{8F36D678-A329-49EE-B4C9-6AE445E72472}"/>
    <cellStyle name="Normal 4 6 3 2 5 3" xfId="6429" xr:uid="{00000000-0005-0000-0000-000063160000}"/>
    <cellStyle name="Normal 4 6 3 2 5 3 2" xfId="19062" xr:uid="{5FC694CE-6AED-4BF2-8AAF-D1A924AA2BDD}"/>
    <cellStyle name="Normal 4 6 3 2 5 4" xfId="14851" xr:uid="{18A80CC2-041C-4800-A693-B8306C36C3A4}"/>
    <cellStyle name="Normal 4 6 3 2 5 5" xfId="24101" xr:uid="{18C4A55E-6ABD-45D0-A953-C8D1A184F80E}"/>
    <cellStyle name="Normal 4 6 3 2 5 6" xfId="10640" xr:uid="{402A69EF-84DE-4BDA-A05C-4BF0BF994343}"/>
    <cellStyle name="Normal 4 6 3 2 6" xfId="2557" xr:uid="{00000000-0005-0000-0000-000064160000}"/>
    <cellStyle name="Normal 4 6 3 2 6 2" xfId="6842" xr:uid="{00000000-0005-0000-0000-000065160000}"/>
    <cellStyle name="Normal 4 6 3 2 6 2 2" xfId="19475" xr:uid="{B49D92C5-807E-4C29-BC0A-9EE159EFA4D2}"/>
    <cellStyle name="Normal 4 6 3 2 6 3" xfId="15264" xr:uid="{00351988-7CE4-48D8-94FB-8A837DE97CA8}"/>
    <cellStyle name="Normal 4 6 3 2 6 4" xfId="24514" xr:uid="{B3E69DF8-33AF-449C-AE02-0239DA800232}"/>
    <cellStyle name="Normal 4 6 3 2 6 5" xfId="11053" xr:uid="{DAE90F2E-C988-4399-BAC0-42BC15443C4E}"/>
    <cellStyle name="Normal 4 6 3 2 7" xfId="4777" xr:uid="{00000000-0005-0000-0000-000066160000}"/>
    <cellStyle name="Normal 4 6 3 2 7 2" xfId="17410" xr:uid="{FA4B2288-9412-4E09-8DFC-B154824F16C9}"/>
    <cellStyle name="Normal 4 6 3 2 8" xfId="21620" xr:uid="{5763D041-35F2-4765-BA57-4FF0CB0CE284}"/>
    <cellStyle name="Normal 4 6 3 2 9" xfId="13199" xr:uid="{F64A59B7-DAB4-4D73-B330-D67CE74EF9C1}"/>
    <cellStyle name="Normal 4 6 3 3" xfId="875" xr:uid="{00000000-0005-0000-0000-000067160000}"/>
    <cellStyle name="Normal 4 6 3 3 2" xfId="3110" xr:uid="{00000000-0005-0000-0000-000068160000}"/>
    <cellStyle name="Normal 4 6 3 3 2 2" xfId="7334" xr:uid="{00000000-0005-0000-0000-000069160000}"/>
    <cellStyle name="Normal 4 6 3 3 2 2 2" xfId="19967" xr:uid="{C0DD454B-A3A6-4326-815C-AB16B525EF27}"/>
    <cellStyle name="Normal 4 6 3 3 2 3" xfId="15756" xr:uid="{E702AC7D-5C66-434E-85C2-0DC8BD271F14}"/>
    <cellStyle name="Normal 4 6 3 3 2 4" xfId="25006" xr:uid="{F807E6A6-0699-4A15-AE22-A9DB8F9109FD}"/>
    <cellStyle name="Normal 4 6 3 3 2 5" xfId="11545" xr:uid="{615E4173-09AC-4039-9D3D-379FEE60F8F7}"/>
    <cellStyle name="Normal 4 6 3 3 3" xfId="5189" xr:uid="{00000000-0005-0000-0000-00006A160000}"/>
    <cellStyle name="Normal 4 6 3 3 3 2" xfId="17822" xr:uid="{643F3AFC-762F-42DA-910E-C46160A1D8A5}"/>
    <cellStyle name="Normal 4 6 3 3 4" xfId="22034" xr:uid="{6489493E-6E6D-4AD1-B108-C03B2B388A79}"/>
    <cellStyle name="Normal 4 6 3 3 5" xfId="13611" xr:uid="{F1189EB0-3673-4AF1-9440-012DE0A0682F}"/>
    <cellStyle name="Normal 4 6 3 3 6" xfId="22861" xr:uid="{D07F8940-32A7-4AFC-8ED6-16745CB0287E}"/>
    <cellStyle name="Normal 4 6 3 3 7" xfId="9400" xr:uid="{92E298AE-5A00-43C3-92C3-A644BFF58A0F}"/>
    <cellStyle name="Normal 4 6 3 4" xfId="1293" xr:uid="{00000000-0005-0000-0000-00006B160000}"/>
    <cellStyle name="Normal 4 6 3 4 2" xfId="3523" xr:uid="{00000000-0005-0000-0000-00006C160000}"/>
    <cellStyle name="Normal 4 6 3 4 2 2" xfId="7747" xr:uid="{00000000-0005-0000-0000-00006D160000}"/>
    <cellStyle name="Normal 4 6 3 4 2 2 2" xfId="20380" xr:uid="{5833F0D9-79BF-48CF-AD0A-7688C1C8ADD2}"/>
    <cellStyle name="Normal 4 6 3 4 2 3" xfId="16169" xr:uid="{CB16787A-D147-446A-88D5-5FDD3E85E188}"/>
    <cellStyle name="Normal 4 6 3 4 2 4" xfId="25419" xr:uid="{CA4CDC84-F34C-40CA-9C45-7474A2F679EC}"/>
    <cellStyle name="Normal 4 6 3 4 2 5" xfId="11958" xr:uid="{25A8BDA1-340E-4E08-8AAC-F4E0292D4E88}"/>
    <cellStyle name="Normal 4 6 3 4 3" xfId="5602" xr:uid="{00000000-0005-0000-0000-00006E160000}"/>
    <cellStyle name="Normal 4 6 3 4 3 2" xfId="18235" xr:uid="{56D1F149-55C7-4524-B0CF-B22B9EC3DAC4}"/>
    <cellStyle name="Normal 4 6 3 4 4" xfId="14024" xr:uid="{176D05AB-896C-40DB-BC73-EB5728AFCE22}"/>
    <cellStyle name="Normal 4 6 3 4 5" xfId="23274" xr:uid="{35F86FD2-52BE-4B0C-9D28-F9AF6E135797}"/>
    <cellStyle name="Normal 4 6 3 4 6" xfId="9813" xr:uid="{D1238DD7-F12C-4F84-ADB9-DB095F761105}"/>
    <cellStyle name="Normal 4 6 3 5" xfId="1706" xr:uid="{00000000-0005-0000-0000-00006F160000}"/>
    <cellStyle name="Normal 4 6 3 5 2" xfId="3936" xr:uid="{00000000-0005-0000-0000-000070160000}"/>
    <cellStyle name="Normal 4 6 3 5 2 2" xfId="8160" xr:uid="{00000000-0005-0000-0000-000071160000}"/>
    <cellStyle name="Normal 4 6 3 5 2 2 2" xfId="20793" xr:uid="{44A37DAC-A4F9-4B8F-B0A8-751BE5DA5405}"/>
    <cellStyle name="Normal 4 6 3 5 2 3" xfId="16582" xr:uid="{7DBFBB44-5B73-4BF7-BABB-AFEC31051798}"/>
    <cellStyle name="Normal 4 6 3 5 2 4" xfId="25832" xr:uid="{224E9728-E871-4685-9746-31290B3BE60C}"/>
    <cellStyle name="Normal 4 6 3 5 2 5" xfId="12371" xr:uid="{FF8424EC-2ACC-4950-AB5A-85294C6EE17E}"/>
    <cellStyle name="Normal 4 6 3 5 3" xfId="6015" xr:uid="{00000000-0005-0000-0000-000072160000}"/>
    <cellStyle name="Normal 4 6 3 5 3 2" xfId="18648" xr:uid="{8FF5C7E9-0BF4-4EA1-B75E-A01F295C6623}"/>
    <cellStyle name="Normal 4 6 3 5 4" xfId="14437" xr:uid="{5983514D-A49E-4CFF-9FD7-3231CD0A2758}"/>
    <cellStyle name="Normal 4 6 3 5 5" xfId="23687" xr:uid="{FFC65A6E-9645-40B0-A7EE-31F3ADFC3FC6}"/>
    <cellStyle name="Normal 4 6 3 5 6" xfId="10226" xr:uid="{C3B94C23-91D5-4CC3-930E-375108E05DCF}"/>
    <cellStyle name="Normal 4 6 3 6" xfId="2120" xr:uid="{00000000-0005-0000-0000-000073160000}"/>
    <cellStyle name="Normal 4 6 3 6 2" xfId="4349" xr:uid="{00000000-0005-0000-0000-000074160000}"/>
    <cellStyle name="Normal 4 6 3 6 2 2" xfId="8573" xr:uid="{00000000-0005-0000-0000-000075160000}"/>
    <cellStyle name="Normal 4 6 3 6 2 2 2" xfId="21206" xr:uid="{865A745D-BC92-4625-B952-2E661876FC2B}"/>
    <cellStyle name="Normal 4 6 3 6 2 3" xfId="16995" xr:uid="{0C2EE8D2-B47C-44A7-81B2-49469960D911}"/>
    <cellStyle name="Normal 4 6 3 6 2 4" xfId="26245" xr:uid="{6F67C37E-03B5-417D-AD72-6ADCE5A05458}"/>
    <cellStyle name="Normal 4 6 3 6 2 5" xfId="12784" xr:uid="{B305816D-6B1F-4F93-A7F7-822A10644D92}"/>
    <cellStyle name="Normal 4 6 3 6 3" xfId="6428" xr:uid="{00000000-0005-0000-0000-000076160000}"/>
    <cellStyle name="Normal 4 6 3 6 3 2" xfId="19061" xr:uid="{C2B99667-731C-458E-B1A6-0857CEDDDA2E}"/>
    <cellStyle name="Normal 4 6 3 6 4" xfId="14850" xr:uid="{9E5924C3-6FF8-4D09-B31A-350372FEDE0E}"/>
    <cellStyle name="Normal 4 6 3 6 5" xfId="24100" xr:uid="{DDC65B1D-7902-478D-8600-C01AA4A29C64}"/>
    <cellStyle name="Normal 4 6 3 6 6" xfId="10639" xr:uid="{53290397-5973-4979-9FC9-1BB0084A0671}"/>
    <cellStyle name="Normal 4 6 3 7" xfId="2556" xr:uid="{00000000-0005-0000-0000-000077160000}"/>
    <cellStyle name="Normal 4 6 3 7 2" xfId="6841" xr:uid="{00000000-0005-0000-0000-000078160000}"/>
    <cellStyle name="Normal 4 6 3 7 2 2" xfId="19474" xr:uid="{B814E6E8-0757-4FCB-9942-A8A471C7F70A}"/>
    <cellStyle name="Normal 4 6 3 7 3" xfId="15263" xr:uid="{260A7D63-C19A-4283-A06E-BB3FFA4C27BE}"/>
    <cellStyle name="Normal 4 6 3 7 4" xfId="24513" xr:uid="{67DE42C7-0AF3-4811-9F87-DA04A89DAA8D}"/>
    <cellStyle name="Normal 4 6 3 7 5" xfId="11052" xr:uid="{8974CEB1-8B5F-4ED5-A4FF-123D1981E913}"/>
    <cellStyle name="Normal 4 6 3 8" xfId="4776" xr:uid="{00000000-0005-0000-0000-000079160000}"/>
    <cellStyle name="Normal 4 6 3 8 2" xfId="17409" xr:uid="{97DD4C02-B4AC-4371-957C-24705271857E}"/>
    <cellStyle name="Normal 4 6 3 9" xfId="21619" xr:uid="{CE64D2E5-0125-4A0A-8DEA-20FB0F8F42E3}"/>
    <cellStyle name="Normal 4 6 4" xfId="402" xr:uid="{00000000-0005-0000-0000-00007A160000}"/>
    <cellStyle name="Normal 4 6 4 10" xfId="22450" xr:uid="{7BC50A04-0544-4A18-A09F-A209F5437126}"/>
    <cellStyle name="Normal 4 6 4 11" xfId="8989" xr:uid="{8DD25A5E-7BF4-4FAB-B0A7-491A2D3428AC}"/>
    <cellStyle name="Normal 4 6 4 2" xfId="877" xr:uid="{00000000-0005-0000-0000-00007B160000}"/>
    <cellStyle name="Normal 4 6 4 2 2" xfId="3112" xr:uid="{00000000-0005-0000-0000-00007C160000}"/>
    <cellStyle name="Normal 4 6 4 2 2 2" xfId="7336" xr:uid="{00000000-0005-0000-0000-00007D160000}"/>
    <cellStyle name="Normal 4 6 4 2 2 2 2" xfId="19969" xr:uid="{2D2E9B62-E53D-4C03-96E3-72251A7CD7AF}"/>
    <cellStyle name="Normal 4 6 4 2 2 3" xfId="15758" xr:uid="{82156CF6-AA80-421F-BCBB-41DCC336B547}"/>
    <cellStyle name="Normal 4 6 4 2 2 4" xfId="25008" xr:uid="{07DFC9E8-D340-4ADA-8CFB-AA6BF14ACE38}"/>
    <cellStyle name="Normal 4 6 4 2 2 5" xfId="11547" xr:uid="{FC201A1E-E05F-4857-B7BE-C9672A479211}"/>
    <cellStyle name="Normal 4 6 4 2 3" xfId="5191" xr:uid="{00000000-0005-0000-0000-00007E160000}"/>
    <cellStyle name="Normal 4 6 4 2 3 2" xfId="17824" xr:uid="{FA925C63-F004-4049-BE10-97587032D4D6}"/>
    <cellStyle name="Normal 4 6 4 2 4" xfId="22036" xr:uid="{E9C2E0F5-7EEE-465E-BF51-9423633B6739}"/>
    <cellStyle name="Normal 4 6 4 2 5" xfId="13613" xr:uid="{E6C32700-4D48-48A9-819D-E33B817EFA58}"/>
    <cellStyle name="Normal 4 6 4 2 6" xfId="22863" xr:uid="{49304B2E-715B-46B9-86B9-A0C6859464E7}"/>
    <cellStyle name="Normal 4 6 4 2 7" xfId="9402" xr:uid="{59931ED1-F5E9-4B83-92C3-F1783D385C8A}"/>
    <cellStyle name="Normal 4 6 4 3" xfId="1295" xr:uid="{00000000-0005-0000-0000-00007F160000}"/>
    <cellStyle name="Normal 4 6 4 3 2" xfId="3525" xr:uid="{00000000-0005-0000-0000-000080160000}"/>
    <cellStyle name="Normal 4 6 4 3 2 2" xfId="7749" xr:uid="{00000000-0005-0000-0000-000081160000}"/>
    <cellStyle name="Normal 4 6 4 3 2 2 2" xfId="20382" xr:uid="{63CFB70A-7D16-4475-82A9-AD3A971584B4}"/>
    <cellStyle name="Normal 4 6 4 3 2 3" xfId="16171" xr:uid="{09520005-997B-4A42-BF57-101061100BDB}"/>
    <cellStyle name="Normal 4 6 4 3 2 4" xfId="25421" xr:uid="{B496F28D-1F96-4C4F-9C5D-21D4C3F17EF3}"/>
    <cellStyle name="Normal 4 6 4 3 2 5" xfId="11960" xr:uid="{C12CE380-5CF1-4EEE-A6D2-AE214E1A4920}"/>
    <cellStyle name="Normal 4 6 4 3 3" xfId="5604" xr:uid="{00000000-0005-0000-0000-000082160000}"/>
    <cellStyle name="Normal 4 6 4 3 3 2" xfId="18237" xr:uid="{8F342526-D2E1-43C8-802E-F2AA3AEA9700}"/>
    <cellStyle name="Normal 4 6 4 3 4" xfId="14026" xr:uid="{4DEB6970-712A-4556-8BF6-A3C5EE45184F}"/>
    <cellStyle name="Normal 4 6 4 3 5" xfId="23276" xr:uid="{6088ED54-89E0-4E85-A383-DE7E5433F06E}"/>
    <cellStyle name="Normal 4 6 4 3 6" xfId="9815" xr:uid="{4BF02B51-CD3A-4E4D-8791-C0A1684DBA6F}"/>
    <cellStyle name="Normal 4 6 4 4" xfId="1708" xr:uid="{00000000-0005-0000-0000-000083160000}"/>
    <cellStyle name="Normal 4 6 4 4 2" xfId="3938" xr:uid="{00000000-0005-0000-0000-000084160000}"/>
    <cellStyle name="Normal 4 6 4 4 2 2" xfId="8162" xr:uid="{00000000-0005-0000-0000-000085160000}"/>
    <cellStyle name="Normal 4 6 4 4 2 2 2" xfId="20795" xr:uid="{E8365923-523C-487D-8DF6-87549484C308}"/>
    <cellStyle name="Normal 4 6 4 4 2 3" xfId="16584" xr:uid="{863236D7-8781-475B-86B1-B410EE89CED7}"/>
    <cellStyle name="Normal 4 6 4 4 2 4" xfId="25834" xr:uid="{2409FEF9-2DAA-4BBC-BF02-FFBB560CD5C2}"/>
    <cellStyle name="Normal 4 6 4 4 2 5" xfId="12373" xr:uid="{65ED371E-6611-403C-AAD0-45523A64A1BC}"/>
    <cellStyle name="Normal 4 6 4 4 3" xfId="6017" xr:uid="{00000000-0005-0000-0000-000086160000}"/>
    <cellStyle name="Normal 4 6 4 4 3 2" xfId="18650" xr:uid="{8392FD7C-AD4F-4F3A-B48E-9B2C50E32092}"/>
    <cellStyle name="Normal 4 6 4 4 4" xfId="14439" xr:uid="{3284C2DE-6833-40A3-8255-C34A881F42AA}"/>
    <cellStyle name="Normal 4 6 4 4 5" xfId="23689" xr:uid="{680BAB96-A390-4FA8-8EEF-90F4975BD582}"/>
    <cellStyle name="Normal 4 6 4 4 6" xfId="10228" xr:uid="{C1B3274B-D2FE-482A-909E-3B5515FBF252}"/>
    <cellStyle name="Normal 4 6 4 5" xfId="2122" xr:uid="{00000000-0005-0000-0000-000087160000}"/>
    <cellStyle name="Normal 4 6 4 5 2" xfId="4351" xr:uid="{00000000-0005-0000-0000-000088160000}"/>
    <cellStyle name="Normal 4 6 4 5 2 2" xfId="8575" xr:uid="{00000000-0005-0000-0000-000089160000}"/>
    <cellStyle name="Normal 4 6 4 5 2 2 2" xfId="21208" xr:uid="{A425B2F2-AC92-425E-996F-059C634444D0}"/>
    <cellStyle name="Normal 4 6 4 5 2 3" xfId="16997" xr:uid="{91BB3F16-44FB-427A-8BB9-8247966614F1}"/>
    <cellStyle name="Normal 4 6 4 5 2 4" xfId="26247" xr:uid="{922731D4-246B-4B06-9104-8D037119A53E}"/>
    <cellStyle name="Normal 4 6 4 5 2 5" xfId="12786" xr:uid="{C751A11B-A538-4C67-B4D8-019505E33B4F}"/>
    <cellStyle name="Normal 4 6 4 5 3" xfId="6430" xr:uid="{00000000-0005-0000-0000-00008A160000}"/>
    <cellStyle name="Normal 4 6 4 5 3 2" xfId="19063" xr:uid="{B617C3AB-AA72-443A-AA04-AC80B2DA8DC1}"/>
    <cellStyle name="Normal 4 6 4 5 4" xfId="14852" xr:uid="{BEB53B2A-4889-41E5-9C9D-598964E16B5F}"/>
    <cellStyle name="Normal 4 6 4 5 5" xfId="24102" xr:uid="{340C7E95-4BDC-4AF8-BEDE-7563B8A8CED1}"/>
    <cellStyle name="Normal 4 6 4 5 6" xfId="10641" xr:uid="{30E13804-CBEE-49FF-A071-78C65AFA55A9}"/>
    <cellStyle name="Normal 4 6 4 6" xfId="2558" xr:uid="{00000000-0005-0000-0000-00008B160000}"/>
    <cellStyle name="Normal 4 6 4 6 2" xfId="6843" xr:uid="{00000000-0005-0000-0000-00008C160000}"/>
    <cellStyle name="Normal 4 6 4 6 2 2" xfId="19476" xr:uid="{3D2F7364-234D-449C-A86F-534803654F06}"/>
    <cellStyle name="Normal 4 6 4 6 3" xfId="15265" xr:uid="{5F09E09C-EF9E-44D6-8907-A32444AB4516}"/>
    <cellStyle name="Normal 4 6 4 6 4" xfId="24515" xr:uid="{27136A71-B20C-49A1-94ED-D4F595B1DD17}"/>
    <cellStyle name="Normal 4 6 4 6 5" xfId="11054" xr:uid="{E2BD20B8-C9AD-4011-86FE-71A815A15E72}"/>
    <cellStyle name="Normal 4 6 4 7" xfId="4778" xr:uid="{00000000-0005-0000-0000-00008D160000}"/>
    <cellStyle name="Normal 4 6 4 7 2" xfId="17411" xr:uid="{2B08DCD2-A03D-43A8-8F81-08164795D1C2}"/>
    <cellStyle name="Normal 4 6 4 8" xfId="21621" xr:uid="{1F754537-6EA1-4167-B9B7-E23F1B00F3A4}"/>
    <cellStyle name="Normal 4 6 4 9" xfId="13200" xr:uid="{58D20C5E-9938-4F7D-8450-A8504D605889}"/>
    <cellStyle name="Normal 4 6 5" xfId="870" xr:uid="{00000000-0005-0000-0000-00008E160000}"/>
    <cellStyle name="Normal 4 6 5 2" xfId="3105" xr:uid="{00000000-0005-0000-0000-00008F160000}"/>
    <cellStyle name="Normal 4 6 5 2 2" xfId="7329" xr:uid="{00000000-0005-0000-0000-000090160000}"/>
    <cellStyle name="Normal 4 6 5 2 2 2" xfId="19962" xr:uid="{B64BD9A3-BC4D-4F36-8351-C01AB0ACF110}"/>
    <cellStyle name="Normal 4 6 5 2 3" xfId="15751" xr:uid="{95E964DD-F69F-455F-94B3-0D1709EEFA5F}"/>
    <cellStyle name="Normal 4 6 5 2 4" xfId="25001" xr:uid="{77AC01AE-AE0C-450C-AC27-778777966E34}"/>
    <cellStyle name="Normal 4 6 5 2 5" xfId="11540" xr:uid="{B5CBD6A5-79DC-4E84-8F23-F2AE08A1B3A8}"/>
    <cellStyle name="Normal 4 6 5 3" xfId="5184" xr:uid="{00000000-0005-0000-0000-000091160000}"/>
    <cellStyle name="Normal 4 6 5 3 2" xfId="17817" xr:uid="{7DB315B0-AC9C-41D0-80D8-7903F834BFC7}"/>
    <cellStyle name="Normal 4 6 5 4" xfId="22029" xr:uid="{E764C7A6-FCAB-4BC0-BF28-EBEF15E3DF35}"/>
    <cellStyle name="Normal 4 6 5 5" xfId="13606" xr:uid="{EE1E0942-6971-490B-A4AB-8458C2211D08}"/>
    <cellStyle name="Normal 4 6 5 6" xfId="22856" xr:uid="{8783141B-FAAA-41F2-A759-59FC796B6E89}"/>
    <cellStyle name="Normal 4 6 5 7" xfId="9395" xr:uid="{B3C93997-6442-409C-8D21-8D556C050177}"/>
    <cellStyle name="Normal 4 6 6" xfId="1288" xr:uid="{00000000-0005-0000-0000-000092160000}"/>
    <cellStyle name="Normal 4 6 6 2" xfId="3518" xr:uid="{00000000-0005-0000-0000-000093160000}"/>
    <cellStyle name="Normal 4 6 6 2 2" xfId="7742" xr:uid="{00000000-0005-0000-0000-000094160000}"/>
    <cellStyle name="Normal 4 6 6 2 2 2" xfId="20375" xr:uid="{42E32E36-8428-4DE0-8A6E-C720D8AC9D42}"/>
    <cellStyle name="Normal 4 6 6 2 3" xfId="16164" xr:uid="{436F6AF5-EF93-4823-97BC-2A3E2AA17E6D}"/>
    <cellStyle name="Normal 4 6 6 2 4" xfId="25414" xr:uid="{EEB652CE-3408-4605-B12A-DA2771AA1F0A}"/>
    <cellStyle name="Normal 4 6 6 2 5" xfId="11953" xr:uid="{0D52BB98-76AC-41B2-A4A3-83CFDC4142E4}"/>
    <cellStyle name="Normal 4 6 6 3" xfId="5597" xr:uid="{00000000-0005-0000-0000-000095160000}"/>
    <cellStyle name="Normal 4 6 6 3 2" xfId="18230" xr:uid="{573355E4-6A7B-4AD5-830F-E9A791AD6374}"/>
    <cellStyle name="Normal 4 6 6 4" xfId="14019" xr:uid="{243D7F3B-D180-4367-AB91-598F049FB81D}"/>
    <cellStyle name="Normal 4 6 6 5" xfId="23269" xr:uid="{7B06B015-969F-4611-8C2B-A6A539C3899D}"/>
    <cellStyle name="Normal 4 6 6 6" xfId="9808" xr:uid="{AACC9743-72B1-4D2D-87BE-FB06A551DD1F}"/>
    <cellStyle name="Normal 4 6 7" xfId="1701" xr:uid="{00000000-0005-0000-0000-000096160000}"/>
    <cellStyle name="Normal 4 6 7 2" xfId="3931" xr:uid="{00000000-0005-0000-0000-000097160000}"/>
    <cellStyle name="Normal 4 6 7 2 2" xfId="8155" xr:uid="{00000000-0005-0000-0000-000098160000}"/>
    <cellStyle name="Normal 4 6 7 2 2 2" xfId="20788" xr:uid="{BFECF495-A024-46A2-9DF6-0B08A7B6DB9E}"/>
    <cellStyle name="Normal 4 6 7 2 3" xfId="16577" xr:uid="{5AF85235-590D-4280-A8FE-F86DB0097AA8}"/>
    <cellStyle name="Normal 4 6 7 2 4" xfId="25827" xr:uid="{415A74C2-30FA-4CF6-985A-79E011B796AE}"/>
    <cellStyle name="Normal 4 6 7 2 5" xfId="12366" xr:uid="{35937020-B3B4-41C6-87C4-19E8918B9A48}"/>
    <cellStyle name="Normal 4 6 7 3" xfId="6010" xr:uid="{00000000-0005-0000-0000-000099160000}"/>
    <cellStyle name="Normal 4 6 7 3 2" xfId="18643" xr:uid="{6060849A-B986-45B9-8D38-FC9CBFEC7C74}"/>
    <cellStyle name="Normal 4 6 7 4" xfId="14432" xr:uid="{067EA6F0-FE83-4F52-A507-E6130A54AB33}"/>
    <cellStyle name="Normal 4 6 7 5" xfId="23682" xr:uid="{D1D3285B-CC59-49A9-A62C-1D52E0C6B5CE}"/>
    <cellStyle name="Normal 4 6 7 6" xfId="10221" xr:uid="{CEB120D8-1161-4F8F-8DCB-D05A9A1AB83A}"/>
    <cellStyle name="Normal 4 6 8" xfId="2115" xr:uid="{00000000-0005-0000-0000-00009A160000}"/>
    <cellStyle name="Normal 4 6 8 2" xfId="4344" xr:uid="{00000000-0005-0000-0000-00009B160000}"/>
    <cellStyle name="Normal 4 6 8 2 2" xfId="8568" xr:uid="{00000000-0005-0000-0000-00009C160000}"/>
    <cellStyle name="Normal 4 6 8 2 2 2" xfId="21201" xr:uid="{BF10FB12-EB9A-4C00-8C1B-4E5597D86164}"/>
    <cellStyle name="Normal 4 6 8 2 3" xfId="16990" xr:uid="{BFA4AED5-3441-420E-9239-4D7397633CC8}"/>
    <cellStyle name="Normal 4 6 8 2 4" xfId="26240" xr:uid="{38FF6066-BA9B-4694-9B41-FE2C6DBD0AE6}"/>
    <cellStyle name="Normal 4 6 8 2 5" xfId="12779" xr:uid="{5EFB8B72-6031-4074-9596-74245EB0465C}"/>
    <cellStyle name="Normal 4 6 8 3" xfId="6423" xr:uid="{00000000-0005-0000-0000-00009D160000}"/>
    <cellStyle name="Normal 4 6 8 3 2" xfId="19056" xr:uid="{A7CAD2B4-CE92-459C-9BD6-04DBD2407508}"/>
    <cellStyle name="Normal 4 6 8 4" xfId="14845" xr:uid="{9F04245F-BCCB-49DE-A7E4-55347F56CE56}"/>
    <cellStyle name="Normal 4 6 8 5" xfId="24095" xr:uid="{1E8E2E78-7298-4B39-A602-DF4418C18720}"/>
    <cellStyle name="Normal 4 6 8 6" xfId="10634" xr:uid="{D604657B-1F6E-4CE3-AC6E-556F7D3DCA33}"/>
    <cellStyle name="Normal 4 6 9" xfId="2551" xr:uid="{00000000-0005-0000-0000-00009E160000}"/>
    <cellStyle name="Normal 4 6 9 2" xfId="6836" xr:uid="{00000000-0005-0000-0000-00009F160000}"/>
    <cellStyle name="Normal 4 6 9 2 2" xfId="19469" xr:uid="{3951CECB-D259-4AE7-AAAA-827ED7C3099D}"/>
    <cellStyle name="Normal 4 6 9 3" xfId="15258" xr:uid="{A3AD8C56-17F4-41F9-9B53-286CDD0B983E}"/>
    <cellStyle name="Normal 4 6 9 4" xfId="24508" xr:uid="{920FD3FF-6F25-46CB-BF38-2C144A2200E6}"/>
    <cellStyle name="Normal 4 6 9 5" xfId="11047" xr:uid="{71AD408B-E1CC-4173-B426-E69A64EB9E1A}"/>
    <cellStyle name="Normal 4 7" xfId="403" xr:uid="{00000000-0005-0000-0000-0000A0160000}"/>
    <cellStyle name="Normal 4 7 10" xfId="13201" xr:uid="{DCD81B9E-63FF-4EB6-A5C4-94C8D0F84DBB}"/>
    <cellStyle name="Normal 4 7 11" xfId="22451" xr:uid="{1E1A2F97-81CE-42D8-A6F4-58F5AEA05E7A}"/>
    <cellStyle name="Normal 4 7 12" xfId="8990" xr:uid="{C6276BC5-9EFF-418D-AD29-01E8502558D5}"/>
    <cellStyle name="Normal 4 7 2" xfId="404" xr:uid="{00000000-0005-0000-0000-0000A1160000}"/>
    <cellStyle name="Normal 4 7 2 10" xfId="22452" xr:uid="{A70D4FAD-A16C-461D-9907-121CA2688F13}"/>
    <cellStyle name="Normal 4 7 2 11" xfId="8991" xr:uid="{4657985E-5152-4A90-92FF-CD08840F8FB0}"/>
    <cellStyle name="Normal 4 7 2 2" xfId="879" xr:uid="{00000000-0005-0000-0000-0000A2160000}"/>
    <cellStyle name="Normal 4 7 2 2 2" xfId="3114" xr:uid="{00000000-0005-0000-0000-0000A3160000}"/>
    <cellStyle name="Normal 4 7 2 2 2 2" xfId="7338" xr:uid="{00000000-0005-0000-0000-0000A4160000}"/>
    <cellStyle name="Normal 4 7 2 2 2 2 2" xfId="19971" xr:uid="{6B6B7FF1-85CF-4245-A78A-F8D6E19C5A06}"/>
    <cellStyle name="Normal 4 7 2 2 2 3" xfId="15760" xr:uid="{E21B4A73-AA78-491B-9E01-3BC51FFB9937}"/>
    <cellStyle name="Normal 4 7 2 2 2 4" xfId="25010" xr:uid="{BF9ABA9D-C717-4754-B8F9-153CF45D54B7}"/>
    <cellStyle name="Normal 4 7 2 2 2 5" xfId="11549" xr:uid="{04BE0BC0-9779-4F27-AA3E-46B77E9F2695}"/>
    <cellStyle name="Normal 4 7 2 2 3" xfId="5193" xr:uid="{00000000-0005-0000-0000-0000A5160000}"/>
    <cellStyle name="Normal 4 7 2 2 3 2" xfId="17826" xr:uid="{DF04D24A-A432-4884-A726-F3F2ACDB84E5}"/>
    <cellStyle name="Normal 4 7 2 2 4" xfId="22038" xr:uid="{57EC016F-F94C-44D5-B885-101707D3D022}"/>
    <cellStyle name="Normal 4 7 2 2 5" xfId="13615" xr:uid="{3DCCD928-ECC6-4541-B554-D23EAB2E8CEA}"/>
    <cellStyle name="Normal 4 7 2 2 6" xfId="22865" xr:uid="{D7E2722F-02FE-43D9-8126-24D30C190ACD}"/>
    <cellStyle name="Normal 4 7 2 2 7" xfId="9404" xr:uid="{1E88E4A2-18AB-4A77-8FD8-EC2C0B7F01CC}"/>
    <cellStyle name="Normal 4 7 2 3" xfId="1297" xr:uid="{00000000-0005-0000-0000-0000A6160000}"/>
    <cellStyle name="Normal 4 7 2 3 2" xfId="3527" xr:uid="{00000000-0005-0000-0000-0000A7160000}"/>
    <cellStyle name="Normal 4 7 2 3 2 2" xfId="7751" xr:uid="{00000000-0005-0000-0000-0000A8160000}"/>
    <cellStyle name="Normal 4 7 2 3 2 2 2" xfId="20384" xr:uid="{ABDFD19B-4CC7-4145-9AC8-41D47816987B}"/>
    <cellStyle name="Normal 4 7 2 3 2 3" xfId="16173" xr:uid="{59282C46-4FB0-45B8-9866-FC1474441063}"/>
    <cellStyle name="Normal 4 7 2 3 2 4" xfId="25423" xr:uid="{2B931FC3-B5C5-4C72-B473-7FBE6A178030}"/>
    <cellStyle name="Normal 4 7 2 3 2 5" xfId="11962" xr:uid="{38248FD8-F2C5-4C3C-A465-E17CCDB90527}"/>
    <cellStyle name="Normal 4 7 2 3 3" xfId="5606" xr:uid="{00000000-0005-0000-0000-0000A9160000}"/>
    <cellStyle name="Normal 4 7 2 3 3 2" xfId="18239" xr:uid="{CCE1F50D-0D39-4236-BF64-F8C752746352}"/>
    <cellStyle name="Normal 4 7 2 3 4" xfId="14028" xr:uid="{CB67A897-80FC-4485-ABDD-9A6AB4640CD7}"/>
    <cellStyle name="Normal 4 7 2 3 5" xfId="23278" xr:uid="{9885DB35-3720-466B-B220-F353CB631182}"/>
    <cellStyle name="Normal 4 7 2 3 6" xfId="9817" xr:uid="{3B5503D3-B2EB-44EE-ADCD-53CD16420F5B}"/>
    <cellStyle name="Normal 4 7 2 4" xfId="1710" xr:uid="{00000000-0005-0000-0000-0000AA160000}"/>
    <cellStyle name="Normal 4 7 2 4 2" xfId="3940" xr:uid="{00000000-0005-0000-0000-0000AB160000}"/>
    <cellStyle name="Normal 4 7 2 4 2 2" xfId="8164" xr:uid="{00000000-0005-0000-0000-0000AC160000}"/>
    <cellStyle name="Normal 4 7 2 4 2 2 2" xfId="20797" xr:uid="{65EDD166-F330-48D5-8906-234CEF4741AC}"/>
    <cellStyle name="Normal 4 7 2 4 2 3" xfId="16586" xr:uid="{E24B6C46-EDEA-4F19-A334-410B97AA5193}"/>
    <cellStyle name="Normal 4 7 2 4 2 4" xfId="25836" xr:uid="{D0F51DE6-7578-4DF8-835C-3222D4CA3AB7}"/>
    <cellStyle name="Normal 4 7 2 4 2 5" xfId="12375" xr:uid="{5B04AE91-861C-4C5D-9DC9-F005367904E5}"/>
    <cellStyle name="Normal 4 7 2 4 3" xfId="6019" xr:uid="{00000000-0005-0000-0000-0000AD160000}"/>
    <cellStyle name="Normal 4 7 2 4 3 2" xfId="18652" xr:uid="{A722BFBE-4642-45E5-AD52-2BC08765B9A8}"/>
    <cellStyle name="Normal 4 7 2 4 4" xfId="14441" xr:uid="{7E44E84D-B05D-40BE-ABC5-6793BB76EE86}"/>
    <cellStyle name="Normal 4 7 2 4 5" xfId="23691" xr:uid="{05988483-7B4F-441D-9FE8-6E9708A9DBAF}"/>
    <cellStyle name="Normal 4 7 2 4 6" xfId="10230" xr:uid="{DA4DD4DC-4281-4BDB-A1C0-30BF03CFCA99}"/>
    <cellStyle name="Normal 4 7 2 5" xfId="2124" xr:uid="{00000000-0005-0000-0000-0000AE160000}"/>
    <cellStyle name="Normal 4 7 2 5 2" xfId="4353" xr:uid="{00000000-0005-0000-0000-0000AF160000}"/>
    <cellStyle name="Normal 4 7 2 5 2 2" xfId="8577" xr:uid="{00000000-0005-0000-0000-0000B0160000}"/>
    <cellStyle name="Normal 4 7 2 5 2 2 2" xfId="21210" xr:uid="{827B100B-6819-49A3-81E7-80A765B0C17E}"/>
    <cellStyle name="Normal 4 7 2 5 2 3" xfId="16999" xr:uid="{02C9D869-201A-4D26-98AF-2FE9D8651B17}"/>
    <cellStyle name="Normal 4 7 2 5 2 4" xfId="26249" xr:uid="{B3E2DB24-1760-4157-AFB7-65F9E2DA1775}"/>
    <cellStyle name="Normal 4 7 2 5 2 5" xfId="12788" xr:uid="{B39A94F2-8EAF-421B-8FA4-8B99D08AEF73}"/>
    <cellStyle name="Normal 4 7 2 5 3" xfId="6432" xr:uid="{00000000-0005-0000-0000-0000B1160000}"/>
    <cellStyle name="Normal 4 7 2 5 3 2" xfId="19065" xr:uid="{2319BF37-2AD7-4164-9472-4BA5DCE9BAC3}"/>
    <cellStyle name="Normal 4 7 2 5 4" xfId="14854" xr:uid="{E6FFE750-135F-4D77-A829-DCCB5269D39D}"/>
    <cellStyle name="Normal 4 7 2 5 5" xfId="24104" xr:uid="{35722181-FDD2-4C36-B665-DBAC17517379}"/>
    <cellStyle name="Normal 4 7 2 5 6" xfId="10643" xr:uid="{DDE2F40B-3B8F-418F-AF97-953AD012A8F1}"/>
    <cellStyle name="Normal 4 7 2 6" xfId="2560" xr:uid="{00000000-0005-0000-0000-0000B2160000}"/>
    <cellStyle name="Normal 4 7 2 6 2" xfId="6845" xr:uid="{00000000-0005-0000-0000-0000B3160000}"/>
    <cellStyle name="Normal 4 7 2 6 2 2" xfId="19478" xr:uid="{EE830C77-937F-4982-8299-9789587B8012}"/>
    <cellStyle name="Normal 4 7 2 6 3" xfId="15267" xr:uid="{A61D59B2-8B64-42CC-9719-212EEB84E3A2}"/>
    <cellStyle name="Normal 4 7 2 6 4" xfId="24517" xr:uid="{8D74739D-97C7-41F2-9F4C-7F810DF3A150}"/>
    <cellStyle name="Normal 4 7 2 6 5" xfId="11056" xr:uid="{C680E733-04D7-4A95-BB32-FA74086F6722}"/>
    <cellStyle name="Normal 4 7 2 7" xfId="4780" xr:uid="{00000000-0005-0000-0000-0000B4160000}"/>
    <cellStyle name="Normal 4 7 2 7 2" xfId="17413" xr:uid="{ECD741A6-D219-493F-AC96-AF8F871663AD}"/>
    <cellStyle name="Normal 4 7 2 8" xfId="21623" xr:uid="{3429D40C-F9BF-4B0B-8B16-EDD8EEFD7318}"/>
    <cellStyle name="Normal 4 7 2 9" xfId="13202" xr:uid="{89A4827E-261A-4F47-8EBA-053EF7B49277}"/>
    <cellStyle name="Normal 4 7 3" xfId="878" xr:uid="{00000000-0005-0000-0000-0000B5160000}"/>
    <cellStyle name="Normal 4 7 3 2" xfId="3113" xr:uid="{00000000-0005-0000-0000-0000B6160000}"/>
    <cellStyle name="Normal 4 7 3 2 2" xfId="7337" xr:uid="{00000000-0005-0000-0000-0000B7160000}"/>
    <cellStyle name="Normal 4 7 3 2 2 2" xfId="19970" xr:uid="{439A06EC-797A-4D11-9F0E-2ED74282979F}"/>
    <cellStyle name="Normal 4 7 3 2 3" xfId="15759" xr:uid="{1A4246E0-D370-4F9E-A081-62A04EBA67BD}"/>
    <cellStyle name="Normal 4 7 3 2 4" xfId="25009" xr:uid="{C4FFC52F-3502-4587-8313-F5F6BD93DB26}"/>
    <cellStyle name="Normal 4 7 3 2 5" xfId="11548" xr:uid="{96495069-5E60-47E6-B72D-89504CEA1044}"/>
    <cellStyle name="Normal 4 7 3 3" xfId="5192" xr:uid="{00000000-0005-0000-0000-0000B8160000}"/>
    <cellStyle name="Normal 4 7 3 3 2" xfId="17825" xr:uid="{04D6F6A4-9B07-47DE-9B7C-FC830F8FA0D8}"/>
    <cellStyle name="Normal 4 7 3 4" xfId="22037" xr:uid="{A474C992-AE59-4E74-AC14-60286F84AA77}"/>
    <cellStyle name="Normal 4 7 3 5" xfId="13614" xr:uid="{53252B5E-8BFD-445D-99E4-3710804461AF}"/>
    <cellStyle name="Normal 4 7 3 6" xfId="22864" xr:uid="{9973BE0E-D189-436A-8E50-DCD3E986B5BB}"/>
    <cellStyle name="Normal 4 7 3 7" xfId="9403" xr:uid="{3571AF31-E5A8-4293-B149-B44A75D284C6}"/>
    <cellStyle name="Normal 4 7 4" xfId="1296" xr:uid="{00000000-0005-0000-0000-0000B9160000}"/>
    <cellStyle name="Normal 4 7 4 2" xfId="3526" xr:uid="{00000000-0005-0000-0000-0000BA160000}"/>
    <cellStyle name="Normal 4 7 4 2 2" xfId="7750" xr:uid="{00000000-0005-0000-0000-0000BB160000}"/>
    <cellStyle name="Normal 4 7 4 2 2 2" xfId="20383" xr:uid="{7936EA07-FBB6-4D5D-9BE7-CE5260C8876A}"/>
    <cellStyle name="Normal 4 7 4 2 3" xfId="16172" xr:uid="{28001CE3-5138-4125-9D5D-788AFAC5765F}"/>
    <cellStyle name="Normal 4 7 4 2 4" xfId="25422" xr:uid="{44980E3F-21F4-42F4-920F-FE4BFD902137}"/>
    <cellStyle name="Normal 4 7 4 2 5" xfId="11961" xr:uid="{FD0F0982-0D43-4CC9-BB2B-9139EB72238C}"/>
    <cellStyle name="Normal 4 7 4 3" xfId="5605" xr:uid="{00000000-0005-0000-0000-0000BC160000}"/>
    <cellStyle name="Normal 4 7 4 3 2" xfId="18238" xr:uid="{761813CF-9167-49F4-9378-A0120F8F00A2}"/>
    <cellStyle name="Normal 4 7 4 4" xfId="14027" xr:uid="{DDB39FA0-80F7-45A9-9547-3211D9A185ED}"/>
    <cellStyle name="Normal 4 7 4 5" xfId="23277" xr:uid="{9831D625-C209-4DEE-B8DC-2136376B09DB}"/>
    <cellStyle name="Normal 4 7 4 6" xfId="9816" xr:uid="{363558F7-942A-4057-A6CE-577EFCCE4C16}"/>
    <cellStyle name="Normal 4 7 5" xfId="1709" xr:uid="{00000000-0005-0000-0000-0000BD160000}"/>
    <cellStyle name="Normal 4 7 5 2" xfId="3939" xr:uid="{00000000-0005-0000-0000-0000BE160000}"/>
    <cellStyle name="Normal 4 7 5 2 2" xfId="8163" xr:uid="{00000000-0005-0000-0000-0000BF160000}"/>
    <cellStyle name="Normal 4 7 5 2 2 2" xfId="20796" xr:uid="{4ACC12F6-126E-4A19-9A3B-1F6D5627C254}"/>
    <cellStyle name="Normal 4 7 5 2 3" xfId="16585" xr:uid="{E77CDFA0-D9F0-44F3-A5AC-D87F2EF423E0}"/>
    <cellStyle name="Normal 4 7 5 2 4" xfId="25835" xr:uid="{77F21DC7-98DA-40FE-804D-EF52083858FA}"/>
    <cellStyle name="Normal 4 7 5 2 5" xfId="12374" xr:uid="{41383EF7-4BF2-4B02-8144-894C8915BBD5}"/>
    <cellStyle name="Normal 4 7 5 3" xfId="6018" xr:uid="{00000000-0005-0000-0000-0000C0160000}"/>
    <cellStyle name="Normal 4 7 5 3 2" xfId="18651" xr:uid="{81CC876E-2235-40E7-9A95-6B5B1F38EFCA}"/>
    <cellStyle name="Normal 4 7 5 4" xfId="14440" xr:uid="{6DE00841-7B32-4366-809A-D1F0EB8E3711}"/>
    <cellStyle name="Normal 4 7 5 5" xfId="23690" xr:uid="{1E567690-7AAA-4A28-98CA-9EE4100B3A01}"/>
    <cellStyle name="Normal 4 7 5 6" xfId="10229" xr:uid="{E35E3798-2B4F-472A-AA38-5E04B0A05DF6}"/>
    <cellStyle name="Normal 4 7 6" xfId="2123" xr:uid="{00000000-0005-0000-0000-0000C1160000}"/>
    <cellStyle name="Normal 4 7 6 2" xfId="4352" xr:uid="{00000000-0005-0000-0000-0000C2160000}"/>
    <cellStyle name="Normal 4 7 6 2 2" xfId="8576" xr:uid="{00000000-0005-0000-0000-0000C3160000}"/>
    <cellStyle name="Normal 4 7 6 2 2 2" xfId="21209" xr:uid="{9DE2F1BA-9E4C-4924-87EA-FBCC7C3C69FF}"/>
    <cellStyle name="Normal 4 7 6 2 3" xfId="16998" xr:uid="{920CD5F8-8BBF-43A3-AA97-87C63ED9CB0F}"/>
    <cellStyle name="Normal 4 7 6 2 4" xfId="26248" xr:uid="{93120530-497F-4F40-9B33-D559D40B5453}"/>
    <cellStyle name="Normal 4 7 6 2 5" xfId="12787" xr:uid="{C2B0318F-1465-4813-B46E-6BD8FE39E673}"/>
    <cellStyle name="Normal 4 7 6 3" xfId="6431" xr:uid="{00000000-0005-0000-0000-0000C4160000}"/>
    <cellStyle name="Normal 4 7 6 3 2" xfId="19064" xr:uid="{26A638DF-2444-400C-A81D-FA9EED25C758}"/>
    <cellStyle name="Normal 4 7 6 4" xfId="14853" xr:uid="{901AEEC0-367A-432D-9AFB-6922046A3AB1}"/>
    <cellStyle name="Normal 4 7 6 5" xfId="24103" xr:uid="{E2D0F2CE-CC66-4FFA-9F64-7CA0F8F032D4}"/>
    <cellStyle name="Normal 4 7 6 6" xfId="10642" xr:uid="{C3280FD9-3289-492B-875A-275ADCD93AE3}"/>
    <cellStyle name="Normal 4 7 7" xfId="2559" xr:uid="{00000000-0005-0000-0000-0000C5160000}"/>
    <cellStyle name="Normal 4 7 7 2" xfId="6844" xr:uid="{00000000-0005-0000-0000-0000C6160000}"/>
    <cellStyle name="Normal 4 7 7 2 2" xfId="19477" xr:uid="{4D212EBA-F890-4C41-803D-5D0AE7065191}"/>
    <cellStyle name="Normal 4 7 7 3" xfId="15266" xr:uid="{6CED221A-DD7F-4F22-81BF-93B9DD95C492}"/>
    <cellStyle name="Normal 4 7 7 4" xfId="24516" xr:uid="{EB4C2657-7046-4D12-8E74-4E879BD061D0}"/>
    <cellStyle name="Normal 4 7 7 5" xfId="11055" xr:uid="{BE9E9A8C-BD14-44A1-9BC3-23C61929A69E}"/>
    <cellStyle name="Normal 4 7 8" xfId="4779" xr:uid="{00000000-0005-0000-0000-0000C7160000}"/>
    <cellStyle name="Normal 4 7 8 2" xfId="17412" xr:uid="{A9A33C75-8C4B-4717-9233-EA31271830B2}"/>
    <cellStyle name="Normal 4 7 9" xfId="21622" xr:uid="{58806A5B-E955-40D3-B549-B3F71FCB5EC9}"/>
    <cellStyle name="Normal 4 8" xfId="405" xr:uid="{00000000-0005-0000-0000-0000C8160000}"/>
    <cellStyle name="Normal 4 8 10" xfId="22453" xr:uid="{32744669-CC34-4C66-80E2-9CE6348F2433}"/>
    <cellStyle name="Normal 4 8 11" xfId="8992" xr:uid="{622C4B8A-FEDD-491B-B9CD-3278587635D1}"/>
    <cellStyle name="Normal 4 8 2" xfId="880" xr:uid="{00000000-0005-0000-0000-0000C9160000}"/>
    <cellStyle name="Normal 4 8 2 2" xfId="3115" xr:uid="{00000000-0005-0000-0000-0000CA160000}"/>
    <cellStyle name="Normal 4 8 2 2 2" xfId="7339" xr:uid="{00000000-0005-0000-0000-0000CB160000}"/>
    <cellStyle name="Normal 4 8 2 2 2 2" xfId="19972" xr:uid="{DA62C1F0-C87F-4E11-967D-A90DC0D24479}"/>
    <cellStyle name="Normal 4 8 2 2 3" xfId="15761" xr:uid="{1D8E31D2-FF13-4D0A-B75E-83E229B7072E}"/>
    <cellStyle name="Normal 4 8 2 2 4" xfId="25011" xr:uid="{A8695A13-F2E7-4847-BAD0-562C9F80BFBB}"/>
    <cellStyle name="Normal 4 8 2 2 5" xfId="11550" xr:uid="{95CA3079-B45C-478B-97DF-E4DA98188687}"/>
    <cellStyle name="Normal 4 8 2 3" xfId="5194" xr:uid="{00000000-0005-0000-0000-0000CC160000}"/>
    <cellStyle name="Normal 4 8 2 3 2" xfId="17827" xr:uid="{CD6CBBBD-81CC-4601-864C-339C19E7D2DE}"/>
    <cellStyle name="Normal 4 8 2 4" xfId="22039" xr:uid="{77EF2DC6-979E-4421-8997-74B827BF4FEB}"/>
    <cellStyle name="Normal 4 8 2 5" xfId="13616" xr:uid="{34D45B97-10D9-45F5-9716-00949372219F}"/>
    <cellStyle name="Normal 4 8 2 6" xfId="22866" xr:uid="{59EC31F7-F24C-4320-B484-E3DD4A480833}"/>
    <cellStyle name="Normal 4 8 2 7" xfId="9405" xr:uid="{C3BCD493-89ED-4BCC-8DE3-B67B656C66CC}"/>
    <cellStyle name="Normal 4 8 3" xfId="1298" xr:uid="{00000000-0005-0000-0000-0000CD160000}"/>
    <cellStyle name="Normal 4 8 3 2" xfId="3528" xr:uid="{00000000-0005-0000-0000-0000CE160000}"/>
    <cellStyle name="Normal 4 8 3 2 2" xfId="7752" xr:uid="{00000000-0005-0000-0000-0000CF160000}"/>
    <cellStyle name="Normal 4 8 3 2 2 2" xfId="20385" xr:uid="{9D1F6E76-8AD1-4715-9374-F9B23CFC399C}"/>
    <cellStyle name="Normal 4 8 3 2 3" xfId="16174" xr:uid="{F96FEDDE-52A6-4628-8E62-6B3BFA12C533}"/>
    <cellStyle name="Normal 4 8 3 2 4" xfId="25424" xr:uid="{BA940D0B-9181-4863-96D2-7A25A88541A5}"/>
    <cellStyle name="Normal 4 8 3 2 5" xfId="11963" xr:uid="{D7BC7A41-8560-46E8-8E49-0974FAD48C39}"/>
    <cellStyle name="Normal 4 8 3 3" xfId="5607" xr:uid="{00000000-0005-0000-0000-0000D0160000}"/>
    <cellStyle name="Normal 4 8 3 3 2" xfId="18240" xr:uid="{38E782CF-E529-4ED9-A075-081341114BD5}"/>
    <cellStyle name="Normal 4 8 3 4" xfId="14029" xr:uid="{51B281A8-58CD-4EB2-8D09-360B84763966}"/>
    <cellStyle name="Normal 4 8 3 5" xfId="23279" xr:uid="{697307FC-3AD1-4DF2-8B3F-C24D87ADC793}"/>
    <cellStyle name="Normal 4 8 3 6" xfId="9818" xr:uid="{42E79333-72AB-42A1-B275-A957F71F7F5A}"/>
    <cellStyle name="Normal 4 8 4" xfId="1711" xr:uid="{00000000-0005-0000-0000-0000D1160000}"/>
    <cellStyle name="Normal 4 8 4 2" xfId="3941" xr:uid="{00000000-0005-0000-0000-0000D2160000}"/>
    <cellStyle name="Normal 4 8 4 2 2" xfId="8165" xr:uid="{00000000-0005-0000-0000-0000D3160000}"/>
    <cellStyle name="Normal 4 8 4 2 2 2" xfId="20798" xr:uid="{EA107983-B330-425B-949F-79B379B763B4}"/>
    <cellStyle name="Normal 4 8 4 2 3" xfId="16587" xr:uid="{B30B0614-0935-4C54-9368-BFC469AE877C}"/>
    <cellStyle name="Normal 4 8 4 2 4" xfId="25837" xr:uid="{9C4C51AE-C068-4FB8-A18A-96AE33CAAC14}"/>
    <cellStyle name="Normal 4 8 4 2 5" xfId="12376" xr:uid="{A277F9A6-52E0-47AC-8832-D973D520D2CF}"/>
    <cellStyle name="Normal 4 8 4 3" xfId="6020" xr:uid="{00000000-0005-0000-0000-0000D4160000}"/>
    <cellStyle name="Normal 4 8 4 3 2" xfId="18653" xr:uid="{F4F650DE-53F9-47B8-8C2C-93DB9ED5CBC3}"/>
    <cellStyle name="Normal 4 8 4 4" xfId="14442" xr:uid="{CE0A0326-208A-4307-B6AB-25A0C284719E}"/>
    <cellStyle name="Normal 4 8 4 5" xfId="23692" xr:uid="{6170537B-8085-4358-94EF-D9510038FC82}"/>
    <cellStyle name="Normal 4 8 4 6" xfId="10231" xr:uid="{22DBB378-F760-4C49-A0F0-52F3C28ECE73}"/>
    <cellStyle name="Normal 4 8 5" xfId="2125" xr:uid="{00000000-0005-0000-0000-0000D5160000}"/>
    <cellStyle name="Normal 4 8 5 2" xfId="4354" xr:uid="{00000000-0005-0000-0000-0000D6160000}"/>
    <cellStyle name="Normal 4 8 5 2 2" xfId="8578" xr:uid="{00000000-0005-0000-0000-0000D7160000}"/>
    <cellStyle name="Normal 4 8 5 2 2 2" xfId="21211" xr:uid="{2A5CFF28-E714-4B33-BA46-E3F7CADF5605}"/>
    <cellStyle name="Normal 4 8 5 2 3" xfId="17000" xr:uid="{895EB6DB-558F-43DF-8A15-E2A8D9B8A962}"/>
    <cellStyle name="Normal 4 8 5 2 4" xfId="26250" xr:uid="{CCF4CA69-3F06-4149-8039-29C07281E007}"/>
    <cellStyle name="Normal 4 8 5 2 5" xfId="12789" xr:uid="{8DDAE466-E4A3-4189-83CB-96E028FA5E10}"/>
    <cellStyle name="Normal 4 8 5 3" xfId="6433" xr:uid="{00000000-0005-0000-0000-0000D8160000}"/>
    <cellStyle name="Normal 4 8 5 3 2" xfId="19066" xr:uid="{B7F55449-91ED-4D18-B20B-E4B4B472C129}"/>
    <cellStyle name="Normal 4 8 5 4" xfId="14855" xr:uid="{33198A71-8018-4B67-A21D-71E647F85751}"/>
    <cellStyle name="Normal 4 8 5 5" xfId="24105" xr:uid="{1DAFD6FC-2696-41DD-BF02-F7ED49B8F366}"/>
    <cellStyle name="Normal 4 8 5 6" xfId="10644" xr:uid="{FB1DC59E-C41B-4701-8509-CA1955A5E180}"/>
    <cellStyle name="Normal 4 8 6" xfId="2561" xr:uid="{00000000-0005-0000-0000-0000D9160000}"/>
    <cellStyle name="Normal 4 8 6 2" xfId="6846" xr:uid="{00000000-0005-0000-0000-0000DA160000}"/>
    <cellStyle name="Normal 4 8 6 2 2" xfId="19479" xr:uid="{6CDAE162-9507-402F-B64F-3A4ED1B6BE51}"/>
    <cellStyle name="Normal 4 8 6 3" xfId="15268" xr:uid="{4D2A1504-8331-4D7D-8135-150BC485821E}"/>
    <cellStyle name="Normal 4 8 6 4" xfId="24518" xr:uid="{AD4DCFC0-E641-40D8-A6B9-51FFD88FFA25}"/>
    <cellStyle name="Normal 4 8 6 5" xfId="11057" xr:uid="{2093C560-A26A-45DA-B442-4EB959FAF9BD}"/>
    <cellStyle name="Normal 4 8 7" xfId="4781" xr:uid="{00000000-0005-0000-0000-0000DB160000}"/>
    <cellStyle name="Normal 4 8 7 2" xfId="17414" xr:uid="{F6890685-D88E-4637-A171-A40D1AA397BF}"/>
    <cellStyle name="Normal 4 8 8" xfId="21624" xr:uid="{CCE4D171-80F4-4A0B-B143-8B6BB567BDBA}"/>
    <cellStyle name="Normal 4 8 9" xfId="13203" xr:uid="{BC5DA314-1128-48B1-B035-453B50DC5D44}"/>
    <cellStyle name="Normal 4 9" xfId="4718" xr:uid="{00000000-0005-0000-0000-0000DC160000}"/>
    <cellStyle name="Normal 4 9 2" xfId="17351" xr:uid="{261C4E47-BE3B-4B53-A973-A87B8D2EAC9A}"/>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20799" xr:uid="{F3CC7ADD-455E-44FD-92A7-EB8976F59290}"/>
    <cellStyle name="Normal 5 10 2 3" xfId="16588" xr:uid="{408FCDCE-3F03-4024-8AFE-EB396F00EBBC}"/>
    <cellStyle name="Normal 5 10 2 4" xfId="25838" xr:uid="{8453971F-DD8C-460C-A0C7-AF8100851831}"/>
    <cellStyle name="Normal 5 10 2 5" xfId="12377" xr:uid="{8837A43B-1238-489C-B133-4AE29534EA94}"/>
    <cellStyle name="Normal 5 10 3" xfId="6021" xr:uid="{00000000-0005-0000-0000-0000E1160000}"/>
    <cellStyle name="Normal 5 10 3 2" xfId="18654" xr:uid="{DD62C2C4-8D08-4F86-81BD-1212CB7E25E3}"/>
    <cellStyle name="Normal 5 10 4" xfId="14443" xr:uid="{20E3BE81-A816-4F4F-83C3-81327DC5B784}"/>
    <cellStyle name="Normal 5 10 5" xfId="23693" xr:uid="{2FAB3640-C510-4460-A8EF-C051B6BA1361}"/>
    <cellStyle name="Normal 5 10 6" xfId="10232" xr:uid="{E12163D5-255E-4D9B-BFA5-F69C85E9F8EB}"/>
    <cellStyle name="Normal 5 11" xfId="2126" xr:uid="{00000000-0005-0000-0000-0000E2160000}"/>
    <cellStyle name="Normal 5 11 2" xfId="4355" xr:uid="{00000000-0005-0000-0000-0000E3160000}"/>
    <cellStyle name="Normal 5 11 2 2" xfId="8579" xr:uid="{00000000-0005-0000-0000-0000E4160000}"/>
    <cellStyle name="Normal 5 11 2 2 2" xfId="21212" xr:uid="{9A1A7468-CCED-4B58-AB71-3CC5164115FC}"/>
    <cellStyle name="Normal 5 11 2 3" xfId="17001" xr:uid="{41C445C8-39F4-4D61-83DD-69028824A972}"/>
    <cellStyle name="Normal 5 11 2 4" xfId="26251" xr:uid="{1D2434B2-1498-40B5-A71F-C6D6862C0A2C}"/>
    <cellStyle name="Normal 5 11 2 5" xfId="12790" xr:uid="{B4A9B493-0C15-4944-BA24-A8E7D8B50888}"/>
    <cellStyle name="Normal 5 11 3" xfId="6434" xr:uid="{00000000-0005-0000-0000-0000E5160000}"/>
    <cellStyle name="Normal 5 11 3 2" xfId="19067" xr:uid="{FB133DDF-7D37-4A60-9741-813B56C14EFA}"/>
    <cellStyle name="Normal 5 11 4" xfId="14856" xr:uid="{0E75AD1D-1ABA-43B1-A43F-1279825E74C4}"/>
    <cellStyle name="Normal 5 11 5" xfId="24106" xr:uid="{356D1EF0-1271-4125-9B4B-0F55324862D4}"/>
    <cellStyle name="Normal 5 11 6" xfId="10645" xr:uid="{408F7FBE-A3BC-4918-8FD1-42B26CA7AE7F}"/>
    <cellStyle name="Normal 5 12" xfId="2562" xr:uid="{00000000-0005-0000-0000-0000E6160000}"/>
    <cellStyle name="Normal 5 12 2" xfId="6847" xr:uid="{00000000-0005-0000-0000-0000E7160000}"/>
    <cellStyle name="Normal 5 12 2 2" xfId="19480" xr:uid="{E2373A5C-9750-449A-B21F-47F002243DE4}"/>
    <cellStyle name="Normal 5 12 3" xfId="15269" xr:uid="{E2D9B475-8E03-4B5A-A490-0E7CDB9C0598}"/>
    <cellStyle name="Normal 5 12 4" xfId="24519" xr:uid="{D978A6E4-2306-49E5-9C40-68EF99A2EF50}"/>
    <cellStyle name="Normal 5 12 5" xfId="11058" xr:uid="{226B488C-B6B9-479B-BA8F-46653E246484}"/>
    <cellStyle name="Normal 5 13" xfId="4782" xr:uid="{00000000-0005-0000-0000-0000E8160000}"/>
    <cellStyle name="Normal 5 13 2" xfId="17415" xr:uid="{9DDC9834-B736-4204-B562-39B47FAD30AD}"/>
    <cellStyle name="Normal 5 14" xfId="21625" xr:uid="{550E82E9-5448-48F9-A8BB-75C2AF4614D4}"/>
    <cellStyle name="Normal 5 15" xfId="13204" xr:uid="{A00998F1-F9B4-4E98-BE9C-082ADB87623F}"/>
    <cellStyle name="Normal 5 16" xfId="22454" xr:uid="{10F6A54E-E6A7-4ABD-86B4-03567AE7BE5D}"/>
    <cellStyle name="Normal 5 17" xfId="8993" xr:uid="{14166303-836E-4199-BEEF-B7F7C6E89244}"/>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21213" xr:uid="{F4D8DEBB-697D-4A79-9385-50B1BB2453FE}"/>
    <cellStyle name="Normal 5 2 10 2 3" xfId="17002" xr:uid="{55C6A3C6-34DD-4B37-A3BE-BEB065D91131}"/>
    <cellStyle name="Normal 5 2 10 2 4" xfId="26252" xr:uid="{545D0B26-26CB-44C5-9ACF-1C3001755E8D}"/>
    <cellStyle name="Normal 5 2 10 2 5" xfId="12791" xr:uid="{90060E31-B16D-425D-87C8-3D64803BA019}"/>
    <cellStyle name="Normal 5 2 10 3" xfId="6435" xr:uid="{00000000-0005-0000-0000-0000ED160000}"/>
    <cellStyle name="Normal 5 2 10 3 2" xfId="19068" xr:uid="{1E2710B3-0200-4080-A7AF-3C0D24D6F1B0}"/>
    <cellStyle name="Normal 5 2 10 4" xfId="14857" xr:uid="{64E18B45-9AC4-4A05-B1DB-19A3E3CA5869}"/>
    <cellStyle name="Normal 5 2 10 5" xfId="24107" xr:uid="{0CB7E236-79CE-4B39-9F55-8E1D6AA1DDB8}"/>
    <cellStyle name="Normal 5 2 10 6" xfId="10646" xr:uid="{C518F9E9-DA8E-4D46-8E0A-B5AB5D56877D}"/>
    <cellStyle name="Normal 5 2 11" xfId="2563" xr:uid="{00000000-0005-0000-0000-0000EE160000}"/>
    <cellStyle name="Normal 5 2 11 2" xfId="6848" xr:uid="{00000000-0005-0000-0000-0000EF160000}"/>
    <cellStyle name="Normal 5 2 11 2 2" xfId="19481" xr:uid="{F5620327-3B73-4C86-A935-1B445A550745}"/>
    <cellStyle name="Normal 5 2 11 3" xfId="15270" xr:uid="{C312065B-511B-424C-A0D3-9E5DBDDBC6AC}"/>
    <cellStyle name="Normal 5 2 11 4" xfId="24520" xr:uid="{263DF3A9-04B1-4590-BA1B-084CBE716F0A}"/>
    <cellStyle name="Normal 5 2 11 5" xfId="11059" xr:uid="{1FB00B12-1794-44BA-9C54-50AC7F76B975}"/>
    <cellStyle name="Normal 5 2 12" xfId="4783" xr:uid="{00000000-0005-0000-0000-0000F0160000}"/>
    <cellStyle name="Normal 5 2 12 2" xfId="17416" xr:uid="{AC45B465-FB27-42A3-ABFD-3989170723E6}"/>
    <cellStyle name="Normal 5 2 13" xfId="21626" xr:uid="{FE3F4AEE-3A74-411E-884E-24C23F6D9A37}"/>
    <cellStyle name="Normal 5 2 14" xfId="13205" xr:uid="{F79EC544-1016-421D-B330-8082116FE0D9}"/>
    <cellStyle name="Normal 5 2 15" xfId="22455" xr:uid="{BAEBA063-861D-436F-8311-88DE05D13655}"/>
    <cellStyle name="Normal 5 2 16" xfId="8994" xr:uid="{0EA02568-EDDC-494E-9274-63585129F1D9}"/>
    <cellStyle name="Normal 5 2 2" xfId="408" xr:uid="{00000000-0005-0000-0000-0000F1160000}"/>
    <cellStyle name="Normal 5 2 2 10" xfId="2564" xr:uid="{00000000-0005-0000-0000-0000F2160000}"/>
    <cellStyle name="Normal 5 2 2 10 2" xfId="6849" xr:uid="{00000000-0005-0000-0000-0000F3160000}"/>
    <cellStyle name="Normal 5 2 2 10 2 2" xfId="19482" xr:uid="{97CC23C9-0F14-497A-A9B8-30FA879C8FFA}"/>
    <cellStyle name="Normal 5 2 2 10 3" xfId="15271" xr:uid="{7B94AA03-FCC5-4D1C-9B85-9464E0F71E68}"/>
    <cellStyle name="Normal 5 2 2 10 4" xfId="24521" xr:uid="{7C94DE15-2BDC-468E-A640-0B5170F91E33}"/>
    <cellStyle name="Normal 5 2 2 10 5" xfId="11060" xr:uid="{B301F531-BB81-415F-9E67-B59DAA399699}"/>
    <cellStyle name="Normal 5 2 2 11" xfId="4784" xr:uid="{00000000-0005-0000-0000-0000F4160000}"/>
    <cellStyle name="Normal 5 2 2 11 2" xfId="17417" xr:uid="{10CB0E1E-56AF-4FC9-8277-95BA586CFEAD}"/>
    <cellStyle name="Normal 5 2 2 12" xfId="21627" xr:uid="{36DC4B74-F7EF-4FF5-8107-BD1C8AB0D6C1}"/>
    <cellStyle name="Normal 5 2 2 13" xfId="13206" xr:uid="{1BBF44E6-F488-429E-90DD-E9FEE2EE298C}"/>
    <cellStyle name="Normal 5 2 2 14" xfId="22456" xr:uid="{76BE6908-6493-459E-BF04-ED3713E25416}"/>
    <cellStyle name="Normal 5 2 2 15" xfId="8995" xr:uid="{0D89C609-C065-4C03-8E42-723865C477B4}"/>
    <cellStyle name="Normal 5 2 2 2" xfId="409" xr:uid="{00000000-0005-0000-0000-0000F5160000}"/>
    <cellStyle name="Normal 5 2 2 2 10" xfId="4785" xr:uid="{00000000-0005-0000-0000-0000F6160000}"/>
    <cellStyle name="Normal 5 2 2 2 10 2" xfId="17418" xr:uid="{074C983B-0F0E-4197-BA9B-79E7419AA63D}"/>
    <cellStyle name="Normal 5 2 2 2 11" xfId="21628" xr:uid="{9F9CA037-A317-453E-AA58-2638A4A5B8B5}"/>
    <cellStyle name="Normal 5 2 2 2 12" xfId="13207" xr:uid="{7ACBF624-3C6C-4040-B7EC-1F7AEC55DEA0}"/>
    <cellStyle name="Normal 5 2 2 2 13" xfId="22457" xr:uid="{43CA2E44-3A8F-4DC9-9266-C0E2ECF30A82}"/>
    <cellStyle name="Normal 5 2 2 2 14" xfId="8996" xr:uid="{BEE23B62-6F3E-49A1-9E3C-E71078DA8302}"/>
    <cellStyle name="Normal 5 2 2 2 2" xfId="410" xr:uid="{00000000-0005-0000-0000-0000F7160000}"/>
    <cellStyle name="Normal 5 2 2 2 2 10" xfId="21629" xr:uid="{0770F8ED-1AAD-4A10-81C2-CA907A2B0209}"/>
    <cellStyle name="Normal 5 2 2 2 2 11" xfId="13208" xr:uid="{AA805EF8-0AAE-473D-957D-BAB679C06594}"/>
    <cellStyle name="Normal 5 2 2 2 2 12" xfId="22458" xr:uid="{75B3B511-4059-4C8D-BA17-E375AF8A0514}"/>
    <cellStyle name="Normal 5 2 2 2 2 13" xfId="8997" xr:uid="{E9B04852-59B8-4AF2-930F-9B96145CF790}"/>
    <cellStyle name="Normal 5 2 2 2 2 2" xfId="411" xr:uid="{00000000-0005-0000-0000-0000F8160000}"/>
    <cellStyle name="Normal 5 2 2 2 2 2 10" xfId="13209" xr:uid="{03431BA7-B0D7-4C42-9193-E6916009D464}"/>
    <cellStyle name="Normal 5 2 2 2 2 2 11" xfId="22459" xr:uid="{011A8FD3-B9F7-4DBC-A76F-FC612E994176}"/>
    <cellStyle name="Normal 5 2 2 2 2 2 12" xfId="8998" xr:uid="{E7F0E80D-162D-4722-A9A4-5E7CCCA82783}"/>
    <cellStyle name="Normal 5 2 2 2 2 2 2" xfId="412" xr:uid="{00000000-0005-0000-0000-0000F9160000}"/>
    <cellStyle name="Normal 5 2 2 2 2 2 2 10" xfId="22460" xr:uid="{5F46E98D-117B-42C9-AD77-EBE130167C13}"/>
    <cellStyle name="Normal 5 2 2 2 2 2 2 11" xfId="8999" xr:uid="{CE8778D5-8D1E-40CF-9198-BA80DA3E438B}"/>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9979" xr:uid="{15870583-77BF-4885-8BC5-C499DB10AE9E}"/>
    <cellStyle name="Normal 5 2 2 2 2 2 2 2 2 3" xfId="15768" xr:uid="{3DC3AF04-37A7-4BC9-BD4B-22D2604B6CB2}"/>
    <cellStyle name="Normal 5 2 2 2 2 2 2 2 2 4" xfId="25018" xr:uid="{DAF43BE4-6AD4-483B-9293-22C8E04120D0}"/>
    <cellStyle name="Normal 5 2 2 2 2 2 2 2 2 5" xfId="11557" xr:uid="{A491EB56-CCD9-4045-9C8E-9B145D45AD50}"/>
    <cellStyle name="Normal 5 2 2 2 2 2 2 2 3" xfId="5201" xr:uid="{00000000-0005-0000-0000-0000FD160000}"/>
    <cellStyle name="Normal 5 2 2 2 2 2 2 2 3 2" xfId="17834" xr:uid="{7B47B895-29A4-4CAD-9253-B16937D2D99A}"/>
    <cellStyle name="Normal 5 2 2 2 2 2 2 2 4" xfId="22046" xr:uid="{825F29A3-3280-4695-AB61-EB0AD29D7AA4}"/>
    <cellStyle name="Normal 5 2 2 2 2 2 2 2 5" xfId="13623" xr:uid="{309A9E67-0D0F-4540-8831-0B34F054D34D}"/>
    <cellStyle name="Normal 5 2 2 2 2 2 2 2 6" xfId="22873" xr:uid="{28610087-FAA6-4D1F-8B1A-DD210627FBE8}"/>
    <cellStyle name="Normal 5 2 2 2 2 2 2 2 7" xfId="9412" xr:uid="{72AD1D19-868D-419C-A0A1-01D9268668DC}"/>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20392" xr:uid="{45580742-14BC-4CE7-9C2E-65E42CC560BB}"/>
    <cellStyle name="Normal 5 2 2 2 2 2 2 3 2 3" xfId="16181" xr:uid="{BD48BFBF-0BBB-432F-B828-390C1FCC7664}"/>
    <cellStyle name="Normal 5 2 2 2 2 2 2 3 2 4" xfId="25431" xr:uid="{D617A76E-7A98-4B88-A2D2-3A926CF8F7CC}"/>
    <cellStyle name="Normal 5 2 2 2 2 2 2 3 2 5" xfId="11970" xr:uid="{AACE519D-F31C-4C55-A4A9-A9FF6858C786}"/>
    <cellStyle name="Normal 5 2 2 2 2 2 2 3 3" xfId="5614" xr:uid="{00000000-0005-0000-0000-000001170000}"/>
    <cellStyle name="Normal 5 2 2 2 2 2 2 3 3 2" xfId="18247" xr:uid="{94BF112D-D455-4EBF-8A25-FB17EA27F466}"/>
    <cellStyle name="Normal 5 2 2 2 2 2 2 3 4" xfId="14036" xr:uid="{3199EC79-6277-43C6-B72C-3C2756E7F0E0}"/>
    <cellStyle name="Normal 5 2 2 2 2 2 2 3 5" xfId="23286" xr:uid="{735D1E29-0E18-4B07-90D3-EDAD49A108AA}"/>
    <cellStyle name="Normal 5 2 2 2 2 2 2 3 6" xfId="9825" xr:uid="{15EB32D8-8AE1-41AA-8F24-303C9C21CBAF}"/>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20805" xr:uid="{7B8465C4-B82D-482C-9C5C-4B83896A0B2B}"/>
    <cellStyle name="Normal 5 2 2 2 2 2 2 4 2 3" xfId="16594" xr:uid="{FA322D3F-23B6-439B-ADB8-B049FA4D80DA}"/>
    <cellStyle name="Normal 5 2 2 2 2 2 2 4 2 4" xfId="25844" xr:uid="{FD7647C4-DCC6-4DD5-BA17-A9419B4E3E99}"/>
    <cellStyle name="Normal 5 2 2 2 2 2 2 4 2 5" xfId="12383" xr:uid="{5E14F67D-5DB4-4394-B9C7-565549CC5111}"/>
    <cellStyle name="Normal 5 2 2 2 2 2 2 4 3" xfId="6027" xr:uid="{00000000-0005-0000-0000-000005170000}"/>
    <cellStyle name="Normal 5 2 2 2 2 2 2 4 3 2" xfId="18660" xr:uid="{8CCCC6E0-5220-448C-AF0A-84029E89E2D0}"/>
    <cellStyle name="Normal 5 2 2 2 2 2 2 4 4" xfId="14449" xr:uid="{402F3455-7E31-4EB1-A2E0-3202FBEF8C3C}"/>
    <cellStyle name="Normal 5 2 2 2 2 2 2 4 5" xfId="23699" xr:uid="{FB9EBD58-78D3-44C2-A68B-0CC9B9B8BB1A}"/>
    <cellStyle name="Normal 5 2 2 2 2 2 2 4 6" xfId="10238" xr:uid="{83D6A560-0C46-4BBC-83B3-C0E6C788D832}"/>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21218" xr:uid="{08C0A08B-460A-4B01-9F94-5BF63B369FD0}"/>
    <cellStyle name="Normal 5 2 2 2 2 2 2 5 2 3" xfId="17007" xr:uid="{C1194847-D486-441D-A68E-43F3B05949C6}"/>
    <cellStyle name="Normal 5 2 2 2 2 2 2 5 2 4" xfId="26257" xr:uid="{F165C955-BBBC-4DA1-B199-49F3FD57B4EF}"/>
    <cellStyle name="Normal 5 2 2 2 2 2 2 5 2 5" xfId="12796" xr:uid="{8832C7A4-0F7A-4347-8F61-3F9D793D4B9E}"/>
    <cellStyle name="Normal 5 2 2 2 2 2 2 5 3" xfId="6440" xr:uid="{00000000-0005-0000-0000-000009170000}"/>
    <cellStyle name="Normal 5 2 2 2 2 2 2 5 3 2" xfId="19073" xr:uid="{5C167528-0438-4AA4-8FA8-3DD30F06DA36}"/>
    <cellStyle name="Normal 5 2 2 2 2 2 2 5 4" xfId="14862" xr:uid="{5A54D670-9E9B-4B36-BAD1-DB9E38A437CE}"/>
    <cellStyle name="Normal 5 2 2 2 2 2 2 5 5" xfId="24112" xr:uid="{6F0EC162-DC89-47C7-A923-EF8788CE53F7}"/>
    <cellStyle name="Normal 5 2 2 2 2 2 2 5 6" xfId="10651" xr:uid="{4FF23FAC-E9DB-4E28-9C8D-D5B5F78C504A}"/>
    <cellStyle name="Normal 5 2 2 2 2 2 2 6" xfId="2568" xr:uid="{00000000-0005-0000-0000-00000A170000}"/>
    <cellStyle name="Normal 5 2 2 2 2 2 2 6 2" xfId="6853" xr:uid="{00000000-0005-0000-0000-00000B170000}"/>
    <cellStyle name="Normal 5 2 2 2 2 2 2 6 2 2" xfId="19486" xr:uid="{F1A5D424-02D7-4283-8A7A-D26494343394}"/>
    <cellStyle name="Normal 5 2 2 2 2 2 2 6 3" xfId="15275" xr:uid="{8C233287-4E94-4BE8-A4CE-31A10B1B6692}"/>
    <cellStyle name="Normal 5 2 2 2 2 2 2 6 4" xfId="24525" xr:uid="{469E93A5-B86E-425E-85CB-6E99C804F2C7}"/>
    <cellStyle name="Normal 5 2 2 2 2 2 2 6 5" xfId="11064" xr:uid="{22411EA6-966F-451E-A850-DC14E3D8D8F9}"/>
    <cellStyle name="Normal 5 2 2 2 2 2 2 7" xfId="4788" xr:uid="{00000000-0005-0000-0000-00000C170000}"/>
    <cellStyle name="Normal 5 2 2 2 2 2 2 7 2" xfId="17421" xr:uid="{2AA62FA7-8727-4F32-9732-A7B5BFA3681C}"/>
    <cellStyle name="Normal 5 2 2 2 2 2 2 8" xfId="21631" xr:uid="{B708F9B0-28DD-4BE8-AB35-F0E9EE2C935C}"/>
    <cellStyle name="Normal 5 2 2 2 2 2 2 9" xfId="13210" xr:uid="{438113CF-3D3F-43F4-A47A-8F140114C329}"/>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9978" xr:uid="{BF300D9A-18E7-4241-A40C-7E0D1FA20C17}"/>
    <cellStyle name="Normal 5 2 2 2 2 2 3 2 3" xfId="15767" xr:uid="{09E7E872-F210-4176-8B43-95AE1BE98ADB}"/>
    <cellStyle name="Normal 5 2 2 2 2 2 3 2 4" xfId="25017" xr:uid="{7C4A4C22-0BD1-4192-84AB-59FF88051D01}"/>
    <cellStyle name="Normal 5 2 2 2 2 2 3 2 5" xfId="11556" xr:uid="{1952B8B8-99DD-436D-9E5F-388A6FD87A7A}"/>
    <cellStyle name="Normal 5 2 2 2 2 2 3 3" xfId="5200" xr:uid="{00000000-0005-0000-0000-000010170000}"/>
    <cellStyle name="Normal 5 2 2 2 2 2 3 3 2" xfId="17833" xr:uid="{34E1766F-6203-48AB-89C7-930FACA24F2C}"/>
    <cellStyle name="Normal 5 2 2 2 2 2 3 4" xfId="22045" xr:uid="{D9E8BB70-10F0-4813-877B-1283B21168F3}"/>
    <cellStyle name="Normal 5 2 2 2 2 2 3 5" xfId="13622" xr:uid="{5D913C6C-5854-4062-AB82-7945FCA3CE37}"/>
    <cellStyle name="Normal 5 2 2 2 2 2 3 6" xfId="22872" xr:uid="{C0900BAE-9DC8-485D-BA21-70054FB95BD5}"/>
    <cellStyle name="Normal 5 2 2 2 2 2 3 7" xfId="9411" xr:uid="{8FCCE51A-7B62-48FB-8BDD-E13B0AC069F8}"/>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20391" xr:uid="{A575B5A9-4FAA-478C-B0B6-996DF8F0D44E}"/>
    <cellStyle name="Normal 5 2 2 2 2 2 4 2 3" xfId="16180" xr:uid="{CA4AD41C-AB91-4943-94F2-6994B72332B8}"/>
    <cellStyle name="Normal 5 2 2 2 2 2 4 2 4" xfId="25430" xr:uid="{01846936-CAAB-49CF-9B79-4606497B0A43}"/>
    <cellStyle name="Normal 5 2 2 2 2 2 4 2 5" xfId="11969" xr:uid="{D492EA40-52F8-4FC0-85DC-A696EF7B1F06}"/>
    <cellStyle name="Normal 5 2 2 2 2 2 4 3" xfId="5613" xr:uid="{00000000-0005-0000-0000-000014170000}"/>
    <cellStyle name="Normal 5 2 2 2 2 2 4 3 2" xfId="18246" xr:uid="{B60FD162-4297-423C-BF87-D7A1D9AF27D1}"/>
    <cellStyle name="Normal 5 2 2 2 2 2 4 4" xfId="14035" xr:uid="{AC0636BC-F98F-46E5-8FD9-764D3B047242}"/>
    <cellStyle name="Normal 5 2 2 2 2 2 4 5" xfId="23285" xr:uid="{3FB13275-9DCA-42EA-9186-9A179CD3F541}"/>
    <cellStyle name="Normal 5 2 2 2 2 2 4 6" xfId="9824" xr:uid="{ED7428EA-B144-4FEA-95BC-D17CE2CC880E}"/>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20804" xr:uid="{ACC9689B-7650-4C2C-A03C-1E309886D8B6}"/>
    <cellStyle name="Normal 5 2 2 2 2 2 5 2 3" xfId="16593" xr:uid="{0BC1AA97-00B5-4663-B4B3-9B522C6359E9}"/>
    <cellStyle name="Normal 5 2 2 2 2 2 5 2 4" xfId="25843" xr:uid="{5EFCAA25-10CC-4036-A71F-CBACE825E560}"/>
    <cellStyle name="Normal 5 2 2 2 2 2 5 2 5" xfId="12382" xr:uid="{98D2B55B-40D1-4D24-8F64-D7C389A6F6E7}"/>
    <cellStyle name="Normal 5 2 2 2 2 2 5 3" xfId="6026" xr:uid="{00000000-0005-0000-0000-000018170000}"/>
    <cellStyle name="Normal 5 2 2 2 2 2 5 3 2" xfId="18659" xr:uid="{E46069F0-E566-4DD4-AB60-EB4B5652FD3F}"/>
    <cellStyle name="Normal 5 2 2 2 2 2 5 4" xfId="14448" xr:uid="{A9EE423C-E9D1-4AC1-9147-0D72F6DE719E}"/>
    <cellStyle name="Normal 5 2 2 2 2 2 5 5" xfId="23698" xr:uid="{4289DEFB-2BB9-46AE-BE70-806DDDA1954E}"/>
    <cellStyle name="Normal 5 2 2 2 2 2 5 6" xfId="10237" xr:uid="{F0B95268-5F14-4284-8294-C313BC11D5B8}"/>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21217" xr:uid="{5567482B-6FE9-4DF4-A952-336FD472EB50}"/>
    <cellStyle name="Normal 5 2 2 2 2 2 6 2 3" xfId="17006" xr:uid="{3A9FA45F-8728-46EB-9301-B7C449B54083}"/>
    <cellStyle name="Normal 5 2 2 2 2 2 6 2 4" xfId="26256" xr:uid="{338D7A9C-27D7-44BC-A15B-DBE1FDEC7A8A}"/>
    <cellStyle name="Normal 5 2 2 2 2 2 6 2 5" xfId="12795" xr:uid="{43462F49-7403-40F6-A2BF-4EB84BE61CF0}"/>
    <cellStyle name="Normal 5 2 2 2 2 2 6 3" xfId="6439" xr:uid="{00000000-0005-0000-0000-00001C170000}"/>
    <cellStyle name="Normal 5 2 2 2 2 2 6 3 2" xfId="19072" xr:uid="{8B17D779-E552-4510-9436-B7625D18D0EF}"/>
    <cellStyle name="Normal 5 2 2 2 2 2 6 4" xfId="14861" xr:uid="{2115D9EB-E3A6-4C8B-A3A1-01F94AA65019}"/>
    <cellStyle name="Normal 5 2 2 2 2 2 6 5" xfId="24111" xr:uid="{F4A5F5A1-AF14-470F-9AEC-6D5EB0FBA924}"/>
    <cellStyle name="Normal 5 2 2 2 2 2 6 6" xfId="10650" xr:uid="{FD78A4E3-5C15-4031-85ED-7DF48801CF42}"/>
    <cellStyle name="Normal 5 2 2 2 2 2 7" xfId="2567" xr:uid="{00000000-0005-0000-0000-00001D170000}"/>
    <cellStyle name="Normal 5 2 2 2 2 2 7 2" xfId="6852" xr:uid="{00000000-0005-0000-0000-00001E170000}"/>
    <cellStyle name="Normal 5 2 2 2 2 2 7 2 2" xfId="19485" xr:uid="{428541DD-1F73-4DB3-BFFC-9C119F0CA101}"/>
    <cellStyle name="Normal 5 2 2 2 2 2 7 3" xfId="15274" xr:uid="{A9DF0F72-C1B8-44EA-9343-C8694E9B9D75}"/>
    <cellStyle name="Normal 5 2 2 2 2 2 7 4" xfId="24524" xr:uid="{B488C5B4-9CBC-446E-85A5-8585E55F9D0C}"/>
    <cellStyle name="Normal 5 2 2 2 2 2 7 5" xfId="11063" xr:uid="{BDD4577D-8DC0-435B-9103-8BFA289213E9}"/>
    <cellStyle name="Normal 5 2 2 2 2 2 8" xfId="4787" xr:uid="{00000000-0005-0000-0000-00001F170000}"/>
    <cellStyle name="Normal 5 2 2 2 2 2 8 2" xfId="17420" xr:uid="{B4E7AD36-B6C2-490A-8870-E8ACC9340812}"/>
    <cellStyle name="Normal 5 2 2 2 2 2 9" xfId="21630" xr:uid="{5C28EAD2-1861-4843-B644-30DC99079463}"/>
    <cellStyle name="Normal 5 2 2 2 2 3" xfId="413" xr:uid="{00000000-0005-0000-0000-000020170000}"/>
    <cellStyle name="Normal 5 2 2 2 2 3 10" xfId="22461" xr:uid="{EF9DF044-0C61-402B-B887-33E5120E2F25}"/>
    <cellStyle name="Normal 5 2 2 2 2 3 11" xfId="9000" xr:uid="{3D32B28A-D619-43EC-A3DB-F1FF752612A8}"/>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9980" xr:uid="{D57E0739-9975-4F96-A539-9A4BD2EA191C}"/>
    <cellStyle name="Normal 5 2 2 2 2 3 2 2 3" xfId="15769" xr:uid="{258B572A-7496-4793-B505-4AE6B687935B}"/>
    <cellStyle name="Normal 5 2 2 2 2 3 2 2 4" xfId="25019" xr:uid="{E7995804-BAA6-415D-8261-E6BBABEB6CE7}"/>
    <cellStyle name="Normal 5 2 2 2 2 3 2 2 5" xfId="11558" xr:uid="{585236F3-6EB7-4FB9-BF89-026E91DB8C15}"/>
    <cellStyle name="Normal 5 2 2 2 2 3 2 3" xfId="5202" xr:uid="{00000000-0005-0000-0000-000024170000}"/>
    <cellStyle name="Normal 5 2 2 2 2 3 2 3 2" xfId="17835" xr:uid="{ACBD2FAD-DAF9-4D85-A6F7-469EA8EC9136}"/>
    <cellStyle name="Normal 5 2 2 2 2 3 2 4" xfId="22047" xr:uid="{63A42527-EABB-4E76-B816-DA3059675EDD}"/>
    <cellStyle name="Normal 5 2 2 2 2 3 2 5" xfId="13624" xr:uid="{8C37DAB9-503E-473E-9B15-CBE55F25470E}"/>
    <cellStyle name="Normal 5 2 2 2 2 3 2 6" xfId="22874" xr:uid="{480EFB21-E798-49E8-A837-A3C0E8525279}"/>
    <cellStyle name="Normal 5 2 2 2 2 3 2 7" xfId="9413" xr:uid="{39C478B6-C2F6-4DF9-A1F8-44BE3956D2B5}"/>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20393" xr:uid="{FFFE92DD-E45D-43E3-A0DC-12B566C685AB}"/>
    <cellStyle name="Normal 5 2 2 2 2 3 3 2 3" xfId="16182" xr:uid="{7F297C9B-5FEA-4B59-A8A5-4B5D118767AE}"/>
    <cellStyle name="Normal 5 2 2 2 2 3 3 2 4" xfId="25432" xr:uid="{DFF1A2ED-547D-4C3F-88D6-C97CACBFDE5C}"/>
    <cellStyle name="Normal 5 2 2 2 2 3 3 2 5" xfId="11971" xr:uid="{30B1DAB0-D853-4932-AE68-14F8071B3C7A}"/>
    <cellStyle name="Normal 5 2 2 2 2 3 3 3" xfId="5615" xr:uid="{00000000-0005-0000-0000-000028170000}"/>
    <cellStyle name="Normal 5 2 2 2 2 3 3 3 2" xfId="18248" xr:uid="{BC9FCE2D-4F24-4394-99AB-11FCE73BDC46}"/>
    <cellStyle name="Normal 5 2 2 2 2 3 3 4" xfId="14037" xr:uid="{F70BCF76-95ED-463C-A741-A6962CE0A5A6}"/>
    <cellStyle name="Normal 5 2 2 2 2 3 3 5" xfId="23287" xr:uid="{4A8C50F3-64CD-4694-89CC-911D90319A7C}"/>
    <cellStyle name="Normal 5 2 2 2 2 3 3 6" xfId="9826" xr:uid="{6D5494F3-3E2E-4396-BB4F-F8160F4CAA96}"/>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20806" xr:uid="{F5764CCD-A679-4587-BA1F-9EEC6ABE0EB3}"/>
    <cellStyle name="Normal 5 2 2 2 2 3 4 2 3" xfId="16595" xr:uid="{E787975E-B8CB-4BB0-A8AF-55762223D752}"/>
    <cellStyle name="Normal 5 2 2 2 2 3 4 2 4" xfId="25845" xr:uid="{5CD9BEF3-8F21-48B9-AECC-5D4CB99A6585}"/>
    <cellStyle name="Normal 5 2 2 2 2 3 4 2 5" xfId="12384" xr:uid="{FFFB30A2-9902-4325-A1BF-355129D3E9FF}"/>
    <cellStyle name="Normal 5 2 2 2 2 3 4 3" xfId="6028" xr:uid="{00000000-0005-0000-0000-00002C170000}"/>
    <cellStyle name="Normal 5 2 2 2 2 3 4 3 2" xfId="18661" xr:uid="{BC8EC067-B73E-4098-8661-6D1A1883118B}"/>
    <cellStyle name="Normal 5 2 2 2 2 3 4 4" xfId="14450" xr:uid="{452D81E8-65AB-4B39-8A01-0C09BEB7F1B3}"/>
    <cellStyle name="Normal 5 2 2 2 2 3 4 5" xfId="23700" xr:uid="{CF6BAFBD-9447-45C5-B1DD-725D2A5C6001}"/>
    <cellStyle name="Normal 5 2 2 2 2 3 4 6" xfId="10239" xr:uid="{41CE115F-7E68-4EFD-95A1-43624C78AF0D}"/>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21219" xr:uid="{12D348B0-84E5-4AF3-9241-54A16A5BC736}"/>
    <cellStyle name="Normal 5 2 2 2 2 3 5 2 3" xfId="17008" xr:uid="{68BC190C-C28B-4537-8ABD-970C68BD9B2A}"/>
    <cellStyle name="Normal 5 2 2 2 2 3 5 2 4" xfId="26258" xr:uid="{4DF366C0-272D-4805-8B50-29AC18255542}"/>
    <cellStyle name="Normal 5 2 2 2 2 3 5 2 5" xfId="12797" xr:uid="{F21FABF8-1898-4328-AEB0-98013EB5E767}"/>
    <cellStyle name="Normal 5 2 2 2 2 3 5 3" xfId="6441" xr:uid="{00000000-0005-0000-0000-000030170000}"/>
    <cellStyle name="Normal 5 2 2 2 2 3 5 3 2" xfId="19074" xr:uid="{9D2853F4-98E6-4F5D-974B-90464E5914E0}"/>
    <cellStyle name="Normal 5 2 2 2 2 3 5 4" xfId="14863" xr:uid="{C408C961-ADC3-4117-9060-63C6FB1197AF}"/>
    <cellStyle name="Normal 5 2 2 2 2 3 5 5" xfId="24113" xr:uid="{11145852-C8D8-42DD-82B8-03BF240CEEF8}"/>
    <cellStyle name="Normal 5 2 2 2 2 3 5 6" xfId="10652" xr:uid="{BC1FCD1B-89F0-4DF6-A8A3-A73B566A1922}"/>
    <cellStyle name="Normal 5 2 2 2 2 3 6" xfId="2569" xr:uid="{00000000-0005-0000-0000-000031170000}"/>
    <cellStyle name="Normal 5 2 2 2 2 3 6 2" xfId="6854" xr:uid="{00000000-0005-0000-0000-000032170000}"/>
    <cellStyle name="Normal 5 2 2 2 2 3 6 2 2" xfId="19487" xr:uid="{8F0F0BB3-EADE-45C3-96AF-E3012B646C4E}"/>
    <cellStyle name="Normal 5 2 2 2 2 3 6 3" xfId="15276" xr:uid="{CDF46E59-0E90-4D53-B80E-7AB1045115D1}"/>
    <cellStyle name="Normal 5 2 2 2 2 3 6 4" xfId="24526" xr:uid="{AA9574B2-8217-47E3-A5B9-6D7C7856ABE0}"/>
    <cellStyle name="Normal 5 2 2 2 2 3 6 5" xfId="11065" xr:uid="{E4C5732E-76D0-4786-A2C5-1BBB6B613B91}"/>
    <cellStyle name="Normal 5 2 2 2 2 3 7" xfId="4789" xr:uid="{00000000-0005-0000-0000-000033170000}"/>
    <cellStyle name="Normal 5 2 2 2 2 3 7 2" xfId="17422" xr:uid="{2EAFD1B6-9B94-4247-BFB7-58C073F258B2}"/>
    <cellStyle name="Normal 5 2 2 2 2 3 8" xfId="21632" xr:uid="{064DB446-4C18-4BC4-A641-F2858EBB9F43}"/>
    <cellStyle name="Normal 5 2 2 2 2 3 9" xfId="13211" xr:uid="{040A016A-9CDB-4E1B-A979-A3FC56F09B78}"/>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9977" xr:uid="{1F17B15F-F801-4BDB-9A7F-49EF05718EFA}"/>
    <cellStyle name="Normal 5 2 2 2 2 4 2 3" xfId="15766" xr:uid="{BF288DC1-4286-4CD3-A165-53909251F4C4}"/>
    <cellStyle name="Normal 5 2 2 2 2 4 2 4" xfId="25016" xr:uid="{1368561E-F0F4-4CC1-892E-76C66E462084}"/>
    <cellStyle name="Normal 5 2 2 2 2 4 2 5" xfId="11555" xr:uid="{CD7C69D9-7160-4988-ABFA-5DD99834FD3C}"/>
    <cellStyle name="Normal 5 2 2 2 2 4 3" xfId="5199" xr:uid="{00000000-0005-0000-0000-000037170000}"/>
    <cellStyle name="Normal 5 2 2 2 2 4 3 2" xfId="17832" xr:uid="{1EE0AAAB-A680-45D0-A163-E22C42D5A41F}"/>
    <cellStyle name="Normal 5 2 2 2 2 4 4" xfId="22044" xr:uid="{CC8C403F-4A35-43C7-B03D-B5BDB24E2CC2}"/>
    <cellStyle name="Normal 5 2 2 2 2 4 5" xfId="13621" xr:uid="{9132BB44-05EC-42D2-B43A-D017BBA1ECBF}"/>
    <cellStyle name="Normal 5 2 2 2 2 4 6" xfId="22871" xr:uid="{19B1DC5C-75E6-4FED-8FA5-C3652627C740}"/>
    <cellStyle name="Normal 5 2 2 2 2 4 7" xfId="9410" xr:uid="{EDE5C711-8F8B-477C-950D-1B31E447A4A8}"/>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20390" xr:uid="{988FA94A-0622-43F0-80B7-BC6AA63F48FC}"/>
    <cellStyle name="Normal 5 2 2 2 2 5 2 3" xfId="16179" xr:uid="{DDB6930B-CE7C-4787-AAA4-B9F3E537FBAD}"/>
    <cellStyle name="Normal 5 2 2 2 2 5 2 4" xfId="25429" xr:uid="{6F64E21A-CCA0-4D49-A7C4-D153F864477E}"/>
    <cellStyle name="Normal 5 2 2 2 2 5 2 5" xfId="11968" xr:uid="{85D7D32A-35A8-4499-AEBA-A88AE74D8711}"/>
    <cellStyle name="Normal 5 2 2 2 2 5 3" xfId="5612" xr:uid="{00000000-0005-0000-0000-00003B170000}"/>
    <cellStyle name="Normal 5 2 2 2 2 5 3 2" xfId="18245" xr:uid="{CC30712D-2B19-4871-9FD7-97135C51F133}"/>
    <cellStyle name="Normal 5 2 2 2 2 5 4" xfId="14034" xr:uid="{DBE85B43-FA91-406D-B007-08E8D9C7F75E}"/>
    <cellStyle name="Normal 5 2 2 2 2 5 5" xfId="23284" xr:uid="{53ECD558-FC8A-4B56-B889-CB34C59CA4F1}"/>
    <cellStyle name="Normal 5 2 2 2 2 5 6" xfId="9823" xr:uid="{7678ABDC-E40C-4724-B485-87947F8173FB}"/>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20803" xr:uid="{6E152978-8228-4032-A154-6499DB3A699D}"/>
    <cellStyle name="Normal 5 2 2 2 2 6 2 3" xfId="16592" xr:uid="{E1B9B5B0-4C13-4662-ACED-D19E2F1F408B}"/>
    <cellStyle name="Normal 5 2 2 2 2 6 2 4" xfId="25842" xr:uid="{C1B90C8A-92C8-4B15-85E9-306A82E5E336}"/>
    <cellStyle name="Normal 5 2 2 2 2 6 2 5" xfId="12381" xr:uid="{A596244C-9D62-4F4A-80D7-E5016D4244E6}"/>
    <cellStyle name="Normal 5 2 2 2 2 6 3" xfId="6025" xr:uid="{00000000-0005-0000-0000-00003F170000}"/>
    <cellStyle name="Normal 5 2 2 2 2 6 3 2" xfId="18658" xr:uid="{E68C493C-B0C2-422B-96D8-E6AC21F24E33}"/>
    <cellStyle name="Normal 5 2 2 2 2 6 4" xfId="14447" xr:uid="{08A01D87-2B64-4502-8C53-908ADDCEC224}"/>
    <cellStyle name="Normal 5 2 2 2 2 6 5" xfId="23697" xr:uid="{4F002ABB-C26D-46B7-BDD9-26E11CAD3F95}"/>
    <cellStyle name="Normal 5 2 2 2 2 6 6" xfId="10236" xr:uid="{96AEE5FC-4C5B-4EFB-B381-EA9548BAFD77}"/>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21216" xr:uid="{A0BA01DD-8981-4656-84F8-5C9E63C51A1C}"/>
    <cellStyle name="Normal 5 2 2 2 2 7 2 3" xfId="17005" xr:uid="{6B2B3CE5-BD6E-4791-AAEF-34BD2949EEA1}"/>
    <cellStyle name="Normal 5 2 2 2 2 7 2 4" xfId="26255" xr:uid="{D4C42DAA-2E06-4EDC-993C-B90AE2F42F5A}"/>
    <cellStyle name="Normal 5 2 2 2 2 7 2 5" xfId="12794" xr:uid="{F9F34808-D0AE-4601-8477-ED0D6397F4BB}"/>
    <cellStyle name="Normal 5 2 2 2 2 7 3" xfId="6438" xr:uid="{00000000-0005-0000-0000-000043170000}"/>
    <cellStyle name="Normal 5 2 2 2 2 7 3 2" xfId="19071" xr:uid="{8B4C7C04-B473-4FD7-8324-6B90FE52EC1F}"/>
    <cellStyle name="Normal 5 2 2 2 2 7 4" xfId="14860" xr:uid="{C45FEEBC-19E6-438B-8DA3-53D0F73AAADD}"/>
    <cellStyle name="Normal 5 2 2 2 2 7 5" xfId="24110" xr:uid="{BB4494F3-F7AF-4583-89A7-2BC52780928C}"/>
    <cellStyle name="Normal 5 2 2 2 2 7 6" xfId="10649" xr:uid="{8CF820F0-A34C-4EBC-B215-9E547F8FB4F0}"/>
    <cellStyle name="Normal 5 2 2 2 2 8" xfId="2566" xr:uid="{00000000-0005-0000-0000-000044170000}"/>
    <cellStyle name="Normal 5 2 2 2 2 8 2" xfId="6851" xr:uid="{00000000-0005-0000-0000-000045170000}"/>
    <cellStyle name="Normal 5 2 2 2 2 8 2 2" xfId="19484" xr:uid="{C207687E-2B6E-4318-B739-D07E9BA00A09}"/>
    <cellStyle name="Normal 5 2 2 2 2 8 3" xfId="15273" xr:uid="{0FFF3F7B-C683-4AE4-A77E-5AED26A51B35}"/>
    <cellStyle name="Normal 5 2 2 2 2 8 4" xfId="24523" xr:uid="{D6E1158D-FFC8-4977-9E56-70138590C153}"/>
    <cellStyle name="Normal 5 2 2 2 2 8 5" xfId="11062" xr:uid="{9A739006-78CD-4F94-875D-E19084638EB6}"/>
    <cellStyle name="Normal 5 2 2 2 2 9" xfId="4786" xr:uid="{00000000-0005-0000-0000-000046170000}"/>
    <cellStyle name="Normal 5 2 2 2 2 9 2" xfId="17419" xr:uid="{445EE8E3-6A10-4807-911F-926D8EE500D2}"/>
    <cellStyle name="Normal 5 2 2 2 3" xfId="414" xr:uid="{00000000-0005-0000-0000-000047170000}"/>
    <cellStyle name="Normal 5 2 2 2 3 10" xfId="13212" xr:uid="{F25D1B98-4356-49C8-B86C-87E6F655C3A3}"/>
    <cellStyle name="Normal 5 2 2 2 3 11" xfId="22462" xr:uid="{67C9D11D-0F1D-4C06-987F-B0C9CC75AE35}"/>
    <cellStyle name="Normal 5 2 2 2 3 12" xfId="9001" xr:uid="{3DD75A67-02DD-4044-B4BC-D1E2A7DB29E4}"/>
    <cellStyle name="Normal 5 2 2 2 3 2" xfId="415" xr:uid="{00000000-0005-0000-0000-000048170000}"/>
    <cellStyle name="Normal 5 2 2 2 3 2 10" xfId="22463" xr:uid="{7078DBE2-7F83-477F-9465-621D7D04BBE0}"/>
    <cellStyle name="Normal 5 2 2 2 3 2 11" xfId="9002" xr:uid="{F2975A74-EA23-4D4C-AB24-65B1A6C67ABA}"/>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9982" xr:uid="{A298AA78-2DF3-45EB-8DB7-8BF76CD8A16A}"/>
    <cellStyle name="Normal 5 2 2 2 3 2 2 2 3" xfId="15771" xr:uid="{FC982C4E-EC8B-4713-B8E7-38ECD7EC64D5}"/>
    <cellStyle name="Normal 5 2 2 2 3 2 2 2 4" xfId="25021" xr:uid="{A9E71F97-A2A4-4EB8-99C0-6BD39505721A}"/>
    <cellStyle name="Normal 5 2 2 2 3 2 2 2 5" xfId="11560" xr:uid="{5DFCD58E-27EB-4AE3-A583-E3D073DCBD3C}"/>
    <cellStyle name="Normal 5 2 2 2 3 2 2 3" xfId="5204" xr:uid="{00000000-0005-0000-0000-00004C170000}"/>
    <cellStyle name="Normal 5 2 2 2 3 2 2 3 2" xfId="17837" xr:uid="{6305AC3B-9DC2-4A7E-AEF2-5FF740D9E1F6}"/>
    <cellStyle name="Normal 5 2 2 2 3 2 2 4" xfId="22049" xr:uid="{760915E1-2C42-41D1-B131-0DE93D8EEC0D}"/>
    <cellStyle name="Normal 5 2 2 2 3 2 2 5" xfId="13626" xr:uid="{B85CD76F-0F34-43A8-BF74-90F00246174C}"/>
    <cellStyle name="Normal 5 2 2 2 3 2 2 6" xfId="22876" xr:uid="{463ED440-2FC6-4945-B15A-7952F760ACA9}"/>
    <cellStyle name="Normal 5 2 2 2 3 2 2 7" xfId="9415" xr:uid="{EA538662-DB92-4E27-A46E-08349F90B01D}"/>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20395" xr:uid="{B6C0F9AC-7220-4C82-B9DF-C6A35B4B5D07}"/>
    <cellStyle name="Normal 5 2 2 2 3 2 3 2 3" xfId="16184" xr:uid="{C11BEC13-6B46-4BE0-87D3-A9B29CBDC1C3}"/>
    <cellStyle name="Normal 5 2 2 2 3 2 3 2 4" xfId="25434" xr:uid="{DEE6B60F-9070-49FD-85EA-E5BAC41F555F}"/>
    <cellStyle name="Normal 5 2 2 2 3 2 3 2 5" xfId="11973" xr:uid="{9CA6F931-8A8A-4A13-8FEA-6B4BEF6792F5}"/>
    <cellStyle name="Normal 5 2 2 2 3 2 3 3" xfId="5617" xr:uid="{00000000-0005-0000-0000-000050170000}"/>
    <cellStyle name="Normal 5 2 2 2 3 2 3 3 2" xfId="18250" xr:uid="{A3983138-2EF0-4DF4-9683-EDED94939E9F}"/>
    <cellStyle name="Normal 5 2 2 2 3 2 3 4" xfId="14039" xr:uid="{A88E51F5-CD4B-41EF-824D-8622A4DDFB8A}"/>
    <cellStyle name="Normal 5 2 2 2 3 2 3 5" xfId="23289" xr:uid="{99EC4496-BAF9-4CCC-9AEE-8FC5B2AF1106}"/>
    <cellStyle name="Normal 5 2 2 2 3 2 3 6" xfId="9828" xr:uid="{ACC3187D-4898-4E60-8F9A-E720EE3B7BC5}"/>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20808" xr:uid="{31BD8D21-C75F-4FB5-9735-5F10B16F5218}"/>
    <cellStyle name="Normal 5 2 2 2 3 2 4 2 3" xfId="16597" xr:uid="{0E25E424-453E-4B68-B26B-DCB704BDDE09}"/>
    <cellStyle name="Normal 5 2 2 2 3 2 4 2 4" xfId="25847" xr:uid="{32D3D6A2-BB4E-4967-A63D-95F031375052}"/>
    <cellStyle name="Normal 5 2 2 2 3 2 4 2 5" xfId="12386" xr:uid="{9C307CEF-26BD-4BED-91C3-582B78AE1709}"/>
    <cellStyle name="Normal 5 2 2 2 3 2 4 3" xfId="6030" xr:uid="{00000000-0005-0000-0000-000054170000}"/>
    <cellStyle name="Normal 5 2 2 2 3 2 4 3 2" xfId="18663" xr:uid="{B863CC64-0E17-48F1-B5F1-F8827B9147B8}"/>
    <cellStyle name="Normal 5 2 2 2 3 2 4 4" xfId="14452" xr:uid="{2B070F86-0473-44A7-9DC7-AF9F4937E1D0}"/>
    <cellStyle name="Normal 5 2 2 2 3 2 4 5" xfId="23702" xr:uid="{133B463E-4B59-4D69-806B-37A1A02214F8}"/>
    <cellStyle name="Normal 5 2 2 2 3 2 4 6" xfId="10241" xr:uid="{5EBEECDB-BFBC-4BE4-BDBF-FA1BC424ACFA}"/>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21221" xr:uid="{968AE99F-37BE-414D-A51F-5F288B5AFAC9}"/>
    <cellStyle name="Normal 5 2 2 2 3 2 5 2 3" xfId="17010" xr:uid="{A78E119C-A28A-44ED-BCA9-B3CE99C1F0AF}"/>
    <cellStyle name="Normal 5 2 2 2 3 2 5 2 4" xfId="26260" xr:uid="{B9EDDA7D-CC8C-4E5C-A59A-40329B325758}"/>
    <cellStyle name="Normal 5 2 2 2 3 2 5 2 5" xfId="12799" xr:uid="{E563B895-9F70-4567-9235-B37251EAF080}"/>
    <cellStyle name="Normal 5 2 2 2 3 2 5 3" xfId="6443" xr:uid="{00000000-0005-0000-0000-000058170000}"/>
    <cellStyle name="Normal 5 2 2 2 3 2 5 3 2" xfId="19076" xr:uid="{7C436BCB-BBBF-4286-8848-7C2B03842DA4}"/>
    <cellStyle name="Normal 5 2 2 2 3 2 5 4" xfId="14865" xr:uid="{B3DEB564-A51C-426A-B9AA-E060AAFCA845}"/>
    <cellStyle name="Normal 5 2 2 2 3 2 5 5" xfId="24115" xr:uid="{3BB0A047-FEB7-459F-8786-D755A288AC3F}"/>
    <cellStyle name="Normal 5 2 2 2 3 2 5 6" xfId="10654" xr:uid="{30CCE6D3-C062-4F79-871D-53CE2DB587CC}"/>
    <cellStyle name="Normal 5 2 2 2 3 2 6" xfId="2571" xr:uid="{00000000-0005-0000-0000-000059170000}"/>
    <cellStyle name="Normal 5 2 2 2 3 2 6 2" xfId="6856" xr:uid="{00000000-0005-0000-0000-00005A170000}"/>
    <cellStyle name="Normal 5 2 2 2 3 2 6 2 2" xfId="19489" xr:uid="{772AB32A-6DB6-4528-875B-C57EFDF00CD7}"/>
    <cellStyle name="Normal 5 2 2 2 3 2 6 3" xfId="15278" xr:uid="{F5DE00CC-9B9F-49F9-907F-96F2DF01EB22}"/>
    <cellStyle name="Normal 5 2 2 2 3 2 6 4" xfId="24528" xr:uid="{C9B7A18C-4539-4359-A50F-27DB4DE4CF60}"/>
    <cellStyle name="Normal 5 2 2 2 3 2 6 5" xfId="11067" xr:uid="{907BE706-D81E-46D8-B533-F23BD0FD49F7}"/>
    <cellStyle name="Normal 5 2 2 2 3 2 7" xfId="4791" xr:uid="{00000000-0005-0000-0000-00005B170000}"/>
    <cellStyle name="Normal 5 2 2 2 3 2 7 2" xfId="17424" xr:uid="{DD6CF8C3-0E4F-4035-B0B7-C8A9CD50E4AB}"/>
    <cellStyle name="Normal 5 2 2 2 3 2 8" xfId="21634" xr:uid="{7681D3AD-7465-4447-A550-1C09C11E4DD3}"/>
    <cellStyle name="Normal 5 2 2 2 3 2 9" xfId="13213" xr:uid="{587CA36F-99E5-4B98-8767-C97019E2B9DA}"/>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9981" xr:uid="{337A1EC7-8D37-464E-8AFB-84B13A0267F0}"/>
    <cellStyle name="Normal 5 2 2 2 3 3 2 3" xfId="15770" xr:uid="{F01DA204-64D4-48CB-AA99-83A4A62EA6B3}"/>
    <cellStyle name="Normal 5 2 2 2 3 3 2 4" xfId="25020" xr:uid="{F3285BC7-4B6A-48A7-A54C-79194913E784}"/>
    <cellStyle name="Normal 5 2 2 2 3 3 2 5" xfId="11559" xr:uid="{E15591C9-4153-4668-A559-D7EDBE4C5DA6}"/>
    <cellStyle name="Normal 5 2 2 2 3 3 3" xfId="5203" xr:uid="{00000000-0005-0000-0000-00005F170000}"/>
    <cellStyle name="Normal 5 2 2 2 3 3 3 2" xfId="17836" xr:uid="{7A157C9F-93C7-455E-9C4F-105B732EEB22}"/>
    <cellStyle name="Normal 5 2 2 2 3 3 4" xfId="22048" xr:uid="{6AAE4D47-E532-4F3F-BCA9-2C985D3C86A9}"/>
    <cellStyle name="Normal 5 2 2 2 3 3 5" xfId="13625" xr:uid="{05B95838-BB40-4C9A-8B20-01ED8C575002}"/>
    <cellStyle name="Normal 5 2 2 2 3 3 6" xfId="22875" xr:uid="{B4348945-B81D-4265-95BD-84A9865EA4E5}"/>
    <cellStyle name="Normal 5 2 2 2 3 3 7" xfId="9414" xr:uid="{82E5108B-503E-47FF-B900-DC837AB4CB6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20394" xr:uid="{F5F36C03-D50A-43C2-9F03-EAD6C7BB70F5}"/>
    <cellStyle name="Normal 5 2 2 2 3 4 2 3" xfId="16183" xr:uid="{21ED2E29-F764-4A3D-9AD6-AC01840AD736}"/>
    <cellStyle name="Normal 5 2 2 2 3 4 2 4" xfId="25433" xr:uid="{3AA09C75-FEC8-44ED-850D-C0E8BAC45077}"/>
    <cellStyle name="Normal 5 2 2 2 3 4 2 5" xfId="11972" xr:uid="{74A83ABA-86C0-4892-8FBB-971BA8D71962}"/>
    <cellStyle name="Normal 5 2 2 2 3 4 3" xfId="5616" xr:uid="{00000000-0005-0000-0000-000063170000}"/>
    <cellStyle name="Normal 5 2 2 2 3 4 3 2" xfId="18249" xr:uid="{884B0E92-A555-4CD6-AE9C-22E408DE2BCD}"/>
    <cellStyle name="Normal 5 2 2 2 3 4 4" xfId="14038" xr:uid="{4F60C94E-ABEF-4431-B8D1-98048F966542}"/>
    <cellStyle name="Normal 5 2 2 2 3 4 5" xfId="23288" xr:uid="{5BDC85EB-7EE8-42A2-806D-66799BEAED3A}"/>
    <cellStyle name="Normal 5 2 2 2 3 4 6" xfId="9827" xr:uid="{287DB403-2A9F-4B75-BEE9-4D1C596113D7}"/>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20807" xr:uid="{6F59F8C4-4A4C-4116-ACD4-17285701102B}"/>
    <cellStyle name="Normal 5 2 2 2 3 5 2 3" xfId="16596" xr:uid="{3B175ED7-84FD-4436-9507-DA5A33FABF7B}"/>
    <cellStyle name="Normal 5 2 2 2 3 5 2 4" xfId="25846" xr:uid="{73A55585-4722-439C-AD31-0525EFFDE362}"/>
    <cellStyle name="Normal 5 2 2 2 3 5 2 5" xfId="12385" xr:uid="{F7777666-EED7-4FB5-9518-7EB55326B38A}"/>
    <cellStyle name="Normal 5 2 2 2 3 5 3" xfId="6029" xr:uid="{00000000-0005-0000-0000-000067170000}"/>
    <cellStyle name="Normal 5 2 2 2 3 5 3 2" xfId="18662" xr:uid="{4788E479-F971-46D5-9928-7862BD5353F5}"/>
    <cellStyle name="Normal 5 2 2 2 3 5 4" xfId="14451" xr:uid="{99CF6667-EE8F-4631-B3A9-4FA087E611E1}"/>
    <cellStyle name="Normal 5 2 2 2 3 5 5" xfId="23701" xr:uid="{F160FE35-9D2F-4A44-94C7-BC2AF62B1565}"/>
    <cellStyle name="Normal 5 2 2 2 3 5 6" xfId="10240" xr:uid="{DCEFD167-7BC2-4D95-B78A-679A46FE894C}"/>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21220" xr:uid="{25E37287-32A1-41A9-941F-093220BE6D8F}"/>
    <cellStyle name="Normal 5 2 2 2 3 6 2 3" xfId="17009" xr:uid="{19DC7EB9-B684-4A50-A8E2-D14ADB2859E1}"/>
    <cellStyle name="Normal 5 2 2 2 3 6 2 4" xfId="26259" xr:uid="{621BAD21-211C-4780-B0BD-8F43DCBF3EB2}"/>
    <cellStyle name="Normal 5 2 2 2 3 6 2 5" xfId="12798" xr:uid="{920E8816-E036-4006-B76B-C755EE332473}"/>
    <cellStyle name="Normal 5 2 2 2 3 6 3" xfId="6442" xr:uid="{00000000-0005-0000-0000-00006B170000}"/>
    <cellStyle name="Normal 5 2 2 2 3 6 3 2" xfId="19075" xr:uid="{ED96EE3A-3FC2-488D-AB44-CF8A887B773C}"/>
    <cellStyle name="Normal 5 2 2 2 3 6 4" xfId="14864" xr:uid="{ABD9AE71-2644-42D0-AA3C-1217557C9D98}"/>
    <cellStyle name="Normal 5 2 2 2 3 6 5" xfId="24114" xr:uid="{2031F2E4-4307-43F2-9183-8286EA565133}"/>
    <cellStyle name="Normal 5 2 2 2 3 6 6" xfId="10653" xr:uid="{8AF69C06-2934-45A9-A835-777BF510891D}"/>
    <cellStyle name="Normal 5 2 2 2 3 7" xfId="2570" xr:uid="{00000000-0005-0000-0000-00006C170000}"/>
    <cellStyle name="Normal 5 2 2 2 3 7 2" xfId="6855" xr:uid="{00000000-0005-0000-0000-00006D170000}"/>
    <cellStyle name="Normal 5 2 2 2 3 7 2 2" xfId="19488" xr:uid="{DAB7458D-EECA-40C7-9DAE-C50B4EA9903A}"/>
    <cellStyle name="Normal 5 2 2 2 3 7 3" xfId="15277" xr:uid="{337E4B5C-C123-4C35-94D5-D08778DC21A9}"/>
    <cellStyle name="Normal 5 2 2 2 3 7 4" xfId="24527" xr:uid="{78E29330-7148-4FC9-81DF-E34FE3E8792D}"/>
    <cellStyle name="Normal 5 2 2 2 3 7 5" xfId="11066" xr:uid="{15295213-DFB6-4E77-9FCA-E3EFC19A070E}"/>
    <cellStyle name="Normal 5 2 2 2 3 8" xfId="4790" xr:uid="{00000000-0005-0000-0000-00006E170000}"/>
    <cellStyle name="Normal 5 2 2 2 3 8 2" xfId="17423" xr:uid="{E0AD2269-092F-4FC4-8740-6DD769D00028}"/>
    <cellStyle name="Normal 5 2 2 2 3 9" xfId="21633" xr:uid="{E7FBF9EA-4EAF-4F23-BC0A-30922D7F4DFA}"/>
    <cellStyle name="Normal 5 2 2 2 4" xfId="416" xr:uid="{00000000-0005-0000-0000-00006F170000}"/>
    <cellStyle name="Normal 5 2 2 2 4 10" xfId="22464" xr:uid="{2CE4DE1F-0149-48B6-8CDC-5CED448DB0F4}"/>
    <cellStyle name="Normal 5 2 2 2 4 11" xfId="9003" xr:uid="{6B15CED7-4D94-4F85-859A-5950DD3E3A12}"/>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9983" xr:uid="{B2FFBA03-F18C-41D5-8042-E03EC8F6F940}"/>
    <cellStyle name="Normal 5 2 2 2 4 2 2 3" xfId="15772" xr:uid="{798D5151-AD45-4D17-BB3C-1B63767D54B1}"/>
    <cellStyle name="Normal 5 2 2 2 4 2 2 4" xfId="25022" xr:uid="{4308DF50-A958-4F21-BE4E-2E30A373183F}"/>
    <cellStyle name="Normal 5 2 2 2 4 2 2 5" xfId="11561" xr:uid="{8EFFCD40-9A42-4E3D-856D-B861434A3FD0}"/>
    <cellStyle name="Normal 5 2 2 2 4 2 3" xfId="5205" xr:uid="{00000000-0005-0000-0000-000073170000}"/>
    <cellStyle name="Normal 5 2 2 2 4 2 3 2" xfId="17838" xr:uid="{7F11E254-5B83-4732-A4E6-D190716B58B8}"/>
    <cellStyle name="Normal 5 2 2 2 4 2 4" xfId="22050" xr:uid="{0BD7598B-95E6-4FAD-BE74-732A8171038B}"/>
    <cellStyle name="Normal 5 2 2 2 4 2 5" xfId="13627" xr:uid="{9BCDE236-F0BB-4C93-9FE6-15D26B96A486}"/>
    <cellStyle name="Normal 5 2 2 2 4 2 6" xfId="22877" xr:uid="{1DF9EAE1-066E-47D5-87D9-8870DD1C04BF}"/>
    <cellStyle name="Normal 5 2 2 2 4 2 7" xfId="9416" xr:uid="{EB718EA2-EDC0-404E-AEB4-27481AA56022}"/>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20396" xr:uid="{045D533C-11E8-4D09-B145-9664082F2B0B}"/>
    <cellStyle name="Normal 5 2 2 2 4 3 2 3" xfId="16185" xr:uid="{4E4370D9-49C5-48A2-B142-93FA0785700F}"/>
    <cellStyle name="Normal 5 2 2 2 4 3 2 4" xfId="25435" xr:uid="{BCC86A8D-49A9-496A-BBA1-458430350CF6}"/>
    <cellStyle name="Normal 5 2 2 2 4 3 2 5" xfId="11974" xr:uid="{89B08C07-33A3-4269-972B-C95AD24999E5}"/>
    <cellStyle name="Normal 5 2 2 2 4 3 3" xfId="5618" xr:uid="{00000000-0005-0000-0000-000077170000}"/>
    <cellStyle name="Normal 5 2 2 2 4 3 3 2" xfId="18251" xr:uid="{F2427F7D-F2E1-4790-BE08-654CE2831D45}"/>
    <cellStyle name="Normal 5 2 2 2 4 3 4" xfId="14040" xr:uid="{B4809C85-39E9-47ED-B432-2E136B0AEAFA}"/>
    <cellStyle name="Normal 5 2 2 2 4 3 5" xfId="23290" xr:uid="{DF9BE0D7-5E0B-4C7D-9268-6762FEA1BAE4}"/>
    <cellStyle name="Normal 5 2 2 2 4 3 6" xfId="9829" xr:uid="{99253258-95AE-49BF-8A33-82D7DD28CABB}"/>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20809" xr:uid="{EA239CFE-413E-4C7C-8931-841E85A4539D}"/>
    <cellStyle name="Normal 5 2 2 2 4 4 2 3" xfId="16598" xr:uid="{E1FE94FF-EF07-4AE3-A649-5871CFF32E74}"/>
    <cellStyle name="Normal 5 2 2 2 4 4 2 4" xfId="25848" xr:uid="{27E4677E-5B9F-4EF9-9947-BD282D111E49}"/>
    <cellStyle name="Normal 5 2 2 2 4 4 2 5" xfId="12387" xr:uid="{523A51F9-70AD-4775-9C19-1412A9F3B80C}"/>
    <cellStyle name="Normal 5 2 2 2 4 4 3" xfId="6031" xr:uid="{00000000-0005-0000-0000-00007B170000}"/>
    <cellStyle name="Normal 5 2 2 2 4 4 3 2" xfId="18664" xr:uid="{13605923-5756-43BF-8C94-801CD9974D7A}"/>
    <cellStyle name="Normal 5 2 2 2 4 4 4" xfId="14453" xr:uid="{6226E7A8-2EEF-48C1-8F85-52863D660FAB}"/>
    <cellStyle name="Normal 5 2 2 2 4 4 5" xfId="23703" xr:uid="{71B30141-3C2B-4BC8-84B4-55AF3D24B3F3}"/>
    <cellStyle name="Normal 5 2 2 2 4 4 6" xfId="10242" xr:uid="{18DBE69D-D648-4F75-90EF-79BAE92C5422}"/>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21222" xr:uid="{FC387FBE-4D86-45F9-B6E8-DB45E01E32E0}"/>
    <cellStyle name="Normal 5 2 2 2 4 5 2 3" xfId="17011" xr:uid="{273A6723-746E-402D-9BA5-226EEB6F1FD9}"/>
    <cellStyle name="Normal 5 2 2 2 4 5 2 4" xfId="26261" xr:uid="{795DAEDF-DEFF-438A-A86A-EADF99C7124D}"/>
    <cellStyle name="Normal 5 2 2 2 4 5 2 5" xfId="12800" xr:uid="{AAF2898E-5091-4EB6-96EC-6630BA1FD921}"/>
    <cellStyle name="Normal 5 2 2 2 4 5 3" xfId="6444" xr:uid="{00000000-0005-0000-0000-00007F170000}"/>
    <cellStyle name="Normal 5 2 2 2 4 5 3 2" xfId="19077" xr:uid="{1CADB43B-B71D-4D4E-837F-03F97B278F73}"/>
    <cellStyle name="Normal 5 2 2 2 4 5 4" xfId="14866" xr:uid="{EC25448A-222D-428C-A537-CF0F22411EEA}"/>
    <cellStyle name="Normal 5 2 2 2 4 5 5" xfId="24116" xr:uid="{C9E3C3D3-412B-463E-A591-1E5092469558}"/>
    <cellStyle name="Normal 5 2 2 2 4 5 6" xfId="10655" xr:uid="{9832ACAF-B527-4895-84F8-71078E608D93}"/>
    <cellStyle name="Normal 5 2 2 2 4 6" xfId="2572" xr:uid="{00000000-0005-0000-0000-000080170000}"/>
    <cellStyle name="Normal 5 2 2 2 4 6 2" xfId="6857" xr:uid="{00000000-0005-0000-0000-000081170000}"/>
    <cellStyle name="Normal 5 2 2 2 4 6 2 2" xfId="19490" xr:uid="{4AB957F1-3E7F-4396-B6BE-7F530F861C70}"/>
    <cellStyle name="Normal 5 2 2 2 4 6 3" xfId="15279" xr:uid="{46A14019-59AB-43A7-B840-624B342AC0C0}"/>
    <cellStyle name="Normal 5 2 2 2 4 6 4" xfId="24529" xr:uid="{71531DB0-45B6-464D-A756-D38AC478E230}"/>
    <cellStyle name="Normal 5 2 2 2 4 6 5" xfId="11068" xr:uid="{519C07E9-913F-40BE-AAA1-0DFFEC751753}"/>
    <cellStyle name="Normal 5 2 2 2 4 7" xfId="4792" xr:uid="{00000000-0005-0000-0000-000082170000}"/>
    <cellStyle name="Normal 5 2 2 2 4 7 2" xfId="17425" xr:uid="{290827AC-09D9-438F-80F8-2EB806BDF06C}"/>
    <cellStyle name="Normal 5 2 2 2 4 8" xfId="21635" xr:uid="{A6F429CE-3E6F-4900-B8BA-60B9C5BEA8CA}"/>
    <cellStyle name="Normal 5 2 2 2 4 9" xfId="13214" xr:uid="{342CB7CE-30B1-41BD-8050-94A1D55EA684}"/>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9976" xr:uid="{83343489-947D-44CD-8637-9A357E1D5F5C}"/>
    <cellStyle name="Normal 5 2 2 2 5 2 3" xfId="15765" xr:uid="{963DF6A8-F92C-4A09-A4D9-FF8460F22B53}"/>
    <cellStyle name="Normal 5 2 2 2 5 2 4" xfId="25015" xr:uid="{372E4200-5383-444B-AA04-FEEC11932522}"/>
    <cellStyle name="Normal 5 2 2 2 5 2 5" xfId="11554" xr:uid="{169A96BD-40C4-4417-A62F-C07A2CB6F61F}"/>
    <cellStyle name="Normal 5 2 2 2 5 3" xfId="5198" xr:uid="{00000000-0005-0000-0000-000086170000}"/>
    <cellStyle name="Normal 5 2 2 2 5 3 2" xfId="17831" xr:uid="{68121ABD-BFB9-4E00-8DC4-62CAC7AB60CB}"/>
    <cellStyle name="Normal 5 2 2 2 5 4" xfId="22043" xr:uid="{F7F7FB93-6AA9-4B05-8DED-08F5E525B8C5}"/>
    <cellStyle name="Normal 5 2 2 2 5 5" xfId="13620" xr:uid="{E92F0841-C85D-4765-A53F-383307CC90C8}"/>
    <cellStyle name="Normal 5 2 2 2 5 6" xfId="22870" xr:uid="{09A64276-3470-4F01-8AEE-A48AE4EEB34A}"/>
    <cellStyle name="Normal 5 2 2 2 5 7" xfId="9409" xr:uid="{353BAF89-CFDA-4F69-86E5-D291669C2288}"/>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20389" xr:uid="{83BE39C2-F79E-4131-AFFF-E0584BB8A3E0}"/>
    <cellStyle name="Normal 5 2 2 2 6 2 3" xfId="16178" xr:uid="{DCE58956-BEA7-4734-BC31-4E90ABA593CC}"/>
    <cellStyle name="Normal 5 2 2 2 6 2 4" xfId="25428" xr:uid="{D2CB476C-072B-495B-A232-B625520B3937}"/>
    <cellStyle name="Normal 5 2 2 2 6 2 5" xfId="11967" xr:uid="{8C35BE14-F8C9-4649-94D6-C289947BF47E}"/>
    <cellStyle name="Normal 5 2 2 2 6 3" xfId="5611" xr:uid="{00000000-0005-0000-0000-00008A170000}"/>
    <cellStyle name="Normal 5 2 2 2 6 3 2" xfId="18244" xr:uid="{53FE3625-6E30-44CC-A678-5C52CEADDE0D}"/>
    <cellStyle name="Normal 5 2 2 2 6 4" xfId="14033" xr:uid="{B8256E2A-66C8-4DA7-B6E0-52C08FE991E1}"/>
    <cellStyle name="Normal 5 2 2 2 6 5" xfId="23283" xr:uid="{949B7C6A-C685-4225-8E51-15D2078B7C4E}"/>
    <cellStyle name="Normal 5 2 2 2 6 6" xfId="9822" xr:uid="{15F78160-C8FE-4A54-B614-1E2FECEF386E}"/>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20802" xr:uid="{65A23E2C-0F22-4DDC-A99D-8182EAA0815A}"/>
    <cellStyle name="Normal 5 2 2 2 7 2 3" xfId="16591" xr:uid="{0373B3FD-B2B9-47B2-AF4E-EAEC2D3C04B7}"/>
    <cellStyle name="Normal 5 2 2 2 7 2 4" xfId="25841" xr:uid="{845928E0-A8BB-4C95-AEB6-D13AAE44DEB3}"/>
    <cellStyle name="Normal 5 2 2 2 7 2 5" xfId="12380" xr:uid="{DE564EA2-5429-4E10-A5A6-C18E8FC07E71}"/>
    <cellStyle name="Normal 5 2 2 2 7 3" xfId="6024" xr:uid="{00000000-0005-0000-0000-00008E170000}"/>
    <cellStyle name="Normal 5 2 2 2 7 3 2" xfId="18657" xr:uid="{184B1C7E-3231-45F2-A4A7-405E35EEBE0E}"/>
    <cellStyle name="Normal 5 2 2 2 7 4" xfId="14446" xr:uid="{409FECC2-072D-4FA1-AF17-79238829A7A4}"/>
    <cellStyle name="Normal 5 2 2 2 7 5" xfId="23696" xr:uid="{F8F0DA17-F694-4692-9AC9-0C641CBCE1F1}"/>
    <cellStyle name="Normal 5 2 2 2 7 6" xfId="10235" xr:uid="{619B8397-5976-4170-8917-FB624DBC7986}"/>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21215" xr:uid="{C0A9681E-9605-4D35-B336-347559BB082E}"/>
    <cellStyle name="Normal 5 2 2 2 8 2 3" xfId="17004" xr:uid="{41DF835F-EB3A-4E50-896B-DEA68223D960}"/>
    <cellStyle name="Normal 5 2 2 2 8 2 4" xfId="26254" xr:uid="{6F07C307-FBB9-45C6-8C10-6A0FC13DF109}"/>
    <cellStyle name="Normal 5 2 2 2 8 2 5" xfId="12793" xr:uid="{F7DB6102-9818-4718-9428-AA9A932EA517}"/>
    <cellStyle name="Normal 5 2 2 2 8 3" xfId="6437" xr:uid="{00000000-0005-0000-0000-000092170000}"/>
    <cellStyle name="Normal 5 2 2 2 8 3 2" xfId="19070" xr:uid="{798695F5-CDD2-40AF-AB3B-800409CD9F13}"/>
    <cellStyle name="Normal 5 2 2 2 8 4" xfId="14859" xr:uid="{59C1EE79-8C5C-48FF-9741-14FDDAC85BE9}"/>
    <cellStyle name="Normal 5 2 2 2 8 5" xfId="24109" xr:uid="{BC53FD4F-E497-423D-AB7E-7A8B268425DF}"/>
    <cellStyle name="Normal 5 2 2 2 8 6" xfId="10648" xr:uid="{C0429414-FEB9-46F2-A4C0-15B2C93706AC}"/>
    <cellStyle name="Normal 5 2 2 2 9" xfId="2565" xr:uid="{00000000-0005-0000-0000-000093170000}"/>
    <cellStyle name="Normal 5 2 2 2 9 2" xfId="6850" xr:uid="{00000000-0005-0000-0000-000094170000}"/>
    <cellStyle name="Normal 5 2 2 2 9 2 2" xfId="19483" xr:uid="{E0E56522-3757-45DA-AE09-32B15A82236B}"/>
    <cellStyle name="Normal 5 2 2 2 9 3" xfId="15272" xr:uid="{21858777-B504-4F48-945B-0A2BDE18DBB6}"/>
    <cellStyle name="Normal 5 2 2 2 9 4" xfId="24522" xr:uid="{38D848EE-687F-43CB-9721-38D3A683B0DC}"/>
    <cellStyle name="Normal 5 2 2 2 9 5" xfId="11061" xr:uid="{8154D3C0-11E3-44DD-A819-44136895BFE1}"/>
    <cellStyle name="Normal 5 2 2 3" xfId="417" xr:uid="{00000000-0005-0000-0000-000095170000}"/>
    <cellStyle name="Normal 5 2 2 3 10" xfId="21636" xr:uid="{9F3EE1EF-2B88-47F0-B0E1-6DED8F151820}"/>
    <cellStyle name="Normal 5 2 2 3 11" xfId="13215" xr:uid="{1AE22BB3-99AE-40CB-BA67-A5282B0383BA}"/>
    <cellStyle name="Normal 5 2 2 3 12" xfId="22465" xr:uid="{9FE482CC-D1D3-4B59-99BF-284774D6CF00}"/>
    <cellStyle name="Normal 5 2 2 3 13" xfId="9004" xr:uid="{707374DC-6C05-4CB2-BF54-7562528B41A6}"/>
    <cellStyle name="Normal 5 2 2 3 2" xfId="418" xr:uid="{00000000-0005-0000-0000-000096170000}"/>
    <cellStyle name="Normal 5 2 2 3 2 10" xfId="13216" xr:uid="{0BAD5B79-C2F5-4910-923F-B5800601780F}"/>
    <cellStyle name="Normal 5 2 2 3 2 11" xfId="22466" xr:uid="{F09B2BF5-6DC1-4CBC-8E36-5B37124028AD}"/>
    <cellStyle name="Normal 5 2 2 3 2 12" xfId="9005" xr:uid="{BCF59107-F4A8-4DEC-ABEC-790FE245AF37}"/>
    <cellStyle name="Normal 5 2 2 3 2 2" xfId="419" xr:uid="{00000000-0005-0000-0000-000097170000}"/>
    <cellStyle name="Normal 5 2 2 3 2 2 10" xfId="22467" xr:uid="{2097610F-40FC-4CC9-95FA-205BB1F65AB5}"/>
    <cellStyle name="Normal 5 2 2 3 2 2 11" xfId="9006" xr:uid="{FA48073A-6FC7-417E-A960-0ED5C44067B2}"/>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9986" xr:uid="{F6C19425-4DD1-4FE4-A2C2-E87F3D43D492}"/>
    <cellStyle name="Normal 5 2 2 3 2 2 2 2 3" xfId="15775" xr:uid="{7E14277C-A0F2-419B-9759-1B19AC43FD59}"/>
    <cellStyle name="Normal 5 2 2 3 2 2 2 2 4" xfId="25025" xr:uid="{90FDD653-E076-45CE-BC36-A40AC3F82649}"/>
    <cellStyle name="Normal 5 2 2 3 2 2 2 2 5" xfId="11564" xr:uid="{295F3DBE-99DA-4CAF-94BF-E33428FCB3A1}"/>
    <cellStyle name="Normal 5 2 2 3 2 2 2 3" xfId="5208" xr:uid="{00000000-0005-0000-0000-00009B170000}"/>
    <cellStyle name="Normal 5 2 2 3 2 2 2 3 2" xfId="17841" xr:uid="{2FBE7787-2F52-496B-A26F-03224AE19D00}"/>
    <cellStyle name="Normal 5 2 2 3 2 2 2 4" xfId="22053" xr:uid="{22D45853-2AF4-4DDE-86B7-D428B349E956}"/>
    <cellStyle name="Normal 5 2 2 3 2 2 2 5" xfId="13630" xr:uid="{E206E1F1-F417-409C-AA1F-7764FDF1FF26}"/>
    <cellStyle name="Normal 5 2 2 3 2 2 2 6" xfId="22880" xr:uid="{7CB72B6A-502C-4273-B874-C735B9147F05}"/>
    <cellStyle name="Normal 5 2 2 3 2 2 2 7" xfId="9419" xr:uid="{AEE465A6-DB52-45A5-874E-21AB74CCA76F}"/>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20399" xr:uid="{903DDE6B-ACF2-4154-9CD5-E9B8C0A22FED}"/>
    <cellStyle name="Normal 5 2 2 3 2 2 3 2 3" xfId="16188" xr:uid="{3AC23C0D-71ED-483E-BCE2-6B7774A2B0B7}"/>
    <cellStyle name="Normal 5 2 2 3 2 2 3 2 4" xfId="25438" xr:uid="{3D91A9D8-62A1-4888-A67A-DDE9440ECF83}"/>
    <cellStyle name="Normal 5 2 2 3 2 2 3 2 5" xfId="11977" xr:uid="{5F6C1350-7787-4D5C-B6F9-4AA7903D8B97}"/>
    <cellStyle name="Normal 5 2 2 3 2 2 3 3" xfId="5621" xr:uid="{00000000-0005-0000-0000-00009F170000}"/>
    <cellStyle name="Normal 5 2 2 3 2 2 3 3 2" xfId="18254" xr:uid="{D49A97B8-9981-4292-AF9C-0608812D1945}"/>
    <cellStyle name="Normal 5 2 2 3 2 2 3 4" xfId="14043" xr:uid="{69C51D4C-CE00-4C66-A3EA-2BE10306B40D}"/>
    <cellStyle name="Normal 5 2 2 3 2 2 3 5" xfId="23293" xr:uid="{DD13D7BE-BAFC-4D30-A102-CCC492293DE7}"/>
    <cellStyle name="Normal 5 2 2 3 2 2 3 6" xfId="9832" xr:uid="{FED43D02-61DA-410C-9EF6-60713B40DC7D}"/>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20812" xr:uid="{8F5162B5-E2EB-4B9B-9217-ED2E26DDE4F4}"/>
    <cellStyle name="Normal 5 2 2 3 2 2 4 2 3" xfId="16601" xr:uid="{41B10E08-BCD3-406D-B8ED-441D1B40A65A}"/>
    <cellStyle name="Normal 5 2 2 3 2 2 4 2 4" xfId="25851" xr:uid="{ED75BCBC-C9F6-4C4A-8E0D-D724CE35CDD3}"/>
    <cellStyle name="Normal 5 2 2 3 2 2 4 2 5" xfId="12390" xr:uid="{7073A1D6-BCA3-4282-AC62-AFAA2AF16A53}"/>
    <cellStyle name="Normal 5 2 2 3 2 2 4 3" xfId="6034" xr:uid="{00000000-0005-0000-0000-0000A3170000}"/>
    <cellStyle name="Normal 5 2 2 3 2 2 4 3 2" xfId="18667" xr:uid="{AEA315B8-AE0F-47CA-AA9C-098C96EDEF64}"/>
    <cellStyle name="Normal 5 2 2 3 2 2 4 4" xfId="14456" xr:uid="{F8A489C2-91AF-4196-9541-EA7C930CB072}"/>
    <cellStyle name="Normal 5 2 2 3 2 2 4 5" xfId="23706" xr:uid="{9FCC83A3-9E5F-48BB-BA52-178FB28037BE}"/>
    <cellStyle name="Normal 5 2 2 3 2 2 4 6" xfId="10245" xr:uid="{750D9EF4-B17E-4F65-9C02-9851F0A2F6E7}"/>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21225" xr:uid="{C028A160-ABAF-420B-BC4C-EC2C28C23CC8}"/>
    <cellStyle name="Normal 5 2 2 3 2 2 5 2 3" xfId="17014" xr:uid="{47506F62-B8BC-4164-9931-2B3B83FDB3A9}"/>
    <cellStyle name="Normal 5 2 2 3 2 2 5 2 4" xfId="26264" xr:uid="{21EF11F5-AB0B-4392-840B-0048BEB0CF20}"/>
    <cellStyle name="Normal 5 2 2 3 2 2 5 2 5" xfId="12803" xr:uid="{28FDF9E6-7AD6-4635-B820-9DBD9E29B9A2}"/>
    <cellStyle name="Normal 5 2 2 3 2 2 5 3" xfId="6447" xr:uid="{00000000-0005-0000-0000-0000A7170000}"/>
    <cellStyle name="Normal 5 2 2 3 2 2 5 3 2" xfId="19080" xr:uid="{356723C9-4AFB-496F-9A58-746BAD6369C5}"/>
    <cellStyle name="Normal 5 2 2 3 2 2 5 4" xfId="14869" xr:uid="{08479C52-510B-4790-9DD7-1BFC91607AD3}"/>
    <cellStyle name="Normal 5 2 2 3 2 2 5 5" xfId="24119" xr:uid="{D6989F59-1A99-4A50-8B9E-3E62045362FC}"/>
    <cellStyle name="Normal 5 2 2 3 2 2 5 6" xfId="10658" xr:uid="{7FD043B1-D6E6-47F6-9C41-4679BB14D183}"/>
    <cellStyle name="Normal 5 2 2 3 2 2 6" xfId="2575" xr:uid="{00000000-0005-0000-0000-0000A8170000}"/>
    <cellStyle name="Normal 5 2 2 3 2 2 6 2" xfId="6860" xr:uid="{00000000-0005-0000-0000-0000A9170000}"/>
    <cellStyle name="Normal 5 2 2 3 2 2 6 2 2" xfId="19493" xr:uid="{D9888666-E98C-4289-B868-45A2408BCECF}"/>
    <cellStyle name="Normal 5 2 2 3 2 2 6 3" xfId="15282" xr:uid="{7C134E3A-CABE-497E-AD31-59FBFB974927}"/>
    <cellStyle name="Normal 5 2 2 3 2 2 6 4" xfId="24532" xr:uid="{C7CC1EB2-C4F5-4A13-B879-DC7D2E9C9720}"/>
    <cellStyle name="Normal 5 2 2 3 2 2 6 5" xfId="11071" xr:uid="{AB53D1D1-E77C-4554-BA2D-13DAD7B203FB}"/>
    <cellStyle name="Normal 5 2 2 3 2 2 7" xfId="4795" xr:uid="{00000000-0005-0000-0000-0000AA170000}"/>
    <cellStyle name="Normal 5 2 2 3 2 2 7 2" xfId="17428" xr:uid="{1CE48760-5FD8-4130-942A-D2AB0A23192A}"/>
    <cellStyle name="Normal 5 2 2 3 2 2 8" xfId="21638" xr:uid="{45DC99E3-114A-4AFF-9C8F-9D15E741FCCF}"/>
    <cellStyle name="Normal 5 2 2 3 2 2 9" xfId="13217" xr:uid="{0E581974-71D6-4F80-A95B-46D2E1BF2A71}"/>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9985" xr:uid="{322F9C1B-EF18-4FB1-B5B4-D41F182A2A64}"/>
    <cellStyle name="Normal 5 2 2 3 2 3 2 3" xfId="15774" xr:uid="{8076EF54-A9ED-412E-AE72-29BC5E1B1CE7}"/>
    <cellStyle name="Normal 5 2 2 3 2 3 2 4" xfId="25024" xr:uid="{7E103E05-9400-4E95-B06B-E9A1A1E5A46B}"/>
    <cellStyle name="Normal 5 2 2 3 2 3 2 5" xfId="11563" xr:uid="{00A5B9ED-BE99-4D52-9C0B-B3B22D8D88B5}"/>
    <cellStyle name="Normal 5 2 2 3 2 3 3" xfId="5207" xr:uid="{00000000-0005-0000-0000-0000AE170000}"/>
    <cellStyle name="Normal 5 2 2 3 2 3 3 2" xfId="17840" xr:uid="{A277B104-FFC2-472C-B3EC-874F63EA5391}"/>
    <cellStyle name="Normal 5 2 2 3 2 3 4" xfId="22052" xr:uid="{F61BABC5-1CFF-4DF8-B301-6557707727A1}"/>
    <cellStyle name="Normal 5 2 2 3 2 3 5" xfId="13629" xr:uid="{A19B6E2F-762C-4BEC-95B0-AA0417A1838A}"/>
    <cellStyle name="Normal 5 2 2 3 2 3 6" xfId="22879" xr:uid="{CC119BAA-33C2-48A4-8A27-35B0F48E54EF}"/>
    <cellStyle name="Normal 5 2 2 3 2 3 7" xfId="9418" xr:uid="{44EB8C88-F70D-46BF-8729-CB3233A189D1}"/>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20398" xr:uid="{84E05A9D-EEC6-4555-9466-67E0C41F3E71}"/>
    <cellStyle name="Normal 5 2 2 3 2 4 2 3" xfId="16187" xr:uid="{31189DE7-B66D-4A12-ACF6-73DFFB2178D5}"/>
    <cellStyle name="Normal 5 2 2 3 2 4 2 4" xfId="25437" xr:uid="{EDED5601-9F89-421E-9553-CA8F245D7E62}"/>
    <cellStyle name="Normal 5 2 2 3 2 4 2 5" xfId="11976" xr:uid="{74C193B2-229C-4B33-B6FA-73781135AB09}"/>
    <cellStyle name="Normal 5 2 2 3 2 4 3" xfId="5620" xr:uid="{00000000-0005-0000-0000-0000B2170000}"/>
    <cellStyle name="Normal 5 2 2 3 2 4 3 2" xfId="18253" xr:uid="{EDBA7C0D-E061-4E91-B4C3-3199D0733503}"/>
    <cellStyle name="Normal 5 2 2 3 2 4 4" xfId="14042" xr:uid="{4E76208F-9521-49AB-8AA0-221018693E9A}"/>
    <cellStyle name="Normal 5 2 2 3 2 4 5" xfId="23292" xr:uid="{57FB1B16-7500-43FE-B95F-C5CA47625606}"/>
    <cellStyle name="Normal 5 2 2 3 2 4 6" xfId="9831" xr:uid="{8957567D-C564-4642-BB3C-400F1EA1439D}"/>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20811" xr:uid="{F7988B2A-E7F1-48A3-880F-2463A88EAB6F}"/>
    <cellStyle name="Normal 5 2 2 3 2 5 2 3" xfId="16600" xr:uid="{777BF498-E803-4A59-99CD-CAB16C3CF78B}"/>
    <cellStyle name="Normal 5 2 2 3 2 5 2 4" xfId="25850" xr:uid="{0652088E-3BA4-4127-A116-54BF7D6B9852}"/>
    <cellStyle name="Normal 5 2 2 3 2 5 2 5" xfId="12389" xr:uid="{CDC937AC-5F91-4A0C-892D-45BD21A085F1}"/>
    <cellStyle name="Normal 5 2 2 3 2 5 3" xfId="6033" xr:uid="{00000000-0005-0000-0000-0000B6170000}"/>
    <cellStyle name="Normal 5 2 2 3 2 5 3 2" xfId="18666" xr:uid="{66898AE7-072C-4105-8F37-7D08CF843B60}"/>
    <cellStyle name="Normal 5 2 2 3 2 5 4" xfId="14455" xr:uid="{99EF65A9-8DF8-44F8-AF89-1F1210930166}"/>
    <cellStyle name="Normal 5 2 2 3 2 5 5" xfId="23705" xr:uid="{5D855457-5530-4C4E-A46F-2840F4BC60FD}"/>
    <cellStyle name="Normal 5 2 2 3 2 5 6" xfId="10244" xr:uid="{295517C6-B96D-4085-93C2-537E0F7DEAE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21224" xr:uid="{26226FF4-8281-49DA-8AD8-B4D1BB114927}"/>
    <cellStyle name="Normal 5 2 2 3 2 6 2 3" xfId="17013" xr:uid="{D7FF650E-0839-491B-9AFC-3D754789CABC}"/>
    <cellStyle name="Normal 5 2 2 3 2 6 2 4" xfId="26263" xr:uid="{37FD67F0-C065-4313-9957-2ED945D5E28C}"/>
    <cellStyle name="Normal 5 2 2 3 2 6 2 5" xfId="12802" xr:uid="{1FB0CF2E-77F9-4A8B-8B9F-EB5F7CAB58FD}"/>
    <cellStyle name="Normal 5 2 2 3 2 6 3" xfId="6446" xr:uid="{00000000-0005-0000-0000-0000BA170000}"/>
    <cellStyle name="Normal 5 2 2 3 2 6 3 2" xfId="19079" xr:uid="{BEA20F08-E918-491A-9D33-B2B5EC8E5F1B}"/>
    <cellStyle name="Normal 5 2 2 3 2 6 4" xfId="14868" xr:uid="{A41B34E0-D171-4943-A87A-E039730CC8E3}"/>
    <cellStyle name="Normal 5 2 2 3 2 6 5" xfId="24118" xr:uid="{9DBF6203-9777-4589-8C34-A7B932174386}"/>
    <cellStyle name="Normal 5 2 2 3 2 6 6" xfId="10657" xr:uid="{906C8774-87A0-49D0-962C-03274F31F090}"/>
    <cellStyle name="Normal 5 2 2 3 2 7" xfId="2574" xr:uid="{00000000-0005-0000-0000-0000BB170000}"/>
    <cellStyle name="Normal 5 2 2 3 2 7 2" xfId="6859" xr:uid="{00000000-0005-0000-0000-0000BC170000}"/>
    <cellStyle name="Normal 5 2 2 3 2 7 2 2" xfId="19492" xr:uid="{75AEA6B1-4F31-4E26-8A59-292ABB3A3FEF}"/>
    <cellStyle name="Normal 5 2 2 3 2 7 3" xfId="15281" xr:uid="{7AD2F025-FFB8-4D0C-B6B2-629B6DDC554B}"/>
    <cellStyle name="Normal 5 2 2 3 2 7 4" xfId="24531" xr:uid="{1F028B94-2320-41D5-B38D-61ED6AB7AA76}"/>
    <cellStyle name="Normal 5 2 2 3 2 7 5" xfId="11070" xr:uid="{9DCCA392-3CAD-433F-AFC1-FB93FF978E70}"/>
    <cellStyle name="Normal 5 2 2 3 2 8" xfId="4794" xr:uid="{00000000-0005-0000-0000-0000BD170000}"/>
    <cellStyle name="Normal 5 2 2 3 2 8 2" xfId="17427" xr:uid="{E881E655-02D3-4059-9B0E-BA9C242393C4}"/>
    <cellStyle name="Normal 5 2 2 3 2 9" xfId="21637" xr:uid="{31997DB5-78FA-48F1-B342-FFC1F61115FB}"/>
    <cellStyle name="Normal 5 2 2 3 3" xfId="420" xr:uid="{00000000-0005-0000-0000-0000BE170000}"/>
    <cellStyle name="Normal 5 2 2 3 3 10" xfId="22468" xr:uid="{825EFF9D-0D36-4589-B765-572FACEF5ACA}"/>
    <cellStyle name="Normal 5 2 2 3 3 11" xfId="9007" xr:uid="{AADB7C33-1624-4CD0-8F0B-566602FF8BAA}"/>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9987" xr:uid="{FACCEF3F-4BD7-4D07-975E-1C778971E354}"/>
    <cellStyle name="Normal 5 2 2 3 3 2 2 3" xfId="15776" xr:uid="{EF87A1DE-991D-403A-9070-48CE53209F10}"/>
    <cellStyle name="Normal 5 2 2 3 3 2 2 4" xfId="25026" xr:uid="{E2236CE1-2CF2-4946-8543-AAFB8405AEA9}"/>
    <cellStyle name="Normal 5 2 2 3 3 2 2 5" xfId="11565" xr:uid="{53B27A24-F704-42AC-A805-ED6A45C8B653}"/>
    <cellStyle name="Normal 5 2 2 3 3 2 3" xfId="5209" xr:uid="{00000000-0005-0000-0000-0000C2170000}"/>
    <cellStyle name="Normal 5 2 2 3 3 2 3 2" xfId="17842" xr:uid="{E373EDAF-7839-408C-8F86-7D6450D38DEA}"/>
    <cellStyle name="Normal 5 2 2 3 3 2 4" xfId="22054" xr:uid="{1EB7F0EF-33FF-4298-9D04-D53BDA661E09}"/>
    <cellStyle name="Normal 5 2 2 3 3 2 5" xfId="13631" xr:uid="{CC356294-A675-40DB-85C1-E37A22DECD1B}"/>
    <cellStyle name="Normal 5 2 2 3 3 2 6" xfId="22881" xr:uid="{1E94FDE4-DDC1-451B-8FFC-58F0B236C049}"/>
    <cellStyle name="Normal 5 2 2 3 3 2 7" xfId="9420" xr:uid="{EE7F45B1-9A8F-4B23-BC8B-6964C850A49C}"/>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20400" xr:uid="{412653B6-9535-42AA-AA1A-07B655999D3D}"/>
    <cellStyle name="Normal 5 2 2 3 3 3 2 3" xfId="16189" xr:uid="{C7526B91-171E-4905-82D9-652B2839B2AA}"/>
    <cellStyle name="Normal 5 2 2 3 3 3 2 4" xfId="25439" xr:uid="{7BA861E8-F92C-459A-B752-518A838D7B62}"/>
    <cellStyle name="Normal 5 2 2 3 3 3 2 5" xfId="11978" xr:uid="{B9252CCB-DD37-4C71-A213-50BDFAA04B18}"/>
    <cellStyle name="Normal 5 2 2 3 3 3 3" xfId="5622" xr:uid="{00000000-0005-0000-0000-0000C6170000}"/>
    <cellStyle name="Normal 5 2 2 3 3 3 3 2" xfId="18255" xr:uid="{DA61AF24-DFF7-4D31-99D1-803FF1B460D8}"/>
    <cellStyle name="Normal 5 2 2 3 3 3 4" xfId="14044" xr:uid="{D2E766D4-4A58-49A7-9020-A722DB7D1F27}"/>
    <cellStyle name="Normal 5 2 2 3 3 3 5" xfId="23294" xr:uid="{CF7B54F4-8E31-473B-B058-847F89B6639C}"/>
    <cellStyle name="Normal 5 2 2 3 3 3 6" xfId="9833" xr:uid="{24D67FCB-0DE6-485B-BBBB-DDDB22F552EB}"/>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20813" xr:uid="{B6191E97-73B0-4963-9A77-C8C9462D2F84}"/>
    <cellStyle name="Normal 5 2 2 3 3 4 2 3" xfId="16602" xr:uid="{F542121C-9940-43A9-96A9-810A4C35939E}"/>
    <cellStyle name="Normal 5 2 2 3 3 4 2 4" xfId="25852" xr:uid="{7290DCB4-48D9-46DA-A1FB-36B20F264CB1}"/>
    <cellStyle name="Normal 5 2 2 3 3 4 2 5" xfId="12391" xr:uid="{C52CD7DC-7C16-45C7-A33C-49C49F92F889}"/>
    <cellStyle name="Normal 5 2 2 3 3 4 3" xfId="6035" xr:uid="{00000000-0005-0000-0000-0000CA170000}"/>
    <cellStyle name="Normal 5 2 2 3 3 4 3 2" xfId="18668" xr:uid="{1B271805-98DD-434F-93EA-8737615EE974}"/>
    <cellStyle name="Normal 5 2 2 3 3 4 4" xfId="14457" xr:uid="{B62BD12F-6D09-403B-901E-701DD086168C}"/>
    <cellStyle name="Normal 5 2 2 3 3 4 5" xfId="23707" xr:uid="{23DEF743-E73C-48A6-BBFB-1BB8FC304CEB}"/>
    <cellStyle name="Normal 5 2 2 3 3 4 6" xfId="10246" xr:uid="{3214724B-F69D-4DD7-9070-D2CE65EC5D87}"/>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21226" xr:uid="{87FFCFC2-D700-43E0-BAB3-D2C97E5ED735}"/>
    <cellStyle name="Normal 5 2 2 3 3 5 2 3" xfId="17015" xr:uid="{B8BCBD2E-DEFF-4F10-8681-727A72423A5D}"/>
    <cellStyle name="Normal 5 2 2 3 3 5 2 4" xfId="26265" xr:uid="{E4BEBBB7-567E-48C8-8FE6-3C8576F9F776}"/>
    <cellStyle name="Normal 5 2 2 3 3 5 2 5" xfId="12804" xr:uid="{342A0A5D-5389-4441-9DB9-9EC369651714}"/>
    <cellStyle name="Normal 5 2 2 3 3 5 3" xfId="6448" xr:uid="{00000000-0005-0000-0000-0000CE170000}"/>
    <cellStyle name="Normal 5 2 2 3 3 5 3 2" xfId="19081" xr:uid="{77CE201B-7CEA-4817-8805-0DBA462EA6F1}"/>
    <cellStyle name="Normal 5 2 2 3 3 5 4" xfId="14870" xr:uid="{7278E720-2394-4625-8DA6-F2AB671E5B8E}"/>
    <cellStyle name="Normal 5 2 2 3 3 5 5" xfId="24120" xr:uid="{9FC9D524-D28C-44B7-B22F-8BC85A20465F}"/>
    <cellStyle name="Normal 5 2 2 3 3 5 6" xfId="10659" xr:uid="{155F88DB-16AF-4D5C-BEB8-6D7B3E2D9603}"/>
    <cellStyle name="Normal 5 2 2 3 3 6" xfId="2576" xr:uid="{00000000-0005-0000-0000-0000CF170000}"/>
    <cellStyle name="Normal 5 2 2 3 3 6 2" xfId="6861" xr:uid="{00000000-0005-0000-0000-0000D0170000}"/>
    <cellStyle name="Normal 5 2 2 3 3 6 2 2" xfId="19494" xr:uid="{603E6BEA-30B7-45A3-BD0F-3294461DE941}"/>
    <cellStyle name="Normal 5 2 2 3 3 6 3" xfId="15283" xr:uid="{4598CA50-307E-4071-BD05-7EC6B5FC4C45}"/>
    <cellStyle name="Normal 5 2 2 3 3 6 4" xfId="24533" xr:uid="{9C825395-6212-47B1-BFDF-AE1B4D60BDC1}"/>
    <cellStyle name="Normal 5 2 2 3 3 6 5" xfId="11072" xr:uid="{55EC313E-507B-41B6-880E-63F8C180BB99}"/>
    <cellStyle name="Normal 5 2 2 3 3 7" xfId="4796" xr:uid="{00000000-0005-0000-0000-0000D1170000}"/>
    <cellStyle name="Normal 5 2 2 3 3 7 2" xfId="17429" xr:uid="{8E3BBCE1-A052-4D69-9A96-D77BE030F62E}"/>
    <cellStyle name="Normal 5 2 2 3 3 8" xfId="21639" xr:uid="{309EBD13-13B3-473A-AF89-CEB948B68FFB}"/>
    <cellStyle name="Normal 5 2 2 3 3 9" xfId="13218" xr:uid="{708F0CB8-2E62-459F-998B-3D569F7F2A50}"/>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9984" xr:uid="{89129A8D-14A8-4FFF-92D2-5BD84142E86F}"/>
    <cellStyle name="Normal 5 2 2 3 4 2 3" xfId="15773" xr:uid="{B1EDB895-2100-4226-A496-B404A20B238E}"/>
    <cellStyle name="Normal 5 2 2 3 4 2 4" xfId="25023" xr:uid="{A205E0BA-5657-48CB-8509-147F5271BF47}"/>
    <cellStyle name="Normal 5 2 2 3 4 2 5" xfId="11562" xr:uid="{8AC0F318-D9D8-48E8-8BD4-34181DE76811}"/>
    <cellStyle name="Normal 5 2 2 3 4 3" xfId="5206" xr:uid="{00000000-0005-0000-0000-0000D5170000}"/>
    <cellStyle name="Normal 5 2 2 3 4 3 2" xfId="17839" xr:uid="{3B7E7DED-5D01-4FE1-9CE2-A81CD2D49AD9}"/>
    <cellStyle name="Normal 5 2 2 3 4 4" xfId="22051" xr:uid="{945C9F0D-AAFD-4535-89C6-DB564CAFADD2}"/>
    <cellStyle name="Normal 5 2 2 3 4 5" xfId="13628" xr:uid="{EB4C54BD-B69C-4284-9C97-CFF9C616854D}"/>
    <cellStyle name="Normal 5 2 2 3 4 6" xfId="22878" xr:uid="{86657A29-0A32-4778-AF60-B3D63F9A4E74}"/>
    <cellStyle name="Normal 5 2 2 3 4 7" xfId="9417" xr:uid="{DF0D7B2D-EFA1-4AE4-B243-4E577CD3E5FF}"/>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20397" xr:uid="{7452632D-5530-44B1-B3B9-E43CE59CA1EB}"/>
    <cellStyle name="Normal 5 2 2 3 5 2 3" xfId="16186" xr:uid="{FAAA5C39-CA65-4AF9-A9AC-47D40B744025}"/>
    <cellStyle name="Normal 5 2 2 3 5 2 4" xfId="25436" xr:uid="{B012A828-2EF7-4B9F-9C3B-ECA3C90ED257}"/>
    <cellStyle name="Normal 5 2 2 3 5 2 5" xfId="11975" xr:uid="{2EBE903A-51DF-4AC9-9AE5-9B9268C6C608}"/>
    <cellStyle name="Normal 5 2 2 3 5 3" xfId="5619" xr:uid="{00000000-0005-0000-0000-0000D9170000}"/>
    <cellStyle name="Normal 5 2 2 3 5 3 2" xfId="18252" xr:uid="{89E23350-EA45-4A4D-B2BA-0FD024D6064E}"/>
    <cellStyle name="Normal 5 2 2 3 5 4" xfId="14041" xr:uid="{BF93B814-D16B-4BDD-8E02-A77A5A7FF31A}"/>
    <cellStyle name="Normal 5 2 2 3 5 5" xfId="23291" xr:uid="{7F64C975-8483-4645-8A8A-2B7EA8EED0EB}"/>
    <cellStyle name="Normal 5 2 2 3 5 6" xfId="9830" xr:uid="{C4AF688A-9749-4F38-9D06-32A4258BEB93}"/>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20810" xr:uid="{CBD4E10F-4DA4-48A5-B4FA-4A846A61C8A6}"/>
    <cellStyle name="Normal 5 2 2 3 6 2 3" xfId="16599" xr:uid="{7117FAF9-B119-4864-A816-11A3046A03A5}"/>
    <cellStyle name="Normal 5 2 2 3 6 2 4" xfId="25849" xr:uid="{95F63280-D414-48A7-B26C-AF381E620214}"/>
    <cellStyle name="Normal 5 2 2 3 6 2 5" xfId="12388" xr:uid="{2B2BA4D6-D0F2-4CCB-B9CB-0B584640AB10}"/>
    <cellStyle name="Normal 5 2 2 3 6 3" xfId="6032" xr:uid="{00000000-0005-0000-0000-0000DD170000}"/>
    <cellStyle name="Normal 5 2 2 3 6 3 2" xfId="18665" xr:uid="{9422638F-CC56-4A47-9392-A96C4DB50B8C}"/>
    <cellStyle name="Normal 5 2 2 3 6 4" xfId="14454" xr:uid="{8584D022-8B4D-43E3-BF62-A923B995974A}"/>
    <cellStyle name="Normal 5 2 2 3 6 5" xfId="23704" xr:uid="{BF3DB28B-E1DE-401D-8502-8E72F0C089A9}"/>
    <cellStyle name="Normal 5 2 2 3 6 6" xfId="10243" xr:uid="{DC4A4002-57B4-4111-AC0D-FD3312039118}"/>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21223" xr:uid="{67C2DCA0-40BA-4468-A914-B107A800FD28}"/>
    <cellStyle name="Normal 5 2 2 3 7 2 3" xfId="17012" xr:uid="{F537735A-CB4A-457B-A4CE-56AAA7E6433A}"/>
    <cellStyle name="Normal 5 2 2 3 7 2 4" xfId="26262" xr:uid="{0C087744-C454-4D84-B45D-1F0D1B46DD33}"/>
    <cellStyle name="Normal 5 2 2 3 7 2 5" xfId="12801" xr:uid="{18D40807-4444-49B0-8068-746363C56C95}"/>
    <cellStyle name="Normal 5 2 2 3 7 3" xfId="6445" xr:uid="{00000000-0005-0000-0000-0000E1170000}"/>
    <cellStyle name="Normal 5 2 2 3 7 3 2" xfId="19078" xr:uid="{A0544C26-7272-43FF-AD2E-C917F62E3A41}"/>
    <cellStyle name="Normal 5 2 2 3 7 4" xfId="14867" xr:uid="{46220DC7-614B-4BDF-8CAB-CB8805CB4E4C}"/>
    <cellStyle name="Normal 5 2 2 3 7 5" xfId="24117" xr:uid="{1856C3AD-2E4C-4116-B4B8-8C3497654C59}"/>
    <cellStyle name="Normal 5 2 2 3 7 6" xfId="10656" xr:uid="{523FC8C2-7EF5-4426-9C40-CE35A802768D}"/>
    <cellStyle name="Normal 5 2 2 3 8" xfId="2573" xr:uid="{00000000-0005-0000-0000-0000E2170000}"/>
    <cellStyle name="Normal 5 2 2 3 8 2" xfId="6858" xr:uid="{00000000-0005-0000-0000-0000E3170000}"/>
    <cellStyle name="Normal 5 2 2 3 8 2 2" xfId="19491" xr:uid="{5EBC1B02-5600-4337-9246-4177497A5B57}"/>
    <cellStyle name="Normal 5 2 2 3 8 3" xfId="15280" xr:uid="{89BC809C-96A1-4923-97C4-41C9AAD961B4}"/>
    <cellStyle name="Normal 5 2 2 3 8 4" xfId="24530" xr:uid="{852E89CD-91BF-47C1-BCEA-41784CA35A61}"/>
    <cellStyle name="Normal 5 2 2 3 8 5" xfId="11069" xr:uid="{A885BB02-D128-4C71-8955-0D4DAB2E5B02}"/>
    <cellStyle name="Normal 5 2 2 3 9" xfId="4793" xr:uid="{00000000-0005-0000-0000-0000E4170000}"/>
    <cellStyle name="Normal 5 2 2 3 9 2" xfId="17426" xr:uid="{5480DAFA-FB77-4DEB-BA04-988817F9C945}"/>
    <cellStyle name="Normal 5 2 2 4" xfId="421" xr:uid="{00000000-0005-0000-0000-0000E5170000}"/>
    <cellStyle name="Normal 5 2 2 4 10" xfId="13219" xr:uid="{8761055A-5F26-4F04-AA5F-FCC2A81A468A}"/>
    <cellStyle name="Normal 5 2 2 4 11" xfId="22469" xr:uid="{C6351907-323B-4B0D-B48E-703108BBE7BF}"/>
    <cellStyle name="Normal 5 2 2 4 12" xfId="9008" xr:uid="{E088C965-B643-4A56-B7DD-E4E75DDAC03F}"/>
    <cellStyle name="Normal 5 2 2 4 2" xfId="422" xr:uid="{00000000-0005-0000-0000-0000E6170000}"/>
    <cellStyle name="Normal 5 2 2 4 2 10" xfId="22470" xr:uid="{B2789826-6672-4B2E-A991-1877F79D7CBE}"/>
    <cellStyle name="Normal 5 2 2 4 2 11" xfId="9009" xr:uid="{C2A92949-A813-4993-817A-ECEEEBAF4A62}"/>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9989" xr:uid="{AA80D798-BB5C-452C-9597-FCA782C0A524}"/>
    <cellStyle name="Normal 5 2 2 4 2 2 2 3" xfId="15778" xr:uid="{8CE9AC7B-E684-4C9C-AB55-41E505D6D8D7}"/>
    <cellStyle name="Normal 5 2 2 4 2 2 2 4" xfId="25028" xr:uid="{6363DF1A-D637-4401-8120-050333D6BB05}"/>
    <cellStyle name="Normal 5 2 2 4 2 2 2 5" xfId="11567" xr:uid="{C8030034-99BD-4CB9-9E76-54C8CB0BE627}"/>
    <cellStyle name="Normal 5 2 2 4 2 2 3" xfId="5211" xr:uid="{00000000-0005-0000-0000-0000EA170000}"/>
    <cellStyle name="Normal 5 2 2 4 2 2 3 2" xfId="17844" xr:uid="{021FF5AC-6F63-4653-9EF4-BDED769CCF63}"/>
    <cellStyle name="Normal 5 2 2 4 2 2 4" xfId="22056" xr:uid="{507D5F9F-41C6-4E33-B94D-46D4606BA26F}"/>
    <cellStyle name="Normal 5 2 2 4 2 2 5" xfId="13633" xr:uid="{E698F359-2713-44D7-BF95-1F7E5D48E1DE}"/>
    <cellStyle name="Normal 5 2 2 4 2 2 6" xfId="22883" xr:uid="{839CA4D6-7F01-4E67-8F82-D34E69D23CFC}"/>
    <cellStyle name="Normal 5 2 2 4 2 2 7" xfId="9422" xr:uid="{4A7F841D-6350-42AC-BFB4-2A16564E5A82}"/>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20402" xr:uid="{1CA161B1-33D1-4049-8B1F-6351D2A5F966}"/>
    <cellStyle name="Normal 5 2 2 4 2 3 2 3" xfId="16191" xr:uid="{5B7B6D64-332F-4DFE-BD0C-618C04E84126}"/>
    <cellStyle name="Normal 5 2 2 4 2 3 2 4" xfId="25441" xr:uid="{4C19E85A-B349-4F5D-A718-D1E9133D752B}"/>
    <cellStyle name="Normal 5 2 2 4 2 3 2 5" xfId="11980" xr:uid="{6DCD6ABE-6063-4730-B53F-5CDB67444F2D}"/>
    <cellStyle name="Normal 5 2 2 4 2 3 3" xfId="5624" xr:uid="{00000000-0005-0000-0000-0000EE170000}"/>
    <cellStyle name="Normal 5 2 2 4 2 3 3 2" xfId="18257" xr:uid="{0D1AF74D-63F7-457A-B398-DB5B0265940E}"/>
    <cellStyle name="Normal 5 2 2 4 2 3 4" xfId="14046" xr:uid="{E69C78D0-BD73-4496-B150-993ECA33646D}"/>
    <cellStyle name="Normal 5 2 2 4 2 3 5" xfId="23296" xr:uid="{9ECDB1C5-4E10-4729-8E28-0113C21D12F7}"/>
    <cellStyle name="Normal 5 2 2 4 2 3 6" xfId="9835" xr:uid="{B199B184-BA59-4D1E-9E18-984B4040CFA5}"/>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20815" xr:uid="{64BB8B83-5066-4048-A18E-EEF7D1E1900B}"/>
    <cellStyle name="Normal 5 2 2 4 2 4 2 3" xfId="16604" xr:uid="{B721421A-7C6C-49EF-AEA2-2C22CFE220BE}"/>
    <cellStyle name="Normal 5 2 2 4 2 4 2 4" xfId="25854" xr:uid="{402E0E01-7DBA-4BA5-82CA-C5D9D072E2CB}"/>
    <cellStyle name="Normal 5 2 2 4 2 4 2 5" xfId="12393" xr:uid="{B3EAC849-D1DE-4C87-A7F1-0136BE258A7E}"/>
    <cellStyle name="Normal 5 2 2 4 2 4 3" xfId="6037" xr:uid="{00000000-0005-0000-0000-0000F2170000}"/>
    <cellStyle name="Normal 5 2 2 4 2 4 3 2" xfId="18670" xr:uid="{799C06DA-676E-478B-8CE9-B3C5255A0839}"/>
    <cellStyle name="Normal 5 2 2 4 2 4 4" xfId="14459" xr:uid="{C9932FFD-7DB5-4CFE-AA8A-6F97C0352AA5}"/>
    <cellStyle name="Normal 5 2 2 4 2 4 5" xfId="23709" xr:uid="{F9233866-0407-4133-A714-26244182627F}"/>
    <cellStyle name="Normal 5 2 2 4 2 4 6" xfId="10248" xr:uid="{C5AF3FD6-8C1F-4038-99CE-E5F5BAF21054}"/>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21228" xr:uid="{55D6E3B4-9EDB-4FEC-99F3-C9E4B6E1A2A9}"/>
    <cellStyle name="Normal 5 2 2 4 2 5 2 3" xfId="17017" xr:uid="{E0BFAC8C-C562-4227-B41C-B4476B3C60E7}"/>
    <cellStyle name="Normal 5 2 2 4 2 5 2 4" xfId="26267" xr:uid="{A13A6AF8-DFCD-4DBB-B79B-FB3A79BEA364}"/>
    <cellStyle name="Normal 5 2 2 4 2 5 2 5" xfId="12806" xr:uid="{D78077DA-356A-4D19-9E28-CF9684516D13}"/>
    <cellStyle name="Normal 5 2 2 4 2 5 3" xfId="6450" xr:uid="{00000000-0005-0000-0000-0000F6170000}"/>
    <cellStyle name="Normal 5 2 2 4 2 5 3 2" xfId="19083" xr:uid="{5525B9DE-F690-4EE3-8C65-514FEDDEA203}"/>
    <cellStyle name="Normal 5 2 2 4 2 5 4" xfId="14872" xr:uid="{211490B0-17C9-4B4C-A5AC-8F30E9DACA76}"/>
    <cellStyle name="Normal 5 2 2 4 2 5 5" xfId="24122" xr:uid="{D3089AFA-9BEB-47B7-85A5-3C0D655EB89B}"/>
    <cellStyle name="Normal 5 2 2 4 2 5 6" xfId="10661" xr:uid="{29EC7C46-8146-43BF-8AE7-E77CEC83EB38}"/>
    <cellStyle name="Normal 5 2 2 4 2 6" xfId="2578" xr:uid="{00000000-0005-0000-0000-0000F7170000}"/>
    <cellStyle name="Normal 5 2 2 4 2 6 2" xfId="6863" xr:uid="{00000000-0005-0000-0000-0000F8170000}"/>
    <cellStyle name="Normal 5 2 2 4 2 6 2 2" xfId="19496" xr:uid="{D682FA51-8245-4581-9587-4E4FBD615EE9}"/>
    <cellStyle name="Normal 5 2 2 4 2 6 3" xfId="15285" xr:uid="{AD1A3AE3-F55D-4DCD-806A-C81C5E7E8938}"/>
    <cellStyle name="Normal 5 2 2 4 2 6 4" xfId="24535" xr:uid="{4F558394-AABB-43BB-A4C7-A5A340D7B20C}"/>
    <cellStyle name="Normal 5 2 2 4 2 6 5" xfId="11074" xr:uid="{7287FC88-B6E2-4304-A10D-529ACED3CEF8}"/>
    <cellStyle name="Normal 5 2 2 4 2 7" xfId="4798" xr:uid="{00000000-0005-0000-0000-0000F9170000}"/>
    <cellStyle name="Normal 5 2 2 4 2 7 2" xfId="17431" xr:uid="{7CEAED69-E43C-46FC-840A-9661E159AA00}"/>
    <cellStyle name="Normal 5 2 2 4 2 8" xfId="21641" xr:uid="{F2F5F4EF-EAC9-4876-9056-92600F49AB5B}"/>
    <cellStyle name="Normal 5 2 2 4 2 9" xfId="13220" xr:uid="{31D292A9-C26B-4EB6-B724-064B1FBCA5CC}"/>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9988" xr:uid="{D2810EFB-A78B-468E-89EF-8CEE08E61250}"/>
    <cellStyle name="Normal 5 2 2 4 3 2 3" xfId="15777" xr:uid="{AD05C5DE-59E3-4D47-B7B0-4109CB19AA56}"/>
    <cellStyle name="Normal 5 2 2 4 3 2 4" xfId="25027" xr:uid="{C9D1AC72-2995-4ED1-A9E0-631C36829B06}"/>
    <cellStyle name="Normal 5 2 2 4 3 2 5" xfId="11566" xr:uid="{638371BF-77A1-4262-B9F2-E07D1FD809E6}"/>
    <cellStyle name="Normal 5 2 2 4 3 3" xfId="5210" xr:uid="{00000000-0005-0000-0000-0000FD170000}"/>
    <cellStyle name="Normal 5 2 2 4 3 3 2" xfId="17843" xr:uid="{BAC6B740-8918-48F2-9669-53BE15E7C1A7}"/>
    <cellStyle name="Normal 5 2 2 4 3 4" xfId="22055" xr:uid="{BA72ACF9-BD35-4BE6-83D1-DB32E8A22C19}"/>
    <cellStyle name="Normal 5 2 2 4 3 5" xfId="13632" xr:uid="{39D5BFFF-B67E-42A1-AA6C-3DE8A459E114}"/>
    <cellStyle name="Normal 5 2 2 4 3 6" xfId="22882" xr:uid="{C0EA6EA0-0A4D-4092-9A8A-BA67BA3FEEC1}"/>
    <cellStyle name="Normal 5 2 2 4 3 7" xfId="9421" xr:uid="{DAB34B88-1CFE-47B0-AD9A-C0590EA3B454}"/>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20401" xr:uid="{81F938B4-0F7A-47C3-8289-EC69358C8817}"/>
    <cellStyle name="Normal 5 2 2 4 4 2 3" xfId="16190" xr:uid="{F1A48A1C-6DF8-42E7-80C4-9CF78CC20F4D}"/>
    <cellStyle name="Normal 5 2 2 4 4 2 4" xfId="25440" xr:uid="{22C538E6-DE43-4251-9590-464B0C7A7E93}"/>
    <cellStyle name="Normal 5 2 2 4 4 2 5" xfId="11979" xr:uid="{D4E3E0CA-16E0-48E5-B5F4-0E8AA026B025}"/>
    <cellStyle name="Normal 5 2 2 4 4 3" xfId="5623" xr:uid="{00000000-0005-0000-0000-000001180000}"/>
    <cellStyle name="Normal 5 2 2 4 4 3 2" xfId="18256" xr:uid="{9ACEB3DD-EA2B-4BB2-B7D2-D0F1CA0E2820}"/>
    <cellStyle name="Normal 5 2 2 4 4 4" xfId="14045" xr:uid="{3BBB2C6C-FCDA-42E4-BB2A-5E2B410664CA}"/>
    <cellStyle name="Normal 5 2 2 4 4 5" xfId="23295" xr:uid="{D92D88FB-4C44-480B-8526-11527773985F}"/>
    <cellStyle name="Normal 5 2 2 4 4 6" xfId="9834" xr:uid="{CC36A93A-E915-454A-A95A-A61F9332BBAB}"/>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20814" xr:uid="{A1D5CA65-410E-4564-83C4-0BEAFEBB7B27}"/>
    <cellStyle name="Normal 5 2 2 4 5 2 3" xfId="16603" xr:uid="{F5343C97-D4CC-46E9-9DF8-4A9F67A3041F}"/>
    <cellStyle name="Normal 5 2 2 4 5 2 4" xfId="25853" xr:uid="{6473AE0A-7B03-45AE-83A5-4225F5EA07C8}"/>
    <cellStyle name="Normal 5 2 2 4 5 2 5" xfId="12392" xr:uid="{E366BECC-60EC-4DC9-9655-06E06F28E914}"/>
    <cellStyle name="Normal 5 2 2 4 5 3" xfId="6036" xr:uid="{00000000-0005-0000-0000-000005180000}"/>
    <cellStyle name="Normal 5 2 2 4 5 3 2" xfId="18669" xr:uid="{D7DFCD36-CDE1-4225-95AC-AB275FC5C765}"/>
    <cellStyle name="Normal 5 2 2 4 5 4" xfId="14458" xr:uid="{8ED28A6A-8266-4995-BC60-F5505BB71CD9}"/>
    <cellStyle name="Normal 5 2 2 4 5 5" xfId="23708" xr:uid="{057BAE8A-CA2F-4912-85B3-C69B8E1BFA19}"/>
    <cellStyle name="Normal 5 2 2 4 5 6" xfId="10247" xr:uid="{99A3872E-9CCD-4FFD-BBFC-DF879BFE1ECB}"/>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21227" xr:uid="{19D77296-346B-46F0-92C8-C23C83BD66EC}"/>
    <cellStyle name="Normal 5 2 2 4 6 2 3" xfId="17016" xr:uid="{11418D41-9608-46C3-AB0E-7E0A679B4B3F}"/>
    <cellStyle name="Normal 5 2 2 4 6 2 4" xfId="26266" xr:uid="{C8CA5D08-86BD-4001-A30C-1B233E2D389A}"/>
    <cellStyle name="Normal 5 2 2 4 6 2 5" xfId="12805" xr:uid="{CFA632A2-DC18-41AA-A554-D36152C25C89}"/>
    <cellStyle name="Normal 5 2 2 4 6 3" xfId="6449" xr:uid="{00000000-0005-0000-0000-000009180000}"/>
    <cellStyle name="Normal 5 2 2 4 6 3 2" xfId="19082" xr:uid="{04F9DA3D-405E-4BFC-AE32-F82C04AAAF19}"/>
    <cellStyle name="Normal 5 2 2 4 6 4" xfId="14871" xr:uid="{C40B416F-AFE1-4FB0-9DBC-947B32DFD074}"/>
    <cellStyle name="Normal 5 2 2 4 6 5" xfId="24121" xr:uid="{07585CA5-57BF-4496-A4EE-0DDA79E84965}"/>
    <cellStyle name="Normal 5 2 2 4 6 6" xfId="10660" xr:uid="{F2725B0D-ADC7-4961-9A43-616FFF20AD40}"/>
    <cellStyle name="Normal 5 2 2 4 7" xfId="2577" xr:uid="{00000000-0005-0000-0000-00000A180000}"/>
    <cellStyle name="Normal 5 2 2 4 7 2" xfId="6862" xr:uid="{00000000-0005-0000-0000-00000B180000}"/>
    <cellStyle name="Normal 5 2 2 4 7 2 2" xfId="19495" xr:uid="{9105E60E-80BA-4743-A793-B23AE72F3855}"/>
    <cellStyle name="Normal 5 2 2 4 7 3" xfId="15284" xr:uid="{77C124E7-A5B9-4952-9B47-36CEEF3BE680}"/>
    <cellStyle name="Normal 5 2 2 4 7 4" xfId="24534" xr:uid="{2DCA1281-E217-42AC-9698-0A592C8287A6}"/>
    <cellStyle name="Normal 5 2 2 4 7 5" xfId="11073" xr:uid="{89E3BD7B-7AE4-4089-9947-30AF33AE58DA}"/>
    <cellStyle name="Normal 5 2 2 4 8" xfId="4797" xr:uid="{00000000-0005-0000-0000-00000C180000}"/>
    <cellStyle name="Normal 5 2 2 4 8 2" xfId="17430" xr:uid="{E48CCB43-A0C1-44C1-9786-232ED0DE03E6}"/>
    <cellStyle name="Normal 5 2 2 4 9" xfId="21640" xr:uid="{5C4A75F7-692B-4E68-862B-B878F29208A0}"/>
    <cellStyle name="Normal 5 2 2 5" xfId="423" xr:uid="{00000000-0005-0000-0000-00000D180000}"/>
    <cellStyle name="Normal 5 2 2 5 10" xfId="22471" xr:uid="{91F40AFF-C2ED-4FBD-9040-4927C732BB4D}"/>
    <cellStyle name="Normal 5 2 2 5 11" xfId="9010" xr:uid="{40465212-35CB-4BED-BD37-D29E0E59168A}"/>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9990" xr:uid="{16562724-1308-4AB4-AE5F-3E754C9EED53}"/>
    <cellStyle name="Normal 5 2 2 5 2 2 3" xfId="15779" xr:uid="{2FA7CEA8-C8A6-46FD-94D1-3BDEC69DAE98}"/>
    <cellStyle name="Normal 5 2 2 5 2 2 4" xfId="25029" xr:uid="{0A6AC9F0-856E-482B-B9D6-75149A9493DB}"/>
    <cellStyle name="Normal 5 2 2 5 2 2 5" xfId="11568" xr:uid="{864F42A2-3107-4565-BBD4-93A9AD22F1DF}"/>
    <cellStyle name="Normal 5 2 2 5 2 3" xfId="5212" xr:uid="{00000000-0005-0000-0000-000011180000}"/>
    <cellStyle name="Normal 5 2 2 5 2 3 2" xfId="17845" xr:uid="{20DCC760-1192-4F8D-922F-893C44A179A0}"/>
    <cellStyle name="Normal 5 2 2 5 2 4" xfId="22057" xr:uid="{3BFBB087-9468-4B44-B13C-FE6FC5EEE4CD}"/>
    <cellStyle name="Normal 5 2 2 5 2 5" xfId="13634" xr:uid="{8838B87C-61D2-457C-A2B8-C8534C2C4640}"/>
    <cellStyle name="Normal 5 2 2 5 2 6" xfId="22884" xr:uid="{2F3696E6-7335-485E-9BEF-03044662D1FB}"/>
    <cellStyle name="Normal 5 2 2 5 2 7" xfId="9423" xr:uid="{3854BA42-36F1-49C3-A810-7A1C704DABFE}"/>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20403" xr:uid="{405879EB-866A-4DA0-AEAA-FDE6A8C50709}"/>
    <cellStyle name="Normal 5 2 2 5 3 2 3" xfId="16192" xr:uid="{7D9C59F4-DFAA-49EE-9B99-03CDB5FD8461}"/>
    <cellStyle name="Normal 5 2 2 5 3 2 4" xfId="25442" xr:uid="{5B0C9E66-89DD-4D62-AEDD-437E9F060CE2}"/>
    <cellStyle name="Normal 5 2 2 5 3 2 5" xfId="11981" xr:uid="{9383BA80-55F9-4A80-B419-A0E7E9324537}"/>
    <cellStyle name="Normal 5 2 2 5 3 3" xfId="5625" xr:uid="{00000000-0005-0000-0000-000015180000}"/>
    <cellStyle name="Normal 5 2 2 5 3 3 2" xfId="18258" xr:uid="{C0721317-FC1F-4120-8143-8ABC9B562F96}"/>
    <cellStyle name="Normal 5 2 2 5 3 4" xfId="14047" xr:uid="{F7F39C17-94F3-457C-97F1-1E6C307154D4}"/>
    <cellStyle name="Normal 5 2 2 5 3 5" xfId="23297" xr:uid="{19DD00EA-92D7-4AF6-8A26-7937FAB21872}"/>
    <cellStyle name="Normal 5 2 2 5 3 6" xfId="9836" xr:uid="{1124D2B2-30A1-419C-AEA3-EC4EB1B9C443}"/>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20816" xr:uid="{792B980C-4581-4ECC-B6D6-2951D5C6A4F6}"/>
    <cellStyle name="Normal 5 2 2 5 4 2 3" xfId="16605" xr:uid="{3C63DD71-E7BA-4A98-BEB5-35F6EAD02F79}"/>
    <cellStyle name="Normal 5 2 2 5 4 2 4" xfId="25855" xr:uid="{CC6CBF5F-D27B-4647-99A6-732E2A3961EC}"/>
    <cellStyle name="Normal 5 2 2 5 4 2 5" xfId="12394" xr:uid="{138111A8-315F-49DA-A675-575DBC7CA323}"/>
    <cellStyle name="Normal 5 2 2 5 4 3" xfId="6038" xr:uid="{00000000-0005-0000-0000-000019180000}"/>
    <cellStyle name="Normal 5 2 2 5 4 3 2" xfId="18671" xr:uid="{0F941BAE-E0C9-4B50-99B6-7C4CE5E74634}"/>
    <cellStyle name="Normal 5 2 2 5 4 4" xfId="14460" xr:uid="{107A23C4-C871-4D32-A7EB-691AA45254B1}"/>
    <cellStyle name="Normal 5 2 2 5 4 5" xfId="23710" xr:uid="{35D65BB7-5F9E-4E22-A8B7-2EB480A07F46}"/>
    <cellStyle name="Normal 5 2 2 5 4 6" xfId="10249" xr:uid="{049A0C4D-4D60-4B9B-9CD0-3AF58B2E0255}"/>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21229" xr:uid="{FC80E22B-43A3-4DEF-A401-04415CE0ABF0}"/>
    <cellStyle name="Normal 5 2 2 5 5 2 3" xfId="17018" xr:uid="{FFFE7DB0-220C-4B49-9ED1-C527DD5397FB}"/>
    <cellStyle name="Normal 5 2 2 5 5 2 4" xfId="26268" xr:uid="{C9002175-2EC8-44E8-8EAB-F9B5DFD6B0FF}"/>
    <cellStyle name="Normal 5 2 2 5 5 2 5" xfId="12807" xr:uid="{ABE5AF89-088D-4055-BE8B-3A18A89E388C}"/>
    <cellStyle name="Normal 5 2 2 5 5 3" xfId="6451" xr:uid="{00000000-0005-0000-0000-00001D180000}"/>
    <cellStyle name="Normal 5 2 2 5 5 3 2" xfId="19084" xr:uid="{874607B8-55B7-4A47-B6FD-157C957E7DBB}"/>
    <cellStyle name="Normal 5 2 2 5 5 4" xfId="14873" xr:uid="{A4AD5054-0E86-4161-B67B-4D8411D2BFFF}"/>
    <cellStyle name="Normal 5 2 2 5 5 5" xfId="24123" xr:uid="{8CF0995C-624F-4987-96A3-F1477D3F9096}"/>
    <cellStyle name="Normal 5 2 2 5 5 6" xfId="10662" xr:uid="{C190C871-5916-4F7D-8E65-8B431C73FE8B}"/>
    <cellStyle name="Normal 5 2 2 5 6" xfId="2579" xr:uid="{00000000-0005-0000-0000-00001E180000}"/>
    <cellStyle name="Normal 5 2 2 5 6 2" xfId="6864" xr:uid="{00000000-0005-0000-0000-00001F180000}"/>
    <cellStyle name="Normal 5 2 2 5 6 2 2" xfId="19497" xr:uid="{B51B2E6E-A9DE-433D-B914-D617F7DAEBDC}"/>
    <cellStyle name="Normal 5 2 2 5 6 3" xfId="15286" xr:uid="{389A9FDD-9210-428D-A9B0-B81B75E64108}"/>
    <cellStyle name="Normal 5 2 2 5 6 4" xfId="24536" xr:uid="{8721B7BD-9A4C-48BC-9C7C-DD9733AD2CE0}"/>
    <cellStyle name="Normal 5 2 2 5 6 5" xfId="11075" xr:uid="{5EBC338A-B169-416B-9290-3AE0B0339CC9}"/>
    <cellStyle name="Normal 5 2 2 5 7" xfId="4799" xr:uid="{00000000-0005-0000-0000-000020180000}"/>
    <cellStyle name="Normal 5 2 2 5 7 2" xfId="17432" xr:uid="{737E2161-1555-4FB9-B42F-EB1CBCEC2609}"/>
    <cellStyle name="Normal 5 2 2 5 8" xfId="21642" xr:uid="{E3E45AF2-F843-45EE-8FC4-65D485A3779A}"/>
    <cellStyle name="Normal 5 2 2 5 9" xfId="13221" xr:uid="{147E8431-3E8C-48D1-BDB0-2D8028BF0549}"/>
    <cellStyle name="Normal 5 2 2 6" xfId="883" xr:uid="{00000000-0005-0000-0000-000021180000}"/>
    <cellStyle name="Normal 5 2 2 6 2" xfId="3118" xr:uid="{00000000-0005-0000-0000-000022180000}"/>
    <cellStyle name="Normal 5 2 2 6 2 2" xfId="7342" xr:uid="{00000000-0005-0000-0000-000023180000}"/>
    <cellStyle name="Normal 5 2 2 6 2 2 2" xfId="19975" xr:uid="{4AD01F97-CAF1-4D00-B425-B3AFB7AE44FA}"/>
    <cellStyle name="Normal 5 2 2 6 2 3" xfId="15764" xr:uid="{A4837F09-3821-41A8-A13C-4F41AB2CB5D3}"/>
    <cellStyle name="Normal 5 2 2 6 2 4" xfId="25014" xr:uid="{D5AD4B09-B5AD-4F5D-86F8-A9550183C995}"/>
    <cellStyle name="Normal 5 2 2 6 2 5" xfId="11553" xr:uid="{AE85C24D-7BB9-481A-9146-D422329BF500}"/>
    <cellStyle name="Normal 5 2 2 6 3" xfId="5197" xr:uid="{00000000-0005-0000-0000-000024180000}"/>
    <cellStyle name="Normal 5 2 2 6 3 2" xfId="17830" xr:uid="{5F2FCD25-E272-493D-B0C4-CE1DAB363871}"/>
    <cellStyle name="Normal 5 2 2 6 4" xfId="22042" xr:uid="{BF9F7CB8-E02A-41BA-A4FF-B54BFC804073}"/>
    <cellStyle name="Normal 5 2 2 6 5" xfId="13619" xr:uid="{6C2D0181-0206-4842-A9D9-635851FA211D}"/>
    <cellStyle name="Normal 5 2 2 6 6" xfId="22869" xr:uid="{9F0FF9C1-6F16-417A-AD72-B967D847AC03}"/>
    <cellStyle name="Normal 5 2 2 6 7" xfId="9408" xr:uid="{F1D419EA-3E38-4337-95A3-4D96B1D39C1B}"/>
    <cellStyle name="Normal 5 2 2 7" xfId="1301" xr:uid="{00000000-0005-0000-0000-000025180000}"/>
    <cellStyle name="Normal 5 2 2 7 2" xfId="3531" xr:uid="{00000000-0005-0000-0000-000026180000}"/>
    <cellStyle name="Normal 5 2 2 7 2 2" xfId="7755" xr:uid="{00000000-0005-0000-0000-000027180000}"/>
    <cellStyle name="Normal 5 2 2 7 2 2 2" xfId="20388" xr:uid="{0F17AF15-FC44-4CAE-9646-6A37E5109F96}"/>
    <cellStyle name="Normal 5 2 2 7 2 3" xfId="16177" xr:uid="{E7A14905-51AB-4353-953B-4917453FE668}"/>
    <cellStyle name="Normal 5 2 2 7 2 4" xfId="25427" xr:uid="{9FA83ED3-EF6B-4F22-A816-217522EEC6DA}"/>
    <cellStyle name="Normal 5 2 2 7 2 5" xfId="11966" xr:uid="{A2A2D729-5839-4818-B165-AE5B23AC3782}"/>
    <cellStyle name="Normal 5 2 2 7 3" xfId="5610" xr:uid="{00000000-0005-0000-0000-000028180000}"/>
    <cellStyle name="Normal 5 2 2 7 3 2" xfId="18243" xr:uid="{473614A5-1BC3-4EED-A507-FE2824862246}"/>
    <cellStyle name="Normal 5 2 2 7 4" xfId="14032" xr:uid="{69BFE6F6-257D-4904-8EA2-508189D3FB0C}"/>
    <cellStyle name="Normal 5 2 2 7 5" xfId="23282" xr:uid="{778C9E29-E0ED-4166-835C-4D010092245D}"/>
    <cellStyle name="Normal 5 2 2 7 6" xfId="9821" xr:uid="{B73086C9-A7D8-4024-8ECD-FE079F919B0D}"/>
    <cellStyle name="Normal 5 2 2 8" xfId="1714" xr:uid="{00000000-0005-0000-0000-000029180000}"/>
    <cellStyle name="Normal 5 2 2 8 2" xfId="3944" xr:uid="{00000000-0005-0000-0000-00002A180000}"/>
    <cellStyle name="Normal 5 2 2 8 2 2" xfId="8168" xr:uid="{00000000-0005-0000-0000-00002B180000}"/>
    <cellStyle name="Normal 5 2 2 8 2 2 2" xfId="20801" xr:uid="{E35CAA9C-92D9-41F5-8455-AEB9A96592CB}"/>
    <cellStyle name="Normal 5 2 2 8 2 3" xfId="16590" xr:uid="{EAAB0254-C3D3-4BAD-8FCA-DB3715AC6551}"/>
    <cellStyle name="Normal 5 2 2 8 2 4" xfId="25840" xr:uid="{93461C7B-6997-4393-AEF9-FFFA1C932E74}"/>
    <cellStyle name="Normal 5 2 2 8 2 5" xfId="12379" xr:uid="{8D779D0D-E72B-466C-99F6-8DE64D98901D}"/>
    <cellStyle name="Normal 5 2 2 8 3" xfId="6023" xr:uid="{00000000-0005-0000-0000-00002C180000}"/>
    <cellStyle name="Normal 5 2 2 8 3 2" xfId="18656" xr:uid="{D300FC97-1FA4-438E-A12A-852DA0D96312}"/>
    <cellStyle name="Normal 5 2 2 8 4" xfId="14445" xr:uid="{23EB23BE-6128-4891-A6E8-7D255277EB4D}"/>
    <cellStyle name="Normal 5 2 2 8 5" xfId="23695" xr:uid="{CE1256D5-15DB-451B-9B66-E695A6E27048}"/>
    <cellStyle name="Normal 5 2 2 8 6" xfId="10234" xr:uid="{C71C18BE-D7E0-41E5-9F78-918CF7D6FC82}"/>
    <cellStyle name="Normal 5 2 2 9" xfId="2128" xr:uid="{00000000-0005-0000-0000-00002D180000}"/>
    <cellStyle name="Normal 5 2 2 9 2" xfId="4357" xr:uid="{00000000-0005-0000-0000-00002E180000}"/>
    <cellStyle name="Normal 5 2 2 9 2 2" xfId="8581" xr:uid="{00000000-0005-0000-0000-00002F180000}"/>
    <cellStyle name="Normal 5 2 2 9 2 2 2" xfId="21214" xr:uid="{32D9E5EF-B9CA-45FE-BE42-85E18A5D59D9}"/>
    <cellStyle name="Normal 5 2 2 9 2 3" xfId="17003" xr:uid="{9A84CB3B-BACB-4843-88FE-C743550B9CD2}"/>
    <cellStyle name="Normal 5 2 2 9 2 4" xfId="26253" xr:uid="{93B639C7-8E75-4762-918B-30A7C899D1B1}"/>
    <cellStyle name="Normal 5 2 2 9 2 5" xfId="12792" xr:uid="{2DCC112C-E13B-43C8-9906-68CB418D5454}"/>
    <cellStyle name="Normal 5 2 2 9 3" xfId="6436" xr:uid="{00000000-0005-0000-0000-000030180000}"/>
    <cellStyle name="Normal 5 2 2 9 3 2" xfId="19069" xr:uid="{61F6B0C9-9616-431B-8023-63317B2DD746}"/>
    <cellStyle name="Normal 5 2 2 9 4" xfId="14858" xr:uid="{2413C7F0-6202-484C-A458-28B6C250C7C9}"/>
    <cellStyle name="Normal 5 2 2 9 5" xfId="24108" xr:uid="{0679B4A5-1658-4D17-BE51-CC07438630FA}"/>
    <cellStyle name="Normal 5 2 2 9 6" xfId="10647" xr:uid="{B985DA43-7655-4EBC-9D61-38A4693E42CC}"/>
    <cellStyle name="Normal 5 2 3" xfId="424" xr:uid="{00000000-0005-0000-0000-000031180000}"/>
    <cellStyle name="Normal 5 2 3 10" xfId="4800" xr:uid="{00000000-0005-0000-0000-000032180000}"/>
    <cellStyle name="Normal 5 2 3 10 2" xfId="17433" xr:uid="{19F73750-A54E-4356-ACA8-78999A5E80F4}"/>
    <cellStyle name="Normal 5 2 3 11" xfId="21643" xr:uid="{44942BEC-C7D0-49F5-B4BC-2B664BB2B8AB}"/>
    <cellStyle name="Normal 5 2 3 12" xfId="13222" xr:uid="{D7660478-2B37-4D92-9CB8-0DB9762A2BEC}"/>
    <cellStyle name="Normal 5 2 3 13" xfId="22472" xr:uid="{8EDD1B96-092E-46B5-9095-F79522409BC7}"/>
    <cellStyle name="Normal 5 2 3 14" xfId="9011" xr:uid="{E5DFF02D-2337-4FDD-8BC3-373FCBC2172A}"/>
    <cellStyle name="Normal 5 2 3 2" xfId="425" xr:uid="{00000000-0005-0000-0000-000033180000}"/>
    <cellStyle name="Normal 5 2 3 2 10" xfId="21644" xr:uid="{52F361CF-3BF9-4153-9370-031DB225331F}"/>
    <cellStyle name="Normal 5 2 3 2 11" xfId="13223" xr:uid="{4395A707-EF1A-4AB4-8AA8-AF88F1FB6C76}"/>
    <cellStyle name="Normal 5 2 3 2 12" xfId="22473" xr:uid="{AC6C8470-AC6A-493B-A71E-8F56F7A1A0F9}"/>
    <cellStyle name="Normal 5 2 3 2 13" xfId="9012" xr:uid="{D032B659-1193-4AB1-B0FD-9151CE1B27EB}"/>
    <cellStyle name="Normal 5 2 3 2 2" xfId="426" xr:uid="{00000000-0005-0000-0000-000034180000}"/>
    <cellStyle name="Normal 5 2 3 2 2 10" xfId="13224" xr:uid="{4F7E4436-1357-489B-9175-74D5197E8264}"/>
    <cellStyle name="Normal 5 2 3 2 2 11" xfId="22474" xr:uid="{075C7DDC-9F71-4125-AED1-0F86FC0BC4FA}"/>
    <cellStyle name="Normal 5 2 3 2 2 12" xfId="9013" xr:uid="{85730E6E-CF59-4255-90F1-9F7BF3186483}"/>
    <cellStyle name="Normal 5 2 3 2 2 2" xfId="427" xr:uid="{00000000-0005-0000-0000-000035180000}"/>
    <cellStyle name="Normal 5 2 3 2 2 2 10" xfId="22475" xr:uid="{51562781-6F11-4232-851E-DE027E299B58}"/>
    <cellStyle name="Normal 5 2 3 2 2 2 11" xfId="9014" xr:uid="{1C838B8D-0C90-41F5-804B-3F3D1A473723}"/>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9994" xr:uid="{097F1C7F-30DC-4192-BAA1-41278A199325}"/>
    <cellStyle name="Normal 5 2 3 2 2 2 2 2 3" xfId="15783" xr:uid="{9FFD2090-9B4A-49CF-93A8-EF7045D37DDC}"/>
    <cellStyle name="Normal 5 2 3 2 2 2 2 2 4" xfId="25033" xr:uid="{E9C4B228-9750-4966-AF24-6C04593A6A88}"/>
    <cellStyle name="Normal 5 2 3 2 2 2 2 2 5" xfId="11572" xr:uid="{28CC4AA9-2B55-4D42-8146-9FCB8E600A8A}"/>
    <cellStyle name="Normal 5 2 3 2 2 2 2 3" xfId="5216" xr:uid="{00000000-0005-0000-0000-000039180000}"/>
    <cellStyle name="Normal 5 2 3 2 2 2 2 3 2" xfId="17849" xr:uid="{C0158024-0185-4DEB-9B3A-37376F955B38}"/>
    <cellStyle name="Normal 5 2 3 2 2 2 2 4" xfId="22061" xr:uid="{DC473097-47C3-4061-BF01-57A2E590EC82}"/>
    <cellStyle name="Normal 5 2 3 2 2 2 2 5" xfId="13638" xr:uid="{3FA92BD6-F960-45C9-BC76-34B4D7C3D088}"/>
    <cellStyle name="Normal 5 2 3 2 2 2 2 6" xfId="22888" xr:uid="{0A8991AF-5FF0-42D6-921D-14129B312C7E}"/>
    <cellStyle name="Normal 5 2 3 2 2 2 2 7" xfId="9427" xr:uid="{ED08DB1D-9939-4C0C-9F33-7159A47B7CC2}"/>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20407" xr:uid="{D3F4E75D-6075-4D6F-B16C-2813228D8E85}"/>
    <cellStyle name="Normal 5 2 3 2 2 2 3 2 3" xfId="16196" xr:uid="{8E8B2F15-3B6B-4F4D-9770-60A3EFF8961E}"/>
    <cellStyle name="Normal 5 2 3 2 2 2 3 2 4" xfId="25446" xr:uid="{2931749E-2F13-4F7F-A148-00DC28BAB715}"/>
    <cellStyle name="Normal 5 2 3 2 2 2 3 2 5" xfId="11985" xr:uid="{39EB9D72-824F-4307-9021-45ED3737AB83}"/>
    <cellStyle name="Normal 5 2 3 2 2 2 3 3" xfId="5629" xr:uid="{00000000-0005-0000-0000-00003D180000}"/>
    <cellStyle name="Normal 5 2 3 2 2 2 3 3 2" xfId="18262" xr:uid="{3170CA17-493C-42CD-901F-4B7D2F9C2491}"/>
    <cellStyle name="Normal 5 2 3 2 2 2 3 4" xfId="14051" xr:uid="{2B11B9BF-622A-477C-B36F-6DE73FBF5012}"/>
    <cellStyle name="Normal 5 2 3 2 2 2 3 5" xfId="23301" xr:uid="{633CB754-3394-4D24-8F6A-393A8EAE8433}"/>
    <cellStyle name="Normal 5 2 3 2 2 2 3 6" xfId="9840" xr:uid="{40D67086-9734-4A5D-858B-50FBE72C9834}"/>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20820" xr:uid="{1ACBB9CF-00F8-47FF-9C13-F7E4D546E44E}"/>
    <cellStyle name="Normal 5 2 3 2 2 2 4 2 3" xfId="16609" xr:uid="{A0638815-B32F-4534-A2E1-73C45626D80F}"/>
    <cellStyle name="Normal 5 2 3 2 2 2 4 2 4" xfId="25859" xr:uid="{AC4B2104-903E-4BC2-9119-1117F248B211}"/>
    <cellStyle name="Normal 5 2 3 2 2 2 4 2 5" xfId="12398" xr:uid="{BE81B900-067C-4C25-BCBF-9D365746BF63}"/>
    <cellStyle name="Normal 5 2 3 2 2 2 4 3" xfId="6042" xr:uid="{00000000-0005-0000-0000-000041180000}"/>
    <cellStyle name="Normal 5 2 3 2 2 2 4 3 2" xfId="18675" xr:uid="{50923ECF-31A1-4DBC-A0B8-F75E7CDD5704}"/>
    <cellStyle name="Normal 5 2 3 2 2 2 4 4" xfId="14464" xr:uid="{28BB5B48-CA97-46E0-B89D-48117078EAC8}"/>
    <cellStyle name="Normal 5 2 3 2 2 2 4 5" xfId="23714" xr:uid="{4903C9A3-FF91-4711-BCC4-2C39F4A7C7A9}"/>
    <cellStyle name="Normal 5 2 3 2 2 2 4 6" xfId="10253" xr:uid="{E9E906E9-7223-4065-9B39-7836738EFE48}"/>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21233" xr:uid="{7B846849-F2AD-49D6-B15A-BD3E0F3B4988}"/>
    <cellStyle name="Normal 5 2 3 2 2 2 5 2 3" xfId="17022" xr:uid="{2E9DA771-FF54-4077-BA29-3602EF19C997}"/>
    <cellStyle name="Normal 5 2 3 2 2 2 5 2 4" xfId="26272" xr:uid="{9B56B041-3418-441C-9757-C02DA144F290}"/>
    <cellStyle name="Normal 5 2 3 2 2 2 5 2 5" xfId="12811" xr:uid="{33ED7855-50F7-40DC-B905-401D141DB3A6}"/>
    <cellStyle name="Normal 5 2 3 2 2 2 5 3" xfId="6455" xr:uid="{00000000-0005-0000-0000-000045180000}"/>
    <cellStyle name="Normal 5 2 3 2 2 2 5 3 2" xfId="19088" xr:uid="{4BB2ADC7-D9E5-40ED-8140-9B34AB42C287}"/>
    <cellStyle name="Normal 5 2 3 2 2 2 5 4" xfId="14877" xr:uid="{92C21075-75FC-4568-9D88-567E54801ECA}"/>
    <cellStyle name="Normal 5 2 3 2 2 2 5 5" xfId="24127" xr:uid="{62BAD862-FFED-4848-A6A1-F8E8A4F1D208}"/>
    <cellStyle name="Normal 5 2 3 2 2 2 5 6" xfId="10666" xr:uid="{CBEA1B46-548C-4C88-A64E-E11CE9A7B7CC}"/>
    <cellStyle name="Normal 5 2 3 2 2 2 6" xfId="2583" xr:uid="{00000000-0005-0000-0000-000046180000}"/>
    <cellStyle name="Normal 5 2 3 2 2 2 6 2" xfId="6868" xr:uid="{00000000-0005-0000-0000-000047180000}"/>
    <cellStyle name="Normal 5 2 3 2 2 2 6 2 2" xfId="19501" xr:uid="{7B4EFA86-E7BA-4E35-A74A-E6BF08F9D361}"/>
    <cellStyle name="Normal 5 2 3 2 2 2 6 3" xfId="15290" xr:uid="{6857F126-5AD7-49BF-A832-F6ECB4EF76AE}"/>
    <cellStyle name="Normal 5 2 3 2 2 2 6 4" xfId="24540" xr:uid="{6092C277-D604-401B-8CDF-679A19081EC0}"/>
    <cellStyle name="Normal 5 2 3 2 2 2 6 5" xfId="11079" xr:uid="{66BD349E-ACC6-4784-8A2E-F3CA8DBBF0AA}"/>
    <cellStyle name="Normal 5 2 3 2 2 2 7" xfId="4803" xr:uid="{00000000-0005-0000-0000-000048180000}"/>
    <cellStyle name="Normal 5 2 3 2 2 2 7 2" xfId="17436" xr:uid="{CAE6765B-52B1-45BB-B20E-05D95A8B1770}"/>
    <cellStyle name="Normal 5 2 3 2 2 2 8" xfId="21646" xr:uid="{232770EC-0A53-43ED-97CC-146A19CBE44F}"/>
    <cellStyle name="Normal 5 2 3 2 2 2 9" xfId="13225" xr:uid="{2D174140-1785-4E53-8277-A605C0C7BEBD}"/>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9993" xr:uid="{6512B9EB-2973-4550-BEF0-15BEB57A15F0}"/>
    <cellStyle name="Normal 5 2 3 2 2 3 2 3" xfId="15782" xr:uid="{A8EF0221-9D6B-4165-BE81-7CFD4D369152}"/>
    <cellStyle name="Normal 5 2 3 2 2 3 2 4" xfId="25032" xr:uid="{018B4122-60FD-4A27-92AA-61E77D89DABE}"/>
    <cellStyle name="Normal 5 2 3 2 2 3 2 5" xfId="11571" xr:uid="{E2F93D30-BD57-42B2-BE8A-9A1D760E311D}"/>
    <cellStyle name="Normal 5 2 3 2 2 3 3" xfId="5215" xr:uid="{00000000-0005-0000-0000-00004C180000}"/>
    <cellStyle name="Normal 5 2 3 2 2 3 3 2" xfId="17848" xr:uid="{D8054E0C-55D4-46C1-A4B4-7102020CB80F}"/>
    <cellStyle name="Normal 5 2 3 2 2 3 4" xfId="22060" xr:uid="{1B3710B1-F236-4315-8FF5-07A9C413BF3B}"/>
    <cellStyle name="Normal 5 2 3 2 2 3 5" xfId="13637" xr:uid="{801BB5A8-0B44-4504-87A3-BF9D8A6A60A1}"/>
    <cellStyle name="Normal 5 2 3 2 2 3 6" xfId="22887" xr:uid="{88E5C8FB-76DE-4EDF-867B-5D78F6CD1218}"/>
    <cellStyle name="Normal 5 2 3 2 2 3 7" xfId="9426" xr:uid="{25B62B20-F642-4EBC-A017-192FF6C79567}"/>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20406" xr:uid="{4B339AEA-EFF0-4062-839D-D3EF0B3EEB5E}"/>
    <cellStyle name="Normal 5 2 3 2 2 4 2 3" xfId="16195" xr:uid="{774AD9B2-88AA-4C2E-BADB-584E71AF37C9}"/>
    <cellStyle name="Normal 5 2 3 2 2 4 2 4" xfId="25445" xr:uid="{D502F8A7-31F2-415F-A0CA-72BD40B93E0B}"/>
    <cellStyle name="Normal 5 2 3 2 2 4 2 5" xfId="11984" xr:uid="{60637D1F-A4B1-4189-AB41-275371EC47FD}"/>
    <cellStyle name="Normal 5 2 3 2 2 4 3" xfId="5628" xr:uid="{00000000-0005-0000-0000-000050180000}"/>
    <cellStyle name="Normal 5 2 3 2 2 4 3 2" xfId="18261" xr:uid="{E21CEA1D-A986-40C5-A4BA-2D06F19F96A4}"/>
    <cellStyle name="Normal 5 2 3 2 2 4 4" xfId="14050" xr:uid="{FFC49B93-3143-459E-89DC-0EF54ADD4EAC}"/>
    <cellStyle name="Normal 5 2 3 2 2 4 5" xfId="23300" xr:uid="{42FC819F-45F9-4387-93C3-756A52FF4234}"/>
    <cellStyle name="Normal 5 2 3 2 2 4 6" xfId="9839" xr:uid="{E9D67944-BFB4-402D-8226-7FE10CD6C70B}"/>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20819" xr:uid="{5DC3231C-330F-4244-ACAB-FCD997F4A56B}"/>
    <cellStyle name="Normal 5 2 3 2 2 5 2 3" xfId="16608" xr:uid="{C56ECD23-76C8-4E19-81DE-0EB4CDF25687}"/>
    <cellStyle name="Normal 5 2 3 2 2 5 2 4" xfId="25858" xr:uid="{AF85D650-F54A-4EBC-9A84-A50C5709CF8C}"/>
    <cellStyle name="Normal 5 2 3 2 2 5 2 5" xfId="12397" xr:uid="{6D4D67D1-DA24-4224-AE22-516D441A66DD}"/>
    <cellStyle name="Normal 5 2 3 2 2 5 3" xfId="6041" xr:uid="{00000000-0005-0000-0000-000054180000}"/>
    <cellStyle name="Normal 5 2 3 2 2 5 3 2" xfId="18674" xr:uid="{AF7968A7-22EF-4366-BC02-2A816151F64D}"/>
    <cellStyle name="Normal 5 2 3 2 2 5 4" xfId="14463" xr:uid="{B5538E8E-BCB5-4658-AACA-F150EE8B7C6D}"/>
    <cellStyle name="Normal 5 2 3 2 2 5 5" xfId="23713" xr:uid="{BFC2EBC1-A38C-4140-9F79-21A00E2002F1}"/>
    <cellStyle name="Normal 5 2 3 2 2 5 6" xfId="10252" xr:uid="{DBA05484-A65C-41D5-8D6E-CD3F84FD35FF}"/>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21232" xr:uid="{F99DEC8D-FBD8-4C2E-ADFC-EBA492DA083C}"/>
    <cellStyle name="Normal 5 2 3 2 2 6 2 3" xfId="17021" xr:uid="{BF84FD17-F707-481C-A0AB-C4EDA5C2EBE3}"/>
    <cellStyle name="Normal 5 2 3 2 2 6 2 4" xfId="26271" xr:uid="{727B43E3-72E7-4F17-8A05-3818EE9023A7}"/>
    <cellStyle name="Normal 5 2 3 2 2 6 2 5" xfId="12810" xr:uid="{2EDA57E5-A2D6-479F-AC14-0BE02AFEFAC9}"/>
    <cellStyle name="Normal 5 2 3 2 2 6 3" xfId="6454" xr:uid="{00000000-0005-0000-0000-000058180000}"/>
    <cellStyle name="Normal 5 2 3 2 2 6 3 2" xfId="19087" xr:uid="{F746D8EE-553B-4673-A9D3-0E47E8C061F2}"/>
    <cellStyle name="Normal 5 2 3 2 2 6 4" xfId="14876" xr:uid="{9456330A-813C-4ACC-83ED-7535CE771909}"/>
    <cellStyle name="Normal 5 2 3 2 2 6 5" xfId="24126" xr:uid="{7F3F3021-A75D-4A4B-986A-2295D84346F4}"/>
    <cellStyle name="Normal 5 2 3 2 2 6 6" xfId="10665" xr:uid="{E96DBCE6-9408-4DC7-B2EE-98FDE3C7743A}"/>
    <cellStyle name="Normal 5 2 3 2 2 7" xfId="2582" xr:uid="{00000000-0005-0000-0000-000059180000}"/>
    <cellStyle name="Normal 5 2 3 2 2 7 2" xfId="6867" xr:uid="{00000000-0005-0000-0000-00005A180000}"/>
    <cellStyle name="Normal 5 2 3 2 2 7 2 2" xfId="19500" xr:uid="{5BC1020B-DF66-45D6-BB4A-945CD520F785}"/>
    <cellStyle name="Normal 5 2 3 2 2 7 3" xfId="15289" xr:uid="{B8EDB5BF-E889-47B9-A253-F38690A6C721}"/>
    <cellStyle name="Normal 5 2 3 2 2 7 4" xfId="24539" xr:uid="{58D26F26-446D-4E20-95CA-EBC349508390}"/>
    <cellStyle name="Normal 5 2 3 2 2 7 5" xfId="11078" xr:uid="{B3130E7B-8007-4168-8ACF-93027CFDE475}"/>
    <cellStyle name="Normal 5 2 3 2 2 8" xfId="4802" xr:uid="{00000000-0005-0000-0000-00005B180000}"/>
    <cellStyle name="Normal 5 2 3 2 2 8 2" xfId="17435" xr:uid="{791223EC-7DC7-48BF-AA2B-A8E43EB54035}"/>
    <cellStyle name="Normal 5 2 3 2 2 9" xfId="21645" xr:uid="{F2AA555A-4532-4710-956E-FC2CB28DE4E0}"/>
    <cellStyle name="Normal 5 2 3 2 3" xfId="428" xr:uid="{00000000-0005-0000-0000-00005C180000}"/>
    <cellStyle name="Normal 5 2 3 2 3 10" xfId="22476" xr:uid="{3B128E81-2F6E-43F5-841C-5023E2E41209}"/>
    <cellStyle name="Normal 5 2 3 2 3 11" xfId="9015" xr:uid="{7C54C413-C4B9-4601-94DF-8057CE6FA75E}"/>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9995" xr:uid="{29C6A092-BF3F-4C27-9BDF-F191FF853A17}"/>
    <cellStyle name="Normal 5 2 3 2 3 2 2 3" xfId="15784" xr:uid="{58CCEB19-074C-4D79-A806-8D938BBBE0D1}"/>
    <cellStyle name="Normal 5 2 3 2 3 2 2 4" xfId="25034" xr:uid="{285BA749-CF2F-4711-A287-05813509094C}"/>
    <cellStyle name="Normal 5 2 3 2 3 2 2 5" xfId="11573" xr:uid="{1FCA20F7-77EF-47A4-A8A7-09202AC08EC3}"/>
    <cellStyle name="Normal 5 2 3 2 3 2 3" xfId="5217" xr:uid="{00000000-0005-0000-0000-000060180000}"/>
    <cellStyle name="Normal 5 2 3 2 3 2 3 2" xfId="17850" xr:uid="{527D34A5-18DA-45F9-8F93-CED22B8EA185}"/>
    <cellStyle name="Normal 5 2 3 2 3 2 4" xfId="22062" xr:uid="{B9820F9A-5384-4B7E-995E-3479C27E4BAF}"/>
    <cellStyle name="Normal 5 2 3 2 3 2 5" xfId="13639" xr:uid="{4E79DAF9-AE4C-420D-841F-2389154D5D40}"/>
    <cellStyle name="Normal 5 2 3 2 3 2 6" xfId="22889" xr:uid="{B825357A-7A18-4945-B601-FD6C66947307}"/>
    <cellStyle name="Normal 5 2 3 2 3 2 7" xfId="9428" xr:uid="{899E6185-0E03-4111-89FD-E44A34A664F3}"/>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20408" xr:uid="{80ED3CDE-8238-4BC7-86B6-8DB6C2030F4F}"/>
    <cellStyle name="Normal 5 2 3 2 3 3 2 3" xfId="16197" xr:uid="{64E3DDCC-FDAE-46C4-93BE-12BE545B4189}"/>
    <cellStyle name="Normal 5 2 3 2 3 3 2 4" xfId="25447" xr:uid="{81D8A411-EE1B-4588-9DB9-8E8C079B72B6}"/>
    <cellStyle name="Normal 5 2 3 2 3 3 2 5" xfId="11986" xr:uid="{07650BF5-9D47-4FF1-A962-CEBEC4BAC6F3}"/>
    <cellStyle name="Normal 5 2 3 2 3 3 3" xfId="5630" xr:uid="{00000000-0005-0000-0000-000064180000}"/>
    <cellStyle name="Normal 5 2 3 2 3 3 3 2" xfId="18263" xr:uid="{65445780-72AF-4A04-AAB9-B21943D43871}"/>
    <cellStyle name="Normal 5 2 3 2 3 3 4" xfId="14052" xr:uid="{A64BCD66-DDF7-4ECC-9344-AC5213C600CC}"/>
    <cellStyle name="Normal 5 2 3 2 3 3 5" xfId="23302" xr:uid="{803AB23F-1013-4CA4-BF8D-4A3AB95FCE10}"/>
    <cellStyle name="Normal 5 2 3 2 3 3 6" xfId="9841" xr:uid="{7DBBBCC3-E92D-4664-92C8-4FC646628A12}"/>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20821" xr:uid="{050BA4A1-9EB1-4F6B-A068-784DF4D52432}"/>
    <cellStyle name="Normal 5 2 3 2 3 4 2 3" xfId="16610" xr:uid="{7514DB6D-798F-4A3D-AE16-AC4A7CD1F395}"/>
    <cellStyle name="Normal 5 2 3 2 3 4 2 4" xfId="25860" xr:uid="{038FE749-0C1E-4F53-BB7E-D5F43309FFCF}"/>
    <cellStyle name="Normal 5 2 3 2 3 4 2 5" xfId="12399" xr:uid="{F9369222-95AE-42ED-9376-0FEB50B2D267}"/>
    <cellStyle name="Normal 5 2 3 2 3 4 3" xfId="6043" xr:uid="{00000000-0005-0000-0000-000068180000}"/>
    <cellStyle name="Normal 5 2 3 2 3 4 3 2" xfId="18676" xr:uid="{E6AB6314-EDEE-4B77-989D-CB09E104D506}"/>
    <cellStyle name="Normal 5 2 3 2 3 4 4" xfId="14465" xr:uid="{66175301-32DD-4F40-9DA7-6B1F41C3098A}"/>
    <cellStyle name="Normal 5 2 3 2 3 4 5" xfId="23715" xr:uid="{E5928BB8-9425-4092-AC94-8E7015B6563B}"/>
    <cellStyle name="Normal 5 2 3 2 3 4 6" xfId="10254" xr:uid="{977909C4-68A5-4852-B5E9-2694345F63B4}"/>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21234" xr:uid="{9E65EE78-FD5D-46F3-875A-81AE13225A64}"/>
    <cellStyle name="Normal 5 2 3 2 3 5 2 3" xfId="17023" xr:uid="{3971F401-3A32-41F0-A823-6F23BA979B38}"/>
    <cellStyle name="Normal 5 2 3 2 3 5 2 4" xfId="26273" xr:uid="{E93B0137-0F9A-484D-94CF-7BED7D06E150}"/>
    <cellStyle name="Normal 5 2 3 2 3 5 2 5" xfId="12812" xr:uid="{0D04BB77-8450-49F0-AA10-F1CBB366DB91}"/>
    <cellStyle name="Normal 5 2 3 2 3 5 3" xfId="6456" xr:uid="{00000000-0005-0000-0000-00006C180000}"/>
    <cellStyle name="Normal 5 2 3 2 3 5 3 2" xfId="19089" xr:uid="{A2177CA1-6FC9-474F-B655-78FB7A246459}"/>
    <cellStyle name="Normal 5 2 3 2 3 5 4" xfId="14878" xr:uid="{89B2FE3C-2378-49DE-8D18-00529EB9D6B5}"/>
    <cellStyle name="Normal 5 2 3 2 3 5 5" xfId="24128" xr:uid="{A538FD16-7AA2-4BFD-939E-F6C2F4F49251}"/>
    <cellStyle name="Normal 5 2 3 2 3 5 6" xfId="10667" xr:uid="{431BEA02-DEA2-436A-8462-9190045C320F}"/>
    <cellStyle name="Normal 5 2 3 2 3 6" xfId="2584" xr:uid="{00000000-0005-0000-0000-00006D180000}"/>
    <cellStyle name="Normal 5 2 3 2 3 6 2" xfId="6869" xr:uid="{00000000-0005-0000-0000-00006E180000}"/>
    <cellStyle name="Normal 5 2 3 2 3 6 2 2" xfId="19502" xr:uid="{DD895193-003C-44EB-B4E4-7C6065BD0DF9}"/>
    <cellStyle name="Normal 5 2 3 2 3 6 3" xfId="15291" xr:uid="{D03ABD8D-8DB7-42DF-A3D8-AC87FD10AF9D}"/>
    <cellStyle name="Normal 5 2 3 2 3 6 4" xfId="24541" xr:uid="{F1FAC765-A144-4D74-9877-DE92F9F92ABC}"/>
    <cellStyle name="Normal 5 2 3 2 3 6 5" xfId="11080" xr:uid="{EC2CB3A5-164F-4660-A0A6-89F0490170D2}"/>
    <cellStyle name="Normal 5 2 3 2 3 7" xfId="4804" xr:uid="{00000000-0005-0000-0000-00006F180000}"/>
    <cellStyle name="Normal 5 2 3 2 3 7 2" xfId="17437" xr:uid="{F1DEAE19-54E9-4A26-B77E-27AD31A46715}"/>
    <cellStyle name="Normal 5 2 3 2 3 8" xfId="21647" xr:uid="{7933B263-6C3D-4B09-9438-1C825631F555}"/>
    <cellStyle name="Normal 5 2 3 2 3 9" xfId="13226" xr:uid="{451596B9-17EB-443D-B9EB-65DC26762798}"/>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9992" xr:uid="{38BA3300-4C8C-4D08-9EB6-F629BCF43E41}"/>
    <cellStyle name="Normal 5 2 3 2 4 2 3" xfId="15781" xr:uid="{7F2BC32A-C8B6-4CE4-AE64-02E234F9A692}"/>
    <cellStyle name="Normal 5 2 3 2 4 2 4" xfId="25031" xr:uid="{5CB14624-2768-4768-BE56-62591578862E}"/>
    <cellStyle name="Normal 5 2 3 2 4 2 5" xfId="11570" xr:uid="{F26F6F49-E1FD-4765-AB56-1316DE3006DD}"/>
    <cellStyle name="Normal 5 2 3 2 4 3" xfId="5214" xr:uid="{00000000-0005-0000-0000-000073180000}"/>
    <cellStyle name="Normal 5 2 3 2 4 3 2" xfId="17847" xr:uid="{075ADBFC-862D-4A91-A001-D998C019AB3C}"/>
    <cellStyle name="Normal 5 2 3 2 4 4" xfId="22059" xr:uid="{5BB7B9CB-BCAE-47E7-B0E0-A2585BC32E6D}"/>
    <cellStyle name="Normal 5 2 3 2 4 5" xfId="13636" xr:uid="{E77F190D-B5DB-488D-916A-50C8B5CEBDD7}"/>
    <cellStyle name="Normal 5 2 3 2 4 6" xfId="22886" xr:uid="{5AB5D3A2-B829-45CF-98DA-A00855004E89}"/>
    <cellStyle name="Normal 5 2 3 2 4 7" xfId="9425" xr:uid="{FF3657FF-B389-49FE-86A0-FDD424FDFA84}"/>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20405" xr:uid="{484379DE-D6E7-4BB8-8B70-5D8B4495FE5D}"/>
    <cellStyle name="Normal 5 2 3 2 5 2 3" xfId="16194" xr:uid="{C8EA4BC0-A58B-4615-A2F1-25A143740FF0}"/>
    <cellStyle name="Normal 5 2 3 2 5 2 4" xfId="25444" xr:uid="{93696FA2-6332-4537-98D0-6446168E4818}"/>
    <cellStyle name="Normal 5 2 3 2 5 2 5" xfId="11983" xr:uid="{F50AD899-13CC-410E-8FD5-C373A71AF18F}"/>
    <cellStyle name="Normal 5 2 3 2 5 3" xfId="5627" xr:uid="{00000000-0005-0000-0000-000077180000}"/>
    <cellStyle name="Normal 5 2 3 2 5 3 2" xfId="18260" xr:uid="{2591D75B-6444-45F4-AC8C-8DCDE4CAF66A}"/>
    <cellStyle name="Normal 5 2 3 2 5 4" xfId="14049" xr:uid="{166FB329-C890-437C-B73E-AA8473438E83}"/>
    <cellStyle name="Normal 5 2 3 2 5 5" xfId="23299" xr:uid="{78C3E7FE-82BE-41DE-9047-EBED27418A16}"/>
    <cellStyle name="Normal 5 2 3 2 5 6" xfId="9838" xr:uid="{6E3EF5D7-6945-48C2-AB21-38FB46AB17AF}"/>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20818" xr:uid="{064CBBA0-0AE2-40C9-B89B-2F75E55244ED}"/>
    <cellStyle name="Normal 5 2 3 2 6 2 3" xfId="16607" xr:uid="{EE32F895-8A86-4F0B-B856-889C8AA58289}"/>
    <cellStyle name="Normal 5 2 3 2 6 2 4" xfId="25857" xr:uid="{5FD12567-0139-4BA2-9537-F3C534D52589}"/>
    <cellStyle name="Normal 5 2 3 2 6 2 5" xfId="12396" xr:uid="{D2C0CC85-ED2C-423A-8182-08F8E92A8673}"/>
    <cellStyle name="Normal 5 2 3 2 6 3" xfId="6040" xr:uid="{00000000-0005-0000-0000-00007B180000}"/>
    <cellStyle name="Normal 5 2 3 2 6 3 2" xfId="18673" xr:uid="{8611ECBB-9DB6-4493-905A-A4F62F2D02CE}"/>
    <cellStyle name="Normal 5 2 3 2 6 4" xfId="14462" xr:uid="{28B1BA85-DE61-4913-A4BB-98FD1A83C6B3}"/>
    <cellStyle name="Normal 5 2 3 2 6 5" xfId="23712" xr:uid="{28603E10-BECA-47C2-B4C1-254DADDB9EE9}"/>
    <cellStyle name="Normal 5 2 3 2 6 6" xfId="10251" xr:uid="{C30FC712-EB96-427C-9C0C-5EB64F9194A1}"/>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21231" xr:uid="{754C4185-F575-4426-A694-45FC02993369}"/>
    <cellStyle name="Normal 5 2 3 2 7 2 3" xfId="17020" xr:uid="{351E4325-557C-48C5-84AF-E8B6662F3E61}"/>
    <cellStyle name="Normal 5 2 3 2 7 2 4" xfId="26270" xr:uid="{CFCC41E4-32E5-4F17-866D-FAF7C6F58D44}"/>
    <cellStyle name="Normal 5 2 3 2 7 2 5" xfId="12809" xr:uid="{C7E8F07F-6E10-4A3E-A0C7-9FA742CCACD7}"/>
    <cellStyle name="Normal 5 2 3 2 7 3" xfId="6453" xr:uid="{00000000-0005-0000-0000-00007F180000}"/>
    <cellStyle name="Normal 5 2 3 2 7 3 2" xfId="19086" xr:uid="{D7DE5FB1-FCB8-4002-829B-3D98107C534F}"/>
    <cellStyle name="Normal 5 2 3 2 7 4" xfId="14875" xr:uid="{C52270C2-1FC4-4474-B429-1751F978C791}"/>
    <cellStyle name="Normal 5 2 3 2 7 5" xfId="24125" xr:uid="{E34E787C-3615-42A3-82FB-42B2626E21D4}"/>
    <cellStyle name="Normal 5 2 3 2 7 6" xfId="10664" xr:uid="{11D2DFE4-C748-4882-ACB4-0D820ADF943A}"/>
    <cellStyle name="Normal 5 2 3 2 8" xfId="2581" xr:uid="{00000000-0005-0000-0000-000080180000}"/>
    <cellStyle name="Normal 5 2 3 2 8 2" xfId="6866" xr:uid="{00000000-0005-0000-0000-000081180000}"/>
    <cellStyle name="Normal 5 2 3 2 8 2 2" xfId="19499" xr:uid="{085991B9-35F6-4ADF-81F8-7738B5FDC397}"/>
    <cellStyle name="Normal 5 2 3 2 8 3" xfId="15288" xr:uid="{BE5F7B4C-5D86-4DEF-BFB4-0F51134400E0}"/>
    <cellStyle name="Normal 5 2 3 2 8 4" xfId="24538" xr:uid="{551748B5-923D-41A1-9394-5B7DBFA157C0}"/>
    <cellStyle name="Normal 5 2 3 2 8 5" xfId="11077" xr:uid="{85281B3D-DA5C-40B8-B71D-D8E2919852EC}"/>
    <cellStyle name="Normal 5 2 3 2 9" xfId="4801" xr:uid="{00000000-0005-0000-0000-000082180000}"/>
    <cellStyle name="Normal 5 2 3 2 9 2" xfId="17434" xr:uid="{83A5FB0C-3A92-49CE-AD01-D4F287AEFA82}"/>
    <cellStyle name="Normal 5 2 3 3" xfId="429" xr:uid="{00000000-0005-0000-0000-000083180000}"/>
    <cellStyle name="Normal 5 2 3 3 10" xfId="13227" xr:uid="{29098034-DB8A-4BBC-951E-E55744D581B7}"/>
    <cellStyle name="Normal 5 2 3 3 11" xfId="22477" xr:uid="{51BDAEB0-AE5D-453F-8E74-556EB3AEBFBA}"/>
    <cellStyle name="Normal 5 2 3 3 12" xfId="9016" xr:uid="{FC1C4652-FDE7-4BC1-A60C-8B17A6D4A4E2}"/>
    <cellStyle name="Normal 5 2 3 3 2" xfId="430" xr:uid="{00000000-0005-0000-0000-000084180000}"/>
    <cellStyle name="Normal 5 2 3 3 2 10" xfId="22478" xr:uid="{F5575EE7-636B-420E-8956-1B4736F9940B}"/>
    <cellStyle name="Normal 5 2 3 3 2 11" xfId="9017" xr:uid="{B4A6DFD9-82F7-47E8-B3E2-F689C0ACD71D}"/>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9997" xr:uid="{0F92971A-510F-4D96-8910-5309FACE68A9}"/>
    <cellStyle name="Normal 5 2 3 3 2 2 2 3" xfId="15786" xr:uid="{877BAACE-E6EB-4331-AAEE-FAC3D4ABFE89}"/>
    <cellStyle name="Normal 5 2 3 3 2 2 2 4" xfId="25036" xr:uid="{A6347A6F-3E69-45DE-8332-629041A6960F}"/>
    <cellStyle name="Normal 5 2 3 3 2 2 2 5" xfId="11575" xr:uid="{EB2A0C74-60B7-4C76-A2AE-F36602BE3CFF}"/>
    <cellStyle name="Normal 5 2 3 3 2 2 3" xfId="5219" xr:uid="{00000000-0005-0000-0000-000088180000}"/>
    <cellStyle name="Normal 5 2 3 3 2 2 3 2" xfId="17852" xr:uid="{58F5D2AD-0C7C-4B52-B1CB-0C9CEF124947}"/>
    <cellStyle name="Normal 5 2 3 3 2 2 4" xfId="22064" xr:uid="{D98503F7-E114-4672-AD2D-02089FE67521}"/>
    <cellStyle name="Normal 5 2 3 3 2 2 5" xfId="13641" xr:uid="{C90F34A1-3DCF-49E5-9FAF-AE3AB3ADF47D}"/>
    <cellStyle name="Normal 5 2 3 3 2 2 6" xfId="22891" xr:uid="{20528E7E-8D7B-48CF-BED6-D6FB7C4B4616}"/>
    <cellStyle name="Normal 5 2 3 3 2 2 7" xfId="9430" xr:uid="{91E740E9-3459-47B0-A571-0291827B90D8}"/>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20410" xr:uid="{22005D48-CA14-4CA8-9CDE-F1E6166014EB}"/>
    <cellStyle name="Normal 5 2 3 3 2 3 2 3" xfId="16199" xr:uid="{79302634-BA1E-4386-93B5-A37683B4EF27}"/>
    <cellStyle name="Normal 5 2 3 3 2 3 2 4" xfId="25449" xr:uid="{B731858D-CB41-4538-8876-874F7077680B}"/>
    <cellStyle name="Normal 5 2 3 3 2 3 2 5" xfId="11988" xr:uid="{7588CE57-8171-4E3F-B86C-6F447701237F}"/>
    <cellStyle name="Normal 5 2 3 3 2 3 3" xfId="5632" xr:uid="{00000000-0005-0000-0000-00008C180000}"/>
    <cellStyle name="Normal 5 2 3 3 2 3 3 2" xfId="18265" xr:uid="{58525D9D-4725-4CC7-ADF0-0E494B8FE713}"/>
    <cellStyle name="Normal 5 2 3 3 2 3 4" xfId="14054" xr:uid="{AB5AD936-1DCD-4396-9E53-13D7B7DA708B}"/>
    <cellStyle name="Normal 5 2 3 3 2 3 5" xfId="23304" xr:uid="{1D003257-1911-442B-B491-95E87B8A2ADC}"/>
    <cellStyle name="Normal 5 2 3 3 2 3 6" xfId="9843" xr:uid="{307663DC-3B28-4054-B608-37786D5C40D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20823" xr:uid="{FC9C0660-EBBA-430A-8826-85FC4634E4A8}"/>
    <cellStyle name="Normal 5 2 3 3 2 4 2 3" xfId="16612" xr:uid="{D217FA0F-1620-40FA-B763-314DFB229A09}"/>
    <cellStyle name="Normal 5 2 3 3 2 4 2 4" xfId="25862" xr:uid="{51A414D3-3549-428A-BF57-BC677BA8A505}"/>
    <cellStyle name="Normal 5 2 3 3 2 4 2 5" xfId="12401" xr:uid="{9CB7D41A-DEB8-41A8-A6D9-5DD8BA1A59B4}"/>
    <cellStyle name="Normal 5 2 3 3 2 4 3" xfId="6045" xr:uid="{00000000-0005-0000-0000-000090180000}"/>
    <cellStyle name="Normal 5 2 3 3 2 4 3 2" xfId="18678" xr:uid="{3188BE00-04AB-41CD-BA3A-1D98A0753B62}"/>
    <cellStyle name="Normal 5 2 3 3 2 4 4" xfId="14467" xr:uid="{D9D1488A-99D8-4351-8BBF-2B94452537DD}"/>
    <cellStyle name="Normal 5 2 3 3 2 4 5" xfId="23717" xr:uid="{F6BE708C-0D6E-4F7C-A462-5145B52C5A88}"/>
    <cellStyle name="Normal 5 2 3 3 2 4 6" xfId="10256" xr:uid="{C1CD5369-1261-4D1A-BCE0-32E5E6E0538B}"/>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21236" xr:uid="{A52862E5-71AF-446F-85F1-16846251DD8F}"/>
    <cellStyle name="Normal 5 2 3 3 2 5 2 3" xfId="17025" xr:uid="{AA62AC22-82E1-472F-BEFD-F66665B3303D}"/>
    <cellStyle name="Normal 5 2 3 3 2 5 2 4" xfId="26275" xr:uid="{D9DDB74C-4A10-4B4A-AFC2-3D2D7A4DE501}"/>
    <cellStyle name="Normal 5 2 3 3 2 5 2 5" xfId="12814" xr:uid="{F471B3FE-D1FB-48B5-AE6B-A9AE1F2ABB1D}"/>
    <cellStyle name="Normal 5 2 3 3 2 5 3" xfId="6458" xr:uid="{00000000-0005-0000-0000-000094180000}"/>
    <cellStyle name="Normal 5 2 3 3 2 5 3 2" xfId="19091" xr:uid="{53067DCB-64C8-44DD-B9F9-01AEC865C174}"/>
    <cellStyle name="Normal 5 2 3 3 2 5 4" xfId="14880" xr:uid="{2DA685B3-320D-4C2C-AF4A-90909FD70631}"/>
    <cellStyle name="Normal 5 2 3 3 2 5 5" xfId="24130" xr:uid="{5E355565-DE41-432B-AA60-9796940C58D0}"/>
    <cellStyle name="Normal 5 2 3 3 2 5 6" xfId="10669" xr:uid="{532CE1B5-5891-425A-BE5B-DBD8FF11BC1B}"/>
    <cellStyle name="Normal 5 2 3 3 2 6" xfId="2586" xr:uid="{00000000-0005-0000-0000-000095180000}"/>
    <cellStyle name="Normal 5 2 3 3 2 6 2" xfId="6871" xr:uid="{00000000-0005-0000-0000-000096180000}"/>
    <cellStyle name="Normal 5 2 3 3 2 6 2 2" xfId="19504" xr:uid="{E0192D41-53BE-420A-9114-827382DAF792}"/>
    <cellStyle name="Normal 5 2 3 3 2 6 3" xfId="15293" xr:uid="{CD7ED401-2E7D-45FB-BD64-D1D47E1F67F4}"/>
    <cellStyle name="Normal 5 2 3 3 2 6 4" xfId="24543" xr:uid="{E19054D0-955D-499D-B948-0C39EABAC40C}"/>
    <cellStyle name="Normal 5 2 3 3 2 6 5" xfId="11082" xr:uid="{EF6D7ADF-5071-4983-AACF-FBA703A4E84A}"/>
    <cellStyle name="Normal 5 2 3 3 2 7" xfId="4806" xr:uid="{00000000-0005-0000-0000-000097180000}"/>
    <cellStyle name="Normal 5 2 3 3 2 7 2" xfId="17439" xr:uid="{5632974D-0A6D-4C9F-B66A-E22719B2EEE5}"/>
    <cellStyle name="Normal 5 2 3 3 2 8" xfId="21649" xr:uid="{DBC7D061-9B50-43E3-8FF4-672C8ED8CB6A}"/>
    <cellStyle name="Normal 5 2 3 3 2 9" xfId="13228" xr:uid="{0B5B6976-98A3-433A-9ABB-E1DA9C4C5117}"/>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9996" xr:uid="{DBD8106F-D0DE-4D0F-AE86-4E9B87DF946A}"/>
    <cellStyle name="Normal 5 2 3 3 3 2 3" xfId="15785" xr:uid="{6E30FF66-B5C3-4494-935E-C81D5F78FE92}"/>
    <cellStyle name="Normal 5 2 3 3 3 2 4" xfId="25035" xr:uid="{EF21D9C9-D92C-44C5-8F85-5A201DC9894A}"/>
    <cellStyle name="Normal 5 2 3 3 3 2 5" xfId="11574" xr:uid="{1AF9ECE4-AB62-4DBB-9206-F8906026F22D}"/>
    <cellStyle name="Normal 5 2 3 3 3 3" xfId="5218" xr:uid="{00000000-0005-0000-0000-00009B180000}"/>
    <cellStyle name="Normal 5 2 3 3 3 3 2" xfId="17851" xr:uid="{D6EFF846-3CD9-423B-8AE5-EB52A6465BA3}"/>
    <cellStyle name="Normal 5 2 3 3 3 4" xfId="22063" xr:uid="{51594877-04C2-43E5-B5C8-237265A4A560}"/>
    <cellStyle name="Normal 5 2 3 3 3 5" xfId="13640" xr:uid="{72DF46FB-00E9-402C-BFE9-1524BBF86680}"/>
    <cellStyle name="Normal 5 2 3 3 3 6" xfId="22890" xr:uid="{BBEFE24C-6469-430E-9195-649A6704F7ED}"/>
    <cellStyle name="Normal 5 2 3 3 3 7" xfId="9429" xr:uid="{C8F6712A-21B1-48AD-A26F-CD98849222B2}"/>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20409" xr:uid="{6FE0F7D5-D0E8-421D-B485-6DA9FA34378C}"/>
    <cellStyle name="Normal 5 2 3 3 4 2 3" xfId="16198" xr:uid="{03F41B2C-196B-4EE8-A103-FBB96BF05A38}"/>
    <cellStyle name="Normal 5 2 3 3 4 2 4" xfId="25448" xr:uid="{4FB30D21-6FE5-439B-85E8-18D79E5FAD7A}"/>
    <cellStyle name="Normal 5 2 3 3 4 2 5" xfId="11987" xr:uid="{7FC14539-3A88-49B1-9C94-28718946F8A8}"/>
    <cellStyle name="Normal 5 2 3 3 4 3" xfId="5631" xr:uid="{00000000-0005-0000-0000-00009F180000}"/>
    <cellStyle name="Normal 5 2 3 3 4 3 2" xfId="18264" xr:uid="{F011E9BF-0CB9-4EB3-A447-F6760D0B9F39}"/>
    <cellStyle name="Normal 5 2 3 3 4 4" xfId="14053" xr:uid="{681FA8C6-AAEE-4608-8DA7-7307889A9FD0}"/>
    <cellStyle name="Normal 5 2 3 3 4 5" xfId="23303" xr:uid="{4DC5789E-ADF8-4D1E-8158-62CE88E4865F}"/>
    <cellStyle name="Normal 5 2 3 3 4 6" xfId="9842" xr:uid="{029FDDB8-F4D4-4F43-86BF-7846F5665663}"/>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20822" xr:uid="{00F315B3-AF6A-4B77-B263-DE36D0EA6838}"/>
    <cellStyle name="Normal 5 2 3 3 5 2 3" xfId="16611" xr:uid="{10D47B81-DF64-4373-8DFD-1E8592D93D07}"/>
    <cellStyle name="Normal 5 2 3 3 5 2 4" xfId="25861" xr:uid="{6FB9996C-A894-4649-91A2-A571C26BF20C}"/>
    <cellStyle name="Normal 5 2 3 3 5 2 5" xfId="12400" xr:uid="{FE3F3A6B-8B24-4070-8216-A8D7DF82E1BB}"/>
    <cellStyle name="Normal 5 2 3 3 5 3" xfId="6044" xr:uid="{00000000-0005-0000-0000-0000A3180000}"/>
    <cellStyle name="Normal 5 2 3 3 5 3 2" xfId="18677" xr:uid="{E7565AA3-E065-4DE0-8988-733075684C65}"/>
    <cellStyle name="Normal 5 2 3 3 5 4" xfId="14466" xr:uid="{D13085E8-18B0-4D47-BC78-781394BC013F}"/>
    <cellStyle name="Normal 5 2 3 3 5 5" xfId="23716" xr:uid="{753FF135-A567-4D08-9FE2-EAC3134869BA}"/>
    <cellStyle name="Normal 5 2 3 3 5 6" xfId="10255" xr:uid="{B719DD69-7964-46E4-91D2-C8CCE0B7853A}"/>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21235" xr:uid="{CC7B03F9-E478-4404-B048-316BC3A3F869}"/>
    <cellStyle name="Normal 5 2 3 3 6 2 3" xfId="17024" xr:uid="{A11B89CB-39F4-4C49-BA44-E9BFAF2E3428}"/>
    <cellStyle name="Normal 5 2 3 3 6 2 4" xfId="26274" xr:uid="{9EDD34AA-3559-4100-90DB-76D702F534F4}"/>
    <cellStyle name="Normal 5 2 3 3 6 2 5" xfId="12813" xr:uid="{472E5CBE-6214-43BD-AFD7-034947DD7394}"/>
    <cellStyle name="Normal 5 2 3 3 6 3" xfId="6457" xr:uid="{00000000-0005-0000-0000-0000A7180000}"/>
    <cellStyle name="Normal 5 2 3 3 6 3 2" xfId="19090" xr:uid="{4D80ADB7-2D45-4BF5-97A6-C6406995D0DA}"/>
    <cellStyle name="Normal 5 2 3 3 6 4" xfId="14879" xr:uid="{F41FA842-FC4F-446E-8644-1FD8EF28D438}"/>
    <cellStyle name="Normal 5 2 3 3 6 5" xfId="24129" xr:uid="{1DE48684-E97F-49F3-B16F-4FC09FA2AF52}"/>
    <cellStyle name="Normal 5 2 3 3 6 6" xfId="10668" xr:uid="{996B1415-4354-4BDE-BAAB-1D549EA08833}"/>
    <cellStyle name="Normal 5 2 3 3 7" xfId="2585" xr:uid="{00000000-0005-0000-0000-0000A8180000}"/>
    <cellStyle name="Normal 5 2 3 3 7 2" xfId="6870" xr:uid="{00000000-0005-0000-0000-0000A9180000}"/>
    <cellStyle name="Normal 5 2 3 3 7 2 2" xfId="19503" xr:uid="{1DCBF89E-ECA7-4FCD-9BE7-E06087CED756}"/>
    <cellStyle name="Normal 5 2 3 3 7 3" xfId="15292" xr:uid="{BE6CF70A-587A-4D57-942F-F12CBB4DA6C2}"/>
    <cellStyle name="Normal 5 2 3 3 7 4" xfId="24542" xr:uid="{CAE03ABD-5764-441D-8DBC-E9C36D7677E5}"/>
    <cellStyle name="Normal 5 2 3 3 7 5" xfId="11081" xr:uid="{F24FB539-60CE-469A-9969-71FE27E3632B}"/>
    <cellStyle name="Normal 5 2 3 3 8" xfId="4805" xr:uid="{00000000-0005-0000-0000-0000AA180000}"/>
    <cellStyle name="Normal 5 2 3 3 8 2" xfId="17438" xr:uid="{E0F3E39D-AF14-47E0-B384-E35406924EE2}"/>
    <cellStyle name="Normal 5 2 3 3 9" xfId="21648" xr:uid="{3A74D4FF-C961-4CDE-8567-0137311D911A}"/>
    <cellStyle name="Normal 5 2 3 4" xfId="431" xr:uid="{00000000-0005-0000-0000-0000AB180000}"/>
    <cellStyle name="Normal 5 2 3 4 10" xfId="22479" xr:uid="{889B198C-D13A-40FA-997F-2C5FD1F6A2C6}"/>
    <cellStyle name="Normal 5 2 3 4 11" xfId="9018" xr:uid="{2361111A-A8BD-4D9D-88B9-DF9A27DED91B}"/>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9998" xr:uid="{B0FDCA43-5B05-43BA-94A4-C64A6A2D228D}"/>
    <cellStyle name="Normal 5 2 3 4 2 2 3" xfId="15787" xr:uid="{5D2C42BE-4B68-4378-B853-0F14AC32B982}"/>
    <cellStyle name="Normal 5 2 3 4 2 2 4" xfId="25037" xr:uid="{4B3D3D7E-6B10-4D4A-96E7-95DBDEFFEF11}"/>
    <cellStyle name="Normal 5 2 3 4 2 2 5" xfId="11576" xr:uid="{D687C284-B5D5-44C1-80D7-7257169C8671}"/>
    <cellStyle name="Normal 5 2 3 4 2 3" xfId="5220" xr:uid="{00000000-0005-0000-0000-0000AF180000}"/>
    <cellStyle name="Normal 5 2 3 4 2 3 2" xfId="17853" xr:uid="{F0FED107-5230-4C45-8CC5-ED0E1858F497}"/>
    <cellStyle name="Normal 5 2 3 4 2 4" xfId="22065" xr:uid="{8CD0A4C5-CB74-4974-A34F-AD84D159DED1}"/>
    <cellStyle name="Normal 5 2 3 4 2 5" xfId="13642" xr:uid="{8BC579C1-6CBE-4445-9CCC-EAB066395286}"/>
    <cellStyle name="Normal 5 2 3 4 2 6" xfId="22892" xr:uid="{241CA99B-5B5C-4547-B32C-46AC24C2E130}"/>
    <cellStyle name="Normal 5 2 3 4 2 7" xfId="9431" xr:uid="{D878E4B2-8258-45E3-9FC0-FD5135069C07}"/>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20411" xr:uid="{0C6F1DDD-EE01-406D-86A0-CD4EA2F233FE}"/>
    <cellStyle name="Normal 5 2 3 4 3 2 3" xfId="16200" xr:uid="{564125AE-A629-4C78-A773-235A10C7DE29}"/>
    <cellStyle name="Normal 5 2 3 4 3 2 4" xfId="25450" xr:uid="{546788D0-7DE7-4155-A6CC-E951BB8EFB8B}"/>
    <cellStyle name="Normal 5 2 3 4 3 2 5" xfId="11989" xr:uid="{0772E212-6BEC-4BDD-84DD-483A01422FEB}"/>
    <cellStyle name="Normal 5 2 3 4 3 3" xfId="5633" xr:uid="{00000000-0005-0000-0000-0000B3180000}"/>
    <cellStyle name="Normal 5 2 3 4 3 3 2" xfId="18266" xr:uid="{C358B2BD-5D50-474F-9132-4740F34980EC}"/>
    <cellStyle name="Normal 5 2 3 4 3 4" xfId="14055" xr:uid="{9056C121-1097-4830-9DD9-B3B38FA0F916}"/>
    <cellStyle name="Normal 5 2 3 4 3 5" xfId="23305" xr:uid="{1FC64056-CD5D-437C-A935-29A43125BFDA}"/>
    <cellStyle name="Normal 5 2 3 4 3 6" xfId="9844" xr:uid="{00DCDC5D-168B-4E7E-BC08-3AC42B2B5A12}"/>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20824" xr:uid="{28945EB2-51D3-42F8-8C8F-241B38DE777F}"/>
    <cellStyle name="Normal 5 2 3 4 4 2 3" xfId="16613" xr:uid="{615E373A-9D94-40CD-92D9-5C82BBAFE137}"/>
    <cellStyle name="Normal 5 2 3 4 4 2 4" xfId="25863" xr:uid="{31DCF682-A8DB-401A-A192-EF1E68FFA0C2}"/>
    <cellStyle name="Normal 5 2 3 4 4 2 5" xfId="12402" xr:uid="{C8F2AF18-01C6-49F8-B729-F7524DB610C2}"/>
    <cellStyle name="Normal 5 2 3 4 4 3" xfId="6046" xr:uid="{00000000-0005-0000-0000-0000B7180000}"/>
    <cellStyle name="Normal 5 2 3 4 4 3 2" xfId="18679" xr:uid="{44455413-ADFB-493B-9775-D39BD339D50D}"/>
    <cellStyle name="Normal 5 2 3 4 4 4" xfId="14468" xr:uid="{C9246890-1987-471C-8104-0E10A36FCF69}"/>
    <cellStyle name="Normal 5 2 3 4 4 5" xfId="23718" xr:uid="{8030CE48-4B09-43C3-87CC-49B034BA5C50}"/>
    <cellStyle name="Normal 5 2 3 4 4 6" xfId="10257" xr:uid="{A2C78276-DAFC-4094-928D-30020F18C0E8}"/>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21237" xr:uid="{4CC765DA-D365-493D-995F-7DEBE3B0B46E}"/>
    <cellStyle name="Normal 5 2 3 4 5 2 3" xfId="17026" xr:uid="{41BE4262-67EC-484A-8923-1CB9CBE31847}"/>
    <cellStyle name="Normal 5 2 3 4 5 2 4" xfId="26276" xr:uid="{7791B92D-F058-4FB9-B7AA-1ACDD644018E}"/>
    <cellStyle name="Normal 5 2 3 4 5 2 5" xfId="12815" xr:uid="{68394875-219C-44B0-8BF6-61008154B821}"/>
    <cellStyle name="Normal 5 2 3 4 5 3" xfId="6459" xr:uid="{00000000-0005-0000-0000-0000BB180000}"/>
    <cellStyle name="Normal 5 2 3 4 5 3 2" xfId="19092" xr:uid="{04183CE3-6939-4C79-B517-972F977E1E04}"/>
    <cellStyle name="Normal 5 2 3 4 5 4" xfId="14881" xr:uid="{FAA825D0-6D9B-4DD9-A9D3-36CA3EAD82E4}"/>
    <cellStyle name="Normal 5 2 3 4 5 5" xfId="24131" xr:uid="{5954BD66-6686-4C2C-B8ED-A7628E55D82F}"/>
    <cellStyle name="Normal 5 2 3 4 5 6" xfId="10670" xr:uid="{3D521FE5-0239-4FB1-AA68-1859DE9F3593}"/>
    <cellStyle name="Normal 5 2 3 4 6" xfId="2587" xr:uid="{00000000-0005-0000-0000-0000BC180000}"/>
    <cellStyle name="Normal 5 2 3 4 6 2" xfId="6872" xr:uid="{00000000-0005-0000-0000-0000BD180000}"/>
    <cellStyle name="Normal 5 2 3 4 6 2 2" xfId="19505" xr:uid="{619AF154-FCE8-426A-82F3-2A8D5F0E84DD}"/>
    <cellStyle name="Normal 5 2 3 4 6 3" xfId="15294" xr:uid="{1F84A703-CFD0-44EA-8F1B-7C535233F950}"/>
    <cellStyle name="Normal 5 2 3 4 6 4" xfId="24544" xr:uid="{1B218260-4ADB-4E59-9566-1015DB90A4E3}"/>
    <cellStyle name="Normal 5 2 3 4 6 5" xfId="11083" xr:uid="{83430E88-74F0-4C7A-A0BA-C2D703D72D7D}"/>
    <cellStyle name="Normal 5 2 3 4 7" xfId="4807" xr:uid="{00000000-0005-0000-0000-0000BE180000}"/>
    <cellStyle name="Normal 5 2 3 4 7 2" xfId="17440" xr:uid="{B1113E42-AEE6-4722-906B-2ECFC773AFCF}"/>
    <cellStyle name="Normal 5 2 3 4 8" xfId="21650" xr:uid="{C359088B-3AB8-4BB9-BF53-B6195CDB802B}"/>
    <cellStyle name="Normal 5 2 3 4 9" xfId="13229" xr:uid="{314FC981-01E7-4BD3-A52F-23A1F4858DDC}"/>
    <cellStyle name="Normal 5 2 3 5" xfId="899" xr:uid="{00000000-0005-0000-0000-0000BF180000}"/>
    <cellStyle name="Normal 5 2 3 5 2" xfId="3134" xr:uid="{00000000-0005-0000-0000-0000C0180000}"/>
    <cellStyle name="Normal 5 2 3 5 2 2" xfId="7358" xr:uid="{00000000-0005-0000-0000-0000C1180000}"/>
    <cellStyle name="Normal 5 2 3 5 2 2 2" xfId="19991" xr:uid="{DC7EB0A6-5E93-40DD-B019-167249F54012}"/>
    <cellStyle name="Normal 5 2 3 5 2 3" xfId="15780" xr:uid="{E2FC9D06-6D27-444C-8356-AC73B9D03DBC}"/>
    <cellStyle name="Normal 5 2 3 5 2 4" xfId="25030" xr:uid="{EB5EBB32-C4CC-4D7B-9F2F-57B923AFD9DF}"/>
    <cellStyle name="Normal 5 2 3 5 2 5" xfId="11569" xr:uid="{53CA8132-E6CC-4079-B005-4B55B29D2F62}"/>
    <cellStyle name="Normal 5 2 3 5 3" xfId="5213" xr:uid="{00000000-0005-0000-0000-0000C2180000}"/>
    <cellStyle name="Normal 5 2 3 5 3 2" xfId="17846" xr:uid="{9DA39185-0D1E-431A-80C9-4DD333EAEA7C}"/>
    <cellStyle name="Normal 5 2 3 5 4" xfId="22058" xr:uid="{0D504E12-FC74-4AF0-A388-36BAE8DE1CBB}"/>
    <cellStyle name="Normal 5 2 3 5 5" xfId="13635" xr:uid="{99675AAA-2163-4FFB-8679-BCF958D02E46}"/>
    <cellStyle name="Normal 5 2 3 5 6" xfId="22885" xr:uid="{E80EAE7D-B2D5-4735-840B-9308AAA907BB}"/>
    <cellStyle name="Normal 5 2 3 5 7" xfId="9424" xr:uid="{FF854901-82A6-4731-9A40-037FF144ECC9}"/>
    <cellStyle name="Normal 5 2 3 6" xfId="1317" xr:uid="{00000000-0005-0000-0000-0000C3180000}"/>
    <cellStyle name="Normal 5 2 3 6 2" xfId="3547" xr:uid="{00000000-0005-0000-0000-0000C4180000}"/>
    <cellStyle name="Normal 5 2 3 6 2 2" xfId="7771" xr:uid="{00000000-0005-0000-0000-0000C5180000}"/>
    <cellStyle name="Normal 5 2 3 6 2 2 2" xfId="20404" xr:uid="{1F8E8243-D60F-43D1-85B9-502F8380C8DF}"/>
    <cellStyle name="Normal 5 2 3 6 2 3" xfId="16193" xr:uid="{E14A78C2-78C9-46E8-9C70-3F3E861AE11C}"/>
    <cellStyle name="Normal 5 2 3 6 2 4" xfId="25443" xr:uid="{8976BA92-5893-4004-B56E-87F3D0C26032}"/>
    <cellStyle name="Normal 5 2 3 6 2 5" xfId="11982" xr:uid="{3BFF53DA-724B-4D8C-9F93-E6069BA4AB52}"/>
    <cellStyle name="Normal 5 2 3 6 3" xfId="5626" xr:uid="{00000000-0005-0000-0000-0000C6180000}"/>
    <cellStyle name="Normal 5 2 3 6 3 2" xfId="18259" xr:uid="{ED5BEA32-883B-424E-B588-11EF95D8EAD4}"/>
    <cellStyle name="Normal 5 2 3 6 4" xfId="14048" xr:uid="{B168470F-2601-451A-B838-F20261E9DF2F}"/>
    <cellStyle name="Normal 5 2 3 6 5" xfId="23298" xr:uid="{D229B97D-7C56-4D8E-BF15-CE65B38B5703}"/>
    <cellStyle name="Normal 5 2 3 6 6" xfId="9837" xr:uid="{FA945A54-42E2-44E2-BC22-46DECA36EA6B}"/>
    <cellStyle name="Normal 5 2 3 7" xfId="1730" xr:uid="{00000000-0005-0000-0000-0000C7180000}"/>
    <cellStyle name="Normal 5 2 3 7 2" xfId="3960" xr:uid="{00000000-0005-0000-0000-0000C8180000}"/>
    <cellStyle name="Normal 5 2 3 7 2 2" xfId="8184" xr:uid="{00000000-0005-0000-0000-0000C9180000}"/>
    <cellStyle name="Normal 5 2 3 7 2 2 2" xfId="20817" xr:uid="{90226077-8F29-4562-B1D7-9158A506AA0B}"/>
    <cellStyle name="Normal 5 2 3 7 2 3" xfId="16606" xr:uid="{7133EB00-5E15-403A-9D3F-3EA23F415046}"/>
    <cellStyle name="Normal 5 2 3 7 2 4" xfId="25856" xr:uid="{AD3CB0A0-25AD-4A25-965D-56999C21D2D7}"/>
    <cellStyle name="Normal 5 2 3 7 2 5" xfId="12395" xr:uid="{91B47265-CEED-4272-B472-FBAA1A7665D8}"/>
    <cellStyle name="Normal 5 2 3 7 3" xfId="6039" xr:uid="{00000000-0005-0000-0000-0000CA180000}"/>
    <cellStyle name="Normal 5 2 3 7 3 2" xfId="18672" xr:uid="{87ADBCA3-27D4-4797-8672-046C5A20F5C4}"/>
    <cellStyle name="Normal 5 2 3 7 4" xfId="14461" xr:uid="{05A3DE9F-0A15-43F7-8642-2DBA82C59FA3}"/>
    <cellStyle name="Normal 5 2 3 7 5" xfId="23711" xr:uid="{5800BDCC-0938-46DE-96BD-219BB684B2A5}"/>
    <cellStyle name="Normal 5 2 3 7 6" xfId="10250" xr:uid="{DD3F13A6-BD89-498D-A8CA-A10B4384455C}"/>
    <cellStyle name="Normal 5 2 3 8" xfId="2144" xr:uid="{00000000-0005-0000-0000-0000CB180000}"/>
    <cellStyle name="Normal 5 2 3 8 2" xfId="4373" xr:uid="{00000000-0005-0000-0000-0000CC180000}"/>
    <cellStyle name="Normal 5 2 3 8 2 2" xfId="8597" xr:uid="{00000000-0005-0000-0000-0000CD180000}"/>
    <cellStyle name="Normal 5 2 3 8 2 2 2" xfId="21230" xr:uid="{049AE960-1F0B-4312-ADE1-B9056C16AC74}"/>
    <cellStyle name="Normal 5 2 3 8 2 3" xfId="17019" xr:uid="{3536F713-EF33-4C49-B4EF-03670AE6125E}"/>
    <cellStyle name="Normal 5 2 3 8 2 4" xfId="26269" xr:uid="{701576B4-47E4-4C2D-A4D3-73295B48AA0F}"/>
    <cellStyle name="Normal 5 2 3 8 2 5" xfId="12808" xr:uid="{DB10A13F-BB1F-4871-8199-E06347EE7F4D}"/>
    <cellStyle name="Normal 5 2 3 8 3" xfId="6452" xr:uid="{00000000-0005-0000-0000-0000CE180000}"/>
    <cellStyle name="Normal 5 2 3 8 3 2" xfId="19085" xr:uid="{87CEF4A7-2B39-4015-84D6-6415419DB077}"/>
    <cellStyle name="Normal 5 2 3 8 4" xfId="14874" xr:uid="{FCE1DE39-2B56-45C3-A30D-E3C4AA435FE0}"/>
    <cellStyle name="Normal 5 2 3 8 5" xfId="24124" xr:uid="{D87DB09E-A4CF-4FA1-9802-00C96B14AA5B}"/>
    <cellStyle name="Normal 5 2 3 8 6" xfId="10663" xr:uid="{24AD2EDF-F05D-440B-AAAE-6613F8126BCE}"/>
    <cellStyle name="Normal 5 2 3 9" xfId="2580" xr:uid="{00000000-0005-0000-0000-0000CF180000}"/>
    <cellStyle name="Normal 5 2 3 9 2" xfId="6865" xr:uid="{00000000-0005-0000-0000-0000D0180000}"/>
    <cellStyle name="Normal 5 2 3 9 2 2" xfId="19498" xr:uid="{3B9240E1-EC59-4216-A0CE-037ECDFCECEB}"/>
    <cellStyle name="Normal 5 2 3 9 3" xfId="15287" xr:uid="{6ECA7342-BDE5-45EF-A892-90EAA8007AEF}"/>
    <cellStyle name="Normal 5 2 3 9 4" xfId="24537" xr:uid="{C5617F02-1131-4CCE-BC48-FA02E1D02A08}"/>
    <cellStyle name="Normal 5 2 3 9 5" xfId="11076" xr:uid="{51E4125A-668F-4BE5-B83A-E903A091DF31}"/>
    <cellStyle name="Normal 5 2 4" xfId="432" xr:uid="{00000000-0005-0000-0000-0000D1180000}"/>
    <cellStyle name="Normal 5 2 4 10" xfId="21651" xr:uid="{E835FCE1-D88C-440D-AD8C-1455741DE24E}"/>
    <cellStyle name="Normal 5 2 4 11" xfId="13230" xr:uid="{12D42780-A5B4-4E34-8B30-419E1C585B41}"/>
    <cellStyle name="Normal 5 2 4 12" xfId="22480" xr:uid="{E70EC347-7464-44AE-BC0D-BE9D632039D9}"/>
    <cellStyle name="Normal 5 2 4 13" xfId="9019" xr:uid="{83BB8CD5-60DA-4E78-A8E1-63EBED4F1587}"/>
    <cellStyle name="Normal 5 2 4 2" xfId="433" xr:uid="{00000000-0005-0000-0000-0000D2180000}"/>
    <cellStyle name="Normal 5 2 4 2 10" xfId="13231" xr:uid="{12D6A8B5-8316-468B-A460-D1D3483A7F6E}"/>
    <cellStyle name="Normal 5 2 4 2 11" xfId="22481" xr:uid="{5BC947F7-8487-4A70-920D-03B69A5D296C}"/>
    <cellStyle name="Normal 5 2 4 2 12" xfId="9020" xr:uid="{57B6E9D7-F22E-48F6-ACEC-53CA19482C05}"/>
    <cellStyle name="Normal 5 2 4 2 2" xfId="434" xr:uid="{00000000-0005-0000-0000-0000D3180000}"/>
    <cellStyle name="Normal 5 2 4 2 2 10" xfId="22482" xr:uid="{B787F587-2E17-4FEB-98C7-5C109954933D}"/>
    <cellStyle name="Normal 5 2 4 2 2 11" xfId="9021" xr:uid="{747C0976-3B7C-4776-A33D-7D40E9E8D86A}"/>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20001" xr:uid="{FEEE3C62-62B4-4C1A-A78E-D465A036305C}"/>
    <cellStyle name="Normal 5 2 4 2 2 2 2 3" xfId="15790" xr:uid="{680AF129-F011-41C1-B684-0F39AE21B6C3}"/>
    <cellStyle name="Normal 5 2 4 2 2 2 2 4" xfId="25040" xr:uid="{F5B6A5FD-9C0D-410F-9568-8299BF8E7828}"/>
    <cellStyle name="Normal 5 2 4 2 2 2 2 5" xfId="11579" xr:uid="{1A643394-B2D0-4DE0-9749-4E9259F901E1}"/>
    <cellStyle name="Normal 5 2 4 2 2 2 3" xfId="5223" xr:uid="{00000000-0005-0000-0000-0000D7180000}"/>
    <cellStyle name="Normal 5 2 4 2 2 2 3 2" xfId="17856" xr:uid="{977F465E-9D9B-4AD3-A48C-66C345F0ADF9}"/>
    <cellStyle name="Normal 5 2 4 2 2 2 4" xfId="22068" xr:uid="{DC3E4585-D3AF-4F89-B5AD-E9779A436D90}"/>
    <cellStyle name="Normal 5 2 4 2 2 2 5" xfId="13645" xr:uid="{8DFAE12E-9549-41DF-AE12-E3533A1AC555}"/>
    <cellStyle name="Normal 5 2 4 2 2 2 6" xfId="22895" xr:uid="{739F5F86-1972-477C-939C-2957669E6266}"/>
    <cellStyle name="Normal 5 2 4 2 2 2 7" xfId="9434" xr:uid="{561C609A-6792-42B2-AFA6-9D45A5B9603A}"/>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20414" xr:uid="{C28EDB75-1475-4CE2-A6E4-DE50C91DD400}"/>
    <cellStyle name="Normal 5 2 4 2 2 3 2 3" xfId="16203" xr:uid="{127F0880-D3F0-4CFD-A526-4E37D49D9380}"/>
    <cellStyle name="Normal 5 2 4 2 2 3 2 4" xfId="25453" xr:uid="{D45772C1-9763-4493-9429-AEB94C98F758}"/>
    <cellStyle name="Normal 5 2 4 2 2 3 2 5" xfId="11992" xr:uid="{0B51181D-EB0B-4011-8AA9-B4A27818C371}"/>
    <cellStyle name="Normal 5 2 4 2 2 3 3" xfId="5636" xr:uid="{00000000-0005-0000-0000-0000DB180000}"/>
    <cellStyle name="Normal 5 2 4 2 2 3 3 2" xfId="18269" xr:uid="{E5805758-D171-4FAC-B146-6E9B24F157EC}"/>
    <cellStyle name="Normal 5 2 4 2 2 3 4" xfId="14058" xr:uid="{2A617940-EE88-4553-B03D-FEB2EB5A9C29}"/>
    <cellStyle name="Normal 5 2 4 2 2 3 5" xfId="23308" xr:uid="{08D6170F-F756-48B8-8573-E9D92260F321}"/>
    <cellStyle name="Normal 5 2 4 2 2 3 6" xfId="9847" xr:uid="{D29E9BAF-C941-475E-A404-97A11AB20A07}"/>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20827" xr:uid="{9505FC9E-1471-4906-A32F-8080C8809D5A}"/>
    <cellStyle name="Normal 5 2 4 2 2 4 2 3" xfId="16616" xr:uid="{D326F7AD-96C2-4F83-9C3E-9E874DA5246A}"/>
    <cellStyle name="Normal 5 2 4 2 2 4 2 4" xfId="25866" xr:uid="{3A8610D9-379C-4F3E-B099-0FBA16E2F8E7}"/>
    <cellStyle name="Normal 5 2 4 2 2 4 2 5" xfId="12405" xr:uid="{08F9082A-80D0-4B11-995A-3CC2026DDBCC}"/>
    <cellStyle name="Normal 5 2 4 2 2 4 3" xfId="6049" xr:uid="{00000000-0005-0000-0000-0000DF180000}"/>
    <cellStyle name="Normal 5 2 4 2 2 4 3 2" xfId="18682" xr:uid="{9B0B0A7A-42A3-4760-94EE-DBC962D4F4AD}"/>
    <cellStyle name="Normal 5 2 4 2 2 4 4" xfId="14471" xr:uid="{3555F41F-2705-4A2D-AECF-4BA0808D280F}"/>
    <cellStyle name="Normal 5 2 4 2 2 4 5" xfId="23721" xr:uid="{2D287F14-5961-4054-B164-E8F2B4610ABE}"/>
    <cellStyle name="Normal 5 2 4 2 2 4 6" xfId="10260" xr:uid="{35F70839-6B1B-488F-A869-5C84BB21DA82}"/>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21240" xr:uid="{5301E413-D842-4C07-B208-F74452CAACE3}"/>
    <cellStyle name="Normal 5 2 4 2 2 5 2 3" xfId="17029" xr:uid="{C48C0575-E9DC-4E67-BC18-00586F1F0A1B}"/>
    <cellStyle name="Normal 5 2 4 2 2 5 2 4" xfId="26279" xr:uid="{D0A33D5D-4DA6-4AC2-9189-8E7C1E0C8744}"/>
    <cellStyle name="Normal 5 2 4 2 2 5 2 5" xfId="12818" xr:uid="{A527D2F1-6FFE-4B88-A008-4D03A9B91594}"/>
    <cellStyle name="Normal 5 2 4 2 2 5 3" xfId="6462" xr:uid="{00000000-0005-0000-0000-0000E3180000}"/>
    <cellStyle name="Normal 5 2 4 2 2 5 3 2" xfId="19095" xr:uid="{0D027937-FBA8-43C9-8CF2-94582C1744A9}"/>
    <cellStyle name="Normal 5 2 4 2 2 5 4" xfId="14884" xr:uid="{AE35E028-8A54-4BE5-A981-A3006F250CA9}"/>
    <cellStyle name="Normal 5 2 4 2 2 5 5" xfId="24134" xr:uid="{64B864DC-22B3-471A-AD9E-61616674C616}"/>
    <cellStyle name="Normal 5 2 4 2 2 5 6" xfId="10673" xr:uid="{32429CF3-405D-4068-90DC-13E3C05DAED0}"/>
    <cellStyle name="Normal 5 2 4 2 2 6" xfId="2590" xr:uid="{00000000-0005-0000-0000-0000E4180000}"/>
    <cellStyle name="Normal 5 2 4 2 2 6 2" xfId="6875" xr:uid="{00000000-0005-0000-0000-0000E5180000}"/>
    <cellStyle name="Normal 5 2 4 2 2 6 2 2" xfId="19508" xr:uid="{31318DAD-AB66-49BC-B633-4EA823D52D80}"/>
    <cellStyle name="Normal 5 2 4 2 2 6 3" xfId="15297" xr:uid="{94549B72-9EE5-4E5A-A2AF-BCB21EC2DBC3}"/>
    <cellStyle name="Normal 5 2 4 2 2 6 4" xfId="24547" xr:uid="{1965F999-5EAD-4411-B0B4-8EACF670EAD3}"/>
    <cellStyle name="Normal 5 2 4 2 2 6 5" xfId="11086" xr:uid="{E1290601-DE57-4A24-9CA1-5784544FE722}"/>
    <cellStyle name="Normal 5 2 4 2 2 7" xfId="4810" xr:uid="{00000000-0005-0000-0000-0000E6180000}"/>
    <cellStyle name="Normal 5 2 4 2 2 7 2" xfId="17443" xr:uid="{DD6E4C90-A4A4-43D2-98C1-89EA7890ADFF}"/>
    <cellStyle name="Normal 5 2 4 2 2 8" xfId="21653" xr:uid="{015D8B3D-8FD8-4C30-ADCE-EE62881143BB}"/>
    <cellStyle name="Normal 5 2 4 2 2 9" xfId="13232" xr:uid="{04EB53FC-9243-49E6-A1FE-D7B08299E418}"/>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20000" xr:uid="{F02FF033-3D8A-4752-9BF9-68041C408E82}"/>
    <cellStyle name="Normal 5 2 4 2 3 2 3" xfId="15789" xr:uid="{D23525D5-F16C-479D-9857-4116761D2105}"/>
    <cellStyle name="Normal 5 2 4 2 3 2 4" xfId="25039" xr:uid="{D283B424-E7E3-4367-A668-4601CA491702}"/>
    <cellStyle name="Normal 5 2 4 2 3 2 5" xfId="11578" xr:uid="{C09FFC29-C9F6-45C7-9A7B-A17618B057FB}"/>
    <cellStyle name="Normal 5 2 4 2 3 3" xfId="5222" xr:uid="{00000000-0005-0000-0000-0000EA180000}"/>
    <cellStyle name="Normal 5 2 4 2 3 3 2" xfId="17855" xr:uid="{4A0EE31F-5824-4951-B567-A5D0AD333D1D}"/>
    <cellStyle name="Normal 5 2 4 2 3 4" xfId="22067" xr:uid="{275F9BF8-41F8-4DDB-9B8C-F94E637307C6}"/>
    <cellStyle name="Normal 5 2 4 2 3 5" xfId="13644" xr:uid="{B0C24CC7-FC5C-45F8-85CC-D0C31AFA490D}"/>
    <cellStyle name="Normal 5 2 4 2 3 6" xfId="22894" xr:uid="{64F800BD-795D-407D-985B-8AEA4B03897C}"/>
    <cellStyle name="Normal 5 2 4 2 3 7" xfId="9433" xr:uid="{389F107B-B589-4C44-ABDC-DC2B358D3BC4}"/>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20413" xr:uid="{AD41D81E-A03F-4D3A-928B-10B678596B2F}"/>
    <cellStyle name="Normal 5 2 4 2 4 2 3" xfId="16202" xr:uid="{3D11C67B-F7F1-4215-BDCC-6704DDAB12F6}"/>
    <cellStyle name="Normal 5 2 4 2 4 2 4" xfId="25452" xr:uid="{0709DD8B-333C-44BB-AE13-BE1DC5B821BE}"/>
    <cellStyle name="Normal 5 2 4 2 4 2 5" xfId="11991" xr:uid="{65041062-26C1-4FFF-8CCC-0D7A4C72B218}"/>
    <cellStyle name="Normal 5 2 4 2 4 3" xfId="5635" xr:uid="{00000000-0005-0000-0000-0000EE180000}"/>
    <cellStyle name="Normal 5 2 4 2 4 3 2" xfId="18268" xr:uid="{405E88C7-28F6-41F7-B6FD-A7D9D87FB975}"/>
    <cellStyle name="Normal 5 2 4 2 4 4" xfId="14057" xr:uid="{7EC0F29C-B31B-49F6-A4D9-93A7733A3F32}"/>
    <cellStyle name="Normal 5 2 4 2 4 5" xfId="23307" xr:uid="{7AC4DB45-8B80-4444-BE2E-6AC27E6A8098}"/>
    <cellStyle name="Normal 5 2 4 2 4 6" xfId="9846" xr:uid="{E5C529BC-A7F7-4A1D-A43D-D46A86D7B8B4}"/>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20826" xr:uid="{BDBCD87D-FE2E-4C41-92F2-CD4EE5C224DC}"/>
    <cellStyle name="Normal 5 2 4 2 5 2 3" xfId="16615" xr:uid="{FB80A8DB-A7DA-4B16-9CC6-311B6664824B}"/>
    <cellStyle name="Normal 5 2 4 2 5 2 4" xfId="25865" xr:uid="{E3C0B789-53D7-4ECA-B136-003EA6C232CE}"/>
    <cellStyle name="Normal 5 2 4 2 5 2 5" xfId="12404" xr:uid="{F9C9D8BA-06A5-44FF-BED0-2736171B56D9}"/>
    <cellStyle name="Normal 5 2 4 2 5 3" xfId="6048" xr:uid="{00000000-0005-0000-0000-0000F2180000}"/>
    <cellStyle name="Normal 5 2 4 2 5 3 2" xfId="18681" xr:uid="{6D87B4A2-77B6-41E4-8344-E5AE3C5DABAF}"/>
    <cellStyle name="Normal 5 2 4 2 5 4" xfId="14470" xr:uid="{A6DE261B-8000-4CCD-92DF-4ED110172738}"/>
    <cellStyle name="Normal 5 2 4 2 5 5" xfId="23720" xr:uid="{0231C60B-495A-4DA4-AFAB-B3AF3DED3424}"/>
    <cellStyle name="Normal 5 2 4 2 5 6" xfId="10259" xr:uid="{06B8740E-28E1-4884-8B66-CE12E87766E4}"/>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21239" xr:uid="{C302B1C7-C86F-4BCE-A955-62235D1A2065}"/>
    <cellStyle name="Normal 5 2 4 2 6 2 3" xfId="17028" xr:uid="{CD69A24A-CF32-4948-B9F0-83DCE09B44AD}"/>
    <cellStyle name="Normal 5 2 4 2 6 2 4" xfId="26278" xr:uid="{4E4187A9-A72E-4D84-9504-EE6C30625FE5}"/>
    <cellStyle name="Normal 5 2 4 2 6 2 5" xfId="12817" xr:uid="{F3E0F32E-4FB5-4FDA-B86A-EA691804B9CC}"/>
    <cellStyle name="Normal 5 2 4 2 6 3" xfId="6461" xr:uid="{00000000-0005-0000-0000-0000F6180000}"/>
    <cellStyle name="Normal 5 2 4 2 6 3 2" xfId="19094" xr:uid="{AF85EF6A-4245-4806-9B5D-9F7F8ED1953A}"/>
    <cellStyle name="Normal 5 2 4 2 6 4" xfId="14883" xr:uid="{F2AF6927-5EAE-4513-9327-6B35348BD8A4}"/>
    <cellStyle name="Normal 5 2 4 2 6 5" xfId="24133" xr:uid="{A1AA9563-107A-489A-B07C-578B1A5A51FD}"/>
    <cellStyle name="Normal 5 2 4 2 6 6" xfId="10672" xr:uid="{D08F33F6-2A10-409E-83C1-98D3E4616C03}"/>
    <cellStyle name="Normal 5 2 4 2 7" xfId="2589" xr:uid="{00000000-0005-0000-0000-0000F7180000}"/>
    <cellStyle name="Normal 5 2 4 2 7 2" xfId="6874" xr:uid="{00000000-0005-0000-0000-0000F8180000}"/>
    <cellStyle name="Normal 5 2 4 2 7 2 2" xfId="19507" xr:uid="{BF9EFD13-5FA5-4376-8EF2-D439B889561F}"/>
    <cellStyle name="Normal 5 2 4 2 7 3" xfId="15296" xr:uid="{7455A406-FE98-4646-988D-E892FF85FD15}"/>
    <cellStyle name="Normal 5 2 4 2 7 4" xfId="24546" xr:uid="{9B790877-4FC3-448E-8800-D8F051FB5F15}"/>
    <cellStyle name="Normal 5 2 4 2 7 5" xfId="11085" xr:uid="{266F2C52-5B74-4A12-A255-30DA28A659DA}"/>
    <cellStyle name="Normal 5 2 4 2 8" xfId="4809" xr:uid="{00000000-0005-0000-0000-0000F9180000}"/>
    <cellStyle name="Normal 5 2 4 2 8 2" xfId="17442" xr:uid="{B7E70BA1-7F71-487C-A695-1742DB4B83DD}"/>
    <cellStyle name="Normal 5 2 4 2 9" xfId="21652" xr:uid="{5E283792-D8AC-4496-BE4A-593FD073F564}"/>
    <cellStyle name="Normal 5 2 4 3" xfId="435" xr:uid="{00000000-0005-0000-0000-0000FA180000}"/>
    <cellStyle name="Normal 5 2 4 3 10" xfId="22483" xr:uid="{F28BAC67-6AD6-4BAC-BECD-7AD57A4B819E}"/>
    <cellStyle name="Normal 5 2 4 3 11" xfId="9022" xr:uid="{59140393-A9FC-458E-B4AE-374B1529EF76}"/>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20002" xr:uid="{5B464E62-617C-49CB-A43E-103CE370953D}"/>
    <cellStyle name="Normal 5 2 4 3 2 2 3" xfId="15791" xr:uid="{86BC8415-8523-43BD-9EC3-EF11FBC88C28}"/>
    <cellStyle name="Normal 5 2 4 3 2 2 4" xfId="25041" xr:uid="{2601310F-04B1-45D6-9062-781D5A2DFEBB}"/>
    <cellStyle name="Normal 5 2 4 3 2 2 5" xfId="11580" xr:uid="{7C438D54-E2FF-489F-8288-A9E51A129EBF}"/>
    <cellStyle name="Normal 5 2 4 3 2 3" xfId="5224" xr:uid="{00000000-0005-0000-0000-0000FE180000}"/>
    <cellStyle name="Normal 5 2 4 3 2 3 2" xfId="17857" xr:uid="{1A6B4784-D6E8-46D6-9974-A852E448BDCF}"/>
    <cellStyle name="Normal 5 2 4 3 2 4" xfId="22069" xr:uid="{ED074038-7FBA-4AAB-85E2-2DC7CC0F3179}"/>
    <cellStyle name="Normal 5 2 4 3 2 5" xfId="13646" xr:uid="{DA26426B-09DA-4733-9C1F-17DA723F8CD1}"/>
    <cellStyle name="Normal 5 2 4 3 2 6" xfId="22896" xr:uid="{E6735D9E-27F6-4A84-8BFA-E04BC737B1A5}"/>
    <cellStyle name="Normal 5 2 4 3 2 7" xfId="9435" xr:uid="{797198A1-905E-40AE-BE42-E17E89581A2A}"/>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20415" xr:uid="{93B49C15-150E-4DF4-9F11-A87D1E4630ED}"/>
    <cellStyle name="Normal 5 2 4 3 3 2 3" xfId="16204" xr:uid="{BBD9AF19-A346-44A7-96DE-765CDA6DFDCE}"/>
    <cellStyle name="Normal 5 2 4 3 3 2 4" xfId="25454" xr:uid="{6F40F4EB-ACAA-40D5-9B0D-324AECDE1C37}"/>
    <cellStyle name="Normal 5 2 4 3 3 2 5" xfId="11993" xr:uid="{66304C91-6EF6-43FA-A91E-B5E952C32DC3}"/>
    <cellStyle name="Normal 5 2 4 3 3 3" xfId="5637" xr:uid="{00000000-0005-0000-0000-000002190000}"/>
    <cellStyle name="Normal 5 2 4 3 3 3 2" xfId="18270" xr:uid="{E079B895-ADB5-4E50-A2D3-06B7B6095582}"/>
    <cellStyle name="Normal 5 2 4 3 3 4" xfId="14059" xr:uid="{C11F0CA9-37F9-4C6B-B31E-AEC680856F03}"/>
    <cellStyle name="Normal 5 2 4 3 3 5" xfId="23309" xr:uid="{2CCEB20A-D35E-4289-8020-85FB63A7A0C8}"/>
    <cellStyle name="Normal 5 2 4 3 3 6" xfId="9848" xr:uid="{59E84F7E-8C86-4936-BBA2-9DB9A5C0D21C}"/>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20828" xr:uid="{D92C15F3-9026-4BDC-B65B-C20762F72D47}"/>
    <cellStyle name="Normal 5 2 4 3 4 2 3" xfId="16617" xr:uid="{10B815E7-1097-4B53-B01D-F3E9A0D19ECF}"/>
    <cellStyle name="Normal 5 2 4 3 4 2 4" xfId="25867" xr:uid="{D57A0436-E10B-4B24-8F71-664900CB4390}"/>
    <cellStyle name="Normal 5 2 4 3 4 2 5" xfId="12406" xr:uid="{971297FB-DA73-4A2E-AC29-7FA2F6F82C86}"/>
    <cellStyle name="Normal 5 2 4 3 4 3" xfId="6050" xr:uid="{00000000-0005-0000-0000-000006190000}"/>
    <cellStyle name="Normal 5 2 4 3 4 3 2" xfId="18683" xr:uid="{A2034B6F-1911-4F00-94F3-722B58AF2867}"/>
    <cellStyle name="Normal 5 2 4 3 4 4" xfId="14472" xr:uid="{E7E277CA-1C1D-4F1E-91E9-E502F7D6121D}"/>
    <cellStyle name="Normal 5 2 4 3 4 5" xfId="23722" xr:uid="{629C0241-F01A-4F2A-938A-0C4D382E58E7}"/>
    <cellStyle name="Normal 5 2 4 3 4 6" xfId="10261" xr:uid="{0F89E7A9-B2F5-495E-AEBD-280C8EA67268}"/>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21241" xr:uid="{B23D1AA8-3BB1-4621-98DD-A31F4C4305D7}"/>
    <cellStyle name="Normal 5 2 4 3 5 2 3" xfId="17030" xr:uid="{DC97000E-741F-44D5-9A1B-79BB441368D0}"/>
    <cellStyle name="Normal 5 2 4 3 5 2 4" xfId="26280" xr:uid="{E7EEB261-7AA8-402B-BB7A-2FC2FB566BD8}"/>
    <cellStyle name="Normal 5 2 4 3 5 2 5" xfId="12819" xr:uid="{D17B67D3-A60A-4505-9494-14BF67E71543}"/>
    <cellStyle name="Normal 5 2 4 3 5 3" xfId="6463" xr:uid="{00000000-0005-0000-0000-00000A190000}"/>
    <cellStyle name="Normal 5 2 4 3 5 3 2" xfId="19096" xr:uid="{7E1222F5-E0ED-40E8-B36F-DF778D1E2526}"/>
    <cellStyle name="Normal 5 2 4 3 5 4" xfId="14885" xr:uid="{0A88B332-F62E-476C-B599-3D138C6AC765}"/>
    <cellStyle name="Normal 5 2 4 3 5 5" xfId="24135" xr:uid="{D9AFFCFF-DC9E-4001-90BF-BA1F16FD57D1}"/>
    <cellStyle name="Normal 5 2 4 3 5 6" xfId="10674" xr:uid="{699230AE-C164-4582-A3DD-6C2694D23B1B}"/>
    <cellStyle name="Normal 5 2 4 3 6" xfId="2591" xr:uid="{00000000-0005-0000-0000-00000B190000}"/>
    <cellStyle name="Normal 5 2 4 3 6 2" xfId="6876" xr:uid="{00000000-0005-0000-0000-00000C190000}"/>
    <cellStyle name="Normal 5 2 4 3 6 2 2" xfId="19509" xr:uid="{1BDCEEF5-E564-4E18-AB2E-43E1536F48A2}"/>
    <cellStyle name="Normal 5 2 4 3 6 3" xfId="15298" xr:uid="{CCF9028F-61E6-4801-9279-88AAEFB0B6FB}"/>
    <cellStyle name="Normal 5 2 4 3 6 4" xfId="24548" xr:uid="{83883916-72CC-4BF4-A70B-B63390C0AFB5}"/>
    <cellStyle name="Normal 5 2 4 3 6 5" xfId="11087" xr:uid="{6687688D-AA25-4312-9F8A-B8FFFF4A2CD1}"/>
    <cellStyle name="Normal 5 2 4 3 7" xfId="4811" xr:uid="{00000000-0005-0000-0000-00000D190000}"/>
    <cellStyle name="Normal 5 2 4 3 7 2" xfId="17444" xr:uid="{92FCFBA4-3564-4568-995E-AA8039EE7FE3}"/>
    <cellStyle name="Normal 5 2 4 3 8" xfId="21654" xr:uid="{EEDCEBF8-9DD5-428C-AF8D-40EA5A91DF36}"/>
    <cellStyle name="Normal 5 2 4 3 9" xfId="13233" xr:uid="{3C722DB6-B7EE-4057-8B88-047665F8998A}"/>
    <cellStyle name="Normal 5 2 4 4" xfId="907" xr:uid="{00000000-0005-0000-0000-00000E190000}"/>
    <cellStyle name="Normal 5 2 4 4 2" xfId="3142" xr:uid="{00000000-0005-0000-0000-00000F190000}"/>
    <cellStyle name="Normal 5 2 4 4 2 2" xfId="7366" xr:uid="{00000000-0005-0000-0000-000010190000}"/>
    <cellStyle name="Normal 5 2 4 4 2 2 2" xfId="19999" xr:uid="{AB2E449B-8CAA-449F-81C2-565A483F78A7}"/>
    <cellStyle name="Normal 5 2 4 4 2 3" xfId="15788" xr:uid="{513D85AE-7611-47AB-95F6-DA99AF5C5354}"/>
    <cellStyle name="Normal 5 2 4 4 2 4" xfId="25038" xr:uid="{835567E5-4D56-4C48-8047-E1D4A96E90FD}"/>
    <cellStyle name="Normal 5 2 4 4 2 5" xfId="11577" xr:uid="{78EA26D4-9DD9-4F76-9A3C-86F2FE18C665}"/>
    <cellStyle name="Normal 5 2 4 4 3" xfId="5221" xr:uid="{00000000-0005-0000-0000-000011190000}"/>
    <cellStyle name="Normal 5 2 4 4 3 2" xfId="17854" xr:uid="{857240E7-03AE-49EC-9E59-776FBCCFB279}"/>
    <cellStyle name="Normal 5 2 4 4 4" xfId="22066" xr:uid="{0D8ED203-A722-4D01-A520-5DD7304D8B59}"/>
    <cellStyle name="Normal 5 2 4 4 5" xfId="13643" xr:uid="{923A4F40-76E9-4441-BB19-6FE3C9AFB37E}"/>
    <cellStyle name="Normal 5 2 4 4 6" xfId="22893" xr:uid="{A877FA5C-781C-4940-BC18-06A44A2796D5}"/>
    <cellStyle name="Normal 5 2 4 4 7" xfId="9432" xr:uid="{7E92587D-0198-419C-8C62-2236C11F480E}"/>
    <cellStyle name="Normal 5 2 4 5" xfId="1325" xr:uid="{00000000-0005-0000-0000-000012190000}"/>
    <cellStyle name="Normal 5 2 4 5 2" xfId="3555" xr:uid="{00000000-0005-0000-0000-000013190000}"/>
    <cellStyle name="Normal 5 2 4 5 2 2" xfId="7779" xr:uid="{00000000-0005-0000-0000-000014190000}"/>
    <cellStyle name="Normal 5 2 4 5 2 2 2" xfId="20412" xr:uid="{67D39614-919D-45BA-A116-F413A96EEBCF}"/>
    <cellStyle name="Normal 5 2 4 5 2 3" xfId="16201" xr:uid="{D075076B-9682-48D8-85F9-FF28589437D4}"/>
    <cellStyle name="Normal 5 2 4 5 2 4" xfId="25451" xr:uid="{DA5E5005-48B3-4D6F-B664-CE1D33C882D7}"/>
    <cellStyle name="Normal 5 2 4 5 2 5" xfId="11990" xr:uid="{33EF492F-EECF-4948-8276-722BCF0F2BBC}"/>
    <cellStyle name="Normal 5 2 4 5 3" xfId="5634" xr:uid="{00000000-0005-0000-0000-000015190000}"/>
    <cellStyle name="Normal 5 2 4 5 3 2" xfId="18267" xr:uid="{9B67FF06-3387-4E34-911C-6630D49FB5EC}"/>
    <cellStyle name="Normal 5 2 4 5 4" xfId="14056" xr:uid="{16F9401E-6E12-4952-8DAB-0E061F462C98}"/>
    <cellStyle name="Normal 5 2 4 5 5" xfId="23306" xr:uid="{C704D349-10E1-4087-8ABC-860507C45D5F}"/>
    <cellStyle name="Normal 5 2 4 5 6" xfId="9845" xr:uid="{7A002CDB-72F2-42ED-A9C6-5D5E64B84AAD}"/>
    <cellStyle name="Normal 5 2 4 6" xfId="1738" xr:uid="{00000000-0005-0000-0000-000016190000}"/>
    <cellStyle name="Normal 5 2 4 6 2" xfId="3968" xr:uid="{00000000-0005-0000-0000-000017190000}"/>
    <cellStyle name="Normal 5 2 4 6 2 2" xfId="8192" xr:uid="{00000000-0005-0000-0000-000018190000}"/>
    <cellStyle name="Normal 5 2 4 6 2 2 2" xfId="20825" xr:uid="{277C21AC-9E6B-430F-B282-618CAFF13F16}"/>
    <cellStyle name="Normal 5 2 4 6 2 3" xfId="16614" xr:uid="{1A329A2B-EC70-417D-9A1D-B96D7743867D}"/>
    <cellStyle name="Normal 5 2 4 6 2 4" xfId="25864" xr:uid="{16FF4712-93F6-4007-95CE-A6BD2E098427}"/>
    <cellStyle name="Normal 5 2 4 6 2 5" xfId="12403" xr:uid="{448F2074-ED3D-481B-943A-3FA34E8CC76F}"/>
    <cellStyle name="Normal 5 2 4 6 3" xfId="6047" xr:uid="{00000000-0005-0000-0000-000019190000}"/>
    <cellStyle name="Normal 5 2 4 6 3 2" xfId="18680" xr:uid="{4A38C35A-1724-47F9-BEBD-249341FEEB89}"/>
    <cellStyle name="Normal 5 2 4 6 4" xfId="14469" xr:uid="{289557F2-5DA5-480E-81F9-C26CECE9C502}"/>
    <cellStyle name="Normal 5 2 4 6 5" xfId="23719" xr:uid="{7581F349-A152-4CAD-86C1-E11B705A8B8B}"/>
    <cellStyle name="Normal 5 2 4 6 6" xfId="10258" xr:uid="{DF747C96-BF7F-4014-B3AB-6962C3E6A750}"/>
    <cellStyle name="Normal 5 2 4 7" xfId="2152" xr:uid="{00000000-0005-0000-0000-00001A190000}"/>
    <cellStyle name="Normal 5 2 4 7 2" xfId="4381" xr:uid="{00000000-0005-0000-0000-00001B190000}"/>
    <cellStyle name="Normal 5 2 4 7 2 2" xfId="8605" xr:uid="{00000000-0005-0000-0000-00001C190000}"/>
    <cellStyle name="Normal 5 2 4 7 2 2 2" xfId="21238" xr:uid="{E69223E4-B68C-4147-BA54-C70F39F687B1}"/>
    <cellStyle name="Normal 5 2 4 7 2 3" xfId="17027" xr:uid="{D2F55855-2C63-44DA-B51F-EF1932926AD3}"/>
    <cellStyle name="Normal 5 2 4 7 2 4" xfId="26277" xr:uid="{ECE93247-CCB0-4530-8679-F19A628F8FD2}"/>
    <cellStyle name="Normal 5 2 4 7 2 5" xfId="12816" xr:uid="{8C420E20-B8CD-401F-89BF-DF3A61080646}"/>
    <cellStyle name="Normal 5 2 4 7 3" xfId="6460" xr:uid="{00000000-0005-0000-0000-00001D190000}"/>
    <cellStyle name="Normal 5 2 4 7 3 2" xfId="19093" xr:uid="{10317950-58DC-4F45-90D2-FF206E02EF56}"/>
    <cellStyle name="Normal 5 2 4 7 4" xfId="14882" xr:uid="{005B6C66-3609-4B21-AE6D-9DA8EE79FA7B}"/>
    <cellStyle name="Normal 5 2 4 7 5" xfId="24132" xr:uid="{82D25833-823B-4A0E-97A0-567F728C1084}"/>
    <cellStyle name="Normal 5 2 4 7 6" xfId="10671" xr:uid="{48CF69A7-CCDA-4D7D-981F-8ACBC03C2523}"/>
    <cellStyle name="Normal 5 2 4 8" xfId="2588" xr:uid="{00000000-0005-0000-0000-00001E190000}"/>
    <cellStyle name="Normal 5 2 4 8 2" xfId="6873" xr:uid="{00000000-0005-0000-0000-00001F190000}"/>
    <cellStyle name="Normal 5 2 4 8 2 2" xfId="19506" xr:uid="{A199683F-1C0F-490E-8386-023187F51361}"/>
    <cellStyle name="Normal 5 2 4 8 3" xfId="15295" xr:uid="{60622C6C-E475-4555-97A1-BD9DC9A020E2}"/>
    <cellStyle name="Normal 5 2 4 8 4" xfId="24545" xr:uid="{3A44ABAE-5282-4750-A480-50511922B878}"/>
    <cellStyle name="Normal 5 2 4 8 5" xfId="11084" xr:uid="{B03A3868-8673-4538-B5B2-1E397ED1C54B}"/>
    <cellStyle name="Normal 5 2 4 9" xfId="4808" xr:uid="{00000000-0005-0000-0000-000020190000}"/>
    <cellStyle name="Normal 5 2 4 9 2" xfId="17441" xr:uid="{94F3BA83-3A78-4094-94DC-1E0A1EEDE401}"/>
    <cellStyle name="Normal 5 2 5" xfId="436" xr:uid="{00000000-0005-0000-0000-000021190000}"/>
    <cellStyle name="Normal 5 2 5 10" xfId="13234" xr:uid="{62B6B66B-2451-441A-8E58-EBE441677F79}"/>
    <cellStyle name="Normal 5 2 5 11" xfId="22484" xr:uid="{65D97749-8DEA-445A-AECC-3349008A08E0}"/>
    <cellStyle name="Normal 5 2 5 12" xfId="9023" xr:uid="{DE2F042C-37E8-4045-8F48-13D5973C19A5}"/>
    <cellStyle name="Normal 5 2 5 2" xfId="437" xr:uid="{00000000-0005-0000-0000-000022190000}"/>
    <cellStyle name="Normal 5 2 5 2 10" xfId="22485" xr:uid="{62B152FB-B8D5-4A3F-BF02-BD549C0CD88C}"/>
    <cellStyle name="Normal 5 2 5 2 11" xfId="9024" xr:uid="{8256A0FC-337E-4120-923C-509D701DAAD7}"/>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20004" xr:uid="{C61C4CFC-55F6-4730-953E-ABE7C3C7C63E}"/>
    <cellStyle name="Normal 5 2 5 2 2 2 3" xfId="15793" xr:uid="{EDE1AB00-FA3A-4D72-A620-66A7DF998B0A}"/>
    <cellStyle name="Normal 5 2 5 2 2 2 4" xfId="25043" xr:uid="{8A9990F2-0307-4D18-A307-13360E080743}"/>
    <cellStyle name="Normal 5 2 5 2 2 2 5" xfId="11582" xr:uid="{B66553B4-6FBA-4158-9CFD-46733778DCF1}"/>
    <cellStyle name="Normal 5 2 5 2 2 3" xfId="5226" xr:uid="{00000000-0005-0000-0000-000026190000}"/>
    <cellStyle name="Normal 5 2 5 2 2 3 2" xfId="17859" xr:uid="{40E647C7-7888-465F-BEDF-66545EA15783}"/>
    <cellStyle name="Normal 5 2 5 2 2 4" xfId="22071" xr:uid="{781F581C-DB7F-4D53-A2D5-4311F5075246}"/>
    <cellStyle name="Normal 5 2 5 2 2 5" xfId="13648" xr:uid="{374D16A6-7729-495B-B45D-ED12A258A6D6}"/>
    <cellStyle name="Normal 5 2 5 2 2 6" xfId="22898" xr:uid="{B0E07019-FFE1-4540-BB43-10339387BE18}"/>
    <cellStyle name="Normal 5 2 5 2 2 7" xfId="9437" xr:uid="{539ACD5C-42C8-47CF-8E62-612DF1000B5C}"/>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20417" xr:uid="{D1D49ABA-18FF-4ABD-A117-5622035A5744}"/>
    <cellStyle name="Normal 5 2 5 2 3 2 3" xfId="16206" xr:uid="{2B621B53-74CE-4E4F-93BD-D165BF789969}"/>
    <cellStyle name="Normal 5 2 5 2 3 2 4" xfId="25456" xr:uid="{AA96E130-8FA1-419F-8E50-0EB5C77115F8}"/>
    <cellStyle name="Normal 5 2 5 2 3 2 5" xfId="11995" xr:uid="{4A4E72AF-4C7B-49AC-B5A4-BD8191D65096}"/>
    <cellStyle name="Normal 5 2 5 2 3 3" xfId="5639" xr:uid="{00000000-0005-0000-0000-00002A190000}"/>
    <cellStyle name="Normal 5 2 5 2 3 3 2" xfId="18272" xr:uid="{3A070CFB-739E-4A82-B490-60C6C89C3379}"/>
    <cellStyle name="Normal 5 2 5 2 3 4" xfId="14061" xr:uid="{1518020D-1870-43DD-8D26-962146CA674F}"/>
    <cellStyle name="Normal 5 2 5 2 3 5" xfId="23311" xr:uid="{E965C126-6FDB-4AD3-A23E-371065C806E3}"/>
    <cellStyle name="Normal 5 2 5 2 3 6" xfId="9850" xr:uid="{E6714C1E-F2FD-4D24-8BB4-8DE5807EAF1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20830" xr:uid="{9E6F14B3-64C9-4F40-BE60-37E31D1D1EF7}"/>
    <cellStyle name="Normal 5 2 5 2 4 2 3" xfId="16619" xr:uid="{64D87AEC-50E0-4462-8763-9A16DBA5E59D}"/>
    <cellStyle name="Normal 5 2 5 2 4 2 4" xfId="25869" xr:uid="{4FBE22B9-58A6-4E55-9230-B9EE19688372}"/>
    <cellStyle name="Normal 5 2 5 2 4 2 5" xfId="12408" xr:uid="{7E19636B-BCCF-491B-A844-AB8FAC30FDC0}"/>
    <cellStyle name="Normal 5 2 5 2 4 3" xfId="6052" xr:uid="{00000000-0005-0000-0000-00002E190000}"/>
    <cellStyle name="Normal 5 2 5 2 4 3 2" xfId="18685" xr:uid="{CE2A0069-FB42-41A1-A6A1-C9FDC7F51FFA}"/>
    <cellStyle name="Normal 5 2 5 2 4 4" xfId="14474" xr:uid="{BB0D2DCF-E484-402C-9263-99046E15F28C}"/>
    <cellStyle name="Normal 5 2 5 2 4 5" xfId="23724" xr:uid="{B891B995-A8E6-4013-B26B-C8DEBAA3374A}"/>
    <cellStyle name="Normal 5 2 5 2 4 6" xfId="10263" xr:uid="{F1029964-50E3-49C3-8692-2E49AC21453F}"/>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21243" xr:uid="{57F44379-94B2-4D1E-A10C-E25913F6D493}"/>
    <cellStyle name="Normal 5 2 5 2 5 2 3" xfId="17032" xr:uid="{86DB4384-998B-4E8C-A8B8-0C16A72645B9}"/>
    <cellStyle name="Normal 5 2 5 2 5 2 4" xfId="26282" xr:uid="{0DAAD0E5-5AF7-48C3-A4A7-F96543714175}"/>
    <cellStyle name="Normal 5 2 5 2 5 2 5" xfId="12821" xr:uid="{37BA6B8F-8D12-4E01-8922-AC8EF8EB3F97}"/>
    <cellStyle name="Normal 5 2 5 2 5 3" xfId="6465" xr:uid="{00000000-0005-0000-0000-000032190000}"/>
    <cellStyle name="Normal 5 2 5 2 5 3 2" xfId="19098" xr:uid="{857E7A09-B4BB-4504-B21F-7E95E6CC7430}"/>
    <cellStyle name="Normal 5 2 5 2 5 4" xfId="14887" xr:uid="{AC577192-0B0F-48EB-BD59-30D6879C1DA2}"/>
    <cellStyle name="Normal 5 2 5 2 5 5" xfId="24137" xr:uid="{038551D0-5727-469B-942F-8AB18372F5DD}"/>
    <cellStyle name="Normal 5 2 5 2 5 6" xfId="10676" xr:uid="{FA2790FE-4119-4DD7-924F-72ED738F25F1}"/>
    <cellStyle name="Normal 5 2 5 2 6" xfId="2593" xr:uid="{00000000-0005-0000-0000-000033190000}"/>
    <cellStyle name="Normal 5 2 5 2 6 2" xfId="6878" xr:uid="{00000000-0005-0000-0000-000034190000}"/>
    <cellStyle name="Normal 5 2 5 2 6 2 2" xfId="19511" xr:uid="{C4E6ADE5-2766-44D3-9F7A-A9A2610619F3}"/>
    <cellStyle name="Normal 5 2 5 2 6 3" xfId="15300" xr:uid="{3855725A-9B90-4F38-8819-17A1579D1694}"/>
    <cellStyle name="Normal 5 2 5 2 6 4" xfId="24550" xr:uid="{2D06782B-D791-4A2B-9681-3CE779A729DB}"/>
    <cellStyle name="Normal 5 2 5 2 6 5" xfId="11089" xr:uid="{0A2B488D-0670-47B3-8CED-D2D379BC934F}"/>
    <cellStyle name="Normal 5 2 5 2 7" xfId="4813" xr:uid="{00000000-0005-0000-0000-000035190000}"/>
    <cellStyle name="Normal 5 2 5 2 7 2" xfId="17446" xr:uid="{9F2D0135-5EB0-489B-ADAB-87BF169AD017}"/>
    <cellStyle name="Normal 5 2 5 2 8" xfId="21656" xr:uid="{C54DF4B8-BD09-4221-BB14-5B34E9C06779}"/>
    <cellStyle name="Normal 5 2 5 2 9" xfId="13235" xr:uid="{26116CCD-EDED-4C0D-B63A-E006F5D81500}"/>
    <cellStyle name="Normal 5 2 5 3" xfId="911" xr:uid="{00000000-0005-0000-0000-000036190000}"/>
    <cellStyle name="Normal 5 2 5 3 2" xfId="3146" xr:uid="{00000000-0005-0000-0000-000037190000}"/>
    <cellStyle name="Normal 5 2 5 3 2 2" xfId="7370" xr:uid="{00000000-0005-0000-0000-000038190000}"/>
    <cellStyle name="Normal 5 2 5 3 2 2 2" xfId="20003" xr:uid="{393F22CB-D49E-4EFB-8398-045C3EEE5D98}"/>
    <cellStyle name="Normal 5 2 5 3 2 3" xfId="15792" xr:uid="{984135B9-2A31-4A61-B342-E58EDF5608D9}"/>
    <cellStyle name="Normal 5 2 5 3 2 4" xfId="25042" xr:uid="{B1E0A67E-EC83-4F6D-9C91-DAB5F4945CEE}"/>
    <cellStyle name="Normal 5 2 5 3 2 5" xfId="11581" xr:uid="{6DCA8982-E82C-4E93-B3F7-19FCBF05BF81}"/>
    <cellStyle name="Normal 5 2 5 3 3" xfId="5225" xr:uid="{00000000-0005-0000-0000-000039190000}"/>
    <cellStyle name="Normal 5 2 5 3 3 2" xfId="17858" xr:uid="{12633936-C493-45ED-8FC4-0748F823E412}"/>
    <cellStyle name="Normal 5 2 5 3 4" xfId="22070" xr:uid="{7BF16D95-04DB-4BCB-8555-227734B10B01}"/>
    <cellStyle name="Normal 5 2 5 3 5" xfId="13647" xr:uid="{2B0F10EA-05C8-4A14-B9B3-9335B017360A}"/>
    <cellStyle name="Normal 5 2 5 3 6" xfId="22897" xr:uid="{F164B7DB-AFC3-4A71-B675-5875F815BFC9}"/>
    <cellStyle name="Normal 5 2 5 3 7" xfId="9436" xr:uid="{72F30D36-4FAF-4B9F-B956-73C9ECA4B46A}"/>
    <cellStyle name="Normal 5 2 5 4" xfId="1329" xr:uid="{00000000-0005-0000-0000-00003A190000}"/>
    <cellStyle name="Normal 5 2 5 4 2" xfId="3559" xr:uid="{00000000-0005-0000-0000-00003B190000}"/>
    <cellStyle name="Normal 5 2 5 4 2 2" xfId="7783" xr:uid="{00000000-0005-0000-0000-00003C190000}"/>
    <cellStyle name="Normal 5 2 5 4 2 2 2" xfId="20416" xr:uid="{88CF7C4B-78A6-41FB-9D77-009770C35E60}"/>
    <cellStyle name="Normal 5 2 5 4 2 3" xfId="16205" xr:uid="{29AD1312-8237-49EE-B06A-A3F8754B8549}"/>
    <cellStyle name="Normal 5 2 5 4 2 4" xfId="25455" xr:uid="{1945DD01-AE13-4C39-9222-39D218B793B7}"/>
    <cellStyle name="Normal 5 2 5 4 2 5" xfId="11994" xr:uid="{2A2EE5AD-9D7D-4375-BF4C-9F1E5FD4FB3F}"/>
    <cellStyle name="Normal 5 2 5 4 3" xfId="5638" xr:uid="{00000000-0005-0000-0000-00003D190000}"/>
    <cellStyle name="Normal 5 2 5 4 3 2" xfId="18271" xr:uid="{ADA7965C-E48C-4171-8AF2-0F612699FB8E}"/>
    <cellStyle name="Normal 5 2 5 4 4" xfId="14060" xr:uid="{19F655DD-CD23-4378-8574-ED0A5C6956EF}"/>
    <cellStyle name="Normal 5 2 5 4 5" xfId="23310" xr:uid="{9E49D697-4BD2-4595-A257-59F565F20F33}"/>
    <cellStyle name="Normal 5 2 5 4 6" xfId="9849" xr:uid="{C89DF065-CF5B-4188-8051-2A98F14EEAC0}"/>
    <cellStyle name="Normal 5 2 5 5" xfId="1742" xr:uid="{00000000-0005-0000-0000-00003E190000}"/>
    <cellStyle name="Normal 5 2 5 5 2" xfId="3972" xr:uid="{00000000-0005-0000-0000-00003F190000}"/>
    <cellStyle name="Normal 5 2 5 5 2 2" xfId="8196" xr:uid="{00000000-0005-0000-0000-000040190000}"/>
    <cellStyle name="Normal 5 2 5 5 2 2 2" xfId="20829" xr:uid="{E8624C7A-A71E-4B5D-B257-FDDE26FD44D8}"/>
    <cellStyle name="Normal 5 2 5 5 2 3" xfId="16618" xr:uid="{6A37E775-E421-46D3-94EC-8F6F54A2CB6B}"/>
    <cellStyle name="Normal 5 2 5 5 2 4" xfId="25868" xr:uid="{A4CE0284-9E48-4AE8-A7CC-E159BA73D1CF}"/>
    <cellStyle name="Normal 5 2 5 5 2 5" xfId="12407" xr:uid="{133E2C98-6ACA-45C2-AA3D-E2662A177535}"/>
    <cellStyle name="Normal 5 2 5 5 3" xfId="6051" xr:uid="{00000000-0005-0000-0000-000041190000}"/>
    <cellStyle name="Normal 5 2 5 5 3 2" xfId="18684" xr:uid="{41776103-237D-49B5-A181-0EB28A3684CB}"/>
    <cellStyle name="Normal 5 2 5 5 4" xfId="14473" xr:uid="{02CDF5E1-B935-45EA-AA3C-08B4F09F3C57}"/>
    <cellStyle name="Normal 5 2 5 5 5" xfId="23723" xr:uid="{E8A8BA77-D795-4547-8CD0-1370CB91E915}"/>
    <cellStyle name="Normal 5 2 5 5 6" xfId="10262" xr:uid="{27E9CB59-7D24-4A1F-95C0-FAB9A2E1C20F}"/>
    <cellStyle name="Normal 5 2 5 6" xfId="2156" xr:uid="{00000000-0005-0000-0000-000042190000}"/>
    <cellStyle name="Normal 5 2 5 6 2" xfId="4385" xr:uid="{00000000-0005-0000-0000-000043190000}"/>
    <cellStyle name="Normal 5 2 5 6 2 2" xfId="8609" xr:uid="{00000000-0005-0000-0000-000044190000}"/>
    <cellStyle name="Normal 5 2 5 6 2 2 2" xfId="21242" xr:uid="{760D71BA-2F79-4F38-87BB-1D2077FFADFD}"/>
    <cellStyle name="Normal 5 2 5 6 2 3" xfId="17031" xr:uid="{ACA2A5FB-14FD-4ED3-9540-871C4680A3A3}"/>
    <cellStyle name="Normal 5 2 5 6 2 4" xfId="26281" xr:uid="{DA817F52-B420-4795-9B91-4F68B6CA29E9}"/>
    <cellStyle name="Normal 5 2 5 6 2 5" xfId="12820" xr:uid="{5A08B8A7-F1C7-4B4B-B00D-11528AC54680}"/>
    <cellStyle name="Normal 5 2 5 6 3" xfId="6464" xr:uid="{00000000-0005-0000-0000-000045190000}"/>
    <cellStyle name="Normal 5 2 5 6 3 2" xfId="19097" xr:uid="{979500BF-2F8F-4A33-B525-C58BCA3F82B4}"/>
    <cellStyle name="Normal 5 2 5 6 4" xfId="14886" xr:uid="{0A67881A-CAA7-405D-BA16-B7E0CD2A85F4}"/>
    <cellStyle name="Normal 5 2 5 6 5" xfId="24136" xr:uid="{D9041D3A-E081-40EE-9E22-FF7A7DCA22DF}"/>
    <cellStyle name="Normal 5 2 5 6 6" xfId="10675" xr:uid="{F5EE4753-8CA7-4E6E-BFB1-1D07C7F95DD0}"/>
    <cellStyle name="Normal 5 2 5 7" xfId="2592" xr:uid="{00000000-0005-0000-0000-000046190000}"/>
    <cellStyle name="Normal 5 2 5 7 2" xfId="6877" xr:uid="{00000000-0005-0000-0000-000047190000}"/>
    <cellStyle name="Normal 5 2 5 7 2 2" xfId="19510" xr:uid="{2733068A-6B45-4653-A11F-1019706C8750}"/>
    <cellStyle name="Normal 5 2 5 7 3" xfId="15299" xr:uid="{C4DFB0E5-5EC9-4B7A-9C5E-49F3AD6F263E}"/>
    <cellStyle name="Normal 5 2 5 7 4" xfId="24549" xr:uid="{929C0BE6-7369-4227-8C73-AB27666E97FA}"/>
    <cellStyle name="Normal 5 2 5 7 5" xfId="11088" xr:uid="{30190C16-B778-4358-B549-0F56CFA36AC8}"/>
    <cellStyle name="Normal 5 2 5 8" xfId="4812" xr:uid="{00000000-0005-0000-0000-000048190000}"/>
    <cellStyle name="Normal 5 2 5 8 2" xfId="17445" xr:uid="{A6D84C47-A5FE-455B-8653-C5D6D8899D7B}"/>
    <cellStyle name="Normal 5 2 5 9" xfId="21655" xr:uid="{B6C954EE-E2F1-41FB-A5E5-10E2E4159E90}"/>
    <cellStyle name="Normal 5 2 6" xfId="438" xr:uid="{00000000-0005-0000-0000-000049190000}"/>
    <cellStyle name="Normal 5 2 6 10" xfId="22486" xr:uid="{C0DE00CF-1412-434D-A395-9A67B28702DA}"/>
    <cellStyle name="Normal 5 2 6 11" xfId="9025" xr:uid="{05AD6763-FA34-4130-875A-9344F71240D2}"/>
    <cellStyle name="Normal 5 2 6 2" xfId="913" xr:uid="{00000000-0005-0000-0000-00004A190000}"/>
    <cellStyle name="Normal 5 2 6 2 2" xfId="3148" xr:uid="{00000000-0005-0000-0000-00004B190000}"/>
    <cellStyle name="Normal 5 2 6 2 2 2" xfId="7372" xr:uid="{00000000-0005-0000-0000-00004C190000}"/>
    <cellStyle name="Normal 5 2 6 2 2 2 2" xfId="20005" xr:uid="{2EC2557F-DE2C-4F0F-B1A2-4306F8991DB7}"/>
    <cellStyle name="Normal 5 2 6 2 2 3" xfId="15794" xr:uid="{B2923280-4B40-400B-963D-296EAE22936D}"/>
    <cellStyle name="Normal 5 2 6 2 2 4" xfId="25044" xr:uid="{2D341C97-F25D-414F-BAD0-5134698C12F9}"/>
    <cellStyle name="Normal 5 2 6 2 2 5" xfId="11583" xr:uid="{9FBA673D-3B5D-402E-9499-7B87CEA09795}"/>
    <cellStyle name="Normal 5 2 6 2 3" xfId="5227" xr:uid="{00000000-0005-0000-0000-00004D190000}"/>
    <cellStyle name="Normal 5 2 6 2 3 2" xfId="17860" xr:uid="{9C1E7A2D-E8A5-4177-BA7F-17C71E6B6AB4}"/>
    <cellStyle name="Normal 5 2 6 2 4" xfId="22072" xr:uid="{4A4A57F6-7E6F-47FE-8D63-39D4206B9ACB}"/>
    <cellStyle name="Normal 5 2 6 2 5" xfId="13649" xr:uid="{62910096-40EE-4640-8593-A426E37B2F53}"/>
    <cellStyle name="Normal 5 2 6 2 6" xfId="22899" xr:uid="{ED93B9F4-D9CD-4653-B3FB-6D128F478BBD}"/>
    <cellStyle name="Normal 5 2 6 2 7" xfId="9438" xr:uid="{DD73CE7B-193D-430D-B4E0-43EF1A66408E}"/>
    <cellStyle name="Normal 5 2 6 3" xfId="1331" xr:uid="{00000000-0005-0000-0000-00004E190000}"/>
    <cellStyle name="Normal 5 2 6 3 2" xfId="3561" xr:uid="{00000000-0005-0000-0000-00004F190000}"/>
    <cellStyle name="Normal 5 2 6 3 2 2" xfId="7785" xr:uid="{00000000-0005-0000-0000-000050190000}"/>
    <cellStyle name="Normal 5 2 6 3 2 2 2" xfId="20418" xr:uid="{A8F3CD25-1DCE-4353-BA45-72E8671B71C5}"/>
    <cellStyle name="Normal 5 2 6 3 2 3" xfId="16207" xr:uid="{501ACABF-E624-4DCD-B862-F812A84DB071}"/>
    <cellStyle name="Normal 5 2 6 3 2 4" xfId="25457" xr:uid="{BA886208-AFA5-454B-81A6-A3108075A814}"/>
    <cellStyle name="Normal 5 2 6 3 2 5" xfId="11996" xr:uid="{2B7E4E0A-5B22-46E4-9D1D-9B4005F36E8C}"/>
    <cellStyle name="Normal 5 2 6 3 3" xfId="5640" xr:uid="{00000000-0005-0000-0000-000051190000}"/>
    <cellStyle name="Normal 5 2 6 3 3 2" xfId="18273" xr:uid="{B69A4617-D4B7-46EA-BAA9-D4F623039D23}"/>
    <cellStyle name="Normal 5 2 6 3 4" xfId="14062" xr:uid="{4213EAD1-024C-4054-96F8-FE619477CA9B}"/>
    <cellStyle name="Normal 5 2 6 3 5" xfId="23312" xr:uid="{50DD2D42-511B-4E1C-A429-3A8A14B51A74}"/>
    <cellStyle name="Normal 5 2 6 3 6" xfId="9851" xr:uid="{F41BA237-25D8-4725-8322-930C5C054DFE}"/>
    <cellStyle name="Normal 5 2 6 4" xfId="1744" xr:uid="{00000000-0005-0000-0000-000052190000}"/>
    <cellStyle name="Normal 5 2 6 4 2" xfId="3974" xr:uid="{00000000-0005-0000-0000-000053190000}"/>
    <cellStyle name="Normal 5 2 6 4 2 2" xfId="8198" xr:uid="{00000000-0005-0000-0000-000054190000}"/>
    <cellStyle name="Normal 5 2 6 4 2 2 2" xfId="20831" xr:uid="{B684756F-7FEF-41C0-A93B-9B8588C49B2C}"/>
    <cellStyle name="Normal 5 2 6 4 2 3" xfId="16620" xr:uid="{9B37CEE2-5345-4CB2-898A-86EA7E449831}"/>
    <cellStyle name="Normal 5 2 6 4 2 4" xfId="25870" xr:uid="{F5B79A2C-D861-4F9F-9CEF-7FA17F4BD636}"/>
    <cellStyle name="Normal 5 2 6 4 2 5" xfId="12409" xr:uid="{64EC8D1B-25F1-4058-9B37-96D262BAAD31}"/>
    <cellStyle name="Normal 5 2 6 4 3" xfId="6053" xr:uid="{00000000-0005-0000-0000-000055190000}"/>
    <cellStyle name="Normal 5 2 6 4 3 2" xfId="18686" xr:uid="{B110FD5B-0CF3-4BAC-BACD-25783B6F757B}"/>
    <cellStyle name="Normal 5 2 6 4 4" xfId="14475" xr:uid="{90DBFA72-B3EA-4714-B58B-A9F882CA9692}"/>
    <cellStyle name="Normal 5 2 6 4 5" xfId="23725" xr:uid="{D9851D01-46B8-4D5B-B9B2-428703542ED3}"/>
    <cellStyle name="Normal 5 2 6 4 6" xfId="10264" xr:uid="{1246CDE1-CD8A-45ED-8033-F37DC22EC24A}"/>
    <cellStyle name="Normal 5 2 6 5" xfId="2158" xr:uid="{00000000-0005-0000-0000-000056190000}"/>
    <cellStyle name="Normal 5 2 6 5 2" xfId="4387" xr:uid="{00000000-0005-0000-0000-000057190000}"/>
    <cellStyle name="Normal 5 2 6 5 2 2" xfId="8611" xr:uid="{00000000-0005-0000-0000-000058190000}"/>
    <cellStyle name="Normal 5 2 6 5 2 2 2" xfId="21244" xr:uid="{AA5332AB-BA48-4A56-8174-62E35A71EAC3}"/>
    <cellStyle name="Normal 5 2 6 5 2 3" xfId="17033" xr:uid="{97704655-C12F-431A-BCAF-9D2036B66526}"/>
    <cellStyle name="Normal 5 2 6 5 2 4" xfId="26283" xr:uid="{7BA7AD5E-9B08-453A-8B1A-6D87C7101A7D}"/>
    <cellStyle name="Normal 5 2 6 5 2 5" xfId="12822" xr:uid="{677FEC9D-D21F-41B8-8989-6EB4368933BD}"/>
    <cellStyle name="Normal 5 2 6 5 3" xfId="6466" xr:uid="{00000000-0005-0000-0000-000059190000}"/>
    <cellStyle name="Normal 5 2 6 5 3 2" xfId="19099" xr:uid="{F53D5C1E-0C68-4EBD-925F-A30F79DFC910}"/>
    <cellStyle name="Normal 5 2 6 5 4" xfId="14888" xr:uid="{EEC89DE6-28C4-4D1A-95A6-A917074E8C27}"/>
    <cellStyle name="Normal 5 2 6 5 5" xfId="24138" xr:uid="{70B88DCF-B5D5-48D8-B982-D3CC8C7D1F0A}"/>
    <cellStyle name="Normal 5 2 6 5 6" xfId="10677" xr:uid="{FF13F9C7-C61E-49DC-B0D5-CB4A1534D80D}"/>
    <cellStyle name="Normal 5 2 6 6" xfId="2594" xr:uid="{00000000-0005-0000-0000-00005A190000}"/>
    <cellStyle name="Normal 5 2 6 6 2" xfId="6879" xr:uid="{00000000-0005-0000-0000-00005B190000}"/>
    <cellStyle name="Normal 5 2 6 6 2 2" xfId="19512" xr:uid="{782BE544-A158-4BD9-84B7-4C295568CE91}"/>
    <cellStyle name="Normal 5 2 6 6 3" xfId="15301" xr:uid="{655F9BDC-00F5-46FD-9F80-F01966E35EAE}"/>
    <cellStyle name="Normal 5 2 6 6 4" xfId="24551" xr:uid="{A879CDE9-9694-4FD5-881B-806BBA230661}"/>
    <cellStyle name="Normal 5 2 6 6 5" xfId="11090" xr:uid="{B1445CCD-ED7B-45DB-B163-5E29E61CA623}"/>
    <cellStyle name="Normal 5 2 6 7" xfId="4814" xr:uid="{00000000-0005-0000-0000-00005C190000}"/>
    <cellStyle name="Normal 5 2 6 7 2" xfId="17447" xr:uid="{09EA83BD-6A49-46CC-9DC8-CE77D677628C}"/>
    <cellStyle name="Normal 5 2 6 8" xfId="21657" xr:uid="{9A726D5C-6A86-46E5-8185-4DBF5361883B}"/>
    <cellStyle name="Normal 5 2 6 9" xfId="13236" xr:uid="{ADE1CE44-3839-413F-903F-A690AA14CA30}"/>
    <cellStyle name="Normal 5 2 7" xfId="882" xr:uid="{00000000-0005-0000-0000-00005D190000}"/>
    <cellStyle name="Normal 5 2 7 2" xfId="3117" xr:uid="{00000000-0005-0000-0000-00005E190000}"/>
    <cellStyle name="Normal 5 2 7 2 2" xfId="7341" xr:uid="{00000000-0005-0000-0000-00005F190000}"/>
    <cellStyle name="Normal 5 2 7 2 2 2" xfId="19974" xr:uid="{16B30478-330A-4FDC-9B0D-FFDFC657CA62}"/>
    <cellStyle name="Normal 5 2 7 2 3" xfId="15763" xr:uid="{5CEBEFEB-F6BF-4285-B689-59E41FB0E96F}"/>
    <cellStyle name="Normal 5 2 7 2 4" xfId="25013" xr:uid="{FC7C1399-8CD8-42BF-8EDD-E1F10A4DA991}"/>
    <cellStyle name="Normal 5 2 7 2 5" xfId="11552" xr:uid="{B59AAB3B-CB50-460B-9BCF-F85D14A374CD}"/>
    <cellStyle name="Normal 5 2 7 3" xfId="5196" xr:uid="{00000000-0005-0000-0000-000060190000}"/>
    <cellStyle name="Normal 5 2 7 3 2" xfId="17829" xr:uid="{6366187D-C685-4838-B0C4-0DB9E8A8DA7A}"/>
    <cellStyle name="Normal 5 2 7 4" xfId="22041" xr:uid="{6403CC73-FD3F-4FA5-A9D1-CDF5D9EA5A6C}"/>
    <cellStyle name="Normal 5 2 7 5" xfId="13618" xr:uid="{F73D9288-6533-44B5-A988-A1FAC962D7DF}"/>
    <cellStyle name="Normal 5 2 7 6" xfId="22868" xr:uid="{D9DEBDB0-84F7-4D00-90B2-182EF388D683}"/>
    <cellStyle name="Normal 5 2 7 7" xfId="9407" xr:uid="{062DACB7-4C03-4658-9413-C32FE7FD3666}"/>
    <cellStyle name="Normal 5 2 8" xfId="1300" xr:uid="{00000000-0005-0000-0000-000061190000}"/>
    <cellStyle name="Normal 5 2 8 2" xfId="3530" xr:uid="{00000000-0005-0000-0000-000062190000}"/>
    <cellStyle name="Normal 5 2 8 2 2" xfId="7754" xr:uid="{00000000-0005-0000-0000-000063190000}"/>
    <cellStyle name="Normal 5 2 8 2 2 2" xfId="20387" xr:uid="{ADC61689-FB39-4183-88A3-08C927EC894B}"/>
    <cellStyle name="Normal 5 2 8 2 3" xfId="16176" xr:uid="{140A8358-FD83-4066-BF1C-858D00172E53}"/>
    <cellStyle name="Normal 5 2 8 2 4" xfId="25426" xr:uid="{D07E3BD2-0D68-4A5A-99BF-C85007B865C6}"/>
    <cellStyle name="Normal 5 2 8 2 5" xfId="11965" xr:uid="{964582E6-508D-46C1-A43C-713CFE4D925A}"/>
    <cellStyle name="Normal 5 2 8 3" xfId="5609" xr:uid="{00000000-0005-0000-0000-000064190000}"/>
    <cellStyle name="Normal 5 2 8 3 2" xfId="18242" xr:uid="{8D2D6300-5BDA-4921-8F9A-F5511CE0AC88}"/>
    <cellStyle name="Normal 5 2 8 4" xfId="14031" xr:uid="{4FADF553-F7A6-4FF5-85B4-A7401F92890F}"/>
    <cellStyle name="Normal 5 2 8 5" xfId="23281" xr:uid="{DAB13BF5-73FB-4884-ACF8-38EF7207EC74}"/>
    <cellStyle name="Normal 5 2 8 6" xfId="9820" xr:uid="{F57DA740-AB58-4A54-86ED-C09A02E6C606}"/>
    <cellStyle name="Normal 5 2 9" xfId="1713" xr:uid="{00000000-0005-0000-0000-000065190000}"/>
    <cellStyle name="Normal 5 2 9 2" xfId="3943" xr:uid="{00000000-0005-0000-0000-000066190000}"/>
    <cellStyle name="Normal 5 2 9 2 2" xfId="8167" xr:uid="{00000000-0005-0000-0000-000067190000}"/>
    <cellStyle name="Normal 5 2 9 2 2 2" xfId="20800" xr:uid="{1C673620-3BDE-455F-9421-4E02FA7E107A}"/>
    <cellStyle name="Normal 5 2 9 2 3" xfId="16589" xr:uid="{CC2AEC57-13E3-439F-BBF0-F4066A859189}"/>
    <cellStyle name="Normal 5 2 9 2 4" xfId="25839" xr:uid="{61DF60B6-8584-4B7F-A229-F65C97CADAB9}"/>
    <cellStyle name="Normal 5 2 9 2 5" xfId="12378" xr:uid="{C80B304B-3E13-4620-9D62-26F620E33B86}"/>
    <cellStyle name="Normal 5 2 9 3" xfId="6022" xr:uid="{00000000-0005-0000-0000-000068190000}"/>
    <cellStyle name="Normal 5 2 9 3 2" xfId="18655" xr:uid="{F8882087-D308-418A-AF66-BB14B4A5950F}"/>
    <cellStyle name="Normal 5 2 9 4" xfId="14444" xr:uid="{CA2AB26B-5C1B-4A5E-94BB-AF044227AFEE}"/>
    <cellStyle name="Normal 5 2 9 5" xfId="23694" xr:uid="{F431DB40-45AA-4DBB-9397-2C2FB5E37176}"/>
    <cellStyle name="Normal 5 2 9 6" xfId="10233" xr:uid="{771873CB-9949-4BD9-8A06-FCECB42205F5}"/>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21245" xr:uid="{A704FC10-968B-4065-ADD1-66BEB7AA6B8B}"/>
    <cellStyle name="Normal 5 3 10 2 3" xfId="17034" xr:uid="{0376B1F7-C422-480B-8E18-DA6A8ECD3B86}"/>
    <cellStyle name="Normal 5 3 10 2 4" xfId="26284" xr:uid="{153BEAD1-64AA-4C23-8D5F-50F8DC2339A7}"/>
    <cellStyle name="Normal 5 3 10 2 5" xfId="12823" xr:uid="{43E2F616-4A19-4249-BBCE-5B8FE316E40B}"/>
    <cellStyle name="Normal 5 3 10 3" xfId="6467" xr:uid="{00000000-0005-0000-0000-00006D190000}"/>
    <cellStyle name="Normal 5 3 10 3 2" xfId="19100" xr:uid="{1AF8E766-7578-4FF7-8D52-C4B9F95B02BC}"/>
    <cellStyle name="Normal 5 3 10 4" xfId="14889" xr:uid="{E7312172-C2CD-48D6-A0CD-94DF820FEF7A}"/>
    <cellStyle name="Normal 5 3 10 5" xfId="24139" xr:uid="{571A8C93-2306-4896-854A-B6146C3C0DBE}"/>
    <cellStyle name="Normal 5 3 10 6" xfId="10678" xr:uid="{27C4EDA9-652D-4F11-9908-5EE42076977E}"/>
    <cellStyle name="Normal 5 3 11" xfId="2595" xr:uid="{00000000-0005-0000-0000-00006E190000}"/>
    <cellStyle name="Normal 5 3 11 2" xfId="6880" xr:uid="{00000000-0005-0000-0000-00006F190000}"/>
    <cellStyle name="Normal 5 3 11 2 2" xfId="19513" xr:uid="{E998EE34-85DC-4FBD-B5CD-D159F9F73425}"/>
    <cellStyle name="Normal 5 3 11 3" xfId="15302" xr:uid="{463C33C9-4AFA-4969-AD9F-0CB45690471C}"/>
    <cellStyle name="Normal 5 3 11 4" xfId="24552" xr:uid="{0552872C-8942-4AED-BDCB-5884DEC32B8A}"/>
    <cellStyle name="Normal 5 3 11 5" xfId="11091" xr:uid="{E76D9FC7-1BE0-4752-94FE-50CF5B95BD8F}"/>
    <cellStyle name="Normal 5 3 12" xfId="4815" xr:uid="{00000000-0005-0000-0000-000070190000}"/>
    <cellStyle name="Normal 5 3 12 2" xfId="17448" xr:uid="{989F871E-F04B-444A-B35E-B1ACB26BC385}"/>
    <cellStyle name="Normal 5 3 13" xfId="21658" xr:uid="{CD01E98D-CB62-41C8-B2B5-47975A370FDC}"/>
    <cellStyle name="Normal 5 3 14" xfId="13237" xr:uid="{A5263FEF-DBB5-4422-8402-8F5CED3324F6}"/>
    <cellStyle name="Normal 5 3 15" xfId="22487" xr:uid="{D5124AD5-3222-40B6-930F-9E368CA3354A}"/>
    <cellStyle name="Normal 5 3 16" xfId="9026" xr:uid="{88E51375-53E8-4F30-ACD1-A921F431264C}"/>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7449" xr:uid="{D5FBC993-74C3-4D1E-887F-B1CA5413F899}"/>
    <cellStyle name="Normal 5 3 3 11" xfId="21659" xr:uid="{1795792D-0465-44FD-808D-247020C90014}"/>
    <cellStyle name="Normal 5 3 3 12" xfId="13238" xr:uid="{F11829C0-0B02-4FEE-BC2D-F7AB2A50C09D}"/>
    <cellStyle name="Normal 5 3 3 13" xfId="22488" xr:uid="{51562C7E-9542-41C2-9A6E-9F97BD7D46EB}"/>
    <cellStyle name="Normal 5 3 3 14" xfId="9027" xr:uid="{FB738498-C929-4278-8033-E3532EF15925}"/>
    <cellStyle name="Normal 5 3 3 2" xfId="442" xr:uid="{00000000-0005-0000-0000-000075190000}"/>
    <cellStyle name="Normal 5 3 3 2 10" xfId="21660" xr:uid="{F030F46A-4A90-4FAF-A8DE-6A7CF7BBA585}"/>
    <cellStyle name="Normal 5 3 3 2 11" xfId="13239" xr:uid="{9705E895-8282-4887-873B-C6C244CEA252}"/>
    <cellStyle name="Normal 5 3 3 2 12" xfId="22489" xr:uid="{346DA501-CD35-4DA0-8752-A37E7EC7461C}"/>
    <cellStyle name="Normal 5 3 3 2 13" xfId="9028" xr:uid="{23D03961-0018-40BE-A706-6F7DD6CC6509}"/>
    <cellStyle name="Normal 5 3 3 2 2" xfId="443" xr:uid="{00000000-0005-0000-0000-000076190000}"/>
    <cellStyle name="Normal 5 3 3 2 2 10" xfId="13240" xr:uid="{5E407DC6-F16B-4544-8C18-CEB0CD790B4F}"/>
    <cellStyle name="Normal 5 3 3 2 2 11" xfId="22490" xr:uid="{DB2FA4C5-8BFF-46CD-BC1D-2456CABFE01E}"/>
    <cellStyle name="Normal 5 3 3 2 2 12" xfId="9029" xr:uid="{C60C5C58-3811-44FB-91B3-36BA360ED601}"/>
    <cellStyle name="Normal 5 3 3 2 2 2" xfId="444" xr:uid="{00000000-0005-0000-0000-000077190000}"/>
    <cellStyle name="Normal 5 3 3 2 2 2 10" xfId="22491" xr:uid="{1B174C18-1900-4EF0-9C7C-A8A18A265D9D}"/>
    <cellStyle name="Normal 5 3 3 2 2 2 11" xfId="9030" xr:uid="{57C15675-CA3B-47D8-B43F-5E253A990F3C}"/>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20010" xr:uid="{418CEA44-F421-4EC7-B255-31DB2EBFA2FE}"/>
    <cellStyle name="Normal 5 3 3 2 2 2 2 2 3" xfId="15799" xr:uid="{3A7E8B35-E71C-438B-AF07-BF84D8EAC3F5}"/>
    <cellStyle name="Normal 5 3 3 2 2 2 2 2 4" xfId="25049" xr:uid="{36D3E01D-B228-4503-B8A2-F4CDF67A0BED}"/>
    <cellStyle name="Normal 5 3 3 2 2 2 2 2 5" xfId="11588" xr:uid="{8DA4E7A1-5E97-422C-B318-E78C852CE408}"/>
    <cellStyle name="Normal 5 3 3 2 2 2 2 3" xfId="5232" xr:uid="{00000000-0005-0000-0000-00007B190000}"/>
    <cellStyle name="Normal 5 3 3 2 2 2 2 3 2" xfId="17865" xr:uid="{D289DC30-273F-420D-99C9-4B9150B047EE}"/>
    <cellStyle name="Normal 5 3 3 2 2 2 2 4" xfId="22077" xr:uid="{A57C6F89-EE5C-4E54-91DE-665A9E033F01}"/>
    <cellStyle name="Normal 5 3 3 2 2 2 2 5" xfId="13654" xr:uid="{E4E53055-70A7-4374-81F5-5F17874D6E4F}"/>
    <cellStyle name="Normal 5 3 3 2 2 2 2 6" xfId="22904" xr:uid="{C1A246D7-EAD7-4BDD-872B-EA0812C764BB}"/>
    <cellStyle name="Normal 5 3 3 2 2 2 2 7" xfId="9443" xr:uid="{77977AC1-9C23-4F02-AF9C-ABA0D7E9707D}"/>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20423" xr:uid="{59B7717A-56A7-4533-87B8-84074B6CE9FC}"/>
    <cellStyle name="Normal 5 3 3 2 2 2 3 2 3" xfId="16212" xr:uid="{27AC19E9-8655-454E-BF04-760A0F6C7B09}"/>
    <cellStyle name="Normal 5 3 3 2 2 2 3 2 4" xfId="25462" xr:uid="{D131DBC1-DD72-4977-91AF-685D3F0F2BDB}"/>
    <cellStyle name="Normal 5 3 3 2 2 2 3 2 5" xfId="12001" xr:uid="{2092AFA0-1152-483D-8677-22330D345773}"/>
    <cellStyle name="Normal 5 3 3 2 2 2 3 3" xfId="5645" xr:uid="{00000000-0005-0000-0000-00007F190000}"/>
    <cellStyle name="Normal 5 3 3 2 2 2 3 3 2" xfId="18278" xr:uid="{FC1A1EAF-9C60-42AB-8B63-F11D9F1C806D}"/>
    <cellStyle name="Normal 5 3 3 2 2 2 3 4" xfId="14067" xr:uid="{90B92185-6184-4084-9ECE-5264C41763DD}"/>
    <cellStyle name="Normal 5 3 3 2 2 2 3 5" xfId="23317" xr:uid="{9AD51127-CDF5-41DC-B072-E39D9A5E7D0D}"/>
    <cellStyle name="Normal 5 3 3 2 2 2 3 6" xfId="9856" xr:uid="{8C0E8022-A184-4DB6-9F21-C714839BDC8B}"/>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20836" xr:uid="{EA1500F8-029C-458C-9E95-FED29271190E}"/>
    <cellStyle name="Normal 5 3 3 2 2 2 4 2 3" xfId="16625" xr:uid="{5DF218B8-34CC-40DF-9505-5F8314AB1D2A}"/>
    <cellStyle name="Normal 5 3 3 2 2 2 4 2 4" xfId="25875" xr:uid="{0D79E400-59F9-4CD7-AA34-8CE4C0A0150C}"/>
    <cellStyle name="Normal 5 3 3 2 2 2 4 2 5" xfId="12414" xr:uid="{0AC49E44-E088-465C-9512-41EABA33ECED}"/>
    <cellStyle name="Normal 5 3 3 2 2 2 4 3" xfId="6058" xr:uid="{00000000-0005-0000-0000-000083190000}"/>
    <cellStyle name="Normal 5 3 3 2 2 2 4 3 2" xfId="18691" xr:uid="{516B6FF5-1F52-460B-AE7D-D067DEB7E00A}"/>
    <cellStyle name="Normal 5 3 3 2 2 2 4 4" xfId="14480" xr:uid="{C126AD91-12DF-423F-A6CD-FA57BC6F811B}"/>
    <cellStyle name="Normal 5 3 3 2 2 2 4 5" xfId="23730" xr:uid="{1567809E-9F27-45D8-9969-134B63A1EC60}"/>
    <cellStyle name="Normal 5 3 3 2 2 2 4 6" xfId="10269" xr:uid="{540956EA-0F7D-46EE-8F98-4AD1E6C24FC4}"/>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21249" xr:uid="{8315D5C2-5B11-4380-954D-D5A0B12D1B32}"/>
    <cellStyle name="Normal 5 3 3 2 2 2 5 2 3" xfId="17038" xr:uid="{3373F847-E357-49B8-B68A-2ED24D68942A}"/>
    <cellStyle name="Normal 5 3 3 2 2 2 5 2 4" xfId="26288" xr:uid="{439EB106-E023-4844-BCCC-D4CD0AE32C46}"/>
    <cellStyle name="Normal 5 3 3 2 2 2 5 2 5" xfId="12827" xr:uid="{E0128FAE-8BFB-47A1-BE59-A75820BFF077}"/>
    <cellStyle name="Normal 5 3 3 2 2 2 5 3" xfId="6471" xr:uid="{00000000-0005-0000-0000-000087190000}"/>
    <cellStyle name="Normal 5 3 3 2 2 2 5 3 2" xfId="19104" xr:uid="{B19FFC06-95D5-4446-B781-20E4D65629A6}"/>
    <cellStyle name="Normal 5 3 3 2 2 2 5 4" xfId="14893" xr:uid="{58BDD23B-0803-48CA-A29C-75728140D186}"/>
    <cellStyle name="Normal 5 3 3 2 2 2 5 5" xfId="24143" xr:uid="{62B7D83B-A53E-49C0-ADFA-5BE568286E8F}"/>
    <cellStyle name="Normal 5 3 3 2 2 2 5 6" xfId="10682" xr:uid="{F6A18403-4531-4294-A0B5-22750CF1E19A}"/>
    <cellStyle name="Normal 5 3 3 2 2 2 6" xfId="2599" xr:uid="{00000000-0005-0000-0000-000088190000}"/>
    <cellStyle name="Normal 5 3 3 2 2 2 6 2" xfId="6884" xr:uid="{00000000-0005-0000-0000-000089190000}"/>
    <cellStyle name="Normal 5 3 3 2 2 2 6 2 2" xfId="19517" xr:uid="{15B6A20E-60FF-4CEA-B64E-5FEE9BAC00D6}"/>
    <cellStyle name="Normal 5 3 3 2 2 2 6 3" xfId="15306" xr:uid="{4D1103E8-3E97-46FC-A2C9-5ABB4090EF63}"/>
    <cellStyle name="Normal 5 3 3 2 2 2 6 4" xfId="24556" xr:uid="{407CFF06-290A-4102-8657-47367B65E5EA}"/>
    <cellStyle name="Normal 5 3 3 2 2 2 6 5" xfId="11095" xr:uid="{04E4FA68-5955-4420-A750-0F53358C93FC}"/>
    <cellStyle name="Normal 5 3 3 2 2 2 7" xfId="4819" xr:uid="{00000000-0005-0000-0000-00008A190000}"/>
    <cellStyle name="Normal 5 3 3 2 2 2 7 2" xfId="17452" xr:uid="{AAFB3A6D-A1B5-46BF-AC64-627B321AEEE1}"/>
    <cellStyle name="Normal 5 3 3 2 2 2 8" xfId="21662" xr:uid="{66136813-DFBE-4552-9A2A-13D9D58D4A46}"/>
    <cellStyle name="Normal 5 3 3 2 2 2 9" xfId="13241" xr:uid="{2521112A-6BA8-47D1-9126-D6F1B5C43A5D}"/>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20009" xr:uid="{B98F996C-BAEB-4778-8286-1312B9D292DD}"/>
    <cellStyle name="Normal 5 3 3 2 2 3 2 3" xfId="15798" xr:uid="{2A8EDCCF-C89C-44A8-83E8-729D52A0EED5}"/>
    <cellStyle name="Normal 5 3 3 2 2 3 2 4" xfId="25048" xr:uid="{92611140-9334-4262-8D41-1D496E5B0B80}"/>
    <cellStyle name="Normal 5 3 3 2 2 3 2 5" xfId="11587" xr:uid="{F442DBF2-95A9-4B24-8E79-AE3E794451D6}"/>
    <cellStyle name="Normal 5 3 3 2 2 3 3" xfId="5231" xr:uid="{00000000-0005-0000-0000-00008E190000}"/>
    <cellStyle name="Normal 5 3 3 2 2 3 3 2" xfId="17864" xr:uid="{BFFDA384-D3BB-4626-9512-9F043488FA0B}"/>
    <cellStyle name="Normal 5 3 3 2 2 3 4" xfId="22076" xr:uid="{CBF4A216-ADFE-4A70-8A78-FF146C9D4B8C}"/>
    <cellStyle name="Normal 5 3 3 2 2 3 5" xfId="13653" xr:uid="{559C1CA8-0DDF-48FF-AA53-4C6BAE7C4162}"/>
    <cellStyle name="Normal 5 3 3 2 2 3 6" xfId="22903" xr:uid="{3B3C633A-15D4-4605-8065-97737B2B30CF}"/>
    <cellStyle name="Normal 5 3 3 2 2 3 7" xfId="9442" xr:uid="{C9F36458-7DB1-4783-901F-B769F561DC2D}"/>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20422" xr:uid="{D10E7C4C-D0EC-430C-B7F2-2112EF1F1D0B}"/>
    <cellStyle name="Normal 5 3 3 2 2 4 2 3" xfId="16211" xr:uid="{594C682E-FA77-47FB-A2C9-1182C62DF56D}"/>
    <cellStyle name="Normal 5 3 3 2 2 4 2 4" xfId="25461" xr:uid="{4FA64251-2484-4CA0-95B4-21E7F9B61029}"/>
    <cellStyle name="Normal 5 3 3 2 2 4 2 5" xfId="12000" xr:uid="{48545D60-6DA6-4B43-8076-411CC7496872}"/>
    <cellStyle name="Normal 5 3 3 2 2 4 3" xfId="5644" xr:uid="{00000000-0005-0000-0000-000092190000}"/>
    <cellStyle name="Normal 5 3 3 2 2 4 3 2" xfId="18277" xr:uid="{3CB8F13A-631E-4214-9691-A7739E0F0614}"/>
    <cellStyle name="Normal 5 3 3 2 2 4 4" xfId="14066" xr:uid="{4EFEE717-FCB0-47EC-B46B-A5353930A3A0}"/>
    <cellStyle name="Normal 5 3 3 2 2 4 5" xfId="23316" xr:uid="{4401F8AE-5305-4C21-9C08-F6AB0CD969FB}"/>
    <cellStyle name="Normal 5 3 3 2 2 4 6" xfId="9855" xr:uid="{C6190418-DF14-42DA-90C9-477A55D8CAA2}"/>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20835" xr:uid="{F56D8A58-C06B-4891-927E-527B22973E1F}"/>
    <cellStyle name="Normal 5 3 3 2 2 5 2 3" xfId="16624" xr:uid="{8863139E-5475-4FDC-AE84-47E0B8CD3635}"/>
    <cellStyle name="Normal 5 3 3 2 2 5 2 4" xfId="25874" xr:uid="{7F2B6B8B-6B94-41BE-8817-898E8939C5E2}"/>
    <cellStyle name="Normal 5 3 3 2 2 5 2 5" xfId="12413" xr:uid="{082B7173-33D3-4FA2-BCF6-C1A8D581D467}"/>
    <cellStyle name="Normal 5 3 3 2 2 5 3" xfId="6057" xr:uid="{00000000-0005-0000-0000-000096190000}"/>
    <cellStyle name="Normal 5 3 3 2 2 5 3 2" xfId="18690" xr:uid="{B1DFAD54-BFDB-4772-BD0C-0459897AE1DF}"/>
    <cellStyle name="Normal 5 3 3 2 2 5 4" xfId="14479" xr:uid="{F61ACDD6-4801-491C-BD05-527C1BE1B959}"/>
    <cellStyle name="Normal 5 3 3 2 2 5 5" xfId="23729" xr:uid="{8DAA7AA8-9B01-4E8F-8194-0FAC885A65DC}"/>
    <cellStyle name="Normal 5 3 3 2 2 5 6" xfId="10268" xr:uid="{BF67D833-1BC8-4D12-9269-0DB5F9BB5C1E}"/>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21248" xr:uid="{AE00E3AE-FA9C-4929-9587-6DB0C9E4B958}"/>
    <cellStyle name="Normal 5 3 3 2 2 6 2 3" xfId="17037" xr:uid="{7636D741-4398-4171-B34B-BDF529ED7F9F}"/>
    <cellStyle name="Normal 5 3 3 2 2 6 2 4" xfId="26287" xr:uid="{3DF627F8-E713-4B09-9AFF-A931F310118F}"/>
    <cellStyle name="Normal 5 3 3 2 2 6 2 5" xfId="12826" xr:uid="{F736AD2B-DA3B-4FB0-A14E-1209DEF99CFB}"/>
    <cellStyle name="Normal 5 3 3 2 2 6 3" xfId="6470" xr:uid="{00000000-0005-0000-0000-00009A190000}"/>
    <cellStyle name="Normal 5 3 3 2 2 6 3 2" xfId="19103" xr:uid="{CDB80BF6-3D9B-468F-887A-BFA32884EA5E}"/>
    <cellStyle name="Normal 5 3 3 2 2 6 4" xfId="14892" xr:uid="{F7AA2534-55C4-4AF6-A493-939FC7549D4F}"/>
    <cellStyle name="Normal 5 3 3 2 2 6 5" xfId="24142" xr:uid="{B86994F9-8722-400D-AFFF-231DFB16731D}"/>
    <cellStyle name="Normal 5 3 3 2 2 6 6" xfId="10681" xr:uid="{C4C04D12-2E62-47AB-8CF2-EB859AAB928C}"/>
    <cellStyle name="Normal 5 3 3 2 2 7" xfId="2598" xr:uid="{00000000-0005-0000-0000-00009B190000}"/>
    <cellStyle name="Normal 5 3 3 2 2 7 2" xfId="6883" xr:uid="{00000000-0005-0000-0000-00009C190000}"/>
    <cellStyle name="Normal 5 3 3 2 2 7 2 2" xfId="19516" xr:uid="{DBC46452-3194-4146-A1B5-E847B5F150B9}"/>
    <cellStyle name="Normal 5 3 3 2 2 7 3" xfId="15305" xr:uid="{AD47A98F-4709-4D5A-8CB5-EB80FAB980B0}"/>
    <cellStyle name="Normal 5 3 3 2 2 7 4" xfId="24555" xr:uid="{3F832B68-C9F8-44D8-B98A-47377C95C97D}"/>
    <cellStyle name="Normal 5 3 3 2 2 7 5" xfId="11094" xr:uid="{EC341437-E5D7-4D97-A155-20CADC3B2BD5}"/>
    <cellStyle name="Normal 5 3 3 2 2 8" xfId="4818" xr:uid="{00000000-0005-0000-0000-00009D190000}"/>
    <cellStyle name="Normal 5 3 3 2 2 8 2" xfId="17451" xr:uid="{0B4818A4-4E9A-419E-9D65-0978B8CDC2A9}"/>
    <cellStyle name="Normal 5 3 3 2 2 9" xfId="21661" xr:uid="{000F61F5-E09B-45F5-B3DB-9E9F3A20A8C4}"/>
    <cellStyle name="Normal 5 3 3 2 3" xfId="445" xr:uid="{00000000-0005-0000-0000-00009E190000}"/>
    <cellStyle name="Normal 5 3 3 2 3 10" xfId="22492" xr:uid="{650B8BBC-5EB8-4485-BD87-2C7F757B6140}"/>
    <cellStyle name="Normal 5 3 3 2 3 11" xfId="9031" xr:uid="{44A52200-1C70-4F63-AD24-870AC18E25BB}"/>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20011" xr:uid="{40974001-EEA3-467F-BF6B-F02EF2F51F63}"/>
    <cellStyle name="Normal 5 3 3 2 3 2 2 3" xfId="15800" xr:uid="{2F34EA00-3B89-4E3A-A439-A54127970CFA}"/>
    <cellStyle name="Normal 5 3 3 2 3 2 2 4" xfId="25050" xr:uid="{642F037E-3EFB-4B56-B0E6-B7DC55B745D5}"/>
    <cellStyle name="Normal 5 3 3 2 3 2 2 5" xfId="11589" xr:uid="{2EF354F0-B07E-4010-AD2E-30BBB7D755CA}"/>
    <cellStyle name="Normal 5 3 3 2 3 2 3" xfId="5233" xr:uid="{00000000-0005-0000-0000-0000A2190000}"/>
    <cellStyle name="Normal 5 3 3 2 3 2 3 2" xfId="17866" xr:uid="{E2D838DF-568F-42BB-A172-625A0995D2EA}"/>
    <cellStyle name="Normal 5 3 3 2 3 2 4" xfId="22078" xr:uid="{C823347E-DC88-43E6-B93D-9F6528D242E7}"/>
    <cellStyle name="Normal 5 3 3 2 3 2 5" xfId="13655" xr:uid="{85E117F6-4740-439F-8F86-C79DD62F05AB}"/>
    <cellStyle name="Normal 5 3 3 2 3 2 6" xfId="22905" xr:uid="{41A54139-EC2D-4528-AEED-A28877266D40}"/>
    <cellStyle name="Normal 5 3 3 2 3 2 7" xfId="9444" xr:uid="{005264DC-93A2-4D21-8F5D-44D1F158EC4F}"/>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20424" xr:uid="{58F5B813-7201-43C3-B685-B9AC5560AFE8}"/>
    <cellStyle name="Normal 5 3 3 2 3 3 2 3" xfId="16213" xr:uid="{140C7BB3-500A-4260-A292-AEDDB8BAD3EB}"/>
    <cellStyle name="Normal 5 3 3 2 3 3 2 4" xfId="25463" xr:uid="{245CB7BE-9159-4A2C-AC1A-9136EAACF024}"/>
    <cellStyle name="Normal 5 3 3 2 3 3 2 5" xfId="12002" xr:uid="{B63F21CD-587C-4CFF-8B16-0F6015A10089}"/>
    <cellStyle name="Normal 5 3 3 2 3 3 3" xfId="5646" xr:uid="{00000000-0005-0000-0000-0000A6190000}"/>
    <cellStyle name="Normal 5 3 3 2 3 3 3 2" xfId="18279" xr:uid="{0B3A4B1B-4C1D-41F6-B49A-04B407DB5FB9}"/>
    <cellStyle name="Normal 5 3 3 2 3 3 4" xfId="14068" xr:uid="{6FD1826F-FA00-4534-A57E-767638E0DC39}"/>
    <cellStyle name="Normal 5 3 3 2 3 3 5" xfId="23318" xr:uid="{B8ADF75D-FDF5-4D90-A0DC-584DEAA6BEF2}"/>
    <cellStyle name="Normal 5 3 3 2 3 3 6" xfId="9857" xr:uid="{E10452BF-3DB6-4AA4-BD98-7528E8B4E3A6}"/>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20837" xr:uid="{B60C5ADF-CDC5-4734-885F-293B514C98CC}"/>
    <cellStyle name="Normal 5 3 3 2 3 4 2 3" xfId="16626" xr:uid="{C810DEA6-5E9F-437A-B149-070D2D535F00}"/>
    <cellStyle name="Normal 5 3 3 2 3 4 2 4" xfId="25876" xr:uid="{F80DC50C-DC4D-4BF0-BF0A-2D5E1587885B}"/>
    <cellStyle name="Normal 5 3 3 2 3 4 2 5" xfId="12415" xr:uid="{D7C48ADA-A40A-4B4A-8B94-9A1B94D01831}"/>
    <cellStyle name="Normal 5 3 3 2 3 4 3" xfId="6059" xr:uid="{00000000-0005-0000-0000-0000AA190000}"/>
    <cellStyle name="Normal 5 3 3 2 3 4 3 2" xfId="18692" xr:uid="{F75AF91F-A74F-4CBA-ADAE-0D37B281141F}"/>
    <cellStyle name="Normal 5 3 3 2 3 4 4" xfId="14481" xr:uid="{AAFC11A6-C5CA-4C24-B4CF-072F0F6EDE02}"/>
    <cellStyle name="Normal 5 3 3 2 3 4 5" xfId="23731" xr:uid="{E25966AA-CBE0-48B8-BE55-833EFD32A5EE}"/>
    <cellStyle name="Normal 5 3 3 2 3 4 6" xfId="10270" xr:uid="{9A460436-514D-444E-8B12-094E1903557D}"/>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21250" xr:uid="{851D4A7C-76C0-4A26-9136-2353AE6BBEEE}"/>
    <cellStyle name="Normal 5 3 3 2 3 5 2 3" xfId="17039" xr:uid="{BCC83E85-CB75-476A-B698-3FE8D37A57EF}"/>
    <cellStyle name="Normal 5 3 3 2 3 5 2 4" xfId="26289" xr:uid="{BC785D76-004C-402A-A825-B0A3E7A57EE8}"/>
    <cellStyle name="Normal 5 3 3 2 3 5 2 5" xfId="12828" xr:uid="{9080D22D-E833-4A92-81FF-AFE04F45501A}"/>
    <cellStyle name="Normal 5 3 3 2 3 5 3" xfId="6472" xr:uid="{00000000-0005-0000-0000-0000AE190000}"/>
    <cellStyle name="Normal 5 3 3 2 3 5 3 2" xfId="19105" xr:uid="{474F217A-E7EA-421C-A03C-4916F0C8F98B}"/>
    <cellStyle name="Normal 5 3 3 2 3 5 4" xfId="14894" xr:uid="{3ED82998-ADE6-4396-B94B-20C235057FFA}"/>
    <cellStyle name="Normal 5 3 3 2 3 5 5" xfId="24144" xr:uid="{5C6D50DD-23DE-4AF0-B612-53395597C7A1}"/>
    <cellStyle name="Normal 5 3 3 2 3 5 6" xfId="10683" xr:uid="{24BDED1A-CA04-4AAD-8E96-1D1FE2490A22}"/>
    <cellStyle name="Normal 5 3 3 2 3 6" xfId="2600" xr:uid="{00000000-0005-0000-0000-0000AF190000}"/>
    <cellStyle name="Normal 5 3 3 2 3 6 2" xfId="6885" xr:uid="{00000000-0005-0000-0000-0000B0190000}"/>
    <cellStyle name="Normal 5 3 3 2 3 6 2 2" xfId="19518" xr:uid="{B63C5DF4-CFF0-4C1F-8335-8CF5D2E933D6}"/>
    <cellStyle name="Normal 5 3 3 2 3 6 3" xfId="15307" xr:uid="{1EAA712D-96C3-46AB-B4EC-06EECDEE54A7}"/>
    <cellStyle name="Normal 5 3 3 2 3 6 4" xfId="24557" xr:uid="{CB0408CD-ECA8-4E32-A9BC-46B861649507}"/>
    <cellStyle name="Normal 5 3 3 2 3 6 5" xfId="11096" xr:uid="{E9446266-0AD9-45D3-80D5-E48293554200}"/>
    <cellStyle name="Normal 5 3 3 2 3 7" xfId="4820" xr:uid="{00000000-0005-0000-0000-0000B1190000}"/>
    <cellStyle name="Normal 5 3 3 2 3 7 2" xfId="17453" xr:uid="{980B8448-8C84-4D6A-B787-1632ED227611}"/>
    <cellStyle name="Normal 5 3 3 2 3 8" xfId="21663" xr:uid="{6215CEE2-0277-4893-926D-C8F3D6F8271E}"/>
    <cellStyle name="Normal 5 3 3 2 3 9" xfId="13242" xr:uid="{F050E81B-B662-433B-B4A2-110CC5FE57C6}"/>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20008" xr:uid="{094DF66E-CCF4-4441-9541-3D594C94E61D}"/>
    <cellStyle name="Normal 5 3 3 2 4 2 3" xfId="15797" xr:uid="{99A2A413-0939-4A11-8FEC-CC47242FC5D3}"/>
    <cellStyle name="Normal 5 3 3 2 4 2 4" xfId="25047" xr:uid="{FB251942-D77F-4BD4-9F89-363FDA92B594}"/>
    <cellStyle name="Normal 5 3 3 2 4 2 5" xfId="11586" xr:uid="{CC1B5CB3-1F7D-42C6-8AFE-05D6D79A4A6E}"/>
    <cellStyle name="Normal 5 3 3 2 4 3" xfId="5230" xr:uid="{00000000-0005-0000-0000-0000B5190000}"/>
    <cellStyle name="Normal 5 3 3 2 4 3 2" xfId="17863" xr:uid="{6081FAA1-3632-4786-9C97-F98431AC8D64}"/>
    <cellStyle name="Normal 5 3 3 2 4 4" xfId="22075" xr:uid="{B638049E-896E-47D4-BBD0-127FAD05D0D4}"/>
    <cellStyle name="Normal 5 3 3 2 4 5" xfId="13652" xr:uid="{A6231AC7-40C8-42BD-9157-1C80EEEC35E1}"/>
    <cellStyle name="Normal 5 3 3 2 4 6" xfId="22902" xr:uid="{37CCB748-7FFA-43C6-816C-B318DEDF99C5}"/>
    <cellStyle name="Normal 5 3 3 2 4 7" xfId="9441" xr:uid="{E3227930-CB11-4BBD-87CB-9DA8FCC9C779}"/>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20421" xr:uid="{DB32E6CA-2C8A-4C31-979C-9EEAB302FDFF}"/>
    <cellStyle name="Normal 5 3 3 2 5 2 3" xfId="16210" xr:uid="{5D056CA7-C9E6-42F5-BF7B-D66FEBFD4012}"/>
    <cellStyle name="Normal 5 3 3 2 5 2 4" xfId="25460" xr:uid="{9B9E1050-055C-45C8-AE7C-B90948EBBAE5}"/>
    <cellStyle name="Normal 5 3 3 2 5 2 5" xfId="11999" xr:uid="{B4EFE973-F858-452C-B21E-9C061912AEB3}"/>
    <cellStyle name="Normal 5 3 3 2 5 3" xfId="5643" xr:uid="{00000000-0005-0000-0000-0000B9190000}"/>
    <cellStyle name="Normal 5 3 3 2 5 3 2" xfId="18276" xr:uid="{098E7C33-A159-4F46-AAC4-579D6EAB1257}"/>
    <cellStyle name="Normal 5 3 3 2 5 4" xfId="14065" xr:uid="{71FBA18D-DA66-41B3-8840-E53D495357F4}"/>
    <cellStyle name="Normal 5 3 3 2 5 5" xfId="23315" xr:uid="{D05E6E65-80F4-49EA-83B3-847982695BD7}"/>
    <cellStyle name="Normal 5 3 3 2 5 6" xfId="9854" xr:uid="{ABFFFE9E-4163-4D51-A8B7-52E1B2BC2616}"/>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20834" xr:uid="{284700A6-23BC-4942-9B90-D1EC5D5EB0D8}"/>
    <cellStyle name="Normal 5 3 3 2 6 2 3" xfId="16623" xr:uid="{D431743E-35FC-4E39-AE8B-62CCDBB91D97}"/>
    <cellStyle name="Normal 5 3 3 2 6 2 4" xfId="25873" xr:uid="{DD945B54-3807-4084-9254-D8344A8BFC24}"/>
    <cellStyle name="Normal 5 3 3 2 6 2 5" xfId="12412" xr:uid="{5313B261-DB80-4AD8-98CD-B426A860780D}"/>
    <cellStyle name="Normal 5 3 3 2 6 3" xfId="6056" xr:uid="{00000000-0005-0000-0000-0000BD190000}"/>
    <cellStyle name="Normal 5 3 3 2 6 3 2" xfId="18689" xr:uid="{B6EC904E-A75E-4464-A63E-931C89FDBE7E}"/>
    <cellStyle name="Normal 5 3 3 2 6 4" xfId="14478" xr:uid="{E8F85150-DB02-41D8-8FB5-45B19D8D22D5}"/>
    <cellStyle name="Normal 5 3 3 2 6 5" xfId="23728" xr:uid="{248E4B2C-D70A-4A32-B753-EC74AE87CC4B}"/>
    <cellStyle name="Normal 5 3 3 2 6 6" xfId="10267" xr:uid="{EF86C6C2-CB38-4E0C-86E5-9E921D6C5A4B}"/>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21247" xr:uid="{B52AB39C-CE1F-4486-88BE-57686FD8FC41}"/>
    <cellStyle name="Normal 5 3 3 2 7 2 3" xfId="17036" xr:uid="{0B71EB8B-BBE4-41B9-9176-886B85CB2094}"/>
    <cellStyle name="Normal 5 3 3 2 7 2 4" xfId="26286" xr:uid="{32CD8E95-DBB5-4244-A77C-741BFEBC9160}"/>
    <cellStyle name="Normal 5 3 3 2 7 2 5" xfId="12825" xr:uid="{40192948-0236-4A06-92CB-C37BF7B915E0}"/>
    <cellStyle name="Normal 5 3 3 2 7 3" xfId="6469" xr:uid="{00000000-0005-0000-0000-0000C1190000}"/>
    <cellStyle name="Normal 5 3 3 2 7 3 2" xfId="19102" xr:uid="{7D77808A-1FEC-4FBC-A290-8F304E4CC6C9}"/>
    <cellStyle name="Normal 5 3 3 2 7 4" xfId="14891" xr:uid="{412AA946-646C-4AE2-8F9F-36577094EDE4}"/>
    <cellStyle name="Normal 5 3 3 2 7 5" xfId="24141" xr:uid="{CB2E4065-AB0A-44B8-AE5A-520A4221C464}"/>
    <cellStyle name="Normal 5 3 3 2 7 6" xfId="10680" xr:uid="{478332EA-B2DF-4AB5-B906-4DE8B12E4AF5}"/>
    <cellStyle name="Normal 5 3 3 2 8" xfId="2597" xr:uid="{00000000-0005-0000-0000-0000C2190000}"/>
    <cellStyle name="Normal 5 3 3 2 8 2" xfId="6882" xr:uid="{00000000-0005-0000-0000-0000C3190000}"/>
    <cellStyle name="Normal 5 3 3 2 8 2 2" xfId="19515" xr:uid="{21A32332-DC35-4F78-AD0B-604278C72C6C}"/>
    <cellStyle name="Normal 5 3 3 2 8 3" xfId="15304" xr:uid="{84A00B19-D839-4533-82D4-AF03494BC4DA}"/>
    <cellStyle name="Normal 5 3 3 2 8 4" xfId="24554" xr:uid="{6B01C6C5-0F03-4676-8797-C25050E4EE19}"/>
    <cellStyle name="Normal 5 3 3 2 8 5" xfId="11093" xr:uid="{9743F699-E26B-4A23-8C43-A7DF2B018A27}"/>
    <cellStyle name="Normal 5 3 3 2 9" xfId="4817" xr:uid="{00000000-0005-0000-0000-0000C4190000}"/>
    <cellStyle name="Normal 5 3 3 2 9 2" xfId="17450" xr:uid="{C512EED4-3912-4ADD-A245-D75D47EFD2B7}"/>
    <cellStyle name="Normal 5 3 3 3" xfId="446" xr:uid="{00000000-0005-0000-0000-0000C5190000}"/>
    <cellStyle name="Normal 5 3 3 3 10" xfId="13243" xr:uid="{4B1D3473-1ADB-48E9-9123-503E247B364E}"/>
    <cellStyle name="Normal 5 3 3 3 11" xfId="22493" xr:uid="{3A5C2B82-8417-43D7-BD4A-7E7B8FBCE201}"/>
    <cellStyle name="Normal 5 3 3 3 12" xfId="9032" xr:uid="{E45575FE-EA19-4C3F-9D7A-DAA0B61B944D}"/>
    <cellStyle name="Normal 5 3 3 3 2" xfId="447" xr:uid="{00000000-0005-0000-0000-0000C6190000}"/>
    <cellStyle name="Normal 5 3 3 3 2 10" xfId="22494" xr:uid="{8C325075-50A1-4B57-90B5-862BD792D1BB}"/>
    <cellStyle name="Normal 5 3 3 3 2 11" xfId="9033" xr:uid="{B690FA1F-14A4-448A-BFBB-E2602E58DBD8}"/>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20013" xr:uid="{68BB39D3-C247-4B0D-9400-A362C2A9ED80}"/>
    <cellStyle name="Normal 5 3 3 3 2 2 2 3" xfId="15802" xr:uid="{6CC5D38E-380F-4897-A247-97617AF0E79C}"/>
    <cellStyle name="Normal 5 3 3 3 2 2 2 4" xfId="25052" xr:uid="{54D160BC-117A-4A50-8645-CE2E6F5E123A}"/>
    <cellStyle name="Normal 5 3 3 3 2 2 2 5" xfId="11591" xr:uid="{63C54F8E-50B4-45FA-8ADD-02E60037FFA3}"/>
    <cellStyle name="Normal 5 3 3 3 2 2 3" xfId="5235" xr:uid="{00000000-0005-0000-0000-0000CA190000}"/>
    <cellStyle name="Normal 5 3 3 3 2 2 3 2" xfId="17868" xr:uid="{C6D47F3F-CC37-4C81-BE17-4B8A9C9DA0CD}"/>
    <cellStyle name="Normal 5 3 3 3 2 2 4" xfId="22080" xr:uid="{324A5533-F5A7-46C0-B169-698BC6532A18}"/>
    <cellStyle name="Normal 5 3 3 3 2 2 5" xfId="13657" xr:uid="{E9F10573-C5AB-4411-9CA5-A1F13A10737F}"/>
    <cellStyle name="Normal 5 3 3 3 2 2 6" xfId="22907" xr:uid="{BD0C9B04-D099-4204-899D-64298CEDFFEF}"/>
    <cellStyle name="Normal 5 3 3 3 2 2 7" xfId="9446" xr:uid="{9B1CE70F-1386-4827-A95D-161018A72777}"/>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20426" xr:uid="{21FF4B2D-F9FE-492D-8FF5-4DB3F032FDD0}"/>
    <cellStyle name="Normal 5 3 3 3 2 3 2 3" xfId="16215" xr:uid="{D27BC704-AF48-469E-80C5-6E70BCF40EFF}"/>
    <cellStyle name="Normal 5 3 3 3 2 3 2 4" xfId="25465" xr:uid="{21302E70-59B6-48B4-BC75-7A6732DD6811}"/>
    <cellStyle name="Normal 5 3 3 3 2 3 2 5" xfId="12004" xr:uid="{ECA0ECDF-32CA-4C10-B76F-5CF266C2400C}"/>
    <cellStyle name="Normal 5 3 3 3 2 3 3" xfId="5648" xr:uid="{00000000-0005-0000-0000-0000CE190000}"/>
    <cellStyle name="Normal 5 3 3 3 2 3 3 2" xfId="18281" xr:uid="{EC2A8A0F-1C56-49FD-9A5F-B8E68CFF2036}"/>
    <cellStyle name="Normal 5 3 3 3 2 3 4" xfId="14070" xr:uid="{669D9C74-8898-418D-8E99-505ED8F08F5B}"/>
    <cellStyle name="Normal 5 3 3 3 2 3 5" xfId="23320" xr:uid="{7E14A17F-DE24-4E67-86D5-BEFB4DC7A93B}"/>
    <cellStyle name="Normal 5 3 3 3 2 3 6" xfId="9859" xr:uid="{E4728A97-72E1-45CC-846D-C0453D17C163}"/>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20839" xr:uid="{ED5DEDC7-79B1-45AB-BF3B-C8FDCB4B9D9F}"/>
    <cellStyle name="Normal 5 3 3 3 2 4 2 3" xfId="16628" xr:uid="{C6CDF444-7F50-4E94-B6A1-8A69A169AFAC}"/>
    <cellStyle name="Normal 5 3 3 3 2 4 2 4" xfId="25878" xr:uid="{DF7C45C1-E427-4CD1-BB1C-E4F0D9DD6B92}"/>
    <cellStyle name="Normal 5 3 3 3 2 4 2 5" xfId="12417" xr:uid="{6C8C2428-5350-4C2A-99F4-076EA818AB87}"/>
    <cellStyle name="Normal 5 3 3 3 2 4 3" xfId="6061" xr:uid="{00000000-0005-0000-0000-0000D2190000}"/>
    <cellStyle name="Normal 5 3 3 3 2 4 3 2" xfId="18694" xr:uid="{52E821E7-97AB-41A0-8A6A-8457C84CF1A4}"/>
    <cellStyle name="Normal 5 3 3 3 2 4 4" xfId="14483" xr:uid="{8F57B13E-F6D4-4BD0-9B65-B0327BBA1D12}"/>
    <cellStyle name="Normal 5 3 3 3 2 4 5" xfId="23733" xr:uid="{BBF0B983-EB9C-4215-9708-1F2ED9D76BDE}"/>
    <cellStyle name="Normal 5 3 3 3 2 4 6" xfId="10272" xr:uid="{7ADF7533-86A6-43B9-8F9E-78739E5D12CE}"/>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21252" xr:uid="{4BD97830-2B56-4020-B2AF-6234452DB783}"/>
    <cellStyle name="Normal 5 3 3 3 2 5 2 3" xfId="17041" xr:uid="{18D1A9E7-B488-4DC3-9F6E-2600D592CE16}"/>
    <cellStyle name="Normal 5 3 3 3 2 5 2 4" xfId="26291" xr:uid="{A6D3A183-EEC5-4754-AA76-B367212A9BE3}"/>
    <cellStyle name="Normal 5 3 3 3 2 5 2 5" xfId="12830" xr:uid="{AB079E10-6E17-496A-BA31-489C61BD575C}"/>
    <cellStyle name="Normal 5 3 3 3 2 5 3" xfId="6474" xr:uid="{00000000-0005-0000-0000-0000D6190000}"/>
    <cellStyle name="Normal 5 3 3 3 2 5 3 2" xfId="19107" xr:uid="{A118E71E-C389-4234-B1A3-E25A16C49D0A}"/>
    <cellStyle name="Normal 5 3 3 3 2 5 4" xfId="14896" xr:uid="{5F4AC591-0E2F-4E50-95AB-5ECDFF9DD117}"/>
    <cellStyle name="Normal 5 3 3 3 2 5 5" xfId="24146" xr:uid="{0F66FED6-590F-4904-9EB8-4F7D4B48E8F6}"/>
    <cellStyle name="Normal 5 3 3 3 2 5 6" xfId="10685" xr:uid="{42C7A0BC-03E6-415C-8AEF-993F9576FD7D}"/>
    <cellStyle name="Normal 5 3 3 3 2 6" xfId="2602" xr:uid="{00000000-0005-0000-0000-0000D7190000}"/>
    <cellStyle name="Normal 5 3 3 3 2 6 2" xfId="6887" xr:uid="{00000000-0005-0000-0000-0000D8190000}"/>
    <cellStyle name="Normal 5 3 3 3 2 6 2 2" xfId="19520" xr:uid="{267934E2-E6D9-4F6B-B8D9-21F6C2CA1F19}"/>
    <cellStyle name="Normal 5 3 3 3 2 6 3" xfId="15309" xr:uid="{9E34065F-78C1-49E0-9AD5-0128D3426067}"/>
    <cellStyle name="Normal 5 3 3 3 2 6 4" xfId="24559" xr:uid="{31AC9690-DD0C-4D87-B966-9194DF4AFC41}"/>
    <cellStyle name="Normal 5 3 3 3 2 6 5" xfId="11098" xr:uid="{0FEEDD06-EC32-44CD-8A2D-2CCE96DA21BA}"/>
    <cellStyle name="Normal 5 3 3 3 2 7" xfId="4822" xr:uid="{00000000-0005-0000-0000-0000D9190000}"/>
    <cellStyle name="Normal 5 3 3 3 2 7 2" xfId="17455" xr:uid="{DE1928A0-61A4-4BB6-A8A3-5E221AFFA6DA}"/>
    <cellStyle name="Normal 5 3 3 3 2 8" xfId="21665" xr:uid="{6401527F-3C3A-49BC-9B7A-479560A88256}"/>
    <cellStyle name="Normal 5 3 3 3 2 9" xfId="13244" xr:uid="{B09743AB-478C-4AF2-AF82-1A6DA91DCABE}"/>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20012" xr:uid="{1F60A28D-8000-4670-87AB-B2D416FD76B4}"/>
    <cellStyle name="Normal 5 3 3 3 3 2 3" xfId="15801" xr:uid="{0ED9DED8-7348-4B73-B775-D8F979787702}"/>
    <cellStyle name="Normal 5 3 3 3 3 2 4" xfId="25051" xr:uid="{C261BC59-E525-4A8E-B5C8-75583A1412CB}"/>
    <cellStyle name="Normal 5 3 3 3 3 2 5" xfId="11590" xr:uid="{D24571F9-69FC-4F91-A046-E5205A72CA64}"/>
    <cellStyle name="Normal 5 3 3 3 3 3" xfId="5234" xr:uid="{00000000-0005-0000-0000-0000DD190000}"/>
    <cellStyle name="Normal 5 3 3 3 3 3 2" xfId="17867" xr:uid="{28870BB8-5DC0-41EA-BDA4-08C85D9A512B}"/>
    <cellStyle name="Normal 5 3 3 3 3 4" xfId="22079" xr:uid="{CFE196EB-6F01-4F94-8466-267B070EF011}"/>
    <cellStyle name="Normal 5 3 3 3 3 5" xfId="13656" xr:uid="{A34B2C87-B726-48B4-B5FA-803D412F8328}"/>
    <cellStyle name="Normal 5 3 3 3 3 6" xfId="22906" xr:uid="{56070DC7-5E69-4BA0-8BB8-4645084474ED}"/>
    <cellStyle name="Normal 5 3 3 3 3 7" xfId="9445" xr:uid="{D084E096-6615-496D-9ADB-759622BE8825}"/>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20425" xr:uid="{B5B601CE-345A-4B9C-901E-6EB13F52F643}"/>
    <cellStyle name="Normal 5 3 3 3 4 2 3" xfId="16214" xr:uid="{6F083011-98D7-4065-BA3B-D35752C0E9AF}"/>
    <cellStyle name="Normal 5 3 3 3 4 2 4" xfId="25464" xr:uid="{D34E66B9-0A07-4937-919B-6B5DFB84971F}"/>
    <cellStyle name="Normal 5 3 3 3 4 2 5" xfId="12003" xr:uid="{7745C049-037E-4469-B637-6F4D7BE4479C}"/>
    <cellStyle name="Normal 5 3 3 3 4 3" xfId="5647" xr:uid="{00000000-0005-0000-0000-0000E1190000}"/>
    <cellStyle name="Normal 5 3 3 3 4 3 2" xfId="18280" xr:uid="{47999A86-4AC6-48AF-97AB-15AC62584F52}"/>
    <cellStyle name="Normal 5 3 3 3 4 4" xfId="14069" xr:uid="{5E8B4C7E-3603-462B-A06F-EDBCAC16D0BB}"/>
    <cellStyle name="Normal 5 3 3 3 4 5" xfId="23319" xr:uid="{D86AE097-3581-496B-9120-910521D772EF}"/>
    <cellStyle name="Normal 5 3 3 3 4 6" xfId="9858" xr:uid="{282C574E-E351-463D-8DFF-A5548ADA241B}"/>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20838" xr:uid="{12BEB1C1-9182-4D44-BC8E-82226D596955}"/>
    <cellStyle name="Normal 5 3 3 3 5 2 3" xfId="16627" xr:uid="{9132241B-A777-44AF-9743-AC253E5D65F1}"/>
    <cellStyle name="Normal 5 3 3 3 5 2 4" xfId="25877" xr:uid="{1E6CE6FC-A8AC-4CB2-8386-FC1DF2305354}"/>
    <cellStyle name="Normal 5 3 3 3 5 2 5" xfId="12416" xr:uid="{57E04FAC-217C-44A9-9023-606C7F38321E}"/>
    <cellStyle name="Normal 5 3 3 3 5 3" xfId="6060" xr:uid="{00000000-0005-0000-0000-0000E5190000}"/>
    <cellStyle name="Normal 5 3 3 3 5 3 2" xfId="18693" xr:uid="{A23B793C-6255-4DB2-9367-5D20F723FE73}"/>
    <cellStyle name="Normal 5 3 3 3 5 4" xfId="14482" xr:uid="{A4ED4FE6-85C9-45E0-87FE-7B324C4446A3}"/>
    <cellStyle name="Normal 5 3 3 3 5 5" xfId="23732" xr:uid="{584E22A5-B6C5-4426-B104-45F6B22D0A45}"/>
    <cellStyle name="Normal 5 3 3 3 5 6" xfId="10271" xr:uid="{28129F82-41E7-44FE-A651-3E7CF9346EDD}"/>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21251" xr:uid="{909FF7C6-995F-4A07-8CFA-9ED29CFBBE42}"/>
    <cellStyle name="Normal 5 3 3 3 6 2 3" xfId="17040" xr:uid="{0E8A6CAC-561B-42DE-A414-4EA12B40FBFA}"/>
    <cellStyle name="Normal 5 3 3 3 6 2 4" xfId="26290" xr:uid="{A1586091-D710-484A-AC19-BC5B6C18E76D}"/>
    <cellStyle name="Normal 5 3 3 3 6 2 5" xfId="12829" xr:uid="{9C51BD84-C232-4800-A703-11C929375438}"/>
    <cellStyle name="Normal 5 3 3 3 6 3" xfId="6473" xr:uid="{00000000-0005-0000-0000-0000E9190000}"/>
    <cellStyle name="Normal 5 3 3 3 6 3 2" xfId="19106" xr:uid="{B278CE4E-735B-4FCF-9E9A-BB308EDE8C65}"/>
    <cellStyle name="Normal 5 3 3 3 6 4" xfId="14895" xr:uid="{49C13523-7797-4C0E-A327-8E79D3F5D4D5}"/>
    <cellStyle name="Normal 5 3 3 3 6 5" xfId="24145" xr:uid="{199839BE-AE40-40EE-911F-2CE3FC145DD7}"/>
    <cellStyle name="Normal 5 3 3 3 6 6" xfId="10684" xr:uid="{3E62BA24-ED45-451F-943D-BA51BF5FBF01}"/>
    <cellStyle name="Normal 5 3 3 3 7" xfId="2601" xr:uid="{00000000-0005-0000-0000-0000EA190000}"/>
    <cellStyle name="Normal 5 3 3 3 7 2" xfId="6886" xr:uid="{00000000-0005-0000-0000-0000EB190000}"/>
    <cellStyle name="Normal 5 3 3 3 7 2 2" xfId="19519" xr:uid="{92C455C9-E33C-47B7-A64E-54AE2480BDC2}"/>
    <cellStyle name="Normal 5 3 3 3 7 3" xfId="15308" xr:uid="{9DBBE9E5-365E-4E1C-B26B-5A065DA6445D}"/>
    <cellStyle name="Normal 5 3 3 3 7 4" xfId="24558" xr:uid="{08E8A095-7F3B-4980-851D-5C021B06B0D9}"/>
    <cellStyle name="Normal 5 3 3 3 7 5" xfId="11097" xr:uid="{FA417F67-D415-44C5-BE6E-537582EBB57B}"/>
    <cellStyle name="Normal 5 3 3 3 8" xfId="4821" xr:uid="{00000000-0005-0000-0000-0000EC190000}"/>
    <cellStyle name="Normal 5 3 3 3 8 2" xfId="17454" xr:uid="{757C8B10-248A-491B-902C-34CCC6B64287}"/>
    <cellStyle name="Normal 5 3 3 3 9" xfId="21664" xr:uid="{D32D6E6C-2A74-48E4-BB5D-9A48C15FD69A}"/>
    <cellStyle name="Normal 5 3 3 4" xfId="448" xr:uid="{00000000-0005-0000-0000-0000ED190000}"/>
    <cellStyle name="Normal 5 3 3 4 10" xfId="22495" xr:uid="{FC131BB6-9468-4874-BB9B-E003332D40FB}"/>
    <cellStyle name="Normal 5 3 3 4 11" xfId="9034" xr:uid="{CFCE4FC0-F869-43A0-A5B9-7B8F13454A4F}"/>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20014" xr:uid="{48339F75-13D3-4874-B00A-B17F83035117}"/>
    <cellStyle name="Normal 5 3 3 4 2 2 3" xfId="15803" xr:uid="{1F2E1F10-18A7-498B-B774-9740F5E9AD3D}"/>
    <cellStyle name="Normal 5 3 3 4 2 2 4" xfId="25053" xr:uid="{46C3D240-14F4-418F-9524-DD7887F3B75C}"/>
    <cellStyle name="Normal 5 3 3 4 2 2 5" xfId="11592" xr:uid="{481A457F-CC49-431C-994E-90E3139F0C36}"/>
    <cellStyle name="Normal 5 3 3 4 2 3" xfId="5236" xr:uid="{00000000-0005-0000-0000-0000F1190000}"/>
    <cellStyle name="Normal 5 3 3 4 2 3 2" xfId="17869" xr:uid="{2D24F6A7-B30B-4541-AE2F-C0FAA12CB9DC}"/>
    <cellStyle name="Normal 5 3 3 4 2 4" xfId="22081" xr:uid="{641762AA-38CD-4269-A46A-A8FCBBB75B0C}"/>
    <cellStyle name="Normal 5 3 3 4 2 5" xfId="13658" xr:uid="{CD57D3EB-4611-4BB8-B5A3-3EC5154D33AD}"/>
    <cellStyle name="Normal 5 3 3 4 2 6" xfId="22908" xr:uid="{7FEA78CA-77F4-49D9-A478-2BB66BF3147D}"/>
    <cellStyle name="Normal 5 3 3 4 2 7" xfId="9447" xr:uid="{75ACB59A-1D48-41F6-9234-E6F27EB03456}"/>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20427" xr:uid="{3DA1DD0D-9D9C-4D47-8915-130057795443}"/>
    <cellStyle name="Normal 5 3 3 4 3 2 3" xfId="16216" xr:uid="{8396F11F-1ACC-4A86-9A08-ABC769C02651}"/>
    <cellStyle name="Normal 5 3 3 4 3 2 4" xfId="25466" xr:uid="{CD15C997-5C3B-442E-BD6A-F004BA0F9E79}"/>
    <cellStyle name="Normal 5 3 3 4 3 2 5" xfId="12005" xr:uid="{BF2E4E86-A302-4342-ACCE-4292DEA041BB}"/>
    <cellStyle name="Normal 5 3 3 4 3 3" xfId="5649" xr:uid="{00000000-0005-0000-0000-0000F5190000}"/>
    <cellStyle name="Normal 5 3 3 4 3 3 2" xfId="18282" xr:uid="{84353DAC-FA95-4173-A3E8-14A5485CDA43}"/>
    <cellStyle name="Normal 5 3 3 4 3 4" xfId="14071" xr:uid="{57587E8D-E23D-4B5E-A868-122C6180F425}"/>
    <cellStyle name="Normal 5 3 3 4 3 5" xfId="23321" xr:uid="{AA0DD883-D5ED-46AB-9242-FC42A0B72602}"/>
    <cellStyle name="Normal 5 3 3 4 3 6" xfId="9860" xr:uid="{E0CF2A99-6865-4E19-8DFC-E4635C45112B}"/>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20840" xr:uid="{7A295F26-0A53-499D-96E6-16A004F6AFE7}"/>
    <cellStyle name="Normal 5 3 3 4 4 2 3" xfId="16629" xr:uid="{67AE93E5-0232-473F-A430-E2A47C199DA2}"/>
    <cellStyle name="Normal 5 3 3 4 4 2 4" xfId="25879" xr:uid="{1113E4D2-7312-4B7B-A29E-771199825726}"/>
    <cellStyle name="Normal 5 3 3 4 4 2 5" xfId="12418" xr:uid="{AE257EC7-8282-406E-B2B2-FE428B2E32D1}"/>
    <cellStyle name="Normal 5 3 3 4 4 3" xfId="6062" xr:uid="{00000000-0005-0000-0000-0000F9190000}"/>
    <cellStyle name="Normal 5 3 3 4 4 3 2" xfId="18695" xr:uid="{685E5945-8FD7-4FDD-883C-0CB6F2C21B7E}"/>
    <cellStyle name="Normal 5 3 3 4 4 4" xfId="14484" xr:uid="{7632FCD1-E30E-4D15-A8FF-8194998B8FAA}"/>
    <cellStyle name="Normal 5 3 3 4 4 5" xfId="23734" xr:uid="{EDA165CB-30AD-4B94-BF17-8A9F8FEC94E6}"/>
    <cellStyle name="Normal 5 3 3 4 4 6" xfId="10273" xr:uid="{85C80E1D-0D6A-4250-88B9-CBC600557E2E}"/>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21253" xr:uid="{09A0AC9F-7BA2-490D-A98C-26165F62C2A3}"/>
    <cellStyle name="Normal 5 3 3 4 5 2 3" xfId="17042" xr:uid="{FA8AF651-A9DD-4450-A0E5-4B3A4B527CC0}"/>
    <cellStyle name="Normal 5 3 3 4 5 2 4" xfId="26292" xr:uid="{63827AC2-C6DE-4670-AEF5-71654C2D201C}"/>
    <cellStyle name="Normal 5 3 3 4 5 2 5" xfId="12831" xr:uid="{55F38B86-FEEA-4919-9F0A-CEE9A7B095F9}"/>
    <cellStyle name="Normal 5 3 3 4 5 3" xfId="6475" xr:uid="{00000000-0005-0000-0000-0000FD190000}"/>
    <cellStyle name="Normal 5 3 3 4 5 3 2" xfId="19108" xr:uid="{F1547241-B097-4574-9112-BD1FCE4D8052}"/>
    <cellStyle name="Normal 5 3 3 4 5 4" xfId="14897" xr:uid="{E1DE70E6-8EF9-4E92-B557-C8FDCEF41286}"/>
    <cellStyle name="Normal 5 3 3 4 5 5" xfId="24147" xr:uid="{AC252A1E-DECE-44EF-A2C8-0B1BEAC3A88B}"/>
    <cellStyle name="Normal 5 3 3 4 5 6" xfId="10686" xr:uid="{AC512CA1-53BF-4B82-8398-5D0E5C5B351A}"/>
    <cellStyle name="Normal 5 3 3 4 6" xfId="2603" xr:uid="{00000000-0005-0000-0000-0000FE190000}"/>
    <cellStyle name="Normal 5 3 3 4 6 2" xfId="6888" xr:uid="{00000000-0005-0000-0000-0000FF190000}"/>
    <cellStyle name="Normal 5 3 3 4 6 2 2" xfId="19521" xr:uid="{2EC1894C-E8F0-4D66-962B-8E62FBAB4C78}"/>
    <cellStyle name="Normal 5 3 3 4 6 3" xfId="15310" xr:uid="{6B6D8B37-FA7D-48E9-ABF9-C7C4E8FF3F46}"/>
    <cellStyle name="Normal 5 3 3 4 6 4" xfId="24560" xr:uid="{25B28748-79AA-4F00-A95D-EC7645E1952F}"/>
    <cellStyle name="Normal 5 3 3 4 6 5" xfId="11099" xr:uid="{438AA41C-C9A6-4BF5-8032-782BECAA8F9B}"/>
    <cellStyle name="Normal 5 3 3 4 7" xfId="4823" xr:uid="{00000000-0005-0000-0000-0000001A0000}"/>
    <cellStyle name="Normal 5 3 3 4 7 2" xfId="17456" xr:uid="{4E0A4F46-0AE7-41A6-ABE7-267D7C0A734E}"/>
    <cellStyle name="Normal 5 3 3 4 8" xfId="21666" xr:uid="{5A9E6F88-2A30-4D4D-A624-57CEE954832A}"/>
    <cellStyle name="Normal 5 3 3 4 9" xfId="13245" xr:uid="{8FE5E686-2B09-4212-A97C-DD31386EBFB8}"/>
    <cellStyle name="Normal 5 3 3 5" xfId="916" xr:uid="{00000000-0005-0000-0000-0000011A0000}"/>
    <cellStyle name="Normal 5 3 3 5 2" xfId="3150" xr:uid="{00000000-0005-0000-0000-0000021A0000}"/>
    <cellStyle name="Normal 5 3 3 5 2 2" xfId="7374" xr:uid="{00000000-0005-0000-0000-0000031A0000}"/>
    <cellStyle name="Normal 5 3 3 5 2 2 2" xfId="20007" xr:uid="{48D50675-0EBB-4F1E-8E81-21218269320C}"/>
    <cellStyle name="Normal 5 3 3 5 2 3" xfId="15796" xr:uid="{5DAA8318-D400-45F6-AD75-024241C135E7}"/>
    <cellStyle name="Normal 5 3 3 5 2 4" xfId="25046" xr:uid="{1BC540CB-EFF0-4B25-9C2E-DCF594EBEBFF}"/>
    <cellStyle name="Normal 5 3 3 5 2 5" xfId="11585" xr:uid="{5EBA5503-2197-4EB3-AE13-BA1BAAA1BE73}"/>
    <cellStyle name="Normal 5 3 3 5 3" xfId="5229" xr:uid="{00000000-0005-0000-0000-0000041A0000}"/>
    <cellStyle name="Normal 5 3 3 5 3 2" xfId="17862" xr:uid="{656B9A5E-FF55-4C42-9771-6A8DEF9FD620}"/>
    <cellStyle name="Normal 5 3 3 5 4" xfId="22074" xr:uid="{78B2A229-6FF7-4906-9A87-F8C9D9375FCD}"/>
    <cellStyle name="Normal 5 3 3 5 5" xfId="13651" xr:uid="{E08C0271-BEBF-4D66-8266-344C3E6E70C5}"/>
    <cellStyle name="Normal 5 3 3 5 6" xfId="22901" xr:uid="{03FC3313-353B-4D4D-B999-8F66C5495FC8}"/>
    <cellStyle name="Normal 5 3 3 5 7" xfId="9440" xr:uid="{9A4ED44C-0E5D-480E-B195-EE050220DDB8}"/>
    <cellStyle name="Normal 5 3 3 6" xfId="1333" xr:uid="{00000000-0005-0000-0000-0000051A0000}"/>
    <cellStyle name="Normal 5 3 3 6 2" xfId="3563" xr:uid="{00000000-0005-0000-0000-0000061A0000}"/>
    <cellStyle name="Normal 5 3 3 6 2 2" xfId="7787" xr:uid="{00000000-0005-0000-0000-0000071A0000}"/>
    <cellStyle name="Normal 5 3 3 6 2 2 2" xfId="20420" xr:uid="{966EFB4E-E78C-46E1-B43E-060C7DC91906}"/>
    <cellStyle name="Normal 5 3 3 6 2 3" xfId="16209" xr:uid="{E2FE6421-EFC6-42DF-B615-AA44AE39A740}"/>
    <cellStyle name="Normal 5 3 3 6 2 4" xfId="25459" xr:uid="{7CD9B6B4-3DAD-49B7-BBA0-09E231985162}"/>
    <cellStyle name="Normal 5 3 3 6 2 5" xfId="11998" xr:uid="{251576FB-5DBA-4ED4-A037-D946970B14BE}"/>
    <cellStyle name="Normal 5 3 3 6 3" xfId="5642" xr:uid="{00000000-0005-0000-0000-0000081A0000}"/>
    <cellStyle name="Normal 5 3 3 6 3 2" xfId="18275" xr:uid="{A21A3A30-DC29-4224-A571-2261D32CBB92}"/>
    <cellStyle name="Normal 5 3 3 6 4" xfId="14064" xr:uid="{0490C65C-8135-4421-AB08-D265501F8123}"/>
    <cellStyle name="Normal 5 3 3 6 5" xfId="23314" xr:uid="{C513B90D-2DCF-4C49-8ADA-F0723D10D040}"/>
    <cellStyle name="Normal 5 3 3 6 6" xfId="9853" xr:uid="{55CF6A0A-E6DA-4CBD-9B48-8048B49D006B}"/>
    <cellStyle name="Normal 5 3 3 7" xfId="1746" xr:uid="{00000000-0005-0000-0000-0000091A0000}"/>
    <cellStyle name="Normal 5 3 3 7 2" xfId="3976" xr:uid="{00000000-0005-0000-0000-00000A1A0000}"/>
    <cellStyle name="Normal 5 3 3 7 2 2" xfId="8200" xr:uid="{00000000-0005-0000-0000-00000B1A0000}"/>
    <cellStyle name="Normal 5 3 3 7 2 2 2" xfId="20833" xr:uid="{0F5326EA-81AF-44A1-9CD6-588B2644FA80}"/>
    <cellStyle name="Normal 5 3 3 7 2 3" xfId="16622" xr:uid="{F7A15AE5-66D8-49AA-B951-5A2775AF49D5}"/>
    <cellStyle name="Normal 5 3 3 7 2 4" xfId="25872" xr:uid="{EDB08051-70D5-430D-8333-9A21EC0DB24A}"/>
    <cellStyle name="Normal 5 3 3 7 2 5" xfId="12411" xr:uid="{0C286DD7-094B-489A-B29B-5B1413325C6A}"/>
    <cellStyle name="Normal 5 3 3 7 3" xfId="6055" xr:uid="{00000000-0005-0000-0000-00000C1A0000}"/>
    <cellStyle name="Normal 5 3 3 7 3 2" xfId="18688" xr:uid="{CE0C6B20-9032-41B0-86BE-2398E14334EE}"/>
    <cellStyle name="Normal 5 3 3 7 4" xfId="14477" xr:uid="{85B31FDA-BE4B-4873-93B5-DA9E9AACA8B1}"/>
    <cellStyle name="Normal 5 3 3 7 5" xfId="23727" xr:uid="{236C8B50-D884-4622-A1D8-DBD18F3D6D4F}"/>
    <cellStyle name="Normal 5 3 3 7 6" xfId="10266" xr:uid="{B4CE7057-C338-4611-8E14-C68E739C95CE}"/>
    <cellStyle name="Normal 5 3 3 8" xfId="2160" xr:uid="{00000000-0005-0000-0000-00000D1A0000}"/>
    <cellStyle name="Normal 5 3 3 8 2" xfId="4389" xr:uid="{00000000-0005-0000-0000-00000E1A0000}"/>
    <cellStyle name="Normal 5 3 3 8 2 2" xfId="8613" xr:uid="{00000000-0005-0000-0000-00000F1A0000}"/>
    <cellStyle name="Normal 5 3 3 8 2 2 2" xfId="21246" xr:uid="{F4C74CD9-58C4-4D12-A10E-04560AF95790}"/>
    <cellStyle name="Normal 5 3 3 8 2 3" xfId="17035" xr:uid="{69755179-E2F6-4378-8BBF-89DD53B54936}"/>
    <cellStyle name="Normal 5 3 3 8 2 4" xfId="26285" xr:uid="{8DF45400-431E-4E0F-8404-44C7F570F033}"/>
    <cellStyle name="Normal 5 3 3 8 2 5" xfId="12824" xr:uid="{15B9011A-B17B-4E1A-9A69-C1727CF3FD2C}"/>
    <cellStyle name="Normal 5 3 3 8 3" xfId="6468" xr:uid="{00000000-0005-0000-0000-0000101A0000}"/>
    <cellStyle name="Normal 5 3 3 8 3 2" xfId="19101" xr:uid="{463F3473-7B17-4DB7-BD96-E9CFBF76CF79}"/>
    <cellStyle name="Normal 5 3 3 8 4" xfId="14890" xr:uid="{AF594596-F46F-425E-A443-2877989F95E9}"/>
    <cellStyle name="Normal 5 3 3 8 5" xfId="24140" xr:uid="{8C093E2E-6A9E-4C88-82C3-E015053110B7}"/>
    <cellStyle name="Normal 5 3 3 8 6" xfId="10679" xr:uid="{DA877D17-534E-4782-9A39-CE54A895567D}"/>
    <cellStyle name="Normal 5 3 3 9" xfId="2596" xr:uid="{00000000-0005-0000-0000-0000111A0000}"/>
    <cellStyle name="Normal 5 3 3 9 2" xfId="6881" xr:uid="{00000000-0005-0000-0000-0000121A0000}"/>
    <cellStyle name="Normal 5 3 3 9 2 2" xfId="19514" xr:uid="{415B3AA8-6444-4BE7-8B44-FECB250FDA91}"/>
    <cellStyle name="Normal 5 3 3 9 3" xfId="15303" xr:uid="{5F15B787-4DC8-4237-B9E9-460F6CC0938B}"/>
    <cellStyle name="Normal 5 3 3 9 4" xfId="24553" xr:uid="{56291A59-2FBF-4763-8356-0D86D7ED4261}"/>
    <cellStyle name="Normal 5 3 3 9 5" xfId="11092" xr:uid="{865E6A18-7938-41B0-9583-62D84BBFFBE8}"/>
    <cellStyle name="Normal 5 3 4" xfId="449" xr:uid="{00000000-0005-0000-0000-0000131A0000}"/>
    <cellStyle name="Normal 5 3 4 10" xfId="21667" xr:uid="{2950968D-56B7-419B-804B-FCD17FF8A98D}"/>
    <cellStyle name="Normal 5 3 4 11" xfId="13246" xr:uid="{071C2D8A-4374-4008-ABAE-CB3AD08214A3}"/>
    <cellStyle name="Normal 5 3 4 12" xfId="22496" xr:uid="{4A27960C-0DE8-43FF-AE9D-CC3102D080DA}"/>
    <cellStyle name="Normal 5 3 4 13" xfId="9035" xr:uid="{746B95B8-B4E7-47B4-A91F-355BDA7E3347}"/>
    <cellStyle name="Normal 5 3 4 2" xfId="450" xr:uid="{00000000-0005-0000-0000-0000141A0000}"/>
    <cellStyle name="Normal 5 3 4 2 10" xfId="13247" xr:uid="{C8BBDDC2-3926-4E6C-A862-1C7D67DBF821}"/>
    <cellStyle name="Normal 5 3 4 2 11" xfId="22497" xr:uid="{9E42BDAD-71BE-40A9-97B4-5303428D0408}"/>
    <cellStyle name="Normal 5 3 4 2 12" xfId="9036" xr:uid="{A59D46FA-3BEE-4A88-8624-08C3FFA721C3}"/>
    <cellStyle name="Normal 5 3 4 2 2" xfId="451" xr:uid="{00000000-0005-0000-0000-0000151A0000}"/>
    <cellStyle name="Normal 5 3 4 2 2 10" xfId="22498" xr:uid="{19A5BB60-F863-4DB1-AB3B-FFCBE9BE2370}"/>
    <cellStyle name="Normal 5 3 4 2 2 11" xfId="9037" xr:uid="{4AE03BB2-0373-46B5-8AF3-BF26AFC57CA3}"/>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20017" xr:uid="{ED141599-CE03-4561-A944-BE0CF235E596}"/>
    <cellStyle name="Normal 5 3 4 2 2 2 2 3" xfId="15806" xr:uid="{D823615F-71D5-4B85-95F8-C29D7B2F8046}"/>
    <cellStyle name="Normal 5 3 4 2 2 2 2 4" xfId="25056" xr:uid="{10BCDCE6-895F-4C17-9C2B-DA80DE08A9AC}"/>
    <cellStyle name="Normal 5 3 4 2 2 2 2 5" xfId="11595" xr:uid="{E0BF328F-F818-4B66-BD79-6373E959F78E}"/>
    <cellStyle name="Normal 5 3 4 2 2 2 3" xfId="5239" xr:uid="{00000000-0005-0000-0000-0000191A0000}"/>
    <cellStyle name="Normal 5 3 4 2 2 2 3 2" xfId="17872" xr:uid="{5528F593-3657-4693-892C-14334C094B67}"/>
    <cellStyle name="Normal 5 3 4 2 2 2 4" xfId="22084" xr:uid="{6008005F-C201-4764-86F0-37642DA96659}"/>
    <cellStyle name="Normal 5 3 4 2 2 2 5" xfId="13661" xr:uid="{1E1AEB85-DD16-42E0-8E48-D8CF7C4F07B6}"/>
    <cellStyle name="Normal 5 3 4 2 2 2 6" xfId="22911" xr:uid="{D10733E5-0C81-4830-B415-AEA8BE30B0B5}"/>
    <cellStyle name="Normal 5 3 4 2 2 2 7" xfId="9450" xr:uid="{8ED9BC06-0970-4548-905A-C16548354D47}"/>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20430" xr:uid="{BDD1A51B-A89B-4358-A6C9-137D16CCA5ED}"/>
    <cellStyle name="Normal 5 3 4 2 2 3 2 3" xfId="16219" xr:uid="{A092D95A-C6D6-4B93-88E1-3D3006E584EB}"/>
    <cellStyle name="Normal 5 3 4 2 2 3 2 4" xfId="25469" xr:uid="{2BA48564-FE78-4219-A042-7AA949A59D96}"/>
    <cellStyle name="Normal 5 3 4 2 2 3 2 5" xfId="12008" xr:uid="{AE699375-608A-4069-AF35-3ABA1892798E}"/>
    <cellStyle name="Normal 5 3 4 2 2 3 3" xfId="5652" xr:uid="{00000000-0005-0000-0000-00001D1A0000}"/>
    <cellStyle name="Normal 5 3 4 2 2 3 3 2" xfId="18285" xr:uid="{09ADD507-5601-45E3-98CB-AE9C0F256FAE}"/>
    <cellStyle name="Normal 5 3 4 2 2 3 4" xfId="14074" xr:uid="{D7D9B8B5-750A-4098-A46F-D45A308E9780}"/>
    <cellStyle name="Normal 5 3 4 2 2 3 5" xfId="23324" xr:uid="{3C246CCA-331D-4B1F-AF72-9C21AA31DA7F}"/>
    <cellStyle name="Normal 5 3 4 2 2 3 6" xfId="9863" xr:uid="{EEDD1DED-FAF4-4B52-837E-5E8DE02AF23C}"/>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20843" xr:uid="{E292FCC3-CC8B-43BC-A474-394A732F7325}"/>
    <cellStyle name="Normal 5 3 4 2 2 4 2 3" xfId="16632" xr:uid="{B4A8073A-79FA-45D8-BD01-1AE822FDE8CB}"/>
    <cellStyle name="Normal 5 3 4 2 2 4 2 4" xfId="25882" xr:uid="{6CF56D0D-CD02-4CA9-A9D1-EAAABAF90D1E}"/>
    <cellStyle name="Normal 5 3 4 2 2 4 2 5" xfId="12421" xr:uid="{F64F9D74-5597-4880-96EB-555D4AFED048}"/>
    <cellStyle name="Normal 5 3 4 2 2 4 3" xfId="6065" xr:uid="{00000000-0005-0000-0000-0000211A0000}"/>
    <cellStyle name="Normal 5 3 4 2 2 4 3 2" xfId="18698" xr:uid="{D6521986-F0C9-450E-A039-36752EA842C7}"/>
    <cellStyle name="Normal 5 3 4 2 2 4 4" xfId="14487" xr:uid="{9AE658E9-8392-44A3-8C8B-F8BB6EAB1C2F}"/>
    <cellStyle name="Normal 5 3 4 2 2 4 5" xfId="23737" xr:uid="{574EAE75-7B0B-4BBE-AE82-8ABF8271CB90}"/>
    <cellStyle name="Normal 5 3 4 2 2 4 6" xfId="10276" xr:uid="{EAF77D8B-4D9B-49BA-A911-C3EB42B5B4C4}"/>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21256" xr:uid="{C5499052-29C7-4478-B767-2D3549155ACB}"/>
    <cellStyle name="Normal 5 3 4 2 2 5 2 3" xfId="17045" xr:uid="{ADAE20F3-CC31-4D0F-A21F-E0DDDE3E5C88}"/>
    <cellStyle name="Normal 5 3 4 2 2 5 2 4" xfId="26295" xr:uid="{2565DE2D-7964-48D8-8C7C-E3022536A6B9}"/>
    <cellStyle name="Normal 5 3 4 2 2 5 2 5" xfId="12834" xr:uid="{438BC0C8-D6B4-4077-B2E5-4A43E8A645D3}"/>
    <cellStyle name="Normal 5 3 4 2 2 5 3" xfId="6478" xr:uid="{00000000-0005-0000-0000-0000251A0000}"/>
    <cellStyle name="Normal 5 3 4 2 2 5 3 2" xfId="19111" xr:uid="{0010AB42-6D33-4535-BA5B-06748EAD125F}"/>
    <cellStyle name="Normal 5 3 4 2 2 5 4" xfId="14900" xr:uid="{57CF7EC8-3A0F-4F46-BCDB-6336DE10E59E}"/>
    <cellStyle name="Normal 5 3 4 2 2 5 5" xfId="24150" xr:uid="{667EB4B3-9267-402D-AD8B-8295412C6E0E}"/>
    <cellStyle name="Normal 5 3 4 2 2 5 6" xfId="10689" xr:uid="{E447D2BE-7F48-469B-B10B-A9447EEDA75D}"/>
    <cellStyle name="Normal 5 3 4 2 2 6" xfId="2606" xr:uid="{00000000-0005-0000-0000-0000261A0000}"/>
    <cellStyle name="Normal 5 3 4 2 2 6 2" xfId="6891" xr:uid="{00000000-0005-0000-0000-0000271A0000}"/>
    <cellStyle name="Normal 5 3 4 2 2 6 2 2" xfId="19524" xr:uid="{BBE7494F-8CDD-4394-87B2-221589F44C7A}"/>
    <cellStyle name="Normal 5 3 4 2 2 6 3" xfId="15313" xr:uid="{27CC9B8F-F075-4629-A4D8-67D978701910}"/>
    <cellStyle name="Normal 5 3 4 2 2 6 4" xfId="24563" xr:uid="{5A375B98-12F8-4270-BD9A-A81266EEBB8F}"/>
    <cellStyle name="Normal 5 3 4 2 2 6 5" xfId="11102" xr:uid="{F4EC536D-3C23-4F54-9439-AD77D0FBA941}"/>
    <cellStyle name="Normal 5 3 4 2 2 7" xfId="4826" xr:uid="{00000000-0005-0000-0000-0000281A0000}"/>
    <cellStyle name="Normal 5 3 4 2 2 7 2" xfId="17459" xr:uid="{3365E823-552F-4030-92AF-E3B46DA585E5}"/>
    <cellStyle name="Normal 5 3 4 2 2 8" xfId="21669" xr:uid="{3DBBCC9C-91F6-420F-8A33-84DE4BAFBEBE}"/>
    <cellStyle name="Normal 5 3 4 2 2 9" xfId="13248" xr:uid="{6AE77A14-8185-45C0-9365-D2CCC255AE75}"/>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20016" xr:uid="{9F236EE0-A5E7-40D1-998C-D682930C4CAD}"/>
    <cellStyle name="Normal 5 3 4 2 3 2 3" xfId="15805" xr:uid="{483ABABC-2534-44F2-AC09-22DA5B3C32E4}"/>
    <cellStyle name="Normal 5 3 4 2 3 2 4" xfId="25055" xr:uid="{C9293737-5BE3-4CB6-A876-739C4E4385A3}"/>
    <cellStyle name="Normal 5 3 4 2 3 2 5" xfId="11594" xr:uid="{C4366940-22BC-42E8-9220-58A4D93A6B17}"/>
    <cellStyle name="Normal 5 3 4 2 3 3" xfId="5238" xr:uid="{00000000-0005-0000-0000-00002C1A0000}"/>
    <cellStyle name="Normal 5 3 4 2 3 3 2" xfId="17871" xr:uid="{28867D2E-D9DC-4C10-A5F9-E164426D3969}"/>
    <cellStyle name="Normal 5 3 4 2 3 4" xfId="22083" xr:uid="{9A037885-64C2-48E5-AFB8-3F3C6DCA628C}"/>
    <cellStyle name="Normal 5 3 4 2 3 5" xfId="13660" xr:uid="{1A48410D-7343-4836-8121-8571C346DA5D}"/>
    <cellStyle name="Normal 5 3 4 2 3 6" xfId="22910" xr:uid="{9DF43210-5A10-4B87-8D2B-30B3DC89A53A}"/>
    <cellStyle name="Normal 5 3 4 2 3 7" xfId="9449" xr:uid="{8D35499E-311D-419B-A109-602075B9D4AB}"/>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20429" xr:uid="{56619535-36FD-45D8-8E23-E73BCE1553BD}"/>
    <cellStyle name="Normal 5 3 4 2 4 2 3" xfId="16218" xr:uid="{9B5074D1-5B18-40E3-8CAD-4C2D5A7C4A80}"/>
    <cellStyle name="Normal 5 3 4 2 4 2 4" xfId="25468" xr:uid="{3D3D6270-2254-47E4-909E-4A1A83FED270}"/>
    <cellStyle name="Normal 5 3 4 2 4 2 5" xfId="12007" xr:uid="{6AE82FE9-483D-4FFA-BBC5-CC9728668C03}"/>
    <cellStyle name="Normal 5 3 4 2 4 3" xfId="5651" xr:uid="{00000000-0005-0000-0000-0000301A0000}"/>
    <cellStyle name="Normal 5 3 4 2 4 3 2" xfId="18284" xr:uid="{CF66D833-BAB2-4753-BF83-85D63C7542EF}"/>
    <cellStyle name="Normal 5 3 4 2 4 4" xfId="14073" xr:uid="{999D9C09-FE39-4BA6-8153-F1199D5EB231}"/>
    <cellStyle name="Normal 5 3 4 2 4 5" xfId="23323" xr:uid="{DB074949-BCEA-487E-B25D-66C4C1339621}"/>
    <cellStyle name="Normal 5 3 4 2 4 6" xfId="9862" xr:uid="{4D5EBE8D-C4BA-4655-8954-E61EEC56721D}"/>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20842" xr:uid="{BB34EBDD-51A0-4209-99F8-224C0B84F119}"/>
    <cellStyle name="Normal 5 3 4 2 5 2 3" xfId="16631" xr:uid="{D1F24AFA-2EAE-4C4D-B639-5853002D751B}"/>
    <cellStyle name="Normal 5 3 4 2 5 2 4" xfId="25881" xr:uid="{F0409718-CB2F-4C5C-83E6-02E93B23D625}"/>
    <cellStyle name="Normal 5 3 4 2 5 2 5" xfId="12420" xr:uid="{91D92172-ECE1-481F-B5B8-63D6624A0492}"/>
    <cellStyle name="Normal 5 3 4 2 5 3" xfId="6064" xr:uid="{00000000-0005-0000-0000-0000341A0000}"/>
    <cellStyle name="Normal 5 3 4 2 5 3 2" xfId="18697" xr:uid="{92CF974D-7EE3-4CFB-A564-9081047F0741}"/>
    <cellStyle name="Normal 5 3 4 2 5 4" xfId="14486" xr:uid="{9C0DEE1A-D6E9-477B-94F7-22FEAF9A82F6}"/>
    <cellStyle name="Normal 5 3 4 2 5 5" xfId="23736" xr:uid="{F6780A54-804B-4C78-9945-C2EE05A2F6E0}"/>
    <cellStyle name="Normal 5 3 4 2 5 6" xfId="10275" xr:uid="{63520FB8-FA2D-4238-BB3D-37DE5D36A954}"/>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21255" xr:uid="{B6DC91C9-3E5E-451D-81AD-5D4D5EC86BB5}"/>
    <cellStyle name="Normal 5 3 4 2 6 2 3" xfId="17044" xr:uid="{9AAF70C2-8FE8-4C58-9690-5D46AE17D7FF}"/>
    <cellStyle name="Normal 5 3 4 2 6 2 4" xfId="26294" xr:uid="{F7D83AD0-232F-46FD-9AD1-411CC171910B}"/>
    <cellStyle name="Normal 5 3 4 2 6 2 5" xfId="12833" xr:uid="{2EBE64C1-C35F-4712-8287-A51460F8D88C}"/>
    <cellStyle name="Normal 5 3 4 2 6 3" xfId="6477" xr:uid="{00000000-0005-0000-0000-0000381A0000}"/>
    <cellStyle name="Normal 5 3 4 2 6 3 2" xfId="19110" xr:uid="{B9BA218D-21E9-417D-8330-325F203DB153}"/>
    <cellStyle name="Normal 5 3 4 2 6 4" xfId="14899" xr:uid="{F5B8C246-D423-4B63-B41F-AA28CCE0DC3E}"/>
    <cellStyle name="Normal 5 3 4 2 6 5" xfId="24149" xr:uid="{687D4C2B-6838-4211-B222-8C4DE50BFE23}"/>
    <cellStyle name="Normal 5 3 4 2 6 6" xfId="10688" xr:uid="{B2ED7D1A-539E-432A-81FC-BF95C5A42F05}"/>
    <cellStyle name="Normal 5 3 4 2 7" xfId="2605" xr:uid="{00000000-0005-0000-0000-0000391A0000}"/>
    <cellStyle name="Normal 5 3 4 2 7 2" xfId="6890" xr:uid="{00000000-0005-0000-0000-00003A1A0000}"/>
    <cellStyle name="Normal 5 3 4 2 7 2 2" xfId="19523" xr:uid="{BDC2CAB8-12FF-4B8E-B955-07D0A5F47093}"/>
    <cellStyle name="Normal 5 3 4 2 7 3" xfId="15312" xr:uid="{A46921D3-9D53-46B0-A956-A673D135C20F}"/>
    <cellStyle name="Normal 5 3 4 2 7 4" xfId="24562" xr:uid="{405A129A-68F9-4F52-8886-623EB1A079D2}"/>
    <cellStyle name="Normal 5 3 4 2 7 5" xfId="11101" xr:uid="{ADE1D196-5A55-40E1-BE03-07FDBCF20345}"/>
    <cellStyle name="Normal 5 3 4 2 8" xfId="4825" xr:uid="{00000000-0005-0000-0000-00003B1A0000}"/>
    <cellStyle name="Normal 5 3 4 2 8 2" xfId="17458" xr:uid="{F90961EE-4B6D-4D48-A367-48C942DA8228}"/>
    <cellStyle name="Normal 5 3 4 2 9" xfId="21668" xr:uid="{7A777D0F-C1BF-4D62-9797-AF19648FD2B0}"/>
    <cellStyle name="Normal 5 3 4 3" xfId="452" xr:uid="{00000000-0005-0000-0000-00003C1A0000}"/>
    <cellStyle name="Normal 5 3 4 3 10" xfId="22499" xr:uid="{DF02CFB6-EF10-4183-8D7F-CA3083DD564B}"/>
    <cellStyle name="Normal 5 3 4 3 11" xfId="9038" xr:uid="{545C9A7C-22F1-4524-A671-E83F586344B1}"/>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20018" xr:uid="{44EDA46E-95ED-4C55-BDD8-1A293EE54D27}"/>
    <cellStyle name="Normal 5 3 4 3 2 2 3" xfId="15807" xr:uid="{4B06B734-CF22-4242-9BDC-4E84CC49AE7D}"/>
    <cellStyle name="Normal 5 3 4 3 2 2 4" xfId="25057" xr:uid="{00A923EA-CE7D-44F0-8785-DBFBBFBE4615}"/>
    <cellStyle name="Normal 5 3 4 3 2 2 5" xfId="11596" xr:uid="{95C25C0E-079A-4883-B24E-9CE1F03C85EC}"/>
    <cellStyle name="Normal 5 3 4 3 2 3" xfId="5240" xr:uid="{00000000-0005-0000-0000-0000401A0000}"/>
    <cellStyle name="Normal 5 3 4 3 2 3 2" xfId="17873" xr:uid="{045148A5-F26F-4F5E-BD3D-60331D6DFD82}"/>
    <cellStyle name="Normal 5 3 4 3 2 4" xfId="22085" xr:uid="{64A866A1-A597-4566-A4B9-0534AE6857ED}"/>
    <cellStyle name="Normal 5 3 4 3 2 5" xfId="13662" xr:uid="{E8581FC2-B6EA-4C98-8B09-3E403C0760D9}"/>
    <cellStyle name="Normal 5 3 4 3 2 6" xfId="22912" xr:uid="{49E891C3-9235-429C-A82C-EE3A098268A3}"/>
    <cellStyle name="Normal 5 3 4 3 2 7" xfId="9451" xr:uid="{DF5B9136-B685-4D84-98B7-B754782977F6}"/>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20431" xr:uid="{02CC0EED-F835-427C-AE25-6BAF32F78FDE}"/>
    <cellStyle name="Normal 5 3 4 3 3 2 3" xfId="16220" xr:uid="{9D9E15D2-F55A-4632-A710-860E9C9F77A3}"/>
    <cellStyle name="Normal 5 3 4 3 3 2 4" xfId="25470" xr:uid="{F91AE416-5563-4814-8C36-9EC0B8643778}"/>
    <cellStyle name="Normal 5 3 4 3 3 2 5" xfId="12009" xr:uid="{E9EB8D84-C6B7-4565-A9B4-67E70B1AAE13}"/>
    <cellStyle name="Normal 5 3 4 3 3 3" xfId="5653" xr:uid="{00000000-0005-0000-0000-0000441A0000}"/>
    <cellStyle name="Normal 5 3 4 3 3 3 2" xfId="18286" xr:uid="{7C780C70-5B9B-421B-A5E1-34042C3CDFBD}"/>
    <cellStyle name="Normal 5 3 4 3 3 4" xfId="14075" xr:uid="{09FC4B55-B857-4711-96D6-E58C68C8A42B}"/>
    <cellStyle name="Normal 5 3 4 3 3 5" xfId="23325" xr:uid="{5BE14FC7-D89A-41B6-824B-BB9ABCFDA09B}"/>
    <cellStyle name="Normal 5 3 4 3 3 6" xfId="9864" xr:uid="{83935613-A90B-43D0-BFDE-4C1FDB6480E9}"/>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20844" xr:uid="{AB606403-8E4A-4CA0-86A0-5109D179CAFD}"/>
    <cellStyle name="Normal 5 3 4 3 4 2 3" xfId="16633" xr:uid="{1F391ABE-1297-4CBC-8FA9-2592EB70A1B1}"/>
    <cellStyle name="Normal 5 3 4 3 4 2 4" xfId="25883" xr:uid="{AABCDF80-848D-4658-AD8F-CA9558F3E48C}"/>
    <cellStyle name="Normal 5 3 4 3 4 2 5" xfId="12422" xr:uid="{9629C0F6-27A7-4D91-9C97-BF84B7778530}"/>
    <cellStyle name="Normal 5 3 4 3 4 3" xfId="6066" xr:uid="{00000000-0005-0000-0000-0000481A0000}"/>
    <cellStyle name="Normal 5 3 4 3 4 3 2" xfId="18699" xr:uid="{D5BF9956-A62F-4C01-BF47-E0E81F8E7245}"/>
    <cellStyle name="Normal 5 3 4 3 4 4" xfId="14488" xr:uid="{AE874B8E-BF25-4792-8DF2-989214676906}"/>
    <cellStyle name="Normal 5 3 4 3 4 5" xfId="23738" xr:uid="{45571AE6-E2FC-4730-A4CB-29F05C52D492}"/>
    <cellStyle name="Normal 5 3 4 3 4 6" xfId="10277" xr:uid="{F11BEFE2-73C6-43A4-9967-AEFC33631B22}"/>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21257" xr:uid="{7271112B-EF4F-4296-AF7C-4038D669B8B4}"/>
    <cellStyle name="Normal 5 3 4 3 5 2 3" xfId="17046" xr:uid="{0E1E4AC2-FA30-4328-B5D3-6D25F42A73CE}"/>
    <cellStyle name="Normal 5 3 4 3 5 2 4" xfId="26296" xr:uid="{DC8B608D-417B-4D42-9A55-105DD407ED9D}"/>
    <cellStyle name="Normal 5 3 4 3 5 2 5" xfId="12835" xr:uid="{B25CB107-5E8E-479B-88A5-1E6517510313}"/>
    <cellStyle name="Normal 5 3 4 3 5 3" xfId="6479" xr:uid="{00000000-0005-0000-0000-00004C1A0000}"/>
    <cellStyle name="Normal 5 3 4 3 5 3 2" xfId="19112" xr:uid="{43ACEF52-8DB1-4A2D-9BB7-0A9C84689F75}"/>
    <cellStyle name="Normal 5 3 4 3 5 4" xfId="14901" xr:uid="{BF8DB020-A95A-46D7-AA4F-81773077CD16}"/>
    <cellStyle name="Normal 5 3 4 3 5 5" xfId="24151" xr:uid="{64A37653-68D0-45C7-9099-A252A64DD8DB}"/>
    <cellStyle name="Normal 5 3 4 3 5 6" xfId="10690" xr:uid="{B5307367-2A00-44DF-AE3C-D4E45A777E09}"/>
    <cellStyle name="Normal 5 3 4 3 6" xfId="2607" xr:uid="{00000000-0005-0000-0000-00004D1A0000}"/>
    <cellStyle name="Normal 5 3 4 3 6 2" xfId="6892" xr:uid="{00000000-0005-0000-0000-00004E1A0000}"/>
    <cellStyle name="Normal 5 3 4 3 6 2 2" xfId="19525" xr:uid="{9093E083-3E19-4166-8BFA-20907FD7BB1B}"/>
    <cellStyle name="Normal 5 3 4 3 6 3" xfId="15314" xr:uid="{B8756709-F191-4B2D-82B1-74A5D0856F67}"/>
    <cellStyle name="Normal 5 3 4 3 6 4" xfId="24564" xr:uid="{A537C515-34E9-4B51-9D9C-6C5F6D8A669F}"/>
    <cellStyle name="Normal 5 3 4 3 6 5" xfId="11103" xr:uid="{1CB543BD-AF3D-4FCA-8D16-84B7B113E4E9}"/>
    <cellStyle name="Normal 5 3 4 3 7" xfId="4827" xr:uid="{00000000-0005-0000-0000-00004F1A0000}"/>
    <cellStyle name="Normal 5 3 4 3 7 2" xfId="17460" xr:uid="{FE960914-6C61-4205-A376-62F532162A21}"/>
    <cellStyle name="Normal 5 3 4 3 8" xfId="21670" xr:uid="{ECA09622-1300-4DB6-96D7-B995BDB4110F}"/>
    <cellStyle name="Normal 5 3 4 3 9" xfId="13249" xr:uid="{C18259C4-ACD7-452E-94FD-F9BAA170519B}"/>
    <cellStyle name="Normal 5 3 4 4" xfId="924" xr:uid="{00000000-0005-0000-0000-0000501A0000}"/>
    <cellStyle name="Normal 5 3 4 4 2" xfId="3158" xr:uid="{00000000-0005-0000-0000-0000511A0000}"/>
    <cellStyle name="Normal 5 3 4 4 2 2" xfId="7382" xr:uid="{00000000-0005-0000-0000-0000521A0000}"/>
    <cellStyle name="Normal 5 3 4 4 2 2 2" xfId="20015" xr:uid="{861278C3-D96E-4E45-B827-E46ECD83D5DE}"/>
    <cellStyle name="Normal 5 3 4 4 2 3" xfId="15804" xr:uid="{102FE560-BD71-4990-8C8F-0AC6D7DBB7A2}"/>
    <cellStyle name="Normal 5 3 4 4 2 4" xfId="25054" xr:uid="{3016195A-4921-444E-A175-B557A2530BE5}"/>
    <cellStyle name="Normal 5 3 4 4 2 5" xfId="11593" xr:uid="{9BD3D760-C731-4CBA-B1CE-2EA259828301}"/>
    <cellStyle name="Normal 5 3 4 4 3" xfId="5237" xr:uid="{00000000-0005-0000-0000-0000531A0000}"/>
    <cellStyle name="Normal 5 3 4 4 3 2" xfId="17870" xr:uid="{DEA5DFDE-FF47-4693-A0C3-F26B7540C44F}"/>
    <cellStyle name="Normal 5 3 4 4 4" xfId="22082" xr:uid="{9968ECAD-92F1-47FF-B0F6-7F398C6FEE4E}"/>
    <cellStyle name="Normal 5 3 4 4 5" xfId="13659" xr:uid="{28BDCBB9-9550-4395-905F-854E59F55A28}"/>
    <cellStyle name="Normal 5 3 4 4 6" xfId="22909" xr:uid="{532962AE-9035-4F85-AA21-6990C11C80CD}"/>
    <cellStyle name="Normal 5 3 4 4 7" xfId="9448" xr:uid="{3AF6A24A-8EC8-4CE6-A38F-6BF6971C85E9}"/>
    <cellStyle name="Normal 5 3 4 5" xfId="1341" xr:uid="{00000000-0005-0000-0000-0000541A0000}"/>
    <cellStyle name="Normal 5 3 4 5 2" xfId="3571" xr:uid="{00000000-0005-0000-0000-0000551A0000}"/>
    <cellStyle name="Normal 5 3 4 5 2 2" xfId="7795" xr:uid="{00000000-0005-0000-0000-0000561A0000}"/>
    <cellStyle name="Normal 5 3 4 5 2 2 2" xfId="20428" xr:uid="{9D1193EA-5852-4ABD-912B-4A84B4EEB553}"/>
    <cellStyle name="Normal 5 3 4 5 2 3" xfId="16217" xr:uid="{510C389A-A3C4-48E7-A8DC-2F4DED6C278D}"/>
    <cellStyle name="Normal 5 3 4 5 2 4" xfId="25467" xr:uid="{63493078-4886-4E83-ADC3-4F04A7F2380D}"/>
    <cellStyle name="Normal 5 3 4 5 2 5" xfId="12006" xr:uid="{DD739004-DE66-42A4-A973-A5217B42006C}"/>
    <cellStyle name="Normal 5 3 4 5 3" xfId="5650" xr:uid="{00000000-0005-0000-0000-0000571A0000}"/>
    <cellStyle name="Normal 5 3 4 5 3 2" xfId="18283" xr:uid="{224B31D9-C855-4385-B186-6F6BC8BF69EB}"/>
    <cellStyle name="Normal 5 3 4 5 4" xfId="14072" xr:uid="{DFFC9171-5192-4688-B1D3-B9A1C7EB8937}"/>
    <cellStyle name="Normal 5 3 4 5 5" xfId="23322" xr:uid="{8C8F9FF1-54CC-4B2D-AB73-9A5F7D2E8C7B}"/>
    <cellStyle name="Normal 5 3 4 5 6" xfId="9861" xr:uid="{852D2B62-5EA4-4E17-9A07-BD5AF3A04BE0}"/>
    <cellStyle name="Normal 5 3 4 6" xfId="1754" xr:uid="{00000000-0005-0000-0000-0000581A0000}"/>
    <cellStyle name="Normal 5 3 4 6 2" xfId="3984" xr:uid="{00000000-0005-0000-0000-0000591A0000}"/>
    <cellStyle name="Normal 5 3 4 6 2 2" xfId="8208" xr:uid="{00000000-0005-0000-0000-00005A1A0000}"/>
    <cellStyle name="Normal 5 3 4 6 2 2 2" xfId="20841" xr:uid="{CDE5B4B2-3BDE-419D-93F4-2EF5BC903B7D}"/>
    <cellStyle name="Normal 5 3 4 6 2 3" xfId="16630" xr:uid="{DF70D0DD-7CD0-4509-BE59-44B30FA76403}"/>
    <cellStyle name="Normal 5 3 4 6 2 4" xfId="25880" xr:uid="{E8FC594E-7499-4103-AE0E-E070F829A4FD}"/>
    <cellStyle name="Normal 5 3 4 6 2 5" xfId="12419" xr:uid="{4F4D74CD-8C47-4C13-9E69-801BAF1609B7}"/>
    <cellStyle name="Normal 5 3 4 6 3" xfId="6063" xr:uid="{00000000-0005-0000-0000-00005B1A0000}"/>
    <cellStyle name="Normal 5 3 4 6 3 2" xfId="18696" xr:uid="{A0B75443-198F-4BBD-AA18-222704535BF4}"/>
    <cellStyle name="Normal 5 3 4 6 4" xfId="14485" xr:uid="{AE8450F7-5A1A-4524-B267-DC67D5D8922C}"/>
    <cellStyle name="Normal 5 3 4 6 5" xfId="23735" xr:uid="{D8396272-6003-42DC-AB85-B627076B4921}"/>
    <cellStyle name="Normal 5 3 4 6 6" xfId="10274" xr:uid="{F7E39335-50B2-48A7-A53E-23A1C9420A47}"/>
    <cellStyle name="Normal 5 3 4 7" xfId="2168" xr:uid="{00000000-0005-0000-0000-00005C1A0000}"/>
    <cellStyle name="Normal 5 3 4 7 2" xfId="4397" xr:uid="{00000000-0005-0000-0000-00005D1A0000}"/>
    <cellStyle name="Normal 5 3 4 7 2 2" xfId="8621" xr:uid="{00000000-0005-0000-0000-00005E1A0000}"/>
    <cellStyle name="Normal 5 3 4 7 2 2 2" xfId="21254" xr:uid="{A55A4260-F25C-4AFB-83EC-87DE4BECD6E5}"/>
    <cellStyle name="Normal 5 3 4 7 2 3" xfId="17043" xr:uid="{034C99C1-8A27-412E-BFE8-7D7F81AAEF4A}"/>
    <cellStyle name="Normal 5 3 4 7 2 4" xfId="26293" xr:uid="{851CB54F-FEB9-464A-B4BD-A04552AEDB4E}"/>
    <cellStyle name="Normal 5 3 4 7 2 5" xfId="12832" xr:uid="{E765D657-7870-4845-B213-53014BC43FDD}"/>
    <cellStyle name="Normal 5 3 4 7 3" xfId="6476" xr:uid="{00000000-0005-0000-0000-00005F1A0000}"/>
    <cellStyle name="Normal 5 3 4 7 3 2" xfId="19109" xr:uid="{CDBCAE77-6DCA-418D-B2C7-4ADE2E2C6080}"/>
    <cellStyle name="Normal 5 3 4 7 4" xfId="14898" xr:uid="{0CB83507-25BB-499B-9118-006F8C2A96B3}"/>
    <cellStyle name="Normal 5 3 4 7 5" xfId="24148" xr:uid="{1468E25E-722D-4211-BA8D-CC366919C8A0}"/>
    <cellStyle name="Normal 5 3 4 7 6" xfId="10687" xr:uid="{E4E989BF-CD0C-4D34-B01A-94A41531CF7D}"/>
    <cellStyle name="Normal 5 3 4 8" xfId="2604" xr:uid="{00000000-0005-0000-0000-0000601A0000}"/>
    <cellStyle name="Normal 5 3 4 8 2" xfId="6889" xr:uid="{00000000-0005-0000-0000-0000611A0000}"/>
    <cellStyle name="Normal 5 3 4 8 2 2" xfId="19522" xr:uid="{5F73C9C0-76DC-401E-B30D-29107355324B}"/>
    <cellStyle name="Normal 5 3 4 8 3" xfId="15311" xr:uid="{3DAADC1D-76A0-45DD-943A-7734F0696FEE}"/>
    <cellStyle name="Normal 5 3 4 8 4" xfId="24561" xr:uid="{73A06ED4-6C7E-4915-BC49-C4D5DFDC6D84}"/>
    <cellStyle name="Normal 5 3 4 8 5" xfId="11100" xr:uid="{16CF8C07-6D2D-47B3-9631-F5AF7C8103E2}"/>
    <cellStyle name="Normal 5 3 4 9" xfId="4824" xr:uid="{00000000-0005-0000-0000-0000621A0000}"/>
    <cellStyle name="Normal 5 3 4 9 2" xfId="17457" xr:uid="{6E55A730-F2D1-4BD1-830B-5B98A3147C00}"/>
    <cellStyle name="Normal 5 3 5" xfId="453" xr:uid="{00000000-0005-0000-0000-0000631A0000}"/>
    <cellStyle name="Normal 5 3 5 10" xfId="13250" xr:uid="{422E4343-ED8F-477B-ADFC-9CC60C8B2021}"/>
    <cellStyle name="Normal 5 3 5 11" xfId="22500" xr:uid="{03DB31D1-13CA-4698-BDF2-E60AFE8E21D3}"/>
    <cellStyle name="Normal 5 3 5 12" xfId="9039" xr:uid="{AABA9ACE-A6BC-4A41-B99F-3C45F9E46611}"/>
    <cellStyle name="Normal 5 3 5 2" xfId="454" xr:uid="{00000000-0005-0000-0000-0000641A0000}"/>
    <cellStyle name="Normal 5 3 5 2 10" xfId="22501" xr:uid="{435A82E2-1903-4EF8-BDB4-647FDFE2146F}"/>
    <cellStyle name="Normal 5 3 5 2 11" xfId="9040" xr:uid="{2348B331-0175-4062-8614-413E2EF67BFE}"/>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20020" xr:uid="{23ED6A6A-61A0-4C54-8FCC-BD8D6B5C71A5}"/>
    <cellStyle name="Normal 5 3 5 2 2 2 3" xfId="15809" xr:uid="{97BB7F6F-1DCA-4778-8134-8FF9BA03EC1F}"/>
    <cellStyle name="Normal 5 3 5 2 2 2 4" xfId="25059" xr:uid="{312E6CAD-3868-4DC2-8D46-74F69EEF7F80}"/>
    <cellStyle name="Normal 5 3 5 2 2 2 5" xfId="11598" xr:uid="{9FA58F03-CD5C-48A1-AB9C-38AC3D49893B}"/>
    <cellStyle name="Normal 5 3 5 2 2 3" xfId="5242" xr:uid="{00000000-0005-0000-0000-0000681A0000}"/>
    <cellStyle name="Normal 5 3 5 2 2 3 2" xfId="17875" xr:uid="{4A699602-9388-45CD-91F7-AF0D634DF262}"/>
    <cellStyle name="Normal 5 3 5 2 2 4" xfId="22087" xr:uid="{5AC0358E-9BCD-4C1D-BA67-FF35D2B1747A}"/>
    <cellStyle name="Normal 5 3 5 2 2 5" xfId="13664" xr:uid="{693A36D8-7235-49A1-909D-A17DFAE7D8AC}"/>
    <cellStyle name="Normal 5 3 5 2 2 6" xfId="22914" xr:uid="{8ACAB249-63C5-42DF-9565-3CC2801E0AA4}"/>
    <cellStyle name="Normal 5 3 5 2 2 7" xfId="9453" xr:uid="{70CDD071-374D-48D5-BAA7-2241495CCEE9}"/>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20433" xr:uid="{3413E2BF-DF69-4C5A-B174-7155868F65E0}"/>
    <cellStyle name="Normal 5 3 5 2 3 2 3" xfId="16222" xr:uid="{7D3383A3-D380-4CD4-BF2C-1F0F6930BE26}"/>
    <cellStyle name="Normal 5 3 5 2 3 2 4" xfId="25472" xr:uid="{C8371838-9490-4B4B-8162-1105903E7F46}"/>
    <cellStyle name="Normal 5 3 5 2 3 2 5" xfId="12011" xr:uid="{BD008009-6CA8-4782-A79D-49F7A52DCC6B}"/>
    <cellStyle name="Normal 5 3 5 2 3 3" xfId="5655" xr:uid="{00000000-0005-0000-0000-00006C1A0000}"/>
    <cellStyle name="Normal 5 3 5 2 3 3 2" xfId="18288" xr:uid="{BD358EF2-F183-4F18-A23F-7034163D0737}"/>
    <cellStyle name="Normal 5 3 5 2 3 4" xfId="14077" xr:uid="{6DCD7D01-85D2-445D-BD6E-468DDFE88D16}"/>
    <cellStyle name="Normal 5 3 5 2 3 5" xfId="23327" xr:uid="{5CB57179-BC92-4B4B-BC45-3DD92FBE3A40}"/>
    <cellStyle name="Normal 5 3 5 2 3 6" xfId="9866" xr:uid="{5BEF5A97-7003-40C3-B761-B255933E888C}"/>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20846" xr:uid="{282899CD-7D7D-4B9F-8593-48A39A153111}"/>
    <cellStyle name="Normal 5 3 5 2 4 2 3" xfId="16635" xr:uid="{35164116-A5CD-4997-B9E4-DCCC025AE23B}"/>
    <cellStyle name="Normal 5 3 5 2 4 2 4" xfId="25885" xr:uid="{5662B69E-EF8B-40FB-A9CE-0E288F9A4D03}"/>
    <cellStyle name="Normal 5 3 5 2 4 2 5" xfId="12424" xr:uid="{9B929A91-3EA8-4976-B710-421201FE42A2}"/>
    <cellStyle name="Normal 5 3 5 2 4 3" xfId="6068" xr:uid="{00000000-0005-0000-0000-0000701A0000}"/>
    <cellStyle name="Normal 5 3 5 2 4 3 2" xfId="18701" xr:uid="{29FDD60D-646C-4F07-85D0-9FD006373777}"/>
    <cellStyle name="Normal 5 3 5 2 4 4" xfId="14490" xr:uid="{CA4D686F-790A-4EE7-90DF-6D5E7C7333EE}"/>
    <cellStyle name="Normal 5 3 5 2 4 5" xfId="23740" xr:uid="{1F7A18A6-5FF0-4361-B92D-03EDD27C32F5}"/>
    <cellStyle name="Normal 5 3 5 2 4 6" xfId="10279" xr:uid="{8683A793-4779-4221-9123-1013C5FE1252}"/>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21259" xr:uid="{E5FA05DC-E24B-46AA-B5E0-00FC29E8196E}"/>
    <cellStyle name="Normal 5 3 5 2 5 2 3" xfId="17048" xr:uid="{8BA8DC81-F294-4673-A4D9-0BDDE09B2D38}"/>
    <cellStyle name="Normal 5 3 5 2 5 2 4" xfId="26298" xr:uid="{A6E8DDFF-738B-4961-8085-0C75C5C1AF68}"/>
    <cellStyle name="Normal 5 3 5 2 5 2 5" xfId="12837" xr:uid="{8128A700-E16B-428F-A4EC-E226C7BE8285}"/>
    <cellStyle name="Normal 5 3 5 2 5 3" xfId="6481" xr:uid="{00000000-0005-0000-0000-0000741A0000}"/>
    <cellStyle name="Normal 5 3 5 2 5 3 2" xfId="19114" xr:uid="{B843D3E7-3238-4D4B-9CC8-E0D1D845D244}"/>
    <cellStyle name="Normal 5 3 5 2 5 4" xfId="14903" xr:uid="{4E3A631B-7388-44B0-922F-3E4F8F172DD4}"/>
    <cellStyle name="Normal 5 3 5 2 5 5" xfId="24153" xr:uid="{A8C92F8F-7D64-47AC-AC18-B80B995DDDBB}"/>
    <cellStyle name="Normal 5 3 5 2 5 6" xfId="10692" xr:uid="{859A8F7A-B141-49E7-9245-CA7A0268FABF}"/>
    <cellStyle name="Normal 5 3 5 2 6" xfId="2609" xr:uid="{00000000-0005-0000-0000-0000751A0000}"/>
    <cellStyle name="Normal 5 3 5 2 6 2" xfId="6894" xr:uid="{00000000-0005-0000-0000-0000761A0000}"/>
    <cellStyle name="Normal 5 3 5 2 6 2 2" xfId="19527" xr:uid="{5E6D4001-D3D3-4783-9D51-EDF6865B2AF4}"/>
    <cellStyle name="Normal 5 3 5 2 6 3" xfId="15316" xr:uid="{785C9B0F-AD00-4352-ABC7-15FC1876DFEE}"/>
    <cellStyle name="Normal 5 3 5 2 6 4" xfId="24566" xr:uid="{1A0BAB78-1D74-46CE-A975-A1C515BF5B8C}"/>
    <cellStyle name="Normal 5 3 5 2 6 5" xfId="11105" xr:uid="{491EB36D-7522-4969-BE92-8452BAB6CC9C}"/>
    <cellStyle name="Normal 5 3 5 2 7" xfId="4829" xr:uid="{00000000-0005-0000-0000-0000771A0000}"/>
    <cellStyle name="Normal 5 3 5 2 7 2" xfId="17462" xr:uid="{76BD3667-CC54-41A9-B38B-8E33C776D70F}"/>
    <cellStyle name="Normal 5 3 5 2 8" xfId="21672" xr:uid="{A4EB402B-DD93-461A-8DE7-59F7B1EFC1C3}"/>
    <cellStyle name="Normal 5 3 5 2 9" xfId="13251" xr:uid="{50A3888D-1F2F-4E35-BF15-DADE8CC864A8}"/>
    <cellStyle name="Normal 5 3 5 3" xfId="928" xr:uid="{00000000-0005-0000-0000-0000781A0000}"/>
    <cellStyle name="Normal 5 3 5 3 2" xfId="3162" xr:uid="{00000000-0005-0000-0000-0000791A0000}"/>
    <cellStyle name="Normal 5 3 5 3 2 2" xfId="7386" xr:uid="{00000000-0005-0000-0000-00007A1A0000}"/>
    <cellStyle name="Normal 5 3 5 3 2 2 2" xfId="20019" xr:uid="{4CDFA87C-BC2F-4436-A394-D772B082AB6E}"/>
    <cellStyle name="Normal 5 3 5 3 2 3" xfId="15808" xr:uid="{881C6120-2932-4479-90A3-0F24F7AD680C}"/>
    <cellStyle name="Normal 5 3 5 3 2 4" xfId="25058" xr:uid="{EEC315B1-0BAF-4EBC-BEC0-A0750B5B9411}"/>
    <cellStyle name="Normal 5 3 5 3 2 5" xfId="11597" xr:uid="{4E36E17D-9EDB-4EE4-BD67-B683F87B7C98}"/>
    <cellStyle name="Normal 5 3 5 3 3" xfId="5241" xr:uid="{00000000-0005-0000-0000-00007B1A0000}"/>
    <cellStyle name="Normal 5 3 5 3 3 2" xfId="17874" xr:uid="{0A1F60C3-83FA-4D8C-A368-022F1EFF8B0E}"/>
    <cellStyle name="Normal 5 3 5 3 4" xfId="22086" xr:uid="{6B4EFAC3-3F57-478C-BBC2-E973053CFBE9}"/>
    <cellStyle name="Normal 5 3 5 3 5" xfId="13663" xr:uid="{D58F294D-0151-49B2-A108-82AF2D4CD1ED}"/>
    <cellStyle name="Normal 5 3 5 3 6" xfId="22913" xr:uid="{33537BB6-8861-461B-82CC-486A55974F66}"/>
    <cellStyle name="Normal 5 3 5 3 7" xfId="9452" xr:uid="{EEFD2C89-CA69-4053-96BA-66A2F4085854}"/>
    <cellStyle name="Normal 5 3 5 4" xfId="1345" xr:uid="{00000000-0005-0000-0000-00007C1A0000}"/>
    <cellStyle name="Normal 5 3 5 4 2" xfId="3575" xr:uid="{00000000-0005-0000-0000-00007D1A0000}"/>
    <cellStyle name="Normal 5 3 5 4 2 2" xfId="7799" xr:uid="{00000000-0005-0000-0000-00007E1A0000}"/>
    <cellStyle name="Normal 5 3 5 4 2 2 2" xfId="20432" xr:uid="{D8EBC01A-DB9A-4215-9E19-B34DC72920AC}"/>
    <cellStyle name="Normal 5 3 5 4 2 3" xfId="16221" xr:uid="{D1C1A02E-ABCC-4399-97F7-0AFD3122A319}"/>
    <cellStyle name="Normal 5 3 5 4 2 4" xfId="25471" xr:uid="{A78043CD-366F-4DF2-A277-0903DD59F469}"/>
    <cellStyle name="Normal 5 3 5 4 2 5" xfId="12010" xr:uid="{074CF955-B52C-49D7-9D82-D7E34B17FAEB}"/>
    <cellStyle name="Normal 5 3 5 4 3" xfId="5654" xr:uid="{00000000-0005-0000-0000-00007F1A0000}"/>
    <cellStyle name="Normal 5 3 5 4 3 2" xfId="18287" xr:uid="{65748218-CD03-4878-9002-5DB71740747D}"/>
    <cellStyle name="Normal 5 3 5 4 4" xfId="14076" xr:uid="{A7830AA5-9793-4DA0-9F0F-DE3B26506305}"/>
    <cellStyle name="Normal 5 3 5 4 5" xfId="23326" xr:uid="{E61A6506-92D2-49A6-97FD-E023743998CA}"/>
    <cellStyle name="Normal 5 3 5 4 6" xfId="9865" xr:uid="{A7171911-71A1-49E1-B377-0D71634AA6E4}"/>
    <cellStyle name="Normal 5 3 5 5" xfId="1758" xr:uid="{00000000-0005-0000-0000-0000801A0000}"/>
    <cellStyle name="Normal 5 3 5 5 2" xfId="3988" xr:uid="{00000000-0005-0000-0000-0000811A0000}"/>
    <cellStyle name="Normal 5 3 5 5 2 2" xfId="8212" xr:uid="{00000000-0005-0000-0000-0000821A0000}"/>
    <cellStyle name="Normal 5 3 5 5 2 2 2" xfId="20845" xr:uid="{04BA8FF4-A98B-4804-9D02-C7308F81D227}"/>
    <cellStyle name="Normal 5 3 5 5 2 3" xfId="16634" xr:uid="{E9931493-1D7C-44DC-8444-8DFEFE129B65}"/>
    <cellStyle name="Normal 5 3 5 5 2 4" xfId="25884" xr:uid="{FAE0CFF7-6D9A-4BF2-ACFE-1322994E42CD}"/>
    <cellStyle name="Normal 5 3 5 5 2 5" xfId="12423" xr:uid="{CC286155-0786-401C-860A-42544074042E}"/>
    <cellStyle name="Normal 5 3 5 5 3" xfId="6067" xr:uid="{00000000-0005-0000-0000-0000831A0000}"/>
    <cellStyle name="Normal 5 3 5 5 3 2" xfId="18700" xr:uid="{F290599D-0406-4A3B-AD4A-F26E6ED25EFD}"/>
    <cellStyle name="Normal 5 3 5 5 4" xfId="14489" xr:uid="{340B3D5B-72F7-4700-B637-1EF66BCD1221}"/>
    <cellStyle name="Normal 5 3 5 5 5" xfId="23739" xr:uid="{2C35B7F2-CAEB-49F8-A26C-7E4E750A91C8}"/>
    <cellStyle name="Normal 5 3 5 5 6" xfId="10278" xr:uid="{0CA70FA9-C8B5-47D9-B506-AF0A8DBF4040}"/>
    <cellStyle name="Normal 5 3 5 6" xfId="2172" xr:uid="{00000000-0005-0000-0000-0000841A0000}"/>
    <cellStyle name="Normal 5 3 5 6 2" xfId="4401" xr:uid="{00000000-0005-0000-0000-0000851A0000}"/>
    <cellStyle name="Normal 5 3 5 6 2 2" xfId="8625" xr:uid="{00000000-0005-0000-0000-0000861A0000}"/>
    <cellStyle name="Normal 5 3 5 6 2 2 2" xfId="21258" xr:uid="{2FAECB89-1802-48F5-90D4-775BF7BB0369}"/>
    <cellStyle name="Normal 5 3 5 6 2 3" xfId="17047" xr:uid="{EC25F180-1352-460C-A3A4-85C4E17F84EF}"/>
    <cellStyle name="Normal 5 3 5 6 2 4" xfId="26297" xr:uid="{1A2B7E3D-65B4-4A34-AB71-BF5D44F2F842}"/>
    <cellStyle name="Normal 5 3 5 6 2 5" xfId="12836" xr:uid="{C42E9C58-8AC7-4D81-A17F-BC4FCE4E4D6F}"/>
    <cellStyle name="Normal 5 3 5 6 3" xfId="6480" xr:uid="{00000000-0005-0000-0000-0000871A0000}"/>
    <cellStyle name="Normal 5 3 5 6 3 2" xfId="19113" xr:uid="{FFD98BB6-47C5-4304-9FDE-54C7A126BD30}"/>
    <cellStyle name="Normal 5 3 5 6 4" xfId="14902" xr:uid="{62DF3795-A1B7-49DF-95A2-E2615BB0A670}"/>
    <cellStyle name="Normal 5 3 5 6 5" xfId="24152" xr:uid="{A3AA0B3D-2263-4E9E-A766-9469440D7B93}"/>
    <cellStyle name="Normal 5 3 5 6 6" xfId="10691" xr:uid="{75C1607E-3ECA-4B47-AA4F-0181197C714B}"/>
    <cellStyle name="Normal 5 3 5 7" xfId="2608" xr:uid="{00000000-0005-0000-0000-0000881A0000}"/>
    <cellStyle name="Normal 5 3 5 7 2" xfId="6893" xr:uid="{00000000-0005-0000-0000-0000891A0000}"/>
    <cellStyle name="Normal 5 3 5 7 2 2" xfId="19526" xr:uid="{A8C76A54-28D6-48B7-955B-4399E3DFFA8B}"/>
    <cellStyle name="Normal 5 3 5 7 3" xfId="15315" xr:uid="{573847C4-DB10-4A26-88E8-CD32FE5A7687}"/>
    <cellStyle name="Normal 5 3 5 7 4" xfId="24565" xr:uid="{C20CB956-A14F-456A-B50C-38CA679608D4}"/>
    <cellStyle name="Normal 5 3 5 7 5" xfId="11104" xr:uid="{96ADE945-F96B-4460-A023-FEB8D79E8E4E}"/>
    <cellStyle name="Normal 5 3 5 8" xfId="4828" xr:uid="{00000000-0005-0000-0000-00008A1A0000}"/>
    <cellStyle name="Normal 5 3 5 8 2" xfId="17461" xr:uid="{D95100B4-62E4-4C3E-8435-228DADC5E815}"/>
    <cellStyle name="Normal 5 3 5 9" xfId="21671" xr:uid="{EA042BE1-2CC6-46FA-A83E-6163AD86BB3A}"/>
    <cellStyle name="Normal 5 3 6" xfId="455" xr:uid="{00000000-0005-0000-0000-00008B1A0000}"/>
    <cellStyle name="Normal 5 3 6 10" xfId="22502" xr:uid="{460143B6-6F8B-4410-9706-4F21921255E5}"/>
    <cellStyle name="Normal 5 3 6 11" xfId="9041" xr:uid="{9672C951-257C-42C2-A8D1-B3703C5B9A75}"/>
    <cellStyle name="Normal 5 3 6 2" xfId="930" xr:uid="{00000000-0005-0000-0000-00008C1A0000}"/>
    <cellStyle name="Normal 5 3 6 2 2" xfId="3164" xr:uid="{00000000-0005-0000-0000-00008D1A0000}"/>
    <cellStyle name="Normal 5 3 6 2 2 2" xfId="7388" xr:uid="{00000000-0005-0000-0000-00008E1A0000}"/>
    <cellStyle name="Normal 5 3 6 2 2 2 2" xfId="20021" xr:uid="{F532568E-AC42-409D-8CC1-976780C430C5}"/>
    <cellStyle name="Normal 5 3 6 2 2 3" xfId="15810" xr:uid="{6FB7F427-AE81-442A-8351-463D976119F5}"/>
    <cellStyle name="Normal 5 3 6 2 2 4" xfId="25060" xr:uid="{8315575F-C56A-4998-BB5D-58CBC1E0D7BB}"/>
    <cellStyle name="Normal 5 3 6 2 2 5" xfId="11599" xr:uid="{6479B787-A35E-431D-AA2E-24B9C73AC122}"/>
    <cellStyle name="Normal 5 3 6 2 3" xfId="5243" xr:uid="{00000000-0005-0000-0000-00008F1A0000}"/>
    <cellStyle name="Normal 5 3 6 2 3 2" xfId="17876" xr:uid="{F8CDF0DE-A7D0-46AE-B8AC-A4841599383D}"/>
    <cellStyle name="Normal 5 3 6 2 4" xfId="22088" xr:uid="{66FD8839-E2F9-4134-AB3C-ABE7B1F00917}"/>
    <cellStyle name="Normal 5 3 6 2 5" xfId="13665" xr:uid="{CBF888AB-10AB-4611-9A2F-449D4CE83752}"/>
    <cellStyle name="Normal 5 3 6 2 6" xfId="22915" xr:uid="{61D24126-ADC4-4BB4-A223-B908EC36C6E7}"/>
    <cellStyle name="Normal 5 3 6 2 7" xfId="9454" xr:uid="{62F0EF8E-570B-4C5E-9B48-E5F0A870947D}"/>
    <cellStyle name="Normal 5 3 6 3" xfId="1347" xr:uid="{00000000-0005-0000-0000-0000901A0000}"/>
    <cellStyle name="Normal 5 3 6 3 2" xfId="3577" xr:uid="{00000000-0005-0000-0000-0000911A0000}"/>
    <cellStyle name="Normal 5 3 6 3 2 2" xfId="7801" xr:uid="{00000000-0005-0000-0000-0000921A0000}"/>
    <cellStyle name="Normal 5 3 6 3 2 2 2" xfId="20434" xr:uid="{92908BC5-3A09-463E-8965-09A6BCC7DF32}"/>
    <cellStyle name="Normal 5 3 6 3 2 3" xfId="16223" xr:uid="{07414999-3858-422D-9751-A5C29AE99248}"/>
    <cellStyle name="Normal 5 3 6 3 2 4" xfId="25473" xr:uid="{A1EFEE07-652C-43CA-ACE1-4118553E29C7}"/>
    <cellStyle name="Normal 5 3 6 3 2 5" xfId="12012" xr:uid="{60651EB7-2096-491A-9044-0D25A7590B57}"/>
    <cellStyle name="Normal 5 3 6 3 3" xfId="5656" xr:uid="{00000000-0005-0000-0000-0000931A0000}"/>
    <cellStyle name="Normal 5 3 6 3 3 2" xfId="18289" xr:uid="{0E613A1D-67D2-4A3A-837B-4D1E2CD0CE94}"/>
    <cellStyle name="Normal 5 3 6 3 4" xfId="14078" xr:uid="{7E2084BE-D7EA-457B-B4A9-43046F41D25B}"/>
    <cellStyle name="Normal 5 3 6 3 5" xfId="23328" xr:uid="{3025AB3F-95C5-4CFA-8BAC-79CE083FE9C7}"/>
    <cellStyle name="Normal 5 3 6 3 6" xfId="9867" xr:uid="{C83E4010-408E-4EDE-BA25-23FEE91F9343}"/>
    <cellStyle name="Normal 5 3 6 4" xfId="1760" xr:uid="{00000000-0005-0000-0000-0000941A0000}"/>
    <cellStyle name="Normal 5 3 6 4 2" xfId="3990" xr:uid="{00000000-0005-0000-0000-0000951A0000}"/>
    <cellStyle name="Normal 5 3 6 4 2 2" xfId="8214" xr:uid="{00000000-0005-0000-0000-0000961A0000}"/>
    <cellStyle name="Normal 5 3 6 4 2 2 2" xfId="20847" xr:uid="{06BA83C5-CBEE-49FB-9FF6-8EB310A0880A}"/>
    <cellStyle name="Normal 5 3 6 4 2 3" xfId="16636" xr:uid="{E3F32C60-7DBF-4D85-8D23-6A0107F84814}"/>
    <cellStyle name="Normal 5 3 6 4 2 4" xfId="25886" xr:uid="{050EA859-E41A-4D10-9780-D046E27AAA19}"/>
    <cellStyle name="Normal 5 3 6 4 2 5" xfId="12425" xr:uid="{3945B593-EBAB-46A8-9411-E26BFBF6A790}"/>
    <cellStyle name="Normal 5 3 6 4 3" xfId="6069" xr:uid="{00000000-0005-0000-0000-0000971A0000}"/>
    <cellStyle name="Normal 5 3 6 4 3 2" xfId="18702" xr:uid="{CF57FF6A-2F98-4869-8D78-4F0E7DA56AED}"/>
    <cellStyle name="Normal 5 3 6 4 4" xfId="14491" xr:uid="{53CAA07C-C4B8-4A05-9E90-6026D03CF81A}"/>
    <cellStyle name="Normal 5 3 6 4 5" xfId="23741" xr:uid="{7653D9D2-2AA6-43EE-8184-CA988D4BEC2C}"/>
    <cellStyle name="Normal 5 3 6 4 6" xfId="10280" xr:uid="{2D4BEF6B-06A9-41B6-BA2B-ED2BA807FEC5}"/>
    <cellStyle name="Normal 5 3 6 5" xfId="2174" xr:uid="{00000000-0005-0000-0000-0000981A0000}"/>
    <cellStyle name="Normal 5 3 6 5 2" xfId="4403" xr:uid="{00000000-0005-0000-0000-0000991A0000}"/>
    <cellStyle name="Normal 5 3 6 5 2 2" xfId="8627" xr:uid="{00000000-0005-0000-0000-00009A1A0000}"/>
    <cellStyle name="Normal 5 3 6 5 2 2 2" xfId="21260" xr:uid="{3E875C0F-77E1-4D3A-B21A-79CCF971903C}"/>
    <cellStyle name="Normal 5 3 6 5 2 3" xfId="17049" xr:uid="{9C375283-2E24-482B-BFD5-DCC8EBB48AB3}"/>
    <cellStyle name="Normal 5 3 6 5 2 4" xfId="26299" xr:uid="{5B3E2657-15A9-4F07-B760-F3CA4EB874C3}"/>
    <cellStyle name="Normal 5 3 6 5 2 5" xfId="12838" xr:uid="{A1EA154A-4A49-46A2-A6C1-83CA1C7CF92D}"/>
    <cellStyle name="Normal 5 3 6 5 3" xfId="6482" xr:uid="{00000000-0005-0000-0000-00009B1A0000}"/>
    <cellStyle name="Normal 5 3 6 5 3 2" xfId="19115" xr:uid="{9DB73313-F381-444C-BDAE-A66048AF3DA9}"/>
    <cellStyle name="Normal 5 3 6 5 4" xfId="14904" xr:uid="{DC8E11BA-0E39-46D7-8FDC-27718814C6BC}"/>
    <cellStyle name="Normal 5 3 6 5 5" xfId="24154" xr:uid="{98B6E5C6-0BC5-4366-9B3A-40D5622B9F5F}"/>
    <cellStyle name="Normal 5 3 6 5 6" xfId="10693" xr:uid="{89E2B3F4-B7DF-4F70-8F4C-2B452302D620}"/>
    <cellStyle name="Normal 5 3 6 6" xfId="2610" xr:uid="{00000000-0005-0000-0000-00009C1A0000}"/>
    <cellStyle name="Normal 5 3 6 6 2" xfId="6895" xr:uid="{00000000-0005-0000-0000-00009D1A0000}"/>
    <cellStyle name="Normal 5 3 6 6 2 2" xfId="19528" xr:uid="{BB41A193-3658-400A-8E6B-74DB20B237A6}"/>
    <cellStyle name="Normal 5 3 6 6 3" xfId="15317" xr:uid="{1B8A00D6-F18C-4291-AAD9-702D45B336F5}"/>
    <cellStyle name="Normal 5 3 6 6 4" xfId="24567" xr:uid="{43AC3A95-8154-409F-A66A-9C5EB4DC3629}"/>
    <cellStyle name="Normal 5 3 6 6 5" xfId="11106" xr:uid="{23709EAE-F7D0-438E-83B4-2F0F0E1DF354}"/>
    <cellStyle name="Normal 5 3 6 7" xfId="4830" xr:uid="{00000000-0005-0000-0000-00009E1A0000}"/>
    <cellStyle name="Normal 5 3 6 7 2" xfId="17463" xr:uid="{228564E1-C34B-4C2C-850C-B0041008D8F7}"/>
    <cellStyle name="Normal 5 3 6 8" xfId="21673" xr:uid="{DEFDD51C-9E59-4013-8A70-A7070C86DCA1}"/>
    <cellStyle name="Normal 5 3 6 9" xfId="13252" xr:uid="{86F5624A-A3D0-4608-B06B-51BD40C6AB20}"/>
    <cellStyle name="Normal 5 3 7" xfId="914" xr:uid="{00000000-0005-0000-0000-00009F1A0000}"/>
    <cellStyle name="Normal 5 3 7 2" xfId="3149" xr:uid="{00000000-0005-0000-0000-0000A01A0000}"/>
    <cellStyle name="Normal 5 3 7 2 2" xfId="7373" xr:uid="{00000000-0005-0000-0000-0000A11A0000}"/>
    <cellStyle name="Normal 5 3 7 2 2 2" xfId="20006" xr:uid="{EA3FE19D-A2F5-47EB-A98E-2F8A104D9FBA}"/>
    <cellStyle name="Normal 5 3 7 2 3" xfId="15795" xr:uid="{7F37656E-A5B0-4192-AEDA-FAC768994138}"/>
    <cellStyle name="Normal 5 3 7 2 4" xfId="25045" xr:uid="{75A55325-E706-4A9F-8D37-6AA05239D606}"/>
    <cellStyle name="Normal 5 3 7 2 5" xfId="11584" xr:uid="{ACF0B36B-E4C8-4E03-87EB-D6C38A06819B}"/>
    <cellStyle name="Normal 5 3 7 3" xfId="5228" xr:uid="{00000000-0005-0000-0000-0000A21A0000}"/>
    <cellStyle name="Normal 5 3 7 3 2" xfId="17861" xr:uid="{3FB0DAB2-45E8-477C-B13F-3E42DB9396CB}"/>
    <cellStyle name="Normal 5 3 7 4" xfId="22073" xr:uid="{88C2F19F-4336-4511-8A53-56DCD5E4B3F7}"/>
    <cellStyle name="Normal 5 3 7 5" xfId="13650" xr:uid="{D22BAF1F-AE9B-43D7-B160-79C2B8D459AB}"/>
    <cellStyle name="Normal 5 3 7 6" xfId="22900" xr:uid="{E09DB9A1-2606-4227-955F-2CDD92426BEB}"/>
    <cellStyle name="Normal 5 3 7 7" xfId="9439" xr:uid="{45F73EA1-3A31-4CBB-8B2C-7749EC708D10}"/>
    <cellStyle name="Normal 5 3 8" xfId="1332" xr:uid="{00000000-0005-0000-0000-0000A31A0000}"/>
    <cellStyle name="Normal 5 3 8 2" xfId="3562" xr:uid="{00000000-0005-0000-0000-0000A41A0000}"/>
    <cellStyle name="Normal 5 3 8 2 2" xfId="7786" xr:uid="{00000000-0005-0000-0000-0000A51A0000}"/>
    <cellStyle name="Normal 5 3 8 2 2 2" xfId="20419" xr:uid="{50B747C9-88FE-40B7-BA20-D38CDB270054}"/>
    <cellStyle name="Normal 5 3 8 2 3" xfId="16208" xr:uid="{26959ED3-6271-465A-A78D-6D0D79274071}"/>
    <cellStyle name="Normal 5 3 8 2 4" xfId="25458" xr:uid="{7CE69B61-7F9D-4688-8F6E-7DC782E4FFCD}"/>
    <cellStyle name="Normal 5 3 8 2 5" xfId="11997" xr:uid="{30FCFA93-C788-4BD1-8262-9D08262F238F}"/>
    <cellStyle name="Normal 5 3 8 3" xfId="5641" xr:uid="{00000000-0005-0000-0000-0000A61A0000}"/>
    <cellStyle name="Normal 5 3 8 3 2" xfId="18274" xr:uid="{6E3E1BDF-CDA3-4BE0-B0CA-7D3643A5FA18}"/>
    <cellStyle name="Normal 5 3 8 4" xfId="14063" xr:uid="{89781B10-E24F-48DA-B1C7-EFF3F79EACA3}"/>
    <cellStyle name="Normal 5 3 8 5" xfId="23313" xr:uid="{0A7208BF-61DB-4778-852F-522E2951BABE}"/>
    <cellStyle name="Normal 5 3 8 6" xfId="9852" xr:uid="{767B542A-EB6F-42FF-B930-0273613EC278}"/>
    <cellStyle name="Normal 5 3 9" xfId="1745" xr:uid="{00000000-0005-0000-0000-0000A71A0000}"/>
    <cellStyle name="Normal 5 3 9 2" xfId="3975" xr:uid="{00000000-0005-0000-0000-0000A81A0000}"/>
    <cellStyle name="Normal 5 3 9 2 2" xfId="8199" xr:uid="{00000000-0005-0000-0000-0000A91A0000}"/>
    <cellStyle name="Normal 5 3 9 2 2 2" xfId="20832" xr:uid="{FF73FC47-6129-46D9-A835-76CD77B0215D}"/>
    <cellStyle name="Normal 5 3 9 2 3" xfId="16621" xr:uid="{49457F34-D003-46C1-BE66-BBC4C36C271A}"/>
    <cellStyle name="Normal 5 3 9 2 4" xfId="25871" xr:uid="{E3F9DA3A-9EF4-4239-9DD8-840BB9D4AC15}"/>
    <cellStyle name="Normal 5 3 9 2 5" xfId="12410" xr:uid="{592A291D-9912-4C23-9620-690A41E4017B}"/>
    <cellStyle name="Normal 5 3 9 3" xfId="6054" xr:uid="{00000000-0005-0000-0000-0000AA1A0000}"/>
    <cellStyle name="Normal 5 3 9 3 2" xfId="18687" xr:uid="{2CE6E101-1B5B-480A-B68D-73F0011B9A93}"/>
    <cellStyle name="Normal 5 3 9 4" xfId="14476" xr:uid="{CB3A6B40-0E37-47A1-AF64-A2E467CCADA7}"/>
    <cellStyle name="Normal 5 3 9 5" xfId="23726" xr:uid="{0ADEA2A2-F9BA-403C-9E70-078CA9F0D9EA}"/>
    <cellStyle name="Normal 5 3 9 6" xfId="10265" xr:uid="{24DE5F23-42F6-495A-848D-61DA45AA9CBF}"/>
    <cellStyle name="Normal 5 4" xfId="456" xr:uid="{00000000-0005-0000-0000-0000AB1A0000}"/>
    <cellStyle name="Normal 5 4 10" xfId="4831" xr:uid="{00000000-0005-0000-0000-0000AC1A0000}"/>
    <cellStyle name="Normal 5 4 10 2" xfId="17464" xr:uid="{22C08B01-853D-448B-8EA8-DC940BAFF53E}"/>
    <cellStyle name="Normal 5 4 11" xfId="21674" xr:uid="{AB9CA2DB-A38A-4B6C-8118-1A5FC44235A0}"/>
    <cellStyle name="Normal 5 4 12" xfId="13253" xr:uid="{ACCAC882-10A8-4D7A-A75B-5A63D1F374C4}"/>
    <cellStyle name="Normal 5 4 13" xfId="22503" xr:uid="{5EC29179-784C-4304-BD13-B38081E45295}"/>
    <cellStyle name="Normal 5 4 14" xfId="9042" xr:uid="{DAA3592D-2A94-4ED3-84D9-2EC1868399E9}"/>
    <cellStyle name="Normal 5 4 2" xfId="457" xr:uid="{00000000-0005-0000-0000-0000AD1A0000}"/>
    <cellStyle name="Normal 5 4 2 10" xfId="21675" xr:uid="{2434A6DF-C6E7-4F1F-B8CA-558EC9F6982F}"/>
    <cellStyle name="Normal 5 4 2 11" xfId="13254" xr:uid="{568B5CCD-2720-4B35-B03A-92634B4A7D0F}"/>
    <cellStyle name="Normal 5 4 2 12" xfId="22504" xr:uid="{B761844E-76F8-4BF9-84D3-8F96B544732E}"/>
    <cellStyle name="Normal 5 4 2 13" xfId="9043" xr:uid="{05A06227-EDD7-471A-8692-17A06AB2D320}"/>
    <cellStyle name="Normal 5 4 2 2" xfId="458" xr:uid="{00000000-0005-0000-0000-0000AE1A0000}"/>
    <cellStyle name="Normal 5 4 2 2 10" xfId="13255" xr:uid="{71A9A8DB-30CF-466E-B620-F500795089C5}"/>
    <cellStyle name="Normal 5 4 2 2 11" xfId="22505" xr:uid="{3CB59C46-1BA6-41AD-878A-A4F64E9BC8D2}"/>
    <cellStyle name="Normal 5 4 2 2 12" xfId="9044" xr:uid="{23526C53-E58A-4081-8300-D4F1803C0275}"/>
    <cellStyle name="Normal 5 4 2 2 2" xfId="459" xr:uid="{00000000-0005-0000-0000-0000AF1A0000}"/>
    <cellStyle name="Normal 5 4 2 2 2 10" xfId="22506" xr:uid="{792A159A-684D-42B7-BF70-FCD648306FFF}"/>
    <cellStyle name="Normal 5 4 2 2 2 11" xfId="9045" xr:uid="{355D8AA3-D1E3-44CC-A2A1-6238BFAF0617}"/>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20025" xr:uid="{6F266387-64D6-4B00-A127-FF816FE2E7B7}"/>
    <cellStyle name="Normal 5 4 2 2 2 2 2 3" xfId="15814" xr:uid="{816C7930-815B-4874-9F09-E233CEFD0715}"/>
    <cellStyle name="Normal 5 4 2 2 2 2 2 4" xfId="25064" xr:uid="{364981EF-ED2A-4DC2-B068-BEC2BA20486A}"/>
    <cellStyle name="Normal 5 4 2 2 2 2 2 5" xfId="11603" xr:uid="{61320CE2-60B4-4F91-B3D7-5211246628A0}"/>
    <cellStyle name="Normal 5 4 2 2 2 2 3" xfId="5247" xr:uid="{00000000-0005-0000-0000-0000B31A0000}"/>
    <cellStyle name="Normal 5 4 2 2 2 2 3 2" xfId="17880" xr:uid="{6233DE02-7835-4B8D-A044-F13EEA217C6E}"/>
    <cellStyle name="Normal 5 4 2 2 2 2 4" xfId="22092" xr:uid="{D241451C-5303-45A5-B09D-2667F8D1D460}"/>
    <cellStyle name="Normal 5 4 2 2 2 2 5" xfId="13669" xr:uid="{4B9151EF-FF62-472E-837D-A0B374E6A60A}"/>
    <cellStyle name="Normal 5 4 2 2 2 2 6" xfId="22919" xr:uid="{E633756A-CC09-447C-906F-0872A46636C6}"/>
    <cellStyle name="Normal 5 4 2 2 2 2 7" xfId="9458" xr:uid="{10F02201-FAB3-4D6A-A711-AB59DB02D1A9}"/>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20438" xr:uid="{AF87BDB2-C9FB-4F10-AF1E-9084F1E0D528}"/>
    <cellStyle name="Normal 5 4 2 2 2 3 2 3" xfId="16227" xr:uid="{2C3CE64E-4C17-493C-B4F7-F77BB6B89348}"/>
    <cellStyle name="Normal 5 4 2 2 2 3 2 4" xfId="25477" xr:uid="{245A80A4-22B8-4166-B329-F8A366C370E6}"/>
    <cellStyle name="Normal 5 4 2 2 2 3 2 5" xfId="12016" xr:uid="{A0796872-1E02-48E0-9C16-561E2E72E322}"/>
    <cellStyle name="Normal 5 4 2 2 2 3 3" xfId="5660" xr:uid="{00000000-0005-0000-0000-0000B71A0000}"/>
    <cellStyle name="Normal 5 4 2 2 2 3 3 2" xfId="18293" xr:uid="{4853CEC5-90AB-4663-B511-2EFC3CDF570D}"/>
    <cellStyle name="Normal 5 4 2 2 2 3 4" xfId="14082" xr:uid="{915BC897-A0CE-4341-9EF3-72FDAB18E515}"/>
    <cellStyle name="Normal 5 4 2 2 2 3 5" xfId="23332" xr:uid="{CCEA302A-03A9-4E4E-9D8D-0788CE288087}"/>
    <cellStyle name="Normal 5 4 2 2 2 3 6" xfId="9871" xr:uid="{A1B6A5E1-F258-4179-AE70-13E70CDA65A2}"/>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20851" xr:uid="{D6253507-1D16-4641-A863-649239B178CF}"/>
    <cellStyle name="Normal 5 4 2 2 2 4 2 3" xfId="16640" xr:uid="{9785FC0C-F26D-483E-AD1F-CF12AC819C06}"/>
    <cellStyle name="Normal 5 4 2 2 2 4 2 4" xfId="25890" xr:uid="{75F424EA-2CF1-4251-BC0D-C30F5B59EFE5}"/>
    <cellStyle name="Normal 5 4 2 2 2 4 2 5" xfId="12429" xr:uid="{A14BFFE2-0429-43F8-AC79-0EED1D136148}"/>
    <cellStyle name="Normal 5 4 2 2 2 4 3" xfId="6073" xr:uid="{00000000-0005-0000-0000-0000BB1A0000}"/>
    <cellStyle name="Normal 5 4 2 2 2 4 3 2" xfId="18706" xr:uid="{04594A67-025C-499E-BCB6-89FBFA64E384}"/>
    <cellStyle name="Normal 5 4 2 2 2 4 4" xfId="14495" xr:uid="{38FD02C4-4F37-4165-A5EE-34159DCE8F3D}"/>
    <cellStyle name="Normal 5 4 2 2 2 4 5" xfId="23745" xr:uid="{9E6FA5CF-4713-410B-AD08-9E140CCDD711}"/>
    <cellStyle name="Normal 5 4 2 2 2 4 6" xfId="10284" xr:uid="{4878D272-FE08-4000-924A-83125C14481D}"/>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21264" xr:uid="{FBA29C4B-C2B4-49DB-A334-FE60F9AE9ED3}"/>
    <cellStyle name="Normal 5 4 2 2 2 5 2 3" xfId="17053" xr:uid="{2436FD81-9E55-4173-8D80-5518D7E022B0}"/>
    <cellStyle name="Normal 5 4 2 2 2 5 2 4" xfId="26303" xr:uid="{DABD933C-61FA-4522-A05C-10B807B66B4A}"/>
    <cellStyle name="Normal 5 4 2 2 2 5 2 5" xfId="12842" xr:uid="{501BE5E0-F386-4EE4-B046-83BB655C1AC2}"/>
    <cellStyle name="Normal 5 4 2 2 2 5 3" xfId="6486" xr:uid="{00000000-0005-0000-0000-0000BF1A0000}"/>
    <cellStyle name="Normal 5 4 2 2 2 5 3 2" xfId="19119" xr:uid="{603ECBFF-0120-4C9F-A24D-57E68A67C88D}"/>
    <cellStyle name="Normal 5 4 2 2 2 5 4" xfId="14908" xr:uid="{0A1AD0E0-A038-4D9D-8D35-CB5070468383}"/>
    <cellStyle name="Normal 5 4 2 2 2 5 5" xfId="24158" xr:uid="{E2861057-A97C-4366-934F-6A4CE842E610}"/>
    <cellStyle name="Normal 5 4 2 2 2 5 6" xfId="10697" xr:uid="{DAD6C1DB-3BEE-4AE0-ABB1-3E14A801FCAC}"/>
    <cellStyle name="Normal 5 4 2 2 2 6" xfId="2614" xr:uid="{00000000-0005-0000-0000-0000C01A0000}"/>
    <cellStyle name="Normal 5 4 2 2 2 6 2" xfId="6899" xr:uid="{00000000-0005-0000-0000-0000C11A0000}"/>
    <cellStyle name="Normal 5 4 2 2 2 6 2 2" xfId="19532" xr:uid="{0712B658-80C2-4F83-AC4C-0693B63E8DB3}"/>
    <cellStyle name="Normal 5 4 2 2 2 6 3" xfId="15321" xr:uid="{70779C84-A999-4516-AD07-4133A4FACDD9}"/>
    <cellStyle name="Normal 5 4 2 2 2 6 4" xfId="24571" xr:uid="{8EA4AD81-4B95-4CE4-ADEF-2DB2A0B51FFC}"/>
    <cellStyle name="Normal 5 4 2 2 2 6 5" xfId="11110" xr:uid="{5E6C58AD-3312-406F-9660-4AA323FCCAAC}"/>
    <cellStyle name="Normal 5 4 2 2 2 7" xfId="4834" xr:uid="{00000000-0005-0000-0000-0000C21A0000}"/>
    <cellStyle name="Normal 5 4 2 2 2 7 2" xfId="17467" xr:uid="{4A41C1A0-32E6-4827-BBB0-C78C14D3D059}"/>
    <cellStyle name="Normal 5 4 2 2 2 8" xfId="21677" xr:uid="{CC7B31D6-F7DC-44A3-B7EA-77145B8DE827}"/>
    <cellStyle name="Normal 5 4 2 2 2 9" xfId="13256" xr:uid="{9F9A9AD6-7F6F-4FCB-8027-0C0BC477E44C}"/>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20024" xr:uid="{1F000A9C-9CB5-43D2-AAB0-94C1CCC78EA2}"/>
    <cellStyle name="Normal 5 4 2 2 3 2 3" xfId="15813" xr:uid="{B66AAACA-049A-40C9-AC96-4A5A5CC59173}"/>
    <cellStyle name="Normal 5 4 2 2 3 2 4" xfId="25063" xr:uid="{61F253A1-A5D8-4F57-972B-B33A8970ABC5}"/>
    <cellStyle name="Normal 5 4 2 2 3 2 5" xfId="11602" xr:uid="{A0143EB7-16F4-4422-B1BA-E05D449BD587}"/>
    <cellStyle name="Normal 5 4 2 2 3 3" xfId="5246" xr:uid="{00000000-0005-0000-0000-0000C61A0000}"/>
    <cellStyle name="Normal 5 4 2 2 3 3 2" xfId="17879" xr:uid="{33DFF6CD-93B8-4739-8938-F45CA7CC9530}"/>
    <cellStyle name="Normal 5 4 2 2 3 4" xfId="22091" xr:uid="{35CA207F-A28A-4366-B637-B40297DF508A}"/>
    <cellStyle name="Normal 5 4 2 2 3 5" xfId="13668" xr:uid="{4E8CFDA2-6875-40BF-A727-E50A1FAEDDAF}"/>
    <cellStyle name="Normal 5 4 2 2 3 6" xfId="22918" xr:uid="{1D1A4CB5-3DEE-4B7A-9D21-DE187DCCB89C}"/>
    <cellStyle name="Normal 5 4 2 2 3 7" xfId="9457" xr:uid="{259563EF-FD4A-4907-99E4-1B62E2F53C5D}"/>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20437" xr:uid="{41B50032-6587-47DC-BFEA-B7D0A0C84AE3}"/>
    <cellStyle name="Normal 5 4 2 2 4 2 3" xfId="16226" xr:uid="{A47ABA80-F507-494C-B2A3-F94C5FCCA420}"/>
    <cellStyle name="Normal 5 4 2 2 4 2 4" xfId="25476" xr:uid="{4A6B2B5C-5F3D-432E-9B40-97C82F48B89B}"/>
    <cellStyle name="Normal 5 4 2 2 4 2 5" xfId="12015" xr:uid="{AEC14E06-7527-486F-8399-BA13E715273C}"/>
    <cellStyle name="Normal 5 4 2 2 4 3" xfId="5659" xr:uid="{00000000-0005-0000-0000-0000CA1A0000}"/>
    <cellStyle name="Normal 5 4 2 2 4 3 2" xfId="18292" xr:uid="{5555066A-827E-4684-B452-CCF4780808EE}"/>
    <cellStyle name="Normal 5 4 2 2 4 4" xfId="14081" xr:uid="{0EAD7738-C80F-42B4-BF93-2AA6FEC523EA}"/>
    <cellStyle name="Normal 5 4 2 2 4 5" xfId="23331" xr:uid="{5BBBFA44-2D7A-4CC4-9CD2-61724A83F037}"/>
    <cellStyle name="Normal 5 4 2 2 4 6" xfId="9870" xr:uid="{859254B5-E104-4B9B-B9AD-E35F14F7EEBD}"/>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20850" xr:uid="{EE6D243C-8F72-40AE-8858-A6A46EA4ACD6}"/>
    <cellStyle name="Normal 5 4 2 2 5 2 3" xfId="16639" xr:uid="{E45B1480-E65F-42A2-B196-61917C8F664E}"/>
    <cellStyle name="Normal 5 4 2 2 5 2 4" xfId="25889" xr:uid="{A0CBD5C2-E2DB-47A3-B818-D745E901323F}"/>
    <cellStyle name="Normal 5 4 2 2 5 2 5" xfId="12428" xr:uid="{146F7410-54DB-4F3A-BB57-21832A871478}"/>
    <cellStyle name="Normal 5 4 2 2 5 3" xfId="6072" xr:uid="{00000000-0005-0000-0000-0000CE1A0000}"/>
    <cellStyle name="Normal 5 4 2 2 5 3 2" xfId="18705" xr:uid="{144D5FA0-4B77-4BA0-A1B9-FC139D55CAE3}"/>
    <cellStyle name="Normal 5 4 2 2 5 4" xfId="14494" xr:uid="{811F1FF2-814D-4CD0-98BB-92AEFCE9A627}"/>
    <cellStyle name="Normal 5 4 2 2 5 5" xfId="23744" xr:uid="{2687D753-8CB8-48F8-8079-64FC1F8ADB56}"/>
    <cellStyle name="Normal 5 4 2 2 5 6" xfId="10283" xr:uid="{DF410813-60FC-4971-8341-D901D715BBF2}"/>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21263" xr:uid="{8B5FBEFB-F15E-49A2-B251-970634684FC2}"/>
    <cellStyle name="Normal 5 4 2 2 6 2 3" xfId="17052" xr:uid="{63B2D836-CC6C-4C6C-8DA7-CF203AF35257}"/>
    <cellStyle name="Normal 5 4 2 2 6 2 4" xfId="26302" xr:uid="{0204E642-0E12-4562-9F7D-F45B6C0E390F}"/>
    <cellStyle name="Normal 5 4 2 2 6 2 5" xfId="12841" xr:uid="{FC94E7E6-7233-4B1C-9AAF-AFC737D55D23}"/>
    <cellStyle name="Normal 5 4 2 2 6 3" xfId="6485" xr:uid="{00000000-0005-0000-0000-0000D21A0000}"/>
    <cellStyle name="Normal 5 4 2 2 6 3 2" xfId="19118" xr:uid="{5553E0CB-7038-4DF8-AA56-9CD212311A6B}"/>
    <cellStyle name="Normal 5 4 2 2 6 4" xfId="14907" xr:uid="{B28C55A5-4102-44CA-AB60-6565A261E1E7}"/>
    <cellStyle name="Normal 5 4 2 2 6 5" xfId="24157" xr:uid="{B12A9328-94E0-417F-BD7E-6A21BD95D6E8}"/>
    <cellStyle name="Normal 5 4 2 2 6 6" xfId="10696" xr:uid="{21CE3E6E-9075-4E58-AA75-069FCAE5175F}"/>
    <cellStyle name="Normal 5 4 2 2 7" xfId="2613" xr:uid="{00000000-0005-0000-0000-0000D31A0000}"/>
    <cellStyle name="Normal 5 4 2 2 7 2" xfId="6898" xr:uid="{00000000-0005-0000-0000-0000D41A0000}"/>
    <cellStyle name="Normal 5 4 2 2 7 2 2" xfId="19531" xr:uid="{A9BC0AF8-041A-4C8C-B0F2-A585FFDA7871}"/>
    <cellStyle name="Normal 5 4 2 2 7 3" xfId="15320" xr:uid="{8FE0F4EC-F877-451E-816C-96BF58819033}"/>
    <cellStyle name="Normal 5 4 2 2 7 4" xfId="24570" xr:uid="{C5D4AC89-7F93-4A91-A747-EDAA9C5914E4}"/>
    <cellStyle name="Normal 5 4 2 2 7 5" xfId="11109" xr:uid="{CCFC2782-386E-41C1-8D01-38DFECF32FF6}"/>
    <cellStyle name="Normal 5 4 2 2 8" xfId="4833" xr:uid="{00000000-0005-0000-0000-0000D51A0000}"/>
    <cellStyle name="Normal 5 4 2 2 8 2" xfId="17466" xr:uid="{BB44CFCF-C12A-4C43-BBFC-062D75716701}"/>
    <cellStyle name="Normal 5 4 2 2 9" xfId="21676" xr:uid="{223F9ADB-9E73-4DB1-9AA9-72EDB47D5DF6}"/>
    <cellStyle name="Normal 5 4 2 3" xfId="460" xr:uid="{00000000-0005-0000-0000-0000D61A0000}"/>
    <cellStyle name="Normal 5 4 2 3 10" xfId="22507" xr:uid="{FFFE1EB9-EADF-4968-88A1-42AE7649E13C}"/>
    <cellStyle name="Normal 5 4 2 3 11" xfId="9046" xr:uid="{676C859E-26F7-4284-884D-5D765328FFDB}"/>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20026" xr:uid="{5B65D93F-2BC5-4DE5-A4FD-E934A876F550}"/>
    <cellStyle name="Normal 5 4 2 3 2 2 3" xfId="15815" xr:uid="{06E4D987-1B1F-4737-B619-BEC4A6E7C101}"/>
    <cellStyle name="Normal 5 4 2 3 2 2 4" xfId="25065" xr:uid="{C69672C7-3560-4F93-9539-783092D0B4DE}"/>
    <cellStyle name="Normal 5 4 2 3 2 2 5" xfId="11604" xr:uid="{4615553D-F998-47F2-ACFB-ADDA77CE5A12}"/>
    <cellStyle name="Normal 5 4 2 3 2 3" xfId="5248" xr:uid="{00000000-0005-0000-0000-0000DA1A0000}"/>
    <cellStyle name="Normal 5 4 2 3 2 3 2" xfId="17881" xr:uid="{EF61FA03-278A-49AF-A737-07CAF7B4F915}"/>
    <cellStyle name="Normal 5 4 2 3 2 4" xfId="22093" xr:uid="{3C7F9231-5DE4-4A5E-9E24-32F2341263C6}"/>
    <cellStyle name="Normal 5 4 2 3 2 5" xfId="13670" xr:uid="{AD7B9641-F590-4136-8653-DAF0708FCAF1}"/>
    <cellStyle name="Normal 5 4 2 3 2 6" xfId="22920" xr:uid="{ADA8C07E-C2A0-4121-928E-76844573D8F3}"/>
    <cellStyle name="Normal 5 4 2 3 2 7" xfId="9459" xr:uid="{6F4CDCD1-1B90-4EB7-8C09-8C94D91CEEE7}"/>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20439" xr:uid="{00CDDA8D-42C6-4E04-AE3A-97CBBA5E24AC}"/>
    <cellStyle name="Normal 5 4 2 3 3 2 3" xfId="16228" xr:uid="{18A3D639-3DA1-4A7E-B335-BFF432E77335}"/>
    <cellStyle name="Normal 5 4 2 3 3 2 4" xfId="25478" xr:uid="{20DEA369-FE1E-4286-A2CE-A70C39482C8B}"/>
    <cellStyle name="Normal 5 4 2 3 3 2 5" xfId="12017" xr:uid="{EFF4F77A-7864-4D3D-882C-E6BE1762DE3C}"/>
    <cellStyle name="Normal 5 4 2 3 3 3" xfId="5661" xr:uid="{00000000-0005-0000-0000-0000DE1A0000}"/>
    <cellStyle name="Normal 5 4 2 3 3 3 2" xfId="18294" xr:uid="{27C3E950-FBDD-4A2D-B216-111E04F43913}"/>
    <cellStyle name="Normal 5 4 2 3 3 4" xfId="14083" xr:uid="{D3D35A9E-391C-4C8A-B1BE-6F70E89A0212}"/>
    <cellStyle name="Normal 5 4 2 3 3 5" xfId="23333" xr:uid="{936FF6F1-9A68-405E-B928-0AF956C14769}"/>
    <cellStyle name="Normal 5 4 2 3 3 6" xfId="9872" xr:uid="{95606A5F-415B-4525-B076-BD2D46798897}"/>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20852" xr:uid="{C4513AB7-73C3-4A5D-8702-5F8B5FA0208E}"/>
    <cellStyle name="Normal 5 4 2 3 4 2 3" xfId="16641" xr:uid="{40DA46BA-F7A2-4C88-BA20-1C9DAD2A729C}"/>
    <cellStyle name="Normal 5 4 2 3 4 2 4" xfId="25891" xr:uid="{0B127D9F-B779-4BBA-9019-1A0316C91CF6}"/>
    <cellStyle name="Normal 5 4 2 3 4 2 5" xfId="12430" xr:uid="{266982D1-5AF1-4EE1-9043-8EE72D562E13}"/>
    <cellStyle name="Normal 5 4 2 3 4 3" xfId="6074" xr:uid="{00000000-0005-0000-0000-0000E21A0000}"/>
    <cellStyle name="Normal 5 4 2 3 4 3 2" xfId="18707" xr:uid="{3FC5CCA8-B0D5-44AD-B752-0B8B5EF14DF6}"/>
    <cellStyle name="Normal 5 4 2 3 4 4" xfId="14496" xr:uid="{23785B15-4351-48B3-81CB-017245E102A4}"/>
    <cellStyle name="Normal 5 4 2 3 4 5" xfId="23746" xr:uid="{A730A714-40E7-4F35-9FA9-082E3565377A}"/>
    <cellStyle name="Normal 5 4 2 3 4 6" xfId="10285" xr:uid="{DA0F2383-A5D9-4AD5-A3F6-283A6A34050D}"/>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21265" xr:uid="{E517319A-D318-40AC-B411-0AD31ADE2748}"/>
    <cellStyle name="Normal 5 4 2 3 5 2 3" xfId="17054" xr:uid="{2CA2600F-45F3-4A09-B29A-093696A1A921}"/>
    <cellStyle name="Normal 5 4 2 3 5 2 4" xfId="26304" xr:uid="{FCFBFF6C-BB92-4987-933F-892581698303}"/>
    <cellStyle name="Normal 5 4 2 3 5 2 5" xfId="12843" xr:uid="{7019D137-CD9D-4F0C-B934-11E3D3461030}"/>
    <cellStyle name="Normal 5 4 2 3 5 3" xfId="6487" xr:uid="{00000000-0005-0000-0000-0000E61A0000}"/>
    <cellStyle name="Normal 5 4 2 3 5 3 2" xfId="19120" xr:uid="{9D2FDC87-8E3A-4E4B-9F05-9C1129BD3C5E}"/>
    <cellStyle name="Normal 5 4 2 3 5 4" xfId="14909" xr:uid="{7470A901-9DCA-4F5F-AEE7-E4ABE2D6EC27}"/>
    <cellStyle name="Normal 5 4 2 3 5 5" xfId="24159" xr:uid="{AA04DC81-C73A-44A5-A40C-88E0CCB0E48D}"/>
    <cellStyle name="Normal 5 4 2 3 5 6" xfId="10698" xr:uid="{6DA09C6E-B62E-4F7B-99B9-47D402A363EF}"/>
    <cellStyle name="Normal 5 4 2 3 6" xfId="2615" xr:uid="{00000000-0005-0000-0000-0000E71A0000}"/>
    <cellStyle name="Normal 5 4 2 3 6 2" xfId="6900" xr:uid="{00000000-0005-0000-0000-0000E81A0000}"/>
    <cellStyle name="Normal 5 4 2 3 6 2 2" xfId="19533" xr:uid="{CDF5FCC8-34F1-469F-A861-C71DB9441546}"/>
    <cellStyle name="Normal 5 4 2 3 6 3" xfId="15322" xr:uid="{3A22C853-87C3-44F0-A4DA-DA0BB452DE3D}"/>
    <cellStyle name="Normal 5 4 2 3 6 4" xfId="24572" xr:uid="{8CC7B8E8-234A-4EE9-9CA0-AA32688AE874}"/>
    <cellStyle name="Normal 5 4 2 3 6 5" xfId="11111" xr:uid="{DFC219D1-CFE1-4B7D-AC31-058076B575BF}"/>
    <cellStyle name="Normal 5 4 2 3 7" xfId="4835" xr:uid="{00000000-0005-0000-0000-0000E91A0000}"/>
    <cellStyle name="Normal 5 4 2 3 7 2" xfId="17468" xr:uid="{0DB6F5E3-F9BD-4D27-99CD-45CD067B1B29}"/>
    <cellStyle name="Normal 5 4 2 3 8" xfId="21678" xr:uid="{BB54F712-8601-4C69-902B-6CDC8207553F}"/>
    <cellStyle name="Normal 5 4 2 3 9" xfId="13257" xr:uid="{5FFCB015-C5CF-46B5-ACAB-0EDAC9B50E63}"/>
    <cellStyle name="Normal 5 4 2 4" xfId="932" xr:uid="{00000000-0005-0000-0000-0000EA1A0000}"/>
    <cellStyle name="Normal 5 4 2 4 2" xfId="3166" xr:uid="{00000000-0005-0000-0000-0000EB1A0000}"/>
    <cellStyle name="Normal 5 4 2 4 2 2" xfId="7390" xr:uid="{00000000-0005-0000-0000-0000EC1A0000}"/>
    <cellStyle name="Normal 5 4 2 4 2 2 2" xfId="20023" xr:uid="{265672A4-8507-406B-9004-80F23A06D2F5}"/>
    <cellStyle name="Normal 5 4 2 4 2 3" xfId="15812" xr:uid="{67C2C73E-CE1B-4134-B4D5-683BD3D531DA}"/>
    <cellStyle name="Normal 5 4 2 4 2 4" xfId="25062" xr:uid="{9CC83011-7D5A-4D08-9049-72F4B4B9E514}"/>
    <cellStyle name="Normal 5 4 2 4 2 5" xfId="11601" xr:uid="{B2E4AF59-1C25-4ABF-9E8E-37825F9FF2E2}"/>
    <cellStyle name="Normal 5 4 2 4 3" xfId="5245" xr:uid="{00000000-0005-0000-0000-0000ED1A0000}"/>
    <cellStyle name="Normal 5 4 2 4 3 2" xfId="17878" xr:uid="{707AD327-52A7-431B-B1AC-9898450FDEF1}"/>
    <cellStyle name="Normal 5 4 2 4 4" xfId="22090" xr:uid="{F7128D07-8F1D-4F75-A5F4-69C55B67077E}"/>
    <cellStyle name="Normal 5 4 2 4 5" xfId="13667" xr:uid="{E683175C-7458-4A78-A01A-D9D1323E0EDD}"/>
    <cellStyle name="Normal 5 4 2 4 6" xfId="22917" xr:uid="{EE130BE7-3663-4EB9-B1D9-ADBB843C0E59}"/>
    <cellStyle name="Normal 5 4 2 4 7" xfId="9456" xr:uid="{FDF4957A-185C-4286-BD3C-2BCA49B122C2}"/>
    <cellStyle name="Normal 5 4 2 5" xfId="1349" xr:uid="{00000000-0005-0000-0000-0000EE1A0000}"/>
    <cellStyle name="Normal 5 4 2 5 2" xfId="3579" xr:uid="{00000000-0005-0000-0000-0000EF1A0000}"/>
    <cellStyle name="Normal 5 4 2 5 2 2" xfId="7803" xr:uid="{00000000-0005-0000-0000-0000F01A0000}"/>
    <cellStyle name="Normal 5 4 2 5 2 2 2" xfId="20436" xr:uid="{2D34C1AE-2687-42A0-95FC-2E010A5DE7F8}"/>
    <cellStyle name="Normal 5 4 2 5 2 3" xfId="16225" xr:uid="{931BD3D1-F91D-414D-8815-5C2E93033CBC}"/>
    <cellStyle name="Normal 5 4 2 5 2 4" xfId="25475" xr:uid="{A5DA9648-9796-4B61-B74C-62FEAF403D1F}"/>
    <cellStyle name="Normal 5 4 2 5 2 5" xfId="12014" xr:uid="{63FD2E0C-F096-4F5A-8956-B850206C446A}"/>
    <cellStyle name="Normal 5 4 2 5 3" xfId="5658" xr:uid="{00000000-0005-0000-0000-0000F11A0000}"/>
    <cellStyle name="Normal 5 4 2 5 3 2" xfId="18291" xr:uid="{5184E1B5-8FC7-45F4-B09F-38F849E7980C}"/>
    <cellStyle name="Normal 5 4 2 5 4" xfId="14080" xr:uid="{2192262E-49D9-4219-8F3D-6F095A32D913}"/>
    <cellStyle name="Normal 5 4 2 5 5" xfId="23330" xr:uid="{4EEED682-B386-4A8E-87D8-14E95F0FC90B}"/>
    <cellStyle name="Normal 5 4 2 5 6" xfId="9869" xr:uid="{7394975B-C929-48AD-AE25-3DBB24209663}"/>
    <cellStyle name="Normal 5 4 2 6" xfId="1762" xr:uid="{00000000-0005-0000-0000-0000F21A0000}"/>
    <cellStyle name="Normal 5 4 2 6 2" xfId="3992" xr:uid="{00000000-0005-0000-0000-0000F31A0000}"/>
    <cellStyle name="Normal 5 4 2 6 2 2" xfId="8216" xr:uid="{00000000-0005-0000-0000-0000F41A0000}"/>
    <cellStyle name="Normal 5 4 2 6 2 2 2" xfId="20849" xr:uid="{3569DDF2-B0C2-49F7-A6A1-50FE8315E132}"/>
    <cellStyle name="Normal 5 4 2 6 2 3" xfId="16638" xr:uid="{CE96FEE7-7B8F-43E4-8C05-515E691F6255}"/>
    <cellStyle name="Normal 5 4 2 6 2 4" xfId="25888" xr:uid="{647997E3-35CF-4F59-924C-B9CB179482C1}"/>
    <cellStyle name="Normal 5 4 2 6 2 5" xfId="12427" xr:uid="{8320F6A4-9EF0-496C-8ED4-5FBC709B70D4}"/>
    <cellStyle name="Normal 5 4 2 6 3" xfId="6071" xr:uid="{00000000-0005-0000-0000-0000F51A0000}"/>
    <cellStyle name="Normal 5 4 2 6 3 2" xfId="18704" xr:uid="{7A4388C3-9428-444A-81C3-4AAA725FEEAC}"/>
    <cellStyle name="Normal 5 4 2 6 4" xfId="14493" xr:uid="{C60779E4-FC1B-40BA-9D10-A00ED4329F0C}"/>
    <cellStyle name="Normal 5 4 2 6 5" xfId="23743" xr:uid="{53759E49-DF5F-4CDC-9248-FF91C8193BD1}"/>
    <cellStyle name="Normal 5 4 2 6 6" xfId="10282" xr:uid="{BE43DF89-AE16-4FF8-BB31-F057C59101C9}"/>
    <cellStyle name="Normal 5 4 2 7" xfId="2176" xr:uid="{00000000-0005-0000-0000-0000F61A0000}"/>
    <cellStyle name="Normal 5 4 2 7 2" xfId="4405" xr:uid="{00000000-0005-0000-0000-0000F71A0000}"/>
    <cellStyle name="Normal 5 4 2 7 2 2" xfId="8629" xr:uid="{00000000-0005-0000-0000-0000F81A0000}"/>
    <cellStyle name="Normal 5 4 2 7 2 2 2" xfId="21262" xr:uid="{82A194D2-73DF-4BED-8B51-7B8ED7DF5159}"/>
    <cellStyle name="Normal 5 4 2 7 2 3" xfId="17051" xr:uid="{E9E6F2DC-964C-47EB-BF1C-5F425800CBA9}"/>
    <cellStyle name="Normal 5 4 2 7 2 4" xfId="26301" xr:uid="{8A11BEB9-6ABB-4D61-A3E5-6A52C7CBFFF3}"/>
    <cellStyle name="Normal 5 4 2 7 2 5" xfId="12840" xr:uid="{173A2A71-36CB-430F-A9BB-2774FCF16CF2}"/>
    <cellStyle name="Normal 5 4 2 7 3" xfId="6484" xr:uid="{00000000-0005-0000-0000-0000F91A0000}"/>
    <cellStyle name="Normal 5 4 2 7 3 2" xfId="19117" xr:uid="{703E04AC-8815-4D39-A697-7294D78B2C6D}"/>
    <cellStyle name="Normal 5 4 2 7 4" xfId="14906" xr:uid="{52DD393B-5D9C-4F21-881F-11412BA1B578}"/>
    <cellStyle name="Normal 5 4 2 7 5" xfId="24156" xr:uid="{B687DE2D-394D-49C1-8FCE-A726D759631A}"/>
    <cellStyle name="Normal 5 4 2 7 6" xfId="10695" xr:uid="{DC140EFE-9D83-4E3C-AE6C-E5A153C08C7A}"/>
    <cellStyle name="Normal 5 4 2 8" xfId="2612" xr:uid="{00000000-0005-0000-0000-0000FA1A0000}"/>
    <cellStyle name="Normal 5 4 2 8 2" xfId="6897" xr:uid="{00000000-0005-0000-0000-0000FB1A0000}"/>
    <cellStyle name="Normal 5 4 2 8 2 2" xfId="19530" xr:uid="{72AB3A40-9542-4323-8EDE-72F7FB2ADE95}"/>
    <cellStyle name="Normal 5 4 2 8 3" xfId="15319" xr:uid="{8F97D812-4D37-41BC-B191-23A3FAF4BDB6}"/>
    <cellStyle name="Normal 5 4 2 8 4" xfId="24569" xr:uid="{DF98E325-3DCB-4A49-A49E-79B6712E4B6E}"/>
    <cellStyle name="Normal 5 4 2 8 5" xfId="11108" xr:uid="{594E17E5-46D1-4200-B674-21A0693BA7B5}"/>
    <cellStyle name="Normal 5 4 2 9" xfId="4832" xr:uid="{00000000-0005-0000-0000-0000FC1A0000}"/>
    <cellStyle name="Normal 5 4 2 9 2" xfId="17465" xr:uid="{527A8D62-4ABF-4907-9C53-2681E3351DD0}"/>
    <cellStyle name="Normal 5 4 3" xfId="461" xr:uid="{00000000-0005-0000-0000-0000FD1A0000}"/>
    <cellStyle name="Normal 5 4 3 10" xfId="13258" xr:uid="{35A4258F-3BAB-46D1-BFD3-43F87B4DCA1B}"/>
    <cellStyle name="Normal 5 4 3 11" xfId="22508" xr:uid="{79B0D423-0B76-4EF2-A1E7-8B261406BADD}"/>
    <cellStyle name="Normal 5 4 3 12" xfId="9047" xr:uid="{C72C77A0-126F-4265-B43E-A3867AA08AE6}"/>
    <cellStyle name="Normal 5 4 3 2" xfId="462" xr:uid="{00000000-0005-0000-0000-0000FE1A0000}"/>
    <cellStyle name="Normal 5 4 3 2 10" xfId="22509" xr:uid="{FDE4D040-B029-4B26-B2A5-DBB429C374EB}"/>
    <cellStyle name="Normal 5 4 3 2 11" xfId="9048" xr:uid="{71DE6868-8E33-493E-A281-89A5136B2303}"/>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20028" xr:uid="{9173D965-840B-42C9-BFB7-E67EE5ABF85F}"/>
    <cellStyle name="Normal 5 4 3 2 2 2 3" xfId="15817" xr:uid="{2978B342-A544-4D7B-94C9-0C105206D614}"/>
    <cellStyle name="Normal 5 4 3 2 2 2 4" xfId="25067" xr:uid="{06A7369F-4EBE-4CC9-968E-FC12C103E1AA}"/>
    <cellStyle name="Normal 5 4 3 2 2 2 5" xfId="11606" xr:uid="{03595769-FA17-4843-B279-B41D1582086F}"/>
    <cellStyle name="Normal 5 4 3 2 2 3" xfId="5250" xr:uid="{00000000-0005-0000-0000-0000021B0000}"/>
    <cellStyle name="Normal 5 4 3 2 2 3 2" xfId="17883" xr:uid="{7A37CE6F-6ADF-479C-919C-735D13CF6E7E}"/>
    <cellStyle name="Normal 5 4 3 2 2 4" xfId="22095" xr:uid="{736F2BBA-C525-4E91-8A87-0FD08FA4F76B}"/>
    <cellStyle name="Normal 5 4 3 2 2 5" xfId="13672" xr:uid="{18A885E1-BF18-42DB-8B8A-5D47530C6B58}"/>
    <cellStyle name="Normal 5 4 3 2 2 6" xfId="22922" xr:uid="{032AD295-37EE-4D50-87D8-94DBA9630865}"/>
    <cellStyle name="Normal 5 4 3 2 2 7" xfId="9461" xr:uid="{4ED72D9F-8AB2-41B4-94D9-5385C2EF7603}"/>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20441" xr:uid="{350FB7F5-F80E-45D0-9CAA-B3FB3F487F2B}"/>
    <cellStyle name="Normal 5 4 3 2 3 2 3" xfId="16230" xr:uid="{545E314C-E4DF-4C16-84CF-D53E84EFD6E7}"/>
    <cellStyle name="Normal 5 4 3 2 3 2 4" xfId="25480" xr:uid="{0B2D24D1-0835-49E8-81A6-C2D5740B464A}"/>
    <cellStyle name="Normal 5 4 3 2 3 2 5" xfId="12019" xr:uid="{59414FAC-9D77-4242-A896-01FC85AC3BBD}"/>
    <cellStyle name="Normal 5 4 3 2 3 3" xfId="5663" xr:uid="{00000000-0005-0000-0000-0000061B0000}"/>
    <cellStyle name="Normal 5 4 3 2 3 3 2" xfId="18296" xr:uid="{C413CE17-ED76-46A2-B55F-61B9A4403B2E}"/>
    <cellStyle name="Normal 5 4 3 2 3 4" xfId="14085" xr:uid="{71E4FCC6-7A6B-4B63-B9FE-715243A62D1F}"/>
    <cellStyle name="Normal 5 4 3 2 3 5" xfId="23335" xr:uid="{726759DD-4711-4504-9007-38EB61899E84}"/>
    <cellStyle name="Normal 5 4 3 2 3 6" xfId="9874" xr:uid="{9DA3D759-FB7D-45A9-882A-57EA47A12968}"/>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20854" xr:uid="{DBFB6030-831C-4262-A441-70DACCF1792E}"/>
    <cellStyle name="Normal 5 4 3 2 4 2 3" xfId="16643" xr:uid="{37D5147C-71D6-4A59-9DA3-4251364D26DA}"/>
    <cellStyle name="Normal 5 4 3 2 4 2 4" xfId="25893" xr:uid="{9DCCE937-26C6-48BB-8DAB-4E96D1E97CD7}"/>
    <cellStyle name="Normal 5 4 3 2 4 2 5" xfId="12432" xr:uid="{6A118F16-C24D-4BF8-8E2D-68A1ED75F6FD}"/>
    <cellStyle name="Normal 5 4 3 2 4 3" xfId="6076" xr:uid="{00000000-0005-0000-0000-00000A1B0000}"/>
    <cellStyle name="Normal 5 4 3 2 4 3 2" xfId="18709" xr:uid="{5A08ACF7-78F2-43F7-A42E-FAD9FF8F8C55}"/>
    <cellStyle name="Normal 5 4 3 2 4 4" xfId="14498" xr:uid="{F26823C9-32E1-4552-9993-6F21A52CE301}"/>
    <cellStyle name="Normal 5 4 3 2 4 5" xfId="23748" xr:uid="{E0337AA7-34C4-4AFE-AB02-E5F2B20DC518}"/>
    <cellStyle name="Normal 5 4 3 2 4 6" xfId="10287" xr:uid="{937F7B5A-0588-4546-B8AF-EA6A151E098F}"/>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21267" xr:uid="{FD190609-3F48-44D9-A51C-E295891F7F0B}"/>
    <cellStyle name="Normal 5 4 3 2 5 2 3" xfId="17056" xr:uid="{DAB78DE8-541D-427E-A282-F1AC1FAB98A7}"/>
    <cellStyle name="Normal 5 4 3 2 5 2 4" xfId="26306" xr:uid="{5D5FC19F-FACD-4300-BFD3-91C561640A8D}"/>
    <cellStyle name="Normal 5 4 3 2 5 2 5" xfId="12845" xr:uid="{A388DCBA-C86E-4398-9802-2D8316EF5CFC}"/>
    <cellStyle name="Normal 5 4 3 2 5 3" xfId="6489" xr:uid="{00000000-0005-0000-0000-00000E1B0000}"/>
    <cellStyle name="Normal 5 4 3 2 5 3 2" xfId="19122" xr:uid="{4AEFC1F9-7257-48CE-A257-5B705E8FC11D}"/>
    <cellStyle name="Normal 5 4 3 2 5 4" xfId="14911" xr:uid="{3DBA2BD7-7E6A-4766-B78B-63B1C805B6E5}"/>
    <cellStyle name="Normal 5 4 3 2 5 5" xfId="24161" xr:uid="{EA9388CD-4D7B-4488-BE72-EF828E029821}"/>
    <cellStyle name="Normal 5 4 3 2 5 6" xfId="10700" xr:uid="{8253433D-9DBE-4D13-AE1E-DB2554DFE6B4}"/>
    <cellStyle name="Normal 5 4 3 2 6" xfId="2617" xr:uid="{00000000-0005-0000-0000-00000F1B0000}"/>
    <cellStyle name="Normal 5 4 3 2 6 2" xfId="6902" xr:uid="{00000000-0005-0000-0000-0000101B0000}"/>
    <cellStyle name="Normal 5 4 3 2 6 2 2" xfId="19535" xr:uid="{376EDF67-9093-4415-87FD-41F09215DB66}"/>
    <cellStyle name="Normal 5 4 3 2 6 3" xfId="15324" xr:uid="{AF4CCACB-02EE-4E61-A62C-6528793F1C52}"/>
    <cellStyle name="Normal 5 4 3 2 6 4" xfId="24574" xr:uid="{B83B066D-0DD0-498E-A7D5-6E48DB9243F9}"/>
    <cellStyle name="Normal 5 4 3 2 6 5" xfId="11113" xr:uid="{5BEA76B8-38E8-46D2-B3DF-E7CBEB51F48C}"/>
    <cellStyle name="Normal 5 4 3 2 7" xfId="4837" xr:uid="{00000000-0005-0000-0000-0000111B0000}"/>
    <cellStyle name="Normal 5 4 3 2 7 2" xfId="17470" xr:uid="{A6478227-1CDE-40CB-A3F9-434DFEF5F25A}"/>
    <cellStyle name="Normal 5 4 3 2 8" xfId="21680" xr:uid="{DE0FAEC9-C176-4D1D-806D-340ED0E5D30D}"/>
    <cellStyle name="Normal 5 4 3 2 9" xfId="13259" xr:uid="{72DC4E3E-69E0-4234-9CD0-07C22640ACB3}"/>
    <cellStyle name="Normal 5 4 3 3" xfId="936" xr:uid="{00000000-0005-0000-0000-0000121B0000}"/>
    <cellStyle name="Normal 5 4 3 3 2" xfId="3170" xr:uid="{00000000-0005-0000-0000-0000131B0000}"/>
    <cellStyle name="Normal 5 4 3 3 2 2" xfId="7394" xr:uid="{00000000-0005-0000-0000-0000141B0000}"/>
    <cellStyle name="Normal 5 4 3 3 2 2 2" xfId="20027" xr:uid="{C4158A2D-F102-4439-B013-6F08F288EB6F}"/>
    <cellStyle name="Normal 5 4 3 3 2 3" xfId="15816" xr:uid="{C90E9195-DEAB-47E6-AF1D-9437BB1E43F2}"/>
    <cellStyle name="Normal 5 4 3 3 2 4" xfId="25066" xr:uid="{DA5C613B-32A5-4D3E-AEB0-915D5A690279}"/>
    <cellStyle name="Normal 5 4 3 3 2 5" xfId="11605" xr:uid="{15772768-A773-4A90-BF47-DA405919B1FD}"/>
    <cellStyle name="Normal 5 4 3 3 3" xfId="5249" xr:uid="{00000000-0005-0000-0000-0000151B0000}"/>
    <cellStyle name="Normal 5 4 3 3 3 2" xfId="17882" xr:uid="{E1DEB65E-D925-4EDD-B85A-F3C30B5AF5D9}"/>
    <cellStyle name="Normal 5 4 3 3 4" xfId="22094" xr:uid="{4C1923FC-9581-4466-9323-046D2925ED83}"/>
    <cellStyle name="Normal 5 4 3 3 5" xfId="13671" xr:uid="{4BE4679E-5B07-4D3C-82E0-3907E67495B7}"/>
    <cellStyle name="Normal 5 4 3 3 6" xfId="22921" xr:uid="{3A09B04E-3183-41F5-A51C-706DDB6FEA95}"/>
    <cellStyle name="Normal 5 4 3 3 7" xfId="9460" xr:uid="{957D2AFD-139E-4DBE-A3B1-DAA6BEB43923}"/>
    <cellStyle name="Normal 5 4 3 4" xfId="1353" xr:uid="{00000000-0005-0000-0000-0000161B0000}"/>
    <cellStyle name="Normal 5 4 3 4 2" xfId="3583" xr:uid="{00000000-0005-0000-0000-0000171B0000}"/>
    <cellStyle name="Normal 5 4 3 4 2 2" xfId="7807" xr:uid="{00000000-0005-0000-0000-0000181B0000}"/>
    <cellStyle name="Normal 5 4 3 4 2 2 2" xfId="20440" xr:uid="{E4396F62-61FB-4198-9EE4-D9A50C8862D5}"/>
    <cellStyle name="Normal 5 4 3 4 2 3" xfId="16229" xr:uid="{0A5F6349-A94A-496D-95A6-12263C20E456}"/>
    <cellStyle name="Normal 5 4 3 4 2 4" xfId="25479" xr:uid="{95AE15A9-DCDB-4CFB-8B28-A90BAABD9BEF}"/>
    <cellStyle name="Normal 5 4 3 4 2 5" xfId="12018" xr:uid="{5CDD2F9A-5169-4AB6-8F7F-06EC577B9C8E}"/>
    <cellStyle name="Normal 5 4 3 4 3" xfId="5662" xr:uid="{00000000-0005-0000-0000-0000191B0000}"/>
    <cellStyle name="Normal 5 4 3 4 3 2" xfId="18295" xr:uid="{28B54867-2B81-47CC-81D4-233D037C6B24}"/>
    <cellStyle name="Normal 5 4 3 4 4" xfId="14084" xr:uid="{56225A5A-1A33-410B-BD9C-BE009A7A50A4}"/>
    <cellStyle name="Normal 5 4 3 4 5" xfId="23334" xr:uid="{76BE565E-31BE-41F2-B4F6-650DFCB4CEAF}"/>
    <cellStyle name="Normal 5 4 3 4 6" xfId="9873" xr:uid="{218628DF-98A6-478B-AE1F-F9D970663BC2}"/>
    <cellStyle name="Normal 5 4 3 5" xfId="1766" xr:uid="{00000000-0005-0000-0000-00001A1B0000}"/>
    <cellStyle name="Normal 5 4 3 5 2" xfId="3996" xr:uid="{00000000-0005-0000-0000-00001B1B0000}"/>
    <cellStyle name="Normal 5 4 3 5 2 2" xfId="8220" xr:uid="{00000000-0005-0000-0000-00001C1B0000}"/>
    <cellStyle name="Normal 5 4 3 5 2 2 2" xfId="20853" xr:uid="{9A9273F8-7B2E-4F7A-95E7-465D168D2822}"/>
    <cellStyle name="Normal 5 4 3 5 2 3" xfId="16642" xr:uid="{2028243C-64C4-4DFA-AE61-3C1D6816BD43}"/>
    <cellStyle name="Normal 5 4 3 5 2 4" xfId="25892" xr:uid="{C9641091-0A99-4C90-BE9E-B6373D0BF42D}"/>
    <cellStyle name="Normal 5 4 3 5 2 5" xfId="12431" xr:uid="{4BBEC6C7-4269-4BEB-84F4-B44491A5FF05}"/>
    <cellStyle name="Normal 5 4 3 5 3" xfId="6075" xr:uid="{00000000-0005-0000-0000-00001D1B0000}"/>
    <cellStyle name="Normal 5 4 3 5 3 2" xfId="18708" xr:uid="{4C71D4FF-C22E-4651-94E4-EA403907DFCA}"/>
    <cellStyle name="Normal 5 4 3 5 4" xfId="14497" xr:uid="{3F727054-BC25-4E60-9B31-5280D7F3C9EA}"/>
    <cellStyle name="Normal 5 4 3 5 5" xfId="23747" xr:uid="{1EC55927-69A0-4FE0-8E98-F414481745F1}"/>
    <cellStyle name="Normal 5 4 3 5 6" xfId="10286" xr:uid="{726F7760-DED9-4575-8C56-6D16275762E6}"/>
    <cellStyle name="Normal 5 4 3 6" xfId="2180" xr:uid="{00000000-0005-0000-0000-00001E1B0000}"/>
    <cellStyle name="Normal 5 4 3 6 2" xfId="4409" xr:uid="{00000000-0005-0000-0000-00001F1B0000}"/>
    <cellStyle name="Normal 5 4 3 6 2 2" xfId="8633" xr:uid="{00000000-0005-0000-0000-0000201B0000}"/>
    <cellStyle name="Normal 5 4 3 6 2 2 2" xfId="21266" xr:uid="{13E4F8A5-5214-4640-AC39-0E1439877AB3}"/>
    <cellStyle name="Normal 5 4 3 6 2 3" xfId="17055" xr:uid="{2D52C647-392E-48F3-BA0E-737CDB665012}"/>
    <cellStyle name="Normal 5 4 3 6 2 4" xfId="26305" xr:uid="{8EF7312D-0A08-46D4-9ACD-677869002E83}"/>
    <cellStyle name="Normal 5 4 3 6 2 5" xfId="12844" xr:uid="{BDEB80A7-6590-4A51-AC67-F53053C768DC}"/>
    <cellStyle name="Normal 5 4 3 6 3" xfId="6488" xr:uid="{00000000-0005-0000-0000-0000211B0000}"/>
    <cellStyle name="Normal 5 4 3 6 3 2" xfId="19121" xr:uid="{57D8136F-C789-4A0F-A78E-E748618BD2EA}"/>
    <cellStyle name="Normal 5 4 3 6 4" xfId="14910" xr:uid="{5B35B6B9-905A-4173-9D19-26E69CF37486}"/>
    <cellStyle name="Normal 5 4 3 6 5" xfId="24160" xr:uid="{1AAF8F3C-83FB-4D0B-949E-3D5639C1E69F}"/>
    <cellStyle name="Normal 5 4 3 6 6" xfId="10699" xr:uid="{8FFADF44-7AFD-4A6A-AE3B-37B846F5240E}"/>
    <cellStyle name="Normal 5 4 3 7" xfId="2616" xr:uid="{00000000-0005-0000-0000-0000221B0000}"/>
    <cellStyle name="Normal 5 4 3 7 2" xfId="6901" xr:uid="{00000000-0005-0000-0000-0000231B0000}"/>
    <cellStyle name="Normal 5 4 3 7 2 2" xfId="19534" xr:uid="{1AB622D6-B9E5-4056-9EED-85166B625916}"/>
    <cellStyle name="Normal 5 4 3 7 3" xfId="15323" xr:uid="{8FA86F6B-69EC-414F-8488-1B1EF62D604C}"/>
    <cellStyle name="Normal 5 4 3 7 4" xfId="24573" xr:uid="{209E0503-1639-4F08-B3E7-AD88CB211BC1}"/>
    <cellStyle name="Normal 5 4 3 7 5" xfId="11112" xr:uid="{8D6C21E4-62ED-4A5F-9A85-E209779F90CC}"/>
    <cellStyle name="Normal 5 4 3 8" xfId="4836" xr:uid="{00000000-0005-0000-0000-0000241B0000}"/>
    <cellStyle name="Normal 5 4 3 8 2" xfId="17469" xr:uid="{A237226F-A49B-4811-82C3-D93681300D1F}"/>
    <cellStyle name="Normal 5 4 3 9" xfId="21679" xr:uid="{63F7BC00-04EB-4E66-8899-677C5E0BFE0B}"/>
    <cellStyle name="Normal 5 4 4" xfId="463" xr:uid="{00000000-0005-0000-0000-0000251B0000}"/>
    <cellStyle name="Normal 5 4 4 10" xfId="22510" xr:uid="{6014E3A2-BC34-4D4C-8364-5D163115DFD4}"/>
    <cellStyle name="Normal 5 4 4 11" xfId="9049" xr:uid="{6D24A777-9E16-4460-8B98-0545E2491A79}"/>
    <cellStyle name="Normal 5 4 4 2" xfId="938" xr:uid="{00000000-0005-0000-0000-0000261B0000}"/>
    <cellStyle name="Normal 5 4 4 2 2" xfId="3172" xr:uid="{00000000-0005-0000-0000-0000271B0000}"/>
    <cellStyle name="Normal 5 4 4 2 2 2" xfId="7396" xr:uid="{00000000-0005-0000-0000-0000281B0000}"/>
    <cellStyle name="Normal 5 4 4 2 2 2 2" xfId="20029" xr:uid="{BEA1A50C-6DCD-4DB6-8740-C1F9E1158C78}"/>
    <cellStyle name="Normal 5 4 4 2 2 3" xfId="15818" xr:uid="{F856440E-AB03-4CBA-A517-7F25CD27F972}"/>
    <cellStyle name="Normal 5 4 4 2 2 4" xfId="25068" xr:uid="{5881BB66-21D0-4DF6-A4FC-19915A436D07}"/>
    <cellStyle name="Normal 5 4 4 2 2 5" xfId="11607" xr:uid="{35E192C2-0AF2-4AF2-9559-53A0398810C3}"/>
    <cellStyle name="Normal 5 4 4 2 3" xfId="5251" xr:uid="{00000000-0005-0000-0000-0000291B0000}"/>
    <cellStyle name="Normal 5 4 4 2 3 2" xfId="17884" xr:uid="{07FC8225-9137-4B5F-AEBC-BBE001ED1C92}"/>
    <cellStyle name="Normal 5 4 4 2 4" xfId="22096" xr:uid="{209257AB-3DD1-4674-BE52-35F003D7B07E}"/>
    <cellStyle name="Normal 5 4 4 2 5" xfId="13673" xr:uid="{16C65297-87C9-42C3-83F3-F07C1C413879}"/>
    <cellStyle name="Normal 5 4 4 2 6" xfId="22923" xr:uid="{CC5AC65E-B2EA-4D2E-9427-0E1BAC105BAE}"/>
    <cellStyle name="Normal 5 4 4 2 7" xfId="9462" xr:uid="{571DD4AE-1209-4238-9E7F-396218535F87}"/>
    <cellStyle name="Normal 5 4 4 3" xfId="1355" xr:uid="{00000000-0005-0000-0000-00002A1B0000}"/>
    <cellStyle name="Normal 5 4 4 3 2" xfId="3585" xr:uid="{00000000-0005-0000-0000-00002B1B0000}"/>
    <cellStyle name="Normal 5 4 4 3 2 2" xfId="7809" xr:uid="{00000000-0005-0000-0000-00002C1B0000}"/>
    <cellStyle name="Normal 5 4 4 3 2 2 2" xfId="20442" xr:uid="{DF7F92D6-F1D6-4DD7-A77A-E22AF1A35B7F}"/>
    <cellStyle name="Normal 5 4 4 3 2 3" xfId="16231" xr:uid="{878060F9-F7FA-446F-BE63-EA5F63E9590D}"/>
    <cellStyle name="Normal 5 4 4 3 2 4" xfId="25481" xr:uid="{3BE00E25-42E9-4542-9CA9-E9D31247341C}"/>
    <cellStyle name="Normal 5 4 4 3 2 5" xfId="12020" xr:uid="{28AEAF79-33F7-40B3-9A89-FF879FD446C4}"/>
    <cellStyle name="Normal 5 4 4 3 3" xfId="5664" xr:uid="{00000000-0005-0000-0000-00002D1B0000}"/>
    <cellStyle name="Normal 5 4 4 3 3 2" xfId="18297" xr:uid="{8F3917D2-17A5-4C39-BC4B-B734E26D970B}"/>
    <cellStyle name="Normal 5 4 4 3 4" xfId="14086" xr:uid="{7470B836-6890-4A00-9991-5D943ADFA692}"/>
    <cellStyle name="Normal 5 4 4 3 5" xfId="23336" xr:uid="{CC3F06DA-5F81-4F91-B5F6-A1F3CCC09545}"/>
    <cellStyle name="Normal 5 4 4 3 6" xfId="9875" xr:uid="{B5AD29F1-C49B-49D1-AD04-E566D47AA1CA}"/>
    <cellStyle name="Normal 5 4 4 4" xfId="1768" xr:uid="{00000000-0005-0000-0000-00002E1B0000}"/>
    <cellStyle name="Normal 5 4 4 4 2" xfId="3998" xr:uid="{00000000-0005-0000-0000-00002F1B0000}"/>
    <cellStyle name="Normal 5 4 4 4 2 2" xfId="8222" xr:uid="{00000000-0005-0000-0000-0000301B0000}"/>
    <cellStyle name="Normal 5 4 4 4 2 2 2" xfId="20855" xr:uid="{4F14F192-8128-46ED-BAD2-49AA16751A43}"/>
    <cellStyle name="Normal 5 4 4 4 2 3" xfId="16644" xr:uid="{26E189CC-EC74-45CF-9A32-D32427F1472F}"/>
    <cellStyle name="Normal 5 4 4 4 2 4" xfId="25894" xr:uid="{097DC024-F0A3-4705-A32D-44B380751312}"/>
    <cellStyle name="Normal 5 4 4 4 2 5" xfId="12433" xr:uid="{4F4949BD-7C40-49AC-87B0-176A886265F1}"/>
    <cellStyle name="Normal 5 4 4 4 3" xfId="6077" xr:uid="{00000000-0005-0000-0000-0000311B0000}"/>
    <cellStyle name="Normal 5 4 4 4 3 2" xfId="18710" xr:uid="{6450B122-1084-4A67-A8DF-344823BD95D4}"/>
    <cellStyle name="Normal 5 4 4 4 4" xfId="14499" xr:uid="{516528FB-33D4-4570-9FEA-A078EADB196F}"/>
    <cellStyle name="Normal 5 4 4 4 5" xfId="23749" xr:uid="{7CCCCFAD-8973-469D-8D65-8CD9C40A3D01}"/>
    <cellStyle name="Normal 5 4 4 4 6" xfId="10288" xr:uid="{221AABCB-34FE-4DD8-B800-2AC233F1915E}"/>
    <cellStyle name="Normal 5 4 4 5" xfId="2182" xr:uid="{00000000-0005-0000-0000-0000321B0000}"/>
    <cellStyle name="Normal 5 4 4 5 2" xfId="4411" xr:uid="{00000000-0005-0000-0000-0000331B0000}"/>
    <cellStyle name="Normal 5 4 4 5 2 2" xfId="8635" xr:uid="{00000000-0005-0000-0000-0000341B0000}"/>
    <cellStyle name="Normal 5 4 4 5 2 2 2" xfId="21268" xr:uid="{4CA66764-6A19-4125-827E-674DE342613C}"/>
    <cellStyle name="Normal 5 4 4 5 2 3" xfId="17057" xr:uid="{F81A734B-2CFA-405C-971B-C263600A22F5}"/>
    <cellStyle name="Normal 5 4 4 5 2 4" xfId="26307" xr:uid="{C024F026-1F7E-4772-B16D-2C37B4BA3578}"/>
    <cellStyle name="Normal 5 4 4 5 2 5" xfId="12846" xr:uid="{C5D36A1A-8D44-41B4-8A5C-6AE05C7A8F1D}"/>
    <cellStyle name="Normal 5 4 4 5 3" xfId="6490" xr:uid="{00000000-0005-0000-0000-0000351B0000}"/>
    <cellStyle name="Normal 5 4 4 5 3 2" xfId="19123" xr:uid="{56813323-AF5B-4025-A07B-09AA1A28CE94}"/>
    <cellStyle name="Normal 5 4 4 5 4" xfId="14912" xr:uid="{2587A0B6-F52F-458B-A680-40D1DC2D79C2}"/>
    <cellStyle name="Normal 5 4 4 5 5" xfId="24162" xr:uid="{35FC2BFB-2071-4C05-9E33-E2609E192A6A}"/>
    <cellStyle name="Normal 5 4 4 5 6" xfId="10701" xr:uid="{9301759B-E677-4CF8-81D8-B48461D37EBF}"/>
    <cellStyle name="Normal 5 4 4 6" xfId="2618" xr:uid="{00000000-0005-0000-0000-0000361B0000}"/>
    <cellStyle name="Normal 5 4 4 6 2" xfId="6903" xr:uid="{00000000-0005-0000-0000-0000371B0000}"/>
    <cellStyle name="Normal 5 4 4 6 2 2" xfId="19536" xr:uid="{370D8BFF-C504-47FD-BEF9-F8F74803C59D}"/>
    <cellStyle name="Normal 5 4 4 6 3" xfId="15325" xr:uid="{55995746-3AAA-446D-BA71-911B88EFA1AF}"/>
    <cellStyle name="Normal 5 4 4 6 4" xfId="24575" xr:uid="{954BD2FF-DF89-45EE-A019-D515A8097C49}"/>
    <cellStyle name="Normal 5 4 4 6 5" xfId="11114" xr:uid="{680003A5-34F0-44E2-9DDB-F67926457D12}"/>
    <cellStyle name="Normal 5 4 4 7" xfId="4838" xr:uid="{00000000-0005-0000-0000-0000381B0000}"/>
    <cellStyle name="Normal 5 4 4 7 2" xfId="17471" xr:uid="{E9E84E32-8ECA-410C-B0CF-EC6FB40C9704}"/>
    <cellStyle name="Normal 5 4 4 8" xfId="21681" xr:uid="{6026A9BD-7477-45B8-A02C-70C47F302017}"/>
    <cellStyle name="Normal 5 4 4 9" xfId="13260" xr:uid="{002C49F9-F915-4F85-9EBE-E49528DCDAB1}"/>
    <cellStyle name="Normal 5 4 5" xfId="931" xr:uid="{00000000-0005-0000-0000-0000391B0000}"/>
    <cellStyle name="Normal 5 4 5 2" xfId="3165" xr:uid="{00000000-0005-0000-0000-00003A1B0000}"/>
    <cellStyle name="Normal 5 4 5 2 2" xfId="7389" xr:uid="{00000000-0005-0000-0000-00003B1B0000}"/>
    <cellStyle name="Normal 5 4 5 2 2 2" xfId="20022" xr:uid="{A42B88C5-1F92-401E-96E6-5B5FA69F2110}"/>
    <cellStyle name="Normal 5 4 5 2 3" xfId="15811" xr:uid="{C0DE8D56-2EA9-4B4E-942F-005BE5AD03BE}"/>
    <cellStyle name="Normal 5 4 5 2 4" xfId="25061" xr:uid="{EFABA158-5E00-4623-9B50-9B004A377E35}"/>
    <cellStyle name="Normal 5 4 5 2 5" xfId="11600" xr:uid="{C9ED6619-3DDA-441B-B2D1-18CE0C5DF8DC}"/>
    <cellStyle name="Normal 5 4 5 3" xfId="5244" xr:uid="{00000000-0005-0000-0000-00003C1B0000}"/>
    <cellStyle name="Normal 5 4 5 3 2" xfId="17877" xr:uid="{20E88568-A757-4C55-949B-FF40AAE59455}"/>
    <cellStyle name="Normal 5 4 5 4" xfId="22089" xr:uid="{55DA5C72-5189-43AB-AAF3-91D321B54A0E}"/>
    <cellStyle name="Normal 5 4 5 5" xfId="13666" xr:uid="{22BCC300-4EDB-4268-A1FE-7CB5DCD9EEEF}"/>
    <cellStyle name="Normal 5 4 5 6" xfId="22916" xr:uid="{9201ECCE-0C4B-4A0B-AF59-50AEE2A6F9CC}"/>
    <cellStyle name="Normal 5 4 5 7" xfId="9455" xr:uid="{32881DB1-ADD7-4A10-B3A4-8BFD36DCC27F}"/>
    <cellStyle name="Normal 5 4 6" xfId="1348" xr:uid="{00000000-0005-0000-0000-00003D1B0000}"/>
    <cellStyle name="Normal 5 4 6 2" xfId="3578" xr:uid="{00000000-0005-0000-0000-00003E1B0000}"/>
    <cellStyle name="Normal 5 4 6 2 2" xfId="7802" xr:uid="{00000000-0005-0000-0000-00003F1B0000}"/>
    <cellStyle name="Normal 5 4 6 2 2 2" xfId="20435" xr:uid="{549CB225-9FD4-4BAA-80B8-B3D9EC694A9D}"/>
    <cellStyle name="Normal 5 4 6 2 3" xfId="16224" xr:uid="{14667F2B-64FE-4C9B-8F73-83CC626411C2}"/>
    <cellStyle name="Normal 5 4 6 2 4" xfId="25474" xr:uid="{E472F086-7864-4D74-8E21-2CA53A440FDB}"/>
    <cellStyle name="Normal 5 4 6 2 5" xfId="12013" xr:uid="{EC785735-ABF9-4769-8C0B-97A303154631}"/>
    <cellStyle name="Normal 5 4 6 3" xfId="5657" xr:uid="{00000000-0005-0000-0000-0000401B0000}"/>
    <cellStyle name="Normal 5 4 6 3 2" xfId="18290" xr:uid="{A74D9F6C-5ED3-4BF3-97F8-A1033B04A19D}"/>
    <cellStyle name="Normal 5 4 6 4" xfId="14079" xr:uid="{3BBA39F4-4E0D-4FF8-9E2F-9C5100288DDF}"/>
    <cellStyle name="Normal 5 4 6 5" xfId="23329" xr:uid="{C44F88B5-F314-404F-9E2E-7BC7D355B130}"/>
    <cellStyle name="Normal 5 4 6 6" xfId="9868" xr:uid="{65CB08FE-97F2-4C2F-B1EF-0649A8557369}"/>
    <cellStyle name="Normal 5 4 7" xfId="1761" xr:uid="{00000000-0005-0000-0000-0000411B0000}"/>
    <cellStyle name="Normal 5 4 7 2" xfId="3991" xr:uid="{00000000-0005-0000-0000-0000421B0000}"/>
    <cellStyle name="Normal 5 4 7 2 2" xfId="8215" xr:uid="{00000000-0005-0000-0000-0000431B0000}"/>
    <cellStyle name="Normal 5 4 7 2 2 2" xfId="20848" xr:uid="{FBAB93A0-E6FD-45C5-9D11-497FA475CC9C}"/>
    <cellStyle name="Normal 5 4 7 2 3" xfId="16637" xr:uid="{0DD4C2FB-334F-46D8-99F9-A691FB3CD1A2}"/>
    <cellStyle name="Normal 5 4 7 2 4" xfId="25887" xr:uid="{4EC2E11E-09C6-45F0-9FA3-442BD4FA4A25}"/>
    <cellStyle name="Normal 5 4 7 2 5" xfId="12426" xr:uid="{64F8A7A9-7415-4909-B766-F73E4A7F6204}"/>
    <cellStyle name="Normal 5 4 7 3" xfId="6070" xr:uid="{00000000-0005-0000-0000-0000441B0000}"/>
    <cellStyle name="Normal 5 4 7 3 2" xfId="18703" xr:uid="{D9A66955-6371-4A4E-956D-341BF3A21D3B}"/>
    <cellStyle name="Normal 5 4 7 4" xfId="14492" xr:uid="{2858C87B-E3EC-4D94-9ACF-33E836906049}"/>
    <cellStyle name="Normal 5 4 7 5" xfId="23742" xr:uid="{5DA33EB2-472E-457C-BD48-6B4AD7BCE3C3}"/>
    <cellStyle name="Normal 5 4 7 6" xfId="10281" xr:uid="{6495C008-1E57-4471-AE7C-2C59E1C56D11}"/>
    <cellStyle name="Normal 5 4 8" xfId="2175" xr:uid="{00000000-0005-0000-0000-0000451B0000}"/>
    <cellStyle name="Normal 5 4 8 2" xfId="4404" xr:uid="{00000000-0005-0000-0000-0000461B0000}"/>
    <cellStyle name="Normal 5 4 8 2 2" xfId="8628" xr:uid="{00000000-0005-0000-0000-0000471B0000}"/>
    <cellStyle name="Normal 5 4 8 2 2 2" xfId="21261" xr:uid="{C35201C8-1394-40A2-BBDF-3ED1EA9840A5}"/>
    <cellStyle name="Normal 5 4 8 2 3" xfId="17050" xr:uid="{997895D5-3A22-42D3-82C7-F1090474C7BD}"/>
    <cellStyle name="Normal 5 4 8 2 4" xfId="26300" xr:uid="{9BDA9E17-590D-48CB-A641-326A6FD5F0FB}"/>
    <cellStyle name="Normal 5 4 8 2 5" xfId="12839" xr:uid="{CDBF5DD1-510F-4042-83CF-8EEB4315BE55}"/>
    <cellStyle name="Normal 5 4 8 3" xfId="6483" xr:uid="{00000000-0005-0000-0000-0000481B0000}"/>
    <cellStyle name="Normal 5 4 8 3 2" xfId="19116" xr:uid="{FD438DF2-689F-4B64-A3C6-816BB322CCC9}"/>
    <cellStyle name="Normal 5 4 8 4" xfId="14905" xr:uid="{4F170975-1C79-4021-9305-4EACA1F2C166}"/>
    <cellStyle name="Normal 5 4 8 5" xfId="24155" xr:uid="{0A86677B-F105-41D1-9381-87B380EA3CBC}"/>
    <cellStyle name="Normal 5 4 8 6" xfId="10694" xr:uid="{8871DBFE-8ECD-4D4C-9676-6D640BDAF43C}"/>
    <cellStyle name="Normal 5 4 9" xfId="2611" xr:uid="{00000000-0005-0000-0000-0000491B0000}"/>
    <cellStyle name="Normal 5 4 9 2" xfId="6896" xr:uid="{00000000-0005-0000-0000-00004A1B0000}"/>
    <cellStyle name="Normal 5 4 9 2 2" xfId="19529" xr:uid="{9B780063-282E-4642-852E-0DA1933F081B}"/>
    <cellStyle name="Normal 5 4 9 3" xfId="15318" xr:uid="{74AAC2AC-B880-4FC1-8874-86BCB0EA0C14}"/>
    <cellStyle name="Normal 5 4 9 4" xfId="24568" xr:uid="{930B4268-59B7-4320-9A86-B60DCFE169D8}"/>
    <cellStyle name="Normal 5 4 9 5" xfId="11107" xr:uid="{BC58F7B5-89FA-46DE-80BE-A51F52EAB9C7}"/>
    <cellStyle name="Normal 5 5" xfId="464" xr:uid="{00000000-0005-0000-0000-00004B1B0000}"/>
    <cellStyle name="Normal 5 5 10" xfId="21682" xr:uid="{58483DA1-38C1-4790-8177-95060D46D795}"/>
    <cellStyle name="Normal 5 5 11" xfId="13261" xr:uid="{2FDD2129-83C2-478C-A969-B32573E717FC}"/>
    <cellStyle name="Normal 5 5 12" xfId="22511" xr:uid="{8127F571-383C-4A6F-A7DC-0EF7CF477976}"/>
    <cellStyle name="Normal 5 5 13" xfId="9050" xr:uid="{08336D23-1194-47A7-B46D-C5A381A614FB}"/>
    <cellStyle name="Normal 5 5 2" xfId="465" xr:uid="{00000000-0005-0000-0000-00004C1B0000}"/>
    <cellStyle name="Normal 5 5 2 10" xfId="13262" xr:uid="{6B1378BF-F6DC-4115-9685-A475628E8ED4}"/>
    <cellStyle name="Normal 5 5 2 11" xfId="22512" xr:uid="{EA6CBD0D-4E64-441D-AE17-3F6945F48C1C}"/>
    <cellStyle name="Normal 5 5 2 12" xfId="9051" xr:uid="{B22B5F6C-3066-4546-87B0-96BE82CEB2BC}"/>
    <cellStyle name="Normal 5 5 2 2" xfId="466" xr:uid="{00000000-0005-0000-0000-00004D1B0000}"/>
    <cellStyle name="Normal 5 5 2 2 10" xfId="22513" xr:uid="{41827633-4DE2-4D56-80A4-6ED5AEF466FE}"/>
    <cellStyle name="Normal 5 5 2 2 11" xfId="9052" xr:uid="{9B79378C-21A0-4E90-8BFE-4324EB837C3C}"/>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20032" xr:uid="{FEAC8C90-5FD0-42FC-9A6A-64ED464BC2C1}"/>
    <cellStyle name="Normal 5 5 2 2 2 2 3" xfId="15821" xr:uid="{942BC290-DB9F-44C7-BDC8-CEDC13F2E913}"/>
    <cellStyle name="Normal 5 5 2 2 2 2 4" xfId="25071" xr:uid="{1C5C5057-DF5B-44FC-ABED-884973FDD86E}"/>
    <cellStyle name="Normal 5 5 2 2 2 2 5" xfId="11610" xr:uid="{21F6AEB8-ACC2-43E9-B479-ECD9AF2DAC49}"/>
    <cellStyle name="Normal 5 5 2 2 2 3" xfId="5254" xr:uid="{00000000-0005-0000-0000-0000511B0000}"/>
    <cellStyle name="Normal 5 5 2 2 2 3 2" xfId="17887" xr:uid="{4EE1C0AC-11B1-4924-9CEF-64D306C3F8D3}"/>
    <cellStyle name="Normal 5 5 2 2 2 4" xfId="22099" xr:uid="{37E005E6-1FA5-4BD1-A17B-81ADF74DAABE}"/>
    <cellStyle name="Normal 5 5 2 2 2 5" xfId="13676" xr:uid="{A4626F09-98C9-4B46-B2B3-7620112A07B2}"/>
    <cellStyle name="Normal 5 5 2 2 2 6" xfId="22926" xr:uid="{4AC833B5-1DF8-4642-B543-225E40C05BC8}"/>
    <cellStyle name="Normal 5 5 2 2 2 7" xfId="9465" xr:uid="{CA8D433A-8ED2-459E-8A5E-9595430D9BBB}"/>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20445" xr:uid="{EF8A365E-248C-4108-915F-7512E8A7B206}"/>
    <cellStyle name="Normal 5 5 2 2 3 2 3" xfId="16234" xr:uid="{AF1957B8-CBB0-4578-AA6B-F461C313F563}"/>
    <cellStyle name="Normal 5 5 2 2 3 2 4" xfId="25484" xr:uid="{43F1F5F4-73A1-4F89-AA9A-2F1CAAC3C03D}"/>
    <cellStyle name="Normal 5 5 2 2 3 2 5" xfId="12023" xr:uid="{62F64E67-28B8-42DD-AEC7-77F0673EE3C1}"/>
    <cellStyle name="Normal 5 5 2 2 3 3" xfId="5667" xr:uid="{00000000-0005-0000-0000-0000551B0000}"/>
    <cellStyle name="Normal 5 5 2 2 3 3 2" xfId="18300" xr:uid="{54318C4E-B5EB-416D-A7AE-227A69801B60}"/>
    <cellStyle name="Normal 5 5 2 2 3 4" xfId="14089" xr:uid="{714C73D1-B57A-48BB-B6B4-DCE9C0C79582}"/>
    <cellStyle name="Normal 5 5 2 2 3 5" xfId="23339" xr:uid="{26220EDC-3CC5-4C4A-9941-D4A0E727478D}"/>
    <cellStyle name="Normal 5 5 2 2 3 6" xfId="9878" xr:uid="{99EDDCB9-6973-4EA2-9173-B29CA71C843D}"/>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20858" xr:uid="{F5513D85-4004-4F55-B6C2-568DD061C4A2}"/>
    <cellStyle name="Normal 5 5 2 2 4 2 3" xfId="16647" xr:uid="{58E5FB52-AB3C-485A-9A1A-720D63B41DA2}"/>
    <cellStyle name="Normal 5 5 2 2 4 2 4" xfId="25897" xr:uid="{ABCEAD75-CD5A-4561-BB6F-070E849265C0}"/>
    <cellStyle name="Normal 5 5 2 2 4 2 5" xfId="12436" xr:uid="{83BE4F84-A901-4199-B84A-DC2FC31730A8}"/>
    <cellStyle name="Normal 5 5 2 2 4 3" xfId="6080" xr:uid="{00000000-0005-0000-0000-0000591B0000}"/>
    <cellStyle name="Normal 5 5 2 2 4 3 2" xfId="18713" xr:uid="{FBDE22D2-3F91-4D38-B76A-1FE2FF188179}"/>
    <cellStyle name="Normal 5 5 2 2 4 4" xfId="14502" xr:uid="{65D012A2-5F90-4BD6-A8BE-2D2CFAC5D4E7}"/>
    <cellStyle name="Normal 5 5 2 2 4 5" xfId="23752" xr:uid="{2813A553-7970-4D82-A14B-82256A7AE9D8}"/>
    <cellStyle name="Normal 5 5 2 2 4 6" xfId="10291" xr:uid="{5127FCC7-E2F0-42E0-80B9-102395E89693}"/>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21271" xr:uid="{F934A6ED-F7C6-4DE4-9A6E-7AF994F2B50A}"/>
    <cellStyle name="Normal 5 5 2 2 5 2 3" xfId="17060" xr:uid="{2F1F6BC3-4F69-4A6C-A17B-4E56D3BDF7A5}"/>
    <cellStyle name="Normal 5 5 2 2 5 2 4" xfId="26310" xr:uid="{04169332-C8F8-48DE-A531-2D4B2C4905B7}"/>
    <cellStyle name="Normal 5 5 2 2 5 2 5" xfId="12849" xr:uid="{4FC06DD0-39B7-4A9A-A3D7-4DA266E534E4}"/>
    <cellStyle name="Normal 5 5 2 2 5 3" xfId="6493" xr:uid="{00000000-0005-0000-0000-00005D1B0000}"/>
    <cellStyle name="Normal 5 5 2 2 5 3 2" xfId="19126" xr:uid="{185FE424-A4FE-400D-8F25-84E9C8F8E7FB}"/>
    <cellStyle name="Normal 5 5 2 2 5 4" xfId="14915" xr:uid="{86FD10E2-7675-403E-A619-0D49089B1A1F}"/>
    <cellStyle name="Normal 5 5 2 2 5 5" xfId="24165" xr:uid="{4F43B84D-81E7-4FC3-B2FE-164669B56DC2}"/>
    <cellStyle name="Normal 5 5 2 2 5 6" xfId="10704" xr:uid="{11C291AD-A2C5-488B-8C83-2FD30BFFCF1B}"/>
    <cellStyle name="Normal 5 5 2 2 6" xfId="2621" xr:uid="{00000000-0005-0000-0000-00005E1B0000}"/>
    <cellStyle name="Normal 5 5 2 2 6 2" xfId="6906" xr:uid="{00000000-0005-0000-0000-00005F1B0000}"/>
    <cellStyle name="Normal 5 5 2 2 6 2 2" xfId="19539" xr:uid="{F47BF5F6-C671-4F92-AC79-16C28375D51A}"/>
    <cellStyle name="Normal 5 5 2 2 6 3" xfId="15328" xr:uid="{A30336D9-9C19-408D-85AE-5BE76DB03663}"/>
    <cellStyle name="Normal 5 5 2 2 6 4" xfId="24578" xr:uid="{847C7E67-7B19-49EE-AA15-D56718E65F41}"/>
    <cellStyle name="Normal 5 5 2 2 6 5" xfId="11117" xr:uid="{C846FBAE-29EC-49FD-97B6-FF678EBA89EF}"/>
    <cellStyle name="Normal 5 5 2 2 7" xfId="4841" xr:uid="{00000000-0005-0000-0000-0000601B0000}"/>
    <cellStyle name="Normal 5 5 2 2 7 2" xfId="17474" xr:uid="{728D676B-20BF-4D90-A90A-C0893789F772}"/>
    <cellStyle name="Normal 5 5 2 2 8" xfId="21684" xr:uid="{F9687DC7-63E5-4C49-BB0D-555C9D7E48DB}"/>
    <cellStyle name="Normal 5 5 2 2 9" xfId="13263" xr:uid="{162C20D8-2F76-4AFB-BA70-D4C18EA18C99}"/>
    <cellStyle name="Normal 5 5 2 3" xfId="940" xr:uid="{00000000-0005-0000-0000-0000611B0000}"/>
    <cellStyle name="Normal 5 5 2 3 2" xfId="3174" xr:uid="{00000000-0005-0000-0000-0000621B0000}"/>
    <cellStyle name="Normal 5 5 2 3 2 2" xfId="7398" xr:uid="{00000000-0005-0000-0000-0000631B0000}"/>
    <cellStyle name="Normal 5 5 2 3 2 2 2" xfId="20031" xr:uid="{7E255347-C0BB-406B-8708-71F49B0265EE}"/>
    <cellStyle name="Normal 5 5 2 3 2 3" xfId="15820" xr:uid="{EE47F7B2-7DE5-4EE4-8570-ACF0B67FF1FB}"/>
    <cellStyle name="Normal 5 5 2 3 2 4" xfId="25070" xr:uid="{AB4445F7-CB3D-44D0-9FBF-5D59535C48FB}"/>
    <cellStyle name="Normal 5 5 2 3 2 5" xfId="11609" xr:uid="{4A1A370D-CCAA-4117-94E0-BF69864687F6}"/>
    <cellStyle name="Normal 5 5 2 3 3" xfId="5253" xr:uid="{00000000-0005-0000-0000-0000641B0000}"/>
    <cellStyle name="Normal 5 5 2 3 3 2" xfId="17886" xr:uid="{1DFBFF22-1216-45B9-960F-B0359A390CCC}"/>
    <cellStyle name="Normal 5 5 2 3 4" xfId="22098" xr:uid="{BC6CA527-24CF-4113-994C-A11D0B480E8E}"/>
    <cellStyle name="Normal 5 5 2 3 5" xfId="13675" xr:uid="{A8C39F95-A135-44C4-B43D-E59E5297181D}"/>
    <cellStyle name="Normal 5 5 2 3 6" xfId="22925" xr:uid="{EF14E074-40D0-4F77-9EDF-527CD4564483}"/>
    <cellStyle name="Normal 5 5 2 3 7" xfId="9464" xr:uid="{D2A4ACEE-44CC-43C0-B385-F25EFF621D88}"/>
    <cellStyle name="Normal 5 5 2 4" xfId="1357" xr:uid="{00000000-0005-0000-0000-0000651B0000}"/>
    <cellStyle name="Normal 5 5 2 4 2" xfId="3587" xr:uid="{00000000-0005-0000-0000-0000661B0000}"/>
    <cellStyle name="Normal 5 5 2 4 2 2" xfId="7811" xr:uid="{00000000-0005-0000-0000-0000671B0000}"/>
    <cellStyle name="Normal 5 5 2 4 2 2 2" xfId="20444" xr:uid="{B331535C-1087-4931-B810-43572AF66219}"/>
    <cellStyle name="Normal 5 5 2 4 2 3" xfId="16233" xr:uid="{3C972E1A-C8A0-44E8-8672-EDB5ADE946A9}"/>
    <cellStyle name="Normal 5 5 2 4 2 4" xfId="25483" xr:uid="{E9DF1F7A-4A05-46BA-93EE-E6A49406756B}"/>
    <cellStyle name="Normal 5 5 2 4 2 5" xfId="12022" xr:uid="{38CB785B-1D8D-436C-96A9-DB0DE68138BB}"/>
    <cellStyle name="Normal 5 5 2 4 3" xfId="5666" xr:uid="{00000000-0005-0000-0000-0000681B0000}"/>
    <cellStyle name="Normal 5 5 2 4 3 2" xfId="18299" xr:uid="{DA408B5B-3153-4A6A-90B3-7CC17E405655}"/>
    <cellStyle name="Normal 5 5 2 4 4" xfId="14088" xr:uid="{FA768CD7-2E1A-4E77-8C93-829516E82AF7}"/>
    <cellStyle name="Normal 5 5 2 4 5" xfId="23338" xr:uid="{0653A9D9-3763-416D-8377-47DA4260AE60}"/>
    <cellStyle name="Normal 5 5 2 4 6" xfId="9877" xr:uid="{51D00E11-E6CE-416D-8C1B-141589C9716B}"/>
    <cellStyle name="Normal 5 5 2 5" xfId="1770" xr:uid="{00000000-0005-0000-0000-0000691B0000}"/>
    <cellStyle name="Normal 5 5 2 5 2" xfId="4000" xr:uid="{00000000-0005-0000-0000-00006A1B0000}"/>
    <cellStyle name="Normal 5 5 2 5 2 2" xfId="8224" xr:uid="{00000000-0005-0000-0000-00006B1B0000}"/>
    <cellStyle name="Normal 5 5 2 5 2 2 2" xfId="20857" xr:uid="{02252B15-BFD5-416B-B9B5-7F57546ACCA1}"/>
    <cellStyle name="Normal 5 5 2 5 2 3" xfId="16646" xr:uid="{6BEE3414-11C0-4113-B92C-1B50503546D4}"/>
    <cellStyle name="Normal 5 5 2 5 2 4" xfId="25896" xr:uid="{1B9B71F8-6978-4177-BB5F-218C04AD144C}"/>
    <cellStyle name="Normal 5 5 2 5 2 5" xfId="12435" xr:uid="{9C41A03F-BEAB-4715-B902-B8F53FCFFB1C}"/>
    <cellStyle name="Normal 5 5 2 5 3" xfId="6079" xr:uid="{00000000-0005-0000-0000-00006C1B0000}"/>
    <cellStyle name="Normal 5 5 2 5 3 2" xfId="18712" xr:uid="{625DCF87-9976-4A48-9CC4-290DF2CD4362}"/>
    <cellStyle name="Normal 5 5 2 5 4" xfId="14501" xr:uid="{D50CF37E-90A2-4890-BD6C-67EB51ABB085}"/>
    <cellStyle name="Normal 5 5 2 5 5" xfId="23751" xr:uid="{A0601D75-7CC8-4728-966B-87EE8D52BC4C}"/>
    <cellStyle name="Normal 5 5 2 5 6" xfId="10290" xr:uid="{0347D26B-249A-4970-902D-A074484C859F}"/>
    <cellStyle name="Normal 5 5 2 6" xfId="2184" xr:uid="{00000000-0005-0000-0000-00006D1B0000}"/>
    <cellStyle name="Normal 5 5 2 6 2" xfId="4413" xr:uid="{00000000-0005-0000-0000-00006E1B0000}"/>
    <cellStyle name="Normal 5 5 2 6 2 2" xfId="8637" xr:uid="{00000000-0005-0000-0000-00006F1B0000}"/>
    <cellStyle name="Normal 5 5 2 6 2 2 2" xfId="21270" xr:uid="{034995F9-7369-4C18-8B26-40CF9CF9A0A1}"/>
    <cellStyle name="Normal 5 5 2 6 2 3" xfId="17059" xr:uid="{7411572A-D84E-4FC1-B993-048D2102CED5}"/>
    <cellStyle name="Normal 5 5 2 6 2 4" xfId="26309" xr:uid="{FA1D4540-94F5-48EE-A3B0-1F984907DFA3}"/>
    <cellStyle name="Normal 5 5 2 6 2 5" xfId="12848" xr:uid="{034DE2BB-5AD9-4D9D-9F72-7F7C8D00F730}"/>
    <cellStyle name="Normal 5 5 2 6 3" xfId="6492" xr:uid="{00000000-0005-0000-0000-0000701B0000}"/>
    <cellStyle name="Normal 5 5 2 6 3 2" xfId="19125" xr:uid="{8614F947-4342-4CF5-8B9E-B859B1A0FA6C}"/>
    <cellStyle name="Normal 5 5 2 6 4" xfId="14914" xr:uid="{861FBA94-C618-4731-9381-3C74AF101FEB}"/>
    <cellStyle name="Normal 5 5 2 6 5" xfId="24164" xr:uid="{4575C1A6-2FBB-415E-93C9-CEE7766C1A10}"/>
    <cellStyle name="Normal 5 5 2 6 6" xfId="10703" xr:uid="{3A562C36-4226-46BB-A28E-79BD298B4CA7}"/>
    <cellStyle name="Normal 5 5 2 7" xfId="2620" xr:uid="{00000000-0005-0000-0000-0000711B0000}"/>
    <cellStyle name="Normal 5 5 2 7 2" xfId="6905" xr:uid="{00000000-0005-0000-0000-0000721B0000}"/>
    <cellStyle name="Normal 5 5 2 7 2 2" xfId="19538" xr:uid="{65990988-D2CA-45E9-A485-E2800E4731B5}"/>
    <cellStyle name="Normal 5 5 2 7 3" xfId="15327" xr:uid="{39E13837-18BD-4B62-AC50-B02BBF87BC77}"/>
    <cellStyle name="Normal 5 5 2 7 4" xfId="24577" xr:uid="{945B4B8C-5618-48F4-AEAA-37B3A3A58ECE}"/>
    <cellStyle name="Normal 5 5 2 7 5" xfId="11116" xr:uid="{53E33012-C18E-4CD8-93A6-D6182500E8B1}"/>
    <cellStyle name="Normal 5 5 2 8" xfId="4840" xr:uid="{00000000-0005-0000-0000-0000731B0000}"/>
    <cellStyle name="Normal 5 5 2 8 2" xfId="17473" xr:uid="{D4D81E35-3CFF-42D8-A68D-61822CDFC17F}"/>
    <cellStyle name="Normal 5 5 2 9" xfId="21683" xr:uid="{ABFB174E-6D6F-4177-B52A-6D09CC4C7CC9}"/>
    <cellStyle name="Normal 5 5 3" xfId="467" xr:uid="{00000000-0005-0000-0000-0000741B0000}"/>
    <cellStyle name="Normal 5 5 3 10" xfId="22514" xr:uid="{BBDE4DAD-22DA-4768-BEB5-1ECA3C5DC30C}"/>
    <cellStyle name="Normal 5 5 3 11" xfId="9053" xr:uid="{4D3EE35F-E940-4C91-A068-8BB7E09202E8}"/>
    <cellStyle name="Normal 5 5 3 2" xfId="942" xr:uid="{00000000-0005-0000-0000-0000751B0000}"/>
    <cellStyle name="Normal 5 5 3 2 2" xfId="3176" xr:uid="{00000000-0005-0000-0000-0000761B0000}"/>
    <cellStyle name="Normal 5 5 3 2 2 2" xfId="7400" xr:uid="{00000000-0005-0000-0000-0000771B0000}"/>
    <cellStyle name="Normal 5 5 3 2 2 2 2" xfId="20033" xr:uid="{6E9092AD-33DB-4B99-A6C6-DD08F4B84AD6}"/>
    <cellStyle name="Normal 5 5 3 2 2 3" xfId="15822" xr:uid="{ACD37C15-9B6E-4F1A-ABC0-C0DAA8EE93BC}"/>
    <cellStyle name="Normal 5 5 3 2 2 4" xfId="25072" xr:uid="{8E0494F5-73EB-4FB6-A450-34DEF3662BDA}"/>
    <cellStyle name="Normal 5 5 3 2 2 5" xfId="11611" xr:uid="{84CDE540-D9F4-4EFE-AC50-5B0C822B7DD7}"/>
    <cellStyle name="Normal 5 5 3 2 3" xfId="5255" xr:uid="{00000000-0005-0000-0000-0000781B0000}"/>
    <cellStyle name="Normal 5 5 3 2 3 2" xfId="17888" xr:uid="{E196E377-5F5E-4874-9F94-B4C6BFE027B2}"/>
    <cellStyle name="Normal 5 5 3 2 4" xfId="22100" xr:uid="{449126DB-A605-409C-991C-29573B7E27B7}"/>
    <cellStyle name="Normal 5 5 3 2 5" xfId="13677" xr:uid="{3E7CEF2A-332C-4F65-BFE6-41D198367EEE}"/>
    <cellStyle name="Normal 5 5 3 2 6" xfId="22927" xr:uid="{6F450BEC-B658-4358-8614-F82FEE463A4A}"/>
    <cellStyle name="Normal 5 5 3 2 7" xfId="9466" xr:uid="{70D66AEB-E39C-4639-9DB7-5ED68AAC4211}"/>
    <cellStyle name="Normal 5 5 3 3" xfId="1359" xr:uid="{00000000-0005-0000-0000-0000791B0000}"/>
    <cellStyle name="Normal 5 5 3 3 2" xfId="3589" xr:uid="{00000000-0005-0000-0000-00007A1B0000}"/>
    <cellStyle name="Normal 5 5 3 3 2 2" xfId="7813" xr:uid="{00000000-0005-0000-0000-00007B1B0000}"/>
    <cellStyle name="Normal 5 5 3 3 2 2 2" xfId="20446" xr:uid="{6558A96B-B61E-4B13-A00E-B67F9A030F42}"/>
    <cellStyle name="Normal 5 5 3 3 2 3" xfId="16235" xr:uid="{7A88E9B8-2B0F-4631-AC6F-64414D96645D}"/>
    <cellStyle name="Normal 5 5 3 3 2 4" xfId="25485" xr:uid="{D8DCAFC1-324E-4DBA-8749-B3A873F57D8E}"/>
    <cellStyle name="Normal 5 5 3 3 2 5" xfId="12024" xr:uid="{3506661C-9418-47B7-858D-0470752B0F63}"/>
    <cellStyle name="Normal 5 5 3 3 3" xfId="5668" xr:uid="{00000000-0005-0000-0000-00007C1B0000}"/>
    <cellStyle name="Normal 5 5 3 3 3 2" xfId="18301" xr:uid="{3DB55751-BF76-4704-B775-B6CC0B008A77}"/>
    <cellStyle name="Normal 5 5 3 3 4" xfId="14090" xr:uid="{9895E590-DAD7-4862-914B-0C95B291203C}"/>
    <cellStyle name="Normal 5 5 3 3 5" xfId="23340" xr:uid="{43FF946D-39E0-4178-8E48-024BEA0C16D8}"/>
    <cellStyle name="Normal 5 5 3 3 6" xfId="9879" xr:uid="{3E783F12-9175-4D94-B5C2-CC92F6F82926}"/>
    <cellStyle name="Normal 5 5 3 4" xfId="1772" xr:uid="{00000000-0005-0000-0000-00007D1B0000}"/>
    <cellStyle name="Normal 5 5 3 4 2" xfId="4002" xr:uid="{00000000-0005-0000-0000-00007E1B0000}"/>
    <cellStyle name="Normal 5 5 3 4 2 2" xfId="8226" xr:uid="{00000000-0005-0000-0000-00007F1B0000}"/>
    <cellStyle name="Normal 5 5 3 4 2 2 2" xfId="20859" xr:uid="{5721DBB0-9EC6-4BB2-A42F-195A865C4B61}"/>
    <cellStyle name="Normal 5 5 3 4 2 3" xfId="16648" xr:uid="{043BC0DD-24BF-428F-BFEE-862DE74B732E}"/>
    <cellStyle name="Normal 5 5 3 4 2 4" xfId="25898" xr:uid="{29CB646F-820E-4901-AD96-042F32497162}"/>
    <cellStyle name="Normal 5 5 3 4 2 5" xfId="12437" xr:uid="{2FF1AF5E-48D3-420D-AE42-DAF02B417C2A}"/>
    <cellStyle name="Normal 5 5 3 4 3" xfId="6081" xr:uid="{00000000-0005-0000-0000-0000801B0000}"/>
    <cellStyle name="Normal 5 5 3 4 3 2" xfId="18714" xr:uid="{893EBC5A-B33D-4688-A454-4968C6C844DD}"/>
    <cellStyle name="Normal 5 5 3 4 4" xfId="14503" xr:uid="{A0BDB29D-3ADB-4F08-A743-9D5983777789}"/>
    <cellStyle name="Normal 5 5 3 4 5" xfId="23753" xr:uid="{78471986-98E2-4FE5-B8CA-8B49DB2410FD}"/>
    <cellStyle name="Normal 5 5 3 4 6" xfId="10292" xr:uid="{23B2A6B8-A7E0-4289-8139-D76C1D2F59F0}"/>
    <cellStyle name="Normal 5 5 3 5" xfId="2186" xr:uid="{00000000-0005-0000-0000-0000811B0000}"/>
    <cellStyle name="Normal 5 5 3 5 2" xfId="4415" xr:uid="{00000000-0005-0000-0000-0000821B0000}"/>
    <cellStyle name="Normal 5 5 3 5 2 2" xfId="8639" xr:uid="{00000000-0005-0000-0000-0000831B0000}"/>
    <cellStyle name="Normal 5 5 3 5 2 2 2" xfId="21272" xr:uid="{B7F63A8C-FA95-4BD9-8CE0-B606CAC1BA2A}"/>
    <cellStyle name="Normal 5 5 3 5 2 3" xfId="17061" xr:uid="{381B256A-F450-4F3F-8176-A4CBD264CD9A}"/>
    <cellStyle name="Normal 5 5 3 5 2 4" xfId="26311" xr:uid="{0FABD84F-4BA3-427E-A8AF-FBB405032856}"/>
    <cellStyle name="Normal 5 5 3 5 2 5" xfId="12850" xr:uid="{69B5454D-EB5C-4509-A0CE-EC26725B61B5}"/>
    <cellStyle name="Normal 5 5 3 5 3" xfId="6494" xr:uid="{00000000-0005-0000-0000-0000841B0000}"/>
    <cellStyle name="Normal 5 5 3 5 3 2" xfId="19127" xr:uid="{3FAC180F-8C05-490D-9836-F755884898BF}"/>
    <cellStyle name="Normal 5 5 3 5 4" xfId="14916" xr:uid="{BF350751-1514-47B8-88DB-2938340007D9}"/>
    <cellStyle name="Normal 5 5 3 5 5" xfId="24166" xr:uid="{C2E7935E-945A-4A9A-87A9-D0C5284CBA3F}"/>
    <cellStyle name="Normal 5 5 3 5 6" xfId="10705" xr:uid="{7C0D165E-C999-4451-91F2-7F6BFA1100A7}"/>
    <cellStyle name="Normal 5 5 3 6" xfId="2622" xr:uid="{00000000-0005-0000-0000-0000851B0000}"/>
    <cellStyle name="Normal 5 5 3 6 2" xfId="6907" xr:uid="{00000000-0005-0000-0000-0000861B0000}"/>
    <cellStyle name="Normal 5 5 3 6 2 2" xfId="19540" xr:uid="{EFA8A5E1-7B44-44EB-A840-3F8EAA447C25}"/>
    <cellStyle name="Normal 5 5 3 6 3" xfId="15329" xr:uid="{A1913BE1-587B-4B0D-B67E-04522BF10FED}"/>
    <cellStyle name="Normal 5 5 3 6 4" xfId="24579" xr:uid="{02D83581-444F-4A96-B7DF-0F59A44BD3D2}"/>
    <cellStyle name="Normal 5 5 3 6 5" xfId="11118" xr:uid="{2AC31230-7C3C-4464-BE4C-133AA8D169D6}"/>
    <cellStyle name="Normal 5 5 3 7" xfId="4842" xr:uid="{00000000-0005-0000-0000-0000871B0000}"/>
    <cellStyle name="Normal 5 5 3 7 2" xfId="17475" xr:uid="{8EA099D1-C82D-4015-A519-0D57407B1F6B}"/>
    <cellStyle name="Normal 5 5 3 8" xfId="21685" xr:uid="{0D4C6BC3-3697-4C6B-A91A-4DEFAA9DFE4C}"/>
    <cellStyle name="Normal 5 5 3 9" xfId="13264" xr:uid="{F975065A-A379-49FE-9366-ECDEDBBB837E}"/>
    <cellStyle name="Normal 5 5 4" xfId="939" xr:uid="{00000000-0005-0000-0000-0000881B0000}"/>
    <cellStyle name="Normal 5 5 4 2" xfId="3173" xr:uid="{00000000-0005-0000-0000-0000891B0000}"/>
    <cellStyle name="Normal 5 5 4 2 2" xfId="7397" xr:uid="{00000000-0005-0000-0000-00008A1B0000}"/>
    <cellStyle name="Normal 5 5 4 2 2 2" xfId="20030" xr:uid="{FE4F239F-8131-4953-938C-1596B4B95950}"/>
    <cellStyle name="Normal 5 5 4 2 3" xfId="15819" xr:uid="{FBE60D93-EF3E-412F-BBC2-235AF5717CB3}"/>
    <cellStyle name="Normal 5 5 4 2 4" xfId="25069" xr:uid="{5A30E8A1-F566-4098-ADE0-CB325B57F7A1}"/>
    <cellStyle name="Normal 5 5 4 2 5" xfId="11608" xr:uid="{E8809A3D-0093-4462-A7A9-85A950E1AA68}"/>
    <cellStyle name="Normal 5 5 4 3" xfId="5252" xr:uid="{00000000-0005-0000-0000-00008B1B0000}"/>
    <cellStyle name="Normal 5 5 4 3 2" xfId="17885" xr:uid="{1B72F936-7E91-450D-9FC4-C3B102BA1C0A}"/>
    <cellStyle name="Normal 5 5 4 4" xfId="22097" xr:uid="{9CB767AB-3E72-4B19-A921-00E214C878AC}"/>
    <cellStyle name="Normal 5 5 4 5" xfId="13674" xr:uid="{F9E6741E-A9FC-4C84-9ACA-AB9D0D49EED0}"/>
    <cellStyle name="Normal 5 5 4 6" xfId="22924" xr:uid="{820AACA4-9708-4440-8D71-AC0ED29B0DCF}"/>
    <cellStyle name="Normal 5 5 4 7" xfId="9463" xr:uid="{7D51D5DD-FF2E-407C-820A-7AF3106EFF95}"/>
    <cellStyle name="Normal 5 5 5" xfId="1356" xr:uid="{00000000-0005-0000-0000-00008C1B0000}"/>
    <cellStyle name="Normal 5 5 5 2" xfId="3586" xr:uid="{00000000-0005-0000-0000-00008D1B0000}"/>
    <cellStyle name="Normal 5 5 5 2 2" xfId="7810" xr:uid="{00000000-0005-0000-0000-00008E1B0000}"/>
    <cellStyle name="Normal 5 5 5 2 2 2" xfId="20443" xr:uid="{45A852D2-F7AC-41CA-8C17-EE1B43E8A033}"/>
    <cellStyle name="Normal 5 5 5 2 3" xfId="16232" xr:uid="{08081738-2A34-451A-8378-B0CAE83B69D6}"/>
    <cellStyle name="Normal 5 5 5 2 4" xfId="25482" xr:uid="{678B1ED3-6750-4308-8F12-6C8FD3D42069}"/>
    <cellStyle name="Normal 5 5 5 2 5" xfId="12021" xr:uid="{5FBCAC70-6FF6-4CB8-88A0-C9B528109EF4}"/>
    <cellStyle name="Normal 5 5 5 3" xfId="5665" xr:uid="{00000000-0005-0000-0000-00008F1B0000}"/>
    <cellStyle name="Normal 5 5 5 3 2" xfId="18298" xr:uid="{3F4A57EF-892E-4E7A-A73A-8A6EBC925773}"/>
    <cellStyle name="Normal 5 5 5 4" xfId="14087" xr:uid="{AF96D224-9EE5-4D9E-8A8D-B4D4A114A989}"/>
    <cellStyle name="Normal 5 5 5 5" xfId="23337" xr:uid="{D8143664-E331-4504-9B3D-A883B522A66A}"/>
    <cellStyle name="Normal 5 5 5 6" xfId="9876" xr:uid="{02FD9BE2-3E82-4864-B472-1C030079B09F}"/>
    <cellStyle name="Normal 5 5 6" xfId="1769" xr:uid="{00000000-0005-0000-0000-0000901B0000}"/>
    <cellStyle name="Normal 5 5 6 2" xfId="3999" xr:uid="{00000000-0005-0000-0000-0000911B0000}"/>
    <cellStyle name="Normal 5 5 6 2 2" xfId="8223" xr:uid="{00000000-0005-0000-0000-0000921B0000}"/>
    <cellStyle name="Normal 5 5 6 2 2 2" xfId="20856" xr:uid="{7D1D69A5-3D88-4040-82D6-E5BDED9D3F15}"/>
    <cellStyle name="Normal 5 5 6 2 3" xfId="16645" xr:uid="{D7FB34B3-316F-4A8A-8D34-1D7B94D4EBBF}"/>
    <cellStyle name="Normal 5 5 6 2 4" xfId="25895" xr:uid="{5C73ADF7-513B-483A-994C-8B626C86D9B7}"/>
    <cellStyle name="Normal 5 5 6 2 5" xfId="12434" xr:uid="{8DED1A77-B168-43C5-BD8D-E9094E5A29BA}"/>
    <cellStyle name="Normal 5 5 6 3" xfId="6078" xr:uid="{00000000-0005-0000-0000-0000931B0000}"/>
    <cellStyle name="Normal 5 5 6 3 2" xfId="18711" xr:uid="{AF19649B-E099-499A-BAF3-181E040A7AA3}"/>
    <cellStyle name="Normal 5 5 6 4" xfId="14500" xr:uid="{350B2B6B-EBA8-49C2-B473-9A76C36ADF2F}"/>
    <cellStyle name="Normal 5 5 6 5" xfId="23750" xr:uid="{8CE0A38E-B8D3-419D-8668-486CE0CFB536}"/>
    <cellStyle name="Normal 5 5 6 6" xfId="10289" xr:uid="{D3F08F07-E70E-4318-95EC-3F5195E6F45B}"/>
    <cellStyle name="Normal 5 5 7" xfId="2183" xr:uid="{00000000-0005-0000-0000-0000941B0000}"/>
    <cellStyle name="Normal 5 5 7 2" xfId="4412" xr:uid="{00000000-0005-0000-0000-0000951B0000}"/>
    <cellStyle name="Normal 5 5 7 2 2" xfId="8636" xr:uid="{00000000-0005-0000-0000-0000961B0000}"/>
    <cellStyle name="Normal 5 5 7 2 2 2" xfId="21269" xr:uid="{1F9E80D4-FBBD-4368-9224-87CA8D4C594F}"/>
    <cellStyle name="Normal 5 5 7 2 3" xfId="17058" xr:uid="{5E182C0D-DA06-4CA7-8B43-F54C352B6A6B}"/>
    <cellStyle name="Normal 5 5 7 2 4" xfId="26308" xr:uid="{454DB584-6892-486E-85C3-7DC916484003}"/>
    <cellStyle name="Normal 5 5 7 2 5" xfId="12847" xr:uid="{56D73543-26DB-47CA-A425-03D6A2463784}"/>
    <cellStyle name="Normal 5 5 7 3" xfId="6491" xr:uid="{00000000-0005-0000-0000-0000971B0000}"/>
    <cellStyle name="Normal 5 5 7 3 2" xfId="19124" xr:uid="{F58C4DAF-0828-4ED1-AD26-4A6FB24F6C7B}"/>
    <cellStyle name="Normal 5 5 7 4" xfId="14913" xr:uid="{5D87C76F-DCD7-4150-80E5-B0DD770A57BE}"/>
    <cellStyle name="Normal 5 5 7 5" xfId="24163" xr:uid="{A1225A44-0F73-4D4C-9083-5F7D5D373A44}"/>
    <cellStyle name="Normal 5 5 7 6" xfId="10702" xr:uid="{C246BA12-4E50-45EF-8C7C-1E3BB98420AA}"/>
    <cellStyle name="Normal 5 5 8" xfId="2619" xr:uid="{00000000-0005-0000-0000-0000981B0000}"/>
    <cellStyle name="Normal 5 5 8 2" xfId="6904" xr:uid="{00000000-0005-0000-0000-0000991B0000}"/>
    <cellStyle name="Normal 5 5 8 2 2" xfId="19537" xr:uid="{88C30836-4087-4A99-87E1-DBEDB865E977}"/>
    <cellStyle name="Normal 5 5 8 3" xfId="15326" xr:uid="{0B7B0BC4-302E-420C-9003-DC2F8ACE1C4B}"/>
    <cellStyle name="Normal 5 5 8 4" xfId="24576" xr:uid="{002DD99D-8FFB-4FCB-A795-36B17298A10B}"/>
    <cellStyle name="Normal 5 5 8 5" xfId="11115" xr:uid="{FDCD37E9-6636-4FF2-92A1-CE6503AC1BAB}"/>
    <cellStyle name="Normal 5 5 9" xfId="4839" xr:uid="{00000000-0005-0000-0000-00009A1B0000}"/>
    <cellStyle name="Normal 5 5 9 2" xfId="17472" xr:uid="{DF32B391-FAA0-4F35-9563-5E460A36C0F9}"/>
    <cellStyle name="Normal 5 6" xfId="468" xr:uid="{00000000-0005-0000-0000-00009B1B0000}"/>
    <cellStyle name="Normal 5 6 10" xfId="13265" xr:uid="{E7F1E562-D056-4839-B3F8-3A533F81859C}"/>
    <cellStyle name="Normal 5 6 11" xfId="22515" xr:uid="{1FC9EDFA-F6B0-47A1-B7E1-318DA1D826FC}"/>
    <cellStyle name="Normal 5 6 12" xfId="9054" xr:uid="{4C43788E-E858-48D6-B3B6-116E81162D32}"/>
    <cellStyle name="Normal 5 6 2" xfId="469" xr:uid="{00000000-0005-0000-0000-00009C1B0000}"/>
    <cellStyle name="Normal 5 6 2 10" xfId="22516" xr:uid="{040762D8-6AD0-4E8E-B0FF-19DD2293C693}"/>
    <cellStyle name="Normal 5 6 2 11" xfId="9055" xr:uid="{6B6277A4-7FEE-43F2-8CDC-4ECD501A8609}"/>
    <cellStyle name="Normal 5 6 2 2" xfId="944" xr:uid="{00000000-0005-0000-0000-00009D1B0000}"/>
    <cellStyle name="Normal 5 6 2 2 2" xfId="3178" xr:uid="{00000000-0005-0000-0000-00009E1B0000}"/>
    <cellStyle name="Normal 5 6 2 2 2 2" xfId="7402" xr:uid="{00000000-0005-0000-0000-00009F1B0000}"/>
    <cellStyle name="Normal 5 6 2 2 2 2 2" xfId="20035" xr:uid="{CD87AC92-A163-4E48-A103-46DD8BC67615}"/>
    <cellStyle name="Normal 5 6 2 2 2 3" xfId="15824" xr:uid="{C5366797-E060-4804-B1A9-1E2452CEFF91}"/>
    <cellStyle name="Normal 5 6 2 2 2 4" xfId="25074" xr:uid="{281B231B-535A-46D8-B364-F4010EFF9E51}"/>
    <cellStyle name="Normal 5 6 2 2 2 5" xfId="11613" xr:uid="{09E22C96-9A8B-4E08-B5B8-261044C3BEF7}"/>
    <cellStyle name="Normal 5 6 2 2 3" xfId="5257" xr:uid="{00000000-0005-0000-0000-0000A01B0000}"/>
    <cellStyle name="Normal 5 6 2 2 3 2" xfId="17890" xr:uid="{327434E3-36D2-49D8-A519-5E5D00605D17}"/>
    <cellStyle name="Normal 5 6 2 2 4" xfId="22102" xr:uid="{4D15F284-573D-4270-8C5E-0021B64A833E}"/>
    <cellStyle name="Normal 5 6 2 2 5" xfId="13679" xr:uid="{13C11591-4004-4920-A0CF-E72C4E38EA91}"/>
    <cellStyle name="Normal 5 6 2 2 6" xfId="22929" xr:uid="{2065C15A-93F6-4151-8FB1-7ED072FF6078}"/>
    <cellStyle name="Normal 5 6 2 2 7" xfId="9468" xr:uid="{4D343CA5-63A0-43DF-9EFB-D5845B5E1A85}"/>
    <cellStyle name="Normal 5 6 2 3" xfId="1361" xr:uid="{00000000-0005-0000-0000-0000A11B0000}"/>
    <cellStyle name="Normal 5 6 2 3 2" xfId="3591" xr:uid="{00000000-0005-0000-0000-0000A21B0000}"/>
    <cellStyle name="Normal 5 6 2 3 2 2" xfId="7815" xr:uid="{00000000-0005-0000-0000-0000A31B0000}"/>
    <cellStyle name="Normal 5 6 2 3 2 2 2" xfId="20448" xr:uid="{982C60C6-3564-4736-9037-92576060E0B5}"/>
    <cellStyle name="Normal 5 6 2 3 2 3" xfId="16237" xr:uid="{6FAD9178-81AD-43B8-8C39-C4E94CF0AC2D}"/>
    <cellStyle name="Normal 5 6 2 3 2 4" xfId="25487" xr:uid="{27FB43CE-4B4C-4673-A181-6C5A6F7B6D55}"/>
    <cellStyle name="Normal 5 6 2 3 2 5" xfId="12026" xr:uid="{5CAE2E5D-51BF-4942-8AA7-EDE8F98A3383}"/>
    <cellStyle name="Normal 5 6 2 3 3" xfId="5670" xr:uid="{00000000-0005-0000-0000-0000A41B0000}"/>
    <cellStyle name="Normal 5 6 2 3 3 2" xfId="18303" xr:uid="{35C8CF04-9C57-47B0-9E30-EE7F20F62885}"/>
    <cellStyle name="Normal 5 6 2 3 4" xfId="14092" xr:uid="{BFBE4DC0-A41C-425C-B845-12F23361941A}"/>
    <cellStyle name="Normal 5 6 2 3 5" xfId="23342" xr:uid="{86E2FFB0-85E2-4DF0-B6C7-7DFA413A186B}"/>
    <cellStyle name="Normal 5 6 2 3 6" xfId="9881" xr:uid="{35D98F62-7A6B-43D5-BE11-584F9AFBAA32}"/>
    <cellStyle name="Normal 5 6 2 4" xfId="1774" xr:uid="{00000000-0005-0000-0000-0000A51B0000}"/>
    <cellStyle name="Normal 5 6 2 4 2" xfId="4004" xr:uid="{00000000-0005-0000-0000-0000A61B0000}"/>
    <cellStyle name="Normal 5 6 2 4 2 2" xfId="8228" xr:uid="{00000000-0005-0000-0000-0000A71B0000}"/>
    <cellStyle name="Normal 5 6 2 4 2 2 2" xfId="20861" xr:uid="{5E75DFFB-BA26-4D00-964E-D359D47D1244}"/>
    <cellStyle name="Normal 5 6 2 4 2 3" xfId="16650" xr:uid="{A211C474-7B7C-4E17-9E2F-0D80E46B7855}"/>
    <cellStyle name="Normal 5 6 2 4 2 4" xfId="25900" xr:uid="{D65067A9-C900-4CA7-8A7B-0495598FFBA3}"/>
    <cellStyle name="Normal 5 6 2 4 2 5" xfId="12439" xr:uid="{15101181-C92F-4DC6-BDA1-B00C002B1DE1}"/>
    <cellStyle name="Normal 5 6 2 4 3" xfId="6083" xr:uid="{00000000-0005-0000-0000-0000A81B0000}"/>
    <cellStyle name="Normal 5 6 2 4 3 2" xfId="18716" xr:uid="{4D7C73C3-E2B2-461B-A783-8AA61CA60D67}"/>
    <cellStyle name="Normal 5 6 2 4 4" xfId="14505" xr:uid="{4DA95E03-BF16-4361-AA6A-88BEB72DD357}"/>
    <cellStyle name="Normal 5 6 2 4 5" xfId="23755" xr:uid="{0BB047BB-8622-45B6-A7B8-E061B25CDC42}"/>
    <cellStyle name="Normal 5 6 2 4 6" xfId="10294" xr:uid="{8C2FDDA3-2E6D-409D-AE63-EE1522B5A710}"/>
    <cellStyle name="Normal 5 6 2 5" xfId="2188" xr:uid="{00000000-0005-0000-0000-0000A91B0000}"/>
    <cellStyle name="Normal 5 6 2 5 2" xfId="4417" xr:uid="{00000000-0005-0000-0000-0000AA1B0000}"/>
    <cellStyle name="Normal 5 6 2 5 2 2" xfId="8641" xr:uid="{00000000-0005-0000-0000-0000AB1B0000}"/>
    <cellStyle name="Normal 5 6 2 5 2 2 2" xfId="21274" xr:uid="{BE271868-5280-4CAA-8271-0B852FC76EDC}"/>
    <cellStyle name="Normal 5 6 2 5 2 3" xfId="17063" xr:uid="{C418B5DB-D79B-4877-B035-9D81B673344B}"/>
    <cellStyle name="Normal 5 6 2 5 2 4" xfId="26313" xr:uid="{7E1B2EC8-4E16-4D8E-92CE-E2BFC3931840}"/>
    <cellStyle name="Normal 5 6 2 5 2 5" xfId="12852" xr:uid="{476D6E41-0A1C-495C-A779-01DE200A0023}"/>
    <cellStyle name="Normal 5 6 2 5 3" xfId="6496" xr:uid="{00000000-0005-0000-0000-0000AC1B0000}"/>
    <cellStyle name="Normal 5 6 2 5 3 2" xfId="19129" xr:uid="{CD885FCD-CF67-4FE1-B877-ED3320C39340}"/>
    <cellStyle name="Normal 5 6 2 5 4" xfId="14918" xr:uid="{4DBA655B-0DD5-4BD5-816A-F99A70C952D0}"/>
    <cellStyle name="Normal 5 6 2 5 5" xfId="24168" xr:uid="{85AA9848-F20C-4319-9DB8-5C668205BD9A}"/>
    <cellStyle name="Normal 5 6 2 5 6" xfId="10707" xr:uid="{8E304227-8B24-4F7C-AF9D-07C9A0317AB3}"/>
    <cellStyle name="Normal 5 6 2 6" xfId="2624" xr:uid="{00000000-0005-0000-0000-0000AD1B0000}"/>
    <cellStyle name="Normal 5 6 2 6 2" xfId="6909" xr:uid="{00000000-0005-0000-0000-0000AE1B0000}"/>
    <cellStyle name="Normal 5 6 2 6 2 2" xfId="19542" xr:uid="{738F4141-5715-43BB-BF7A-ED164C41D839}"/>
    <cellStyle name="Normal 5 6 2 6 3" xfId="15331" xr:uid="{587B4418-650D-45BC-BF9C-4326E58308CC}"/>
    <cellStyle name="Normal 5 6 2 6 4" xfId="24581" xr:uid="{CA06DFFD-58E0-4091-BB9C-8852BC4098F2}"/>
    <cellStyle name="Normal 5 6 2 6 5" xfId="11120" xr:uid="{10127707-7A96-4BFD-82AC-2573CCD98953}"/>
    <cellStyle name="Normal 5 6 2 7" xfId="4844" xr:uid="{00000000-0005-0000-0000-0000AF1B0000}"/>
    <cellStyle name="Normal 5 6 2 7 2" xfId="17477" xr:uid="{7E26395C-B8AE-47BC-AD24-744EEE176D7E}"/>
    <cellStyle name="Normal 5 6 2 8" xfId="21687" xr:uid="{63D19541-8C69-48C3-B118-10BAABD7EBD7}"/>
    <cellStyle name="Normal 5 6 2 9" xfId="13266" xr:uid="{89D5E494-F88F-40F5-98C7-9849A25C770C}"/>
    <cellStyle name="Normal 5 6 3" xfId="943" xr:uid="{00000000-0005-0000-0000-0000B01B0000}"/>
    <cellStyle name="Normal 5 6 3 2" xfId="3177" xr:uid="{00000000-0005-0000-0000-0000B11B0000}"/>
    <cellStyle name="Normal 5 6 3 2 2" xfId="7401" xr:uid="{00000000-0005-0000-0000-0000B21B0000}"/>
    <cellStyle name="Normal 5 6 3 2 2 2" xfId="20034" xr:uid="{1150A0D4-2A25-4656-87D4-B97040C11107}"/>
    <cellStyle name="Normal 5 6 3 2 3" xfId="15823" xr:uid="{F3368A3C-CA83-454A-B466-4369C4DD5252}"/>
    <cellStyle name="Normal 5 6 3 2 4" xfId="25073" xr:uid="{241255C5-0FD1-4DBD-A655-E0E5FD8232C0}"/>
    <cellStyle name="Normal 5 6 3 2 5" xfId="11612" xr:uid="{A0C6676A-1D81-4441-A394-20815BAF476F}"/>
    <cellStyle name="Normal 5 6 3 3" xfId="5256" xr:uid="{00000000-0005-0000-0000-0000B31B0000}"/>
    <cellStyle name="Normal 5 6 3 3 2" xfId="17889" xr:uid="{DBDB7146-2E78-44E2-B3EA-E9A5935FA6FD}"/>
    <cellStyle name="Normal 5 6 3 4" xfId="22101" xr:uid="{98FC17E0-51D6-424C-A722-0F040503FA0A}"/>
    <cellStyle name="Normal 5 6 3 5" xfId="13678" xr:uid="{78CFD5FF-8226-4AE7-AFE4-889B176B33EE}"/>
    <cellStyle name="Normal 5 6 3 6" xfId="22928" xr:uid="{97BA0791-810E-4FC4-AC3E-E4A6002BF8A5}"/>
    <cellStyle name="Normal 5 6 3 7" xfId="9467" xr:uid="{B4C486CB-6D78-44C7-9218-EDD8D6D9B7EF}"/>
    <cellStyle name="Normal 5 6 4" xfId="1360" xr:uid="{00000000-0005-0000-0000-0000B41B0000}"/>
    <cellStyle name="Normal 5 6 4 2" xfId="3590" xr:uid="{00000000-0005-0000-0000-0000B51B0000}"/>
    <cellStyle name="Normal 5 6 4 2 2" xfId="7814" xr:uid="{00000000-0005-0000-0000-0000B61B0000}"/>
    <cellStyle name="Normal 5 6 4 2 2 2" xfId="20447" xr:uid="{0AFF6C08-201A-4B4E-A99C-B61C205749F2}"/>
    <cellStyle name="Normal 5 6 4 2 3" xfId="16236" xr:uid="{DF64E5A0-AD4E-4AD5-A30E-0A9EAA8F1BA2}"/>
    <cellStyle name="Normal 5 6 4 2 4" xfId="25486" xr:uid="{212EC384-477F-47BD-897B-2CB3B10D9392}"/>
    <cellStyle name="Normal 5 6 4 2 5" xfId="12025" xr:uid="{1CE84922-5896-4C5D-8704-F963570049AD}"/>
    <cellStyle name="Normal 5 6 4 3" xfId="5669" xr:uid="{00000000-0005-0000-0000-0000B71B0000}"/>
    <cellStyle name="Normal 5 6 4 3 2" xfId="18302" xr:uid="{F036F538-762E-4E8A-8F2B-EFB70694EE9B}"/>
    <cellStyle name="Normal 5 6 4 4" xfId="14091" xr:uid="{EE7998E3-477D-4637-BAAB-620B0123E7BA}"/>
    <cellStyle name="Normal 5 6 4 5" xfId="23341" xr:uid="{EF9E3835-476D-4289-87BE-3DDB19AEFAAD}"/>
    <cellStyle name="Normal 5 6 4 6" xfId="9880" xr:uid="{A89BCFCF-433A-469A-95B9-5774E5B24EDE}"/>
    <cellStyle name="Normal 5 6 5" xfId="1773" xr:uid="{00000000-0005-0000-0000-0000B81B0000}"/>
    <cellStyle name="Normal 5 6 5 2" xfId="4003" xr:uid="{00000000-0005-0000-0000-0000B91B0000}"/>
    <cellStyle name="Normal 5 6 5 2 2" xfId="8227" xr:uid="{00000000-0005-0000-0000-0000BA1B0000}"/>
    <cellStyle name="Normal 5 6 5 2 2 2" xfId="20860" xr:uid="{705D0643-1D58-49E0-985B-DC3DBE77946E}"/>
    <cellStyle name="Normal 5 6 5 2 3" xfId="16649" xr:uid="{5C2BBCA9-DDCB-4F59-96D9-51B7BB3FEBEF}"/>
    <cellStyle name="Normal 5 6 5 2 4" xfId="25899" xr:uid="{BA6BFF06-D7AA-43FC-8C6B-3F555A639E20}"/>
    <cellStyle name="Normal 5 6 5 2 5" xfId="12438" xr:uid="{B1503CB1-1AB3-471F-9BF5-D5404E6707A2}"/>
    <cellStyle name="Normal 5 6 5 3" xfId="6082" xr:uid="{00000000-0005-0000-0000-0000BB1B0000}"/>
    <cellStyle name="Normal 5 6 5 3 2" xfId="18715" xr:uid="{D048B37C-D39E-40F6-914E-E8D1583474BB}"/>
    <cellStyle name="Normal 5 6 5 4" xfId="14504" xr:uid="{4CE2B7E1-4D11-45FB-9D29-EAB4784BB85B}"/>
    <cellStyle name="Normal 5 6 5 5" xfId="23754" xr:uid="{35A52397-2A1F-47FE-9D8F-B64E3438FCB2}"/>
    <cellStyle name="Normal 5 6 5 6" xfId="10293" xr:uid="{34202308-4C87-4C20-8B0B-8DC98C105750}"/>
    <cellStyle name="Normal 5 6 6" xfId="2187" xr:uid="{00000000-0005-0000-0000-0000BC1B0000}"/>
    <cellStyle name="Normal 5 6 6 2" xfId="4416" xr:uid="{00000000-0005-0000-0000-0000BD1B0000}"/>
    <cellStyle name="Normal 5 6 6 2 2" xfId="8640" xr:uid="{00000000-0005-0000-0000-0000BE1B0000}"/>
    <cellStyle name="Normal 5 6 6 2 2 2" xfId="21273" xr:uid="{9B3F6B8E-237E-4887-872A-17EB83B12FB8}"/>
    <cellStyle name="Normal 5 6 6 2 3" xfId="17062" xr:uid="{0E0427C1-308C-476A-9FA2-A934DCF4C5B0}"/>
    <cellStyle name="Normal 5 6 6 2 4" xfId="26312" xr:uid="{B757F513-8B9C-4050-AB11-9483455FB805}"/>
    <cellStyle name="Normal 5 6 6 2 5" xfId="12851" xr:uid="{DE8B2AAC-22C0-4E1A-9077-3FB58B8F8519}"/>
    <cellStyle name="Normal 5 6 6 3" xfId="6495" xr:uid="{00000000-0005-0000-0000-0000BF1B0000}"/>
    <cellStyle name="Normal 5 6 6 3 2" xfId="19128" xr:uid="{4BCFA96F-987C-4AB2-9D2D-042DF0B730A8}"/>
    <cellStyle name="Normal 5 6 6 4" xfId="14917" xr:uid="{E510859B-22A2-47D2-96E2-F8D14F26D52B}"/>
    <cellStyle name="Normal 5 6 6 5" xfId="24167" xr:uid="{558BC23C-981C-459A-978C-C485ED13B57A}"/>
    <cellStyle name="Normal 5 6 6 6" xfId="10706" xr:uid="{233DB9D0-2F43-4670-B709-20E253BBA137}"/>
    <cellStyle name="Normal 5 6 7" xfId="2623" xr:uid="{00000000-0005-0000-0000-0000C01B0000}"/>
    <cellStyle name="Normal 5 6 7 2" xfId="6908" xr:uid="{00000000-0005-0000-0000-0000C11B0000}"/>
    <cellStyle name="Normal 5 6 7 2 2" xfId="19541" xr:uid="{787DF4FA-AD90-41F4-B0BB-2B7FBCBDCA5D}"/>
    <cellStyle name="Normal 5 6 7 3" xfId="15330" xr:uid="{14F6F9B5-9A08-41F0-86CD-7AE92B7188CA}"/>
    <cellStyle name="Normal 5 6 7 4" xfId="24580" xr:uid="{D20228E6-1B0A-4E71-AC38-C814E96870C3}"/>
    <cellStyle name="Normal 5 6 7 5" xfId="11119" xr:uid="{2C14A1A6-AC67-49D4-B13D-CE2A323480EB}"/>
    <cellStyle name="Normal 5 6 8" xfId="4843" xr:uid="{00000000-0005-0000-0000-0000C21B0000}"/>
    <cellStyle name="Normal 5 6 8 2" xfId="17476" xr:uid="{F44F3861-E2E2-44D1-9C74-24749A75E768}"/>
    <cellStyle name="Normal 5 6 9" xfId="21686" xr:uid="{0AE38585-E924-419D-AFB5-27A11862555D}"/>
    <cellStyle name="Normal 5 7" xfId="470" xr:uid="{00000000-0005-0000-0000-0000C31B0000}"/>
    <cellStyle name="Normal 5 7 10" xfId="22517" xr:uid="{2B890A23-DF25-447E-B7EC-67D0EF28854D}"/>
    <cellStyle name="Normal 5 7 11" xfId="9056" xr:uid="{EC840A59-F788-410F-9B3D-45F466A036CF}"/>
    <cellStyle name="Normal 5 7 2" xfId="945" xr:uid="{00000000-0005-0000-0000-0000C41B0000}"/>
    <cellStyle name="Normal 5 7 2 2" xfId="3179" xr:uid="{00000000-0005-0000-0000-0000C51B0000}"/>
    <cellStyle name="Normal 5 7 2 2 2" xfId="7403" xr:uid="{00000000-0005-0000-0000-0000C61B0000}"/>
    <cellStyle name="Normal 5 7 2 2 2 2" xfId="20036" xr:uid="{D0D79C3C-BFB0-4DC9-B01C-4CD4F0B1C383}"/>
    <cellStyle name="Normal 5 7 2 2 3" xfId="15825" xr:uid="{166B6657-AAA3-4B2C-A4B6-E2007580F0C0}"/>
    <cellStyle name="Normal 5 7 2 2 4" xfId="25075" xr:uid="{6D57C1F0-25B1-4D57-A110-FBFDD4DE2C8E}"/>
    <cellStyle name="Normal 5 7 2 2 5" xfId="11614" xr:uid="{B38729BD-B8DB-4C90-9BF9-634CE729DEF6}"/>
    <cellStyle name="Normal 5 7 2 3" xfId="5258" xr:uid="{00000000-0005-0000-0000-0000C71B0000}"/>
    <cellStyle name="Normal 5 7 2 3 2" xfId="17891" xr:uid="{4BAE5AC3-A2D6-43B3-AABB-FC27BA209951}"/>
    <cellStyle name="Normal 5 7 2 4" xfId="22103" xr:uid="{495B7F0D-0183-4F18-8018-3F19A197D1FD}"/>
    <cellStyle name="Normal 5 7 2 5" xfId="13680" xr:uid="{6F5C9B9A-EE9E-4EA0-B2FC-267024976B27}"/>
    <cellStyle name="Normal 5 7 2 6" xfId="22930" xr:uid="{EE2C03F6-7E1C-495B-B157-D2D0DAF2846C}"/>
    <cellStyle name="Normal 5 7 2 7" xfId="9469" xr:uid="{9EA98ADC-25AF-4388-B664-8155DA44DDF3}"/>
    <cellStyle name="Normal 5 7 3" xfId="1362" xr:uid="{00000000-0005-0000-0000-0000C81B0000}"/>
    <cellStyle name="Normal 5 7 3 2" xfId="3592" xr:uid="{00000000-0005-0000-0000-0000C91B0000}"/>
    <cellStyle name="Normal 5 7 3 2 2" xfId="7816" xr:uid="{00000000-0005-0000-0000-0000CA1B0000}"/>
    <cellStyle name="Normal 5 7 3 2 2 2" xfId="20449" xr:uid="{7D9BD044-EF8A-4B64-B4B6-0F78917ECE1C}"/>
    <cellStyle name="Normal 5 7 3 2 3" xfId="16238" xr:uid="{444C81B6-2C60-4C19-928E-6EE088332DB6}"/>
    <cellStyle name="Normal 5 7 3 2 4" xfId="25488" xr:uid="{428939CA-31A0-4C53-B488-5FE53F6DE320}"/>
    <cellStyle name="Normal 5 7 3 2 5" xfId="12027" xr:uid="{AAB154DA-D1E0-4E10-A0C8-C7ED54892878}"/>
    <cellStyle name="Normal 5 7 3 3" xfId="5671" xr:uid="{00000000-0005-0000-0000-0000CB1B0000}"/>
    <cellStyle name="Normal 5 7 3 3 2" xfId="18304" xr:uid="{98142B36-68D4-4391-8B88-AB44014A9924}"/>
    <cellStyle name="Normal 5 7 3 4" xfId="14093" xr:uid="{3509770E-3D82-40F0-AECC-B16CA4D25F20}"/>
    <cellStyle name="Normal 5 7 3 5" xfId="23343" xr:uid="{EDB98E53-13AD-4589-A4CD-218E230838C4}"/>
    <cellStyle name="Normal 5 7 3 6" xfId="9882" xr:uid="{706EA518-9FFD-41EF-9A94-99AF009F52BA}"/>
    <cellStyle name="Normal 5 7 4" xfId="1775" xr:uid="{00000000-0005-0000-0000-0000CC1B0000}"/>
    <cellStyle name="Normal 5 7 4 2" xfId="4005" xr:uid="{00000000-0005-0000-0000-0000CD1B0000}"/>
    <cellStyle name="Normal 5 7 4 2 2" xfId="8229" xr:uid="{00000000-0005-0000-0000-0000CE1B0000}"/>
    <cellStyle name="Normal 5 7 4 2 2 2" xfId="20862" xr:uid="{D238A5F3-D4EE-46EF-91C0-B9FCE1668E81}"/>
    <cellStyle name="Normal 5 7 4 2 3" xfId="16651" xr:uid="{FB35F49C-D439-4DE8-A727-8440D596B885}"/>
    <cellStyle name="Normal 5 7 4 2 4" xfId="25901" xr:uid="{2D517FCA-6BCE-41C8-BA2A-DBD70417C66B}"/>
    <cellStyle name="Normal 5 7 4 2 5" xfId="12440" xr:uid="{467CDE5D-110F-4800-BAC7-F433321D1994}"/>
    <cellStyle name="Normal 5 7 4 3" xfId="6084" xr:uid="{00000000-0005-0000-0000-0000CF1B0000}"/>
    <cellStyle name="Normal 5 7 4 3 2" xfId="18717" xr:uid="{58C6638C-2EE8-472E-8164-4CA062F42342}"/>
    <cellStyle name="Normal 5 7 4 4" xfId="14506" xr:uid="{D813A3BC-3D7E-48AD-BA5E-02D6D6CF356C}"/>
    <cellStyle name="Normal 5 7 4 5" xfId="23756" xr:uid="{54E1B048-F61E-4A9E-866A-B00AFF85E830}"/>
    <cellStyle name="Normal 5 7 4 6" xfId="10295" xr:uid="{3AAE4269-4944-4B32-9FA4-AB251D0D1BD5}"/>
    <cellStyle name="Normal 5 7 5" xfId="2189" xr:uid="{00000000-0005-0000-0000-0000D01B0000}"/>
    <cellStyle name="Normal 5 7 5 2" xfId="4418" xr:uid="{00000000-0005-0000-0000-0000D11B0000}"/>
    <cellStyle name="Normal 5 7 5 2 2" xfId="8642" xr:uid="{00000000-0005-0000-0000-0000D21B0000}"/>
    <cellStyle name="Normal 5 7 5 2 2 2" xfId="21275" xr:uid="{BB62F310-4272-46BD-9720-40B63A43CADB}"/>
    <cellStyle name="Normal 5 7 5 2 3" xfId="17064" xr:uid="{FDDB1596-1757-420C-B2C4-93E98EF03289}"/>
    <cellStyle name="Normal 5 7 5 2 4" xfId="26314" xr:uid="{8298EDD2-9EC5-4104-B91E-46105B3F0328}"/>
    <cellStyle name="Normal 5 7 5 2 5" xfId="12853" xr:uid="{D1D15265-74EF-4C17-BB3A-C01FF9AD6CA8}"/>
    <cellStyle name="Normal 5 7 5 3" xfId="6497" xr:uid="{00000000-0005-0000-0000-0000D31B0000}"/>
    <cellStyle name="Normal 5 7 5 3 2" xfId="19130" xr:uid="{4FE494A2-37C8-42B3-AB66-F86BFAF7B1E8}"/>
    <cellStyle name="Normal 5 7 5 4" xfId="14919" xr:uid="{890B65B9-51C3-4EAA-870D-0E8A531E8F95}"/>
    <cellStyle name="Normal 5 7 5 5" xfId="24169" xr:uid="{0CBEE6AA-3554-4041-9532-801AF45357A1}"/>
    <cellStyle name="Normal 5 7 5 6" xfId="10708" xr:uid="{1A9492F1-C4AC-460A-A222-67CD81EAABEE}"/>
    <cellStyle name="Normal 5 7 6" xfId="2625" xr:uid="{00000000-0005-0000-0000-0000D41B0000}"/>
    <cellStyle name="Normal 5 7 6 2" xfId="6910" xr:uid="{00000000-0005-0000-0000-0000D51B0000}"/>
    <cellStyle name="Normal 5 7 6 2 2" xfId="19543" xr:uid="{50E22FB2-0736-40D2-83C6-A93783C0F581}"/>
    <cellStyle name="Normal 5 7 6 3" xfId="15332" xr:uid="{3F91BC7F-47F8-4741-B6A0-855B8D67C6C5}"/>
    <cellStyle name="Normal 5 7 6 4" xfId="24582" xr:uid="{0BC4B04A-78E3-4136-9E4C-A14598B78B83}"/>
    <cellStyle name="Normal 5 7 6 5" xfId="11121" xr:uid="{58FA2FEB-D002-4AE7-B0FD-274B3AB02236}"/>
    <cellStyle name="Normal 5 7 7" xfId="4845" xr:uid="{00000000-0005-0000-0000-0000D61B0000}"/>
    <cellStyle name="Normal 5 7 7 2" xfId="17478" xr:uid="{2C91F4A4-7CB3-4A2D-8034-ADBFEC60ADE2}"/>
    <cellStyle name="Normal 5 7 8" xfId="21688" xr:uid="{1E145280-55CA-4E12-8178-110A0BD0F524}"/>
    <cellStyle name="Normal 5 7 9" xfId="13267" xr:uid="{249FE9CE-D62D-4D61-A6A6-32FDA798D2F1}"/>
    <cellStyle name="Normal 5 8" xfId="881" xr:uid="{00000000-0005-0000-0000-0000D71B0000}"/>
    <cellStyle name="Normal 5 8 2" xfId="3116" xr:uid="{00000000-0005-0000-0000-0000D81B0000}"/>
    <cellStyle name="Normal 5 8 2 2" xfId="7340" xr:uid="{00000000-0005-0000-0000-0000D91B0000}"/>
    <cellStyle name="Normal 5 8 2 2 2" xfId="19973" xr:uid="{E1F6A447-8B97-40D8-8327-2F517ECD5BEE}"/>
    <cellStyle name="Normal 5 8 2 3" xfId="15762" xr:uid="{E88D9280-C348-49C9-AE42-C1B4BB619F72}"/>
    <cellStyle name="Normal 5 8 2 4" xfId="25012" xr:uid="{00E01FF0-CC2A-47AA-9A3E-B298D9907FA0}"/>
    <cellStyle name="Normal 5 8 2 5" xfId="11551" xr:uid="{31132D8A-4151-4994-B742-22B555C1D559}"/>
    <cellStyle name="Normal 5 8 3" xfId="5195" xr:uid="{00000000-0005-0000-0000-0000DA1B0000}"/>
    <cellStyle name="Normal 5 8 3 2" xfId="17828" xr:uid="{90F30D93-358D-49F2-BBD7-DF671EF24D93}"/>
    <cellStyle name="Normal 5 8 4" xfId="22040" xr:uid="{EEDFDF12-B419-435F-AA0C-1519BA39F5CC}"/>
    <cellStyle name="Normal 5 8 5" xfId="13617" xr:uid="{93680A08-FE8C-45EB-BD04-1D1FC19A665B}"/>
    <cellStyle name="Normal 5 8 6" xfId="22867" xr:uid="{57D155D0-C3F5-4DD7-B3D0-4A1D4DC6D737}"/>
    <cellStyle name="Normal 5 8 7" xfId="9406" xr:uid="{CD450173-8B4A-4337-A325-87F4AA4239FF}"/>
    <cellStyle name="Normal 5 9" xfId="1299" xr:uid="{00000000-0005-0000-0000-0000DB1B0000}"/>
    <cellStyle name="Normal 5 9 2" xfId="3529" xr:uid="{00000000-0005-0000-0000-0000DC1B0000}"/>
    <cellStyle name="Normal 5 9 2 2" xfId="7753" xr:uid="{00000000-0005-0000-0000-0000DD1B0000}"/>
    <cellStyle name="Normal 5 9 2 2 2" xfId="20386" xr:uid="{F138AB57-D453-4AA6-9D82-ACFD1887CE43}"/>
    <cellStyle name="Normal 5 9 2 3" xfId="16175" xr:uid="{1E61402A-9DCF-45C0-B1F4-5A2E93559923}"/>
    <cellStyle name="Normal 5 9 2 4" xfId="25425" xr:uid="{96C3523A-9AF2-4B6D-904E-7D35F0DB5CA8}"/>
    <cellStyle name="Normal 5 9 2 5" xfId="11964" xr:uid="{BC60E957-D4CE-401B-A32C-391407635DE4}"/>
    <cellStyle name="Normal 5 9 3" xfId="5608" xr:uid="{00000000-0005-0000-0000-0000DE1B0000}"/>
    <cellStyle name="Normal 5 9 3 2" xfId="18241" xr:uid="{ABF1729B-A411-45BF-ACC9-369586D76AD5}"/>
    <cellStyle name="Normal 5 9 4" xfId="14030" xr:uid="{58A999E4-40BA-4FAF-B932-C0387FE9D991}"/>
    <cellStyle name="Normal 5 9 5" xfId="23280" xr:uid="{8C3ECE88-9CE5-4D52-8288-D3F34FB15CD1}"/>
    <cellStyle name="Normal 5 9 6" xfId="9819" xr:uid="{FE31BAB4-73AA-4A2C-A3B3-DDB10550D498}"/>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21276" xr:uid="{198A2B92-FF05-43D6-9FE2-3C27CB15CE27}"/>
    <cellStyle name="Normal 8 10 2 3" xfId="17065" xr:uid="{82F71ACC-EEA2-49F4-A9D0-F6A0F1BA52E8}"/>
    <cellStyle name="Normal 8 10 2 4" xfId="26315" xr:uid="{2DE2FE7B-7BE3-411F-962D-B0CE3F9F5B91}"/>
    <cellStyle name="Normal 8 10 2 5" xfId="12854" xr:uid="{027433DB-CA3D-4F5B-B5F5-C24B98293009}"/>
    <cellStyle name="Normal 8 10 3" xfId="6498" xr:uid="{00000000-0005-0000-0000-0000EA1B0000}"/>
    <cellStyle name="Normal 8 10 3 2" xfId="19131" xr:uid="{3B0B5FB2-67CB-475D-8637-63E9FAF3436A}"/>
    <cellStyle name="Normal 8 10 4" xfId="14920" xr:uid="{C70BBC94-2399-4120-8045-61EAC150E060}"/>
    <cellStyle name="Normal 8 10 5" xfId="24170" xr:uid="{DF91155D-EF94-4333-B730-D5563F260418}"/>
    <cellStyle name="Normal 8 10 6" xfId="10709" xr:uid="{C304F040-48E6-45BA-BFAA-0CC56F6DA170}"/>
    <cellStyle name="Normal 8 11" xfId="2626" xr:uid="{00000000-0005-0000-0000-0000EB1B0000}"/>
    <cellStyle name="Normal 8 11 2" xfId="6911" xr:uid="{00000000-0005-0000-0000-0000EC1B0000}"/>
    <cellStyle name="Normal 8 11 2 2" xfId="19544" xr:uid="{66B5CC58-F918-4056-8E4B-B93719FAB029}"/>
    <cellStyle name="Normal 8 11 3" xfId="15333" xr:uid="{77995656-1CE7-4277-85BC-7F1C7E30FD5C}"/>
    <cellStyle name="Normal 8 11 4" xfId="24583" xr:uid="{8559CB5B-13A3-496E-BDBB-6661C0A0CDEA}"/>
    <cellStyle name="Normal 8 11 5" xfId="11122" xr:uid="{D84DC933-9858-4AEE-B484-C64C5839F8AB}"/>
    <cellStyle name="Normal 8 12" xfId="4846" xr:uid="{00000000-0005-0000-0000-0000ED1B0000}"/>
    <cellStyle name="Normal 8 12 2" xfId="17479" xr:uid="{0FC3AEF4-3B26-41DE-A29B-8CFA1EFED016}"/>
    <cellStyle name="Normal 8 13" xfId="21689" xr:uid="{C44D7CAB-FF5D-4F95-9FF3-96B5F3EA85D9}"/>
    <cellStyle name="Normal 8 14" xfId="13268" xr:uid="{4F4E8644-87F4-4F1B-9E03-572029BD9146}"/>
    <cellStyle name="Normal 8 15" xfId="22518" xr:uid="{BACBE21B-38E4-4993-92A5-271A6B8BC22E}"/>
    <cellStyle name="Normal 8 16" xfId="9057" xr:uid="{919AFCF9-8A82-451C-8622-61F2BD684EE2}"/>
    <cellStyle name="Normal 8 2" xfId="479" xr:uid="{00000000-0005-0000-0000-0000EE1B0000}"/>
    <cellStyle name="Normal 8 2 10" xfId="2627" xr:uid="{00000000-0005-0000-0000-0000EF1B0000}"/>
    <cellStyle name="Normal 8 2 10 2" xfId="6912" xr:uid="{00000000-0005-0000-0000-0000F01B0000}"/>
    <cellStyle name="Normal 8 2 10 2 2" xfId="19545" xr:uid="{971AE957-BFA6-4EDA-A75E-07AD8D85090A}"/>
    <cellStyle name="Normal 8 2 10 3" xfId="15334" xr:uid="{6620FEC0-338B-4D0E-8BEB-9163378866C0}"/>
    <cellStyle name="Normal 8 2 10 4" xfId="24584" xr:uid="{91DBD18D-1F30-47A8-8038-1BF370EDB4F6}"/>
    <cellStyle name="Normal 8 2 10 5" xfId="11123" xr:uid="{A9952D36-E323-42A0-8D13-442963A447AC}"/>
    <cellStyle name="Normal 8 2 11" xfId="4847" xr:uid="{00000000-0005-0000-0000-0000F11B0000}"/>
    <cellStyle name="Normal 8 2 11 2" xfId="17480" xr:uid="{5F718A0D-6BB9-4362-BB51-B79AD6E827B9}"/>
    <cellStyle name="Normal 8 2 12" xfId="21690" xr:uid="{8C7A388F-40FE-4BAF-AC06-42E8DC78FFEE}"/>
    <cellStyle name="Normal 8 2 13" xfId="13269" xr:uid="{A4D92D4C-7CA7-466B-9A60-8603D25DA595}"/>
    <cellStyle name="Normal 8 2 14" xfId="22519" xr:uid="{7AF67934-4909-4E48-A589-D19BCE200DFC}"/>
    <cellStyle name="Normal 8 2 15" xfId="9058" xr:uid="{C22D3983-582A-40C7-8EF6-BE2C7A5320A3}"/>
    <cellStyle name="Normal 8 2 2" xfId="480" xr:uid="{00000000-0005-0000-0000-0000F21B0000}"/>
    <cellStyle name="Normal 8 2 2 10" xfId="4848" xr:uid="{00000000-0005-0000-0000-0000F31B0000}"/>
    <cellStyle name="Normal 8 2 2 10 2" xfId="17481" xr:uid="{5CE6305B-0A6A-4D44-94EC-55B75A2E7E26}"/>
    <cellStyle name="Normal 8 2 2 11" xfId="21691" xr:uid="{97532716-1ECA-4695-BA7B-6F36BBD4ED47}"/>
    <cellStyle name="Normal 8 2 2 12" xfId="13270" xr:uid="{1A78D05C-76B6-433E-856C-8DD46030388D}"/>
    <cellStyle name="Normal 8 2 2 13" xfId="22520" xr:uid="{5F22534A-56B0-4094-96B2-63425054FB97}"/>
    <cellStyle name="Normal 8 2 2 14" xfId="9059" xr:uid="{3B7A1914-21E9-4B75-9A00-FFFD49A53E0B}"/>
    <cellStyle name="Normal 8 2 2 2" xfId="481" xr:uid="{00000000-0005-0000-0000-0000F41B0000}"/>
    <cellStyle name="Normal 8 2 2 2 10" xfId="21692" xr:uid="{9F385C3A-2017-4727-B38A-579B6E40616D}"/>
    <cellStyle name="Normal 8 2 2 2 11" xfId="13271" xr:uid="{0F46C8CD-3DFF-453B-9AD3-DB1110E03A9D}"/>
    <cellStyle name="Normal 8 2 2 2 12" xfId="22521" xr:uid="{5E457533-640C-4536-A3DB-B638B3C77D07}"/>
    <cellStyle name="Normal 8 2 2 2 13" xfId="9060" xr:uid="{9CA46810-90E0-41FE-BED9-1B7C36D5BBD7}"/>
    <cellStyle name="Normal 8 2 2 2 2" xfId="482" xr:uid="{00000000-0005-0000-0000-0000F51B0000}"/>
    <cellStyle name="Normal 8 2 2 2 2 10" xfId="13272" xr:uid="{DBFF85F1-B777-4AFE-AD23-0772A61140BA}"/>
    <cellStyle name="Normal 8 2 2 2 2 11" xfId="22522" xr:uid="{C0381467-3894-4BF9-8309-181246C475B2}"/>
    <cellStyle name="Normal 8 2 2 2 2 12" xfId="9061" xr:uid="{0D34FC75-347C-4CC1-8E21-A45FC8276B7C}"/>
    <cellStyle name="Normal 8 2 2 2 2 2" xfId="483" xr:uid="{00000000-0005-0000-0000-0000F61B0000}"/>
    <cellStyle name="Normal 8 2 2 2 2 2 10" xfId="22523" xr:uid="{FEE0E5A1-1FC5-48B6-B0DF-BE8376C4BD66}"/>
    <cellStyle name="Normal 8 2 2 2 2 2 11" xfId="9062" xr:uid="{F8BBDE50-6FD3-4DFB-8723-9715833F47DF}"/>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20042" xr:uid="{A1881DCD-A594-4261-88CC-3F931C3044BE}"/>
    <cellStyle name="Normal 8 2 2 2 2 2 2 2 3" xfId="15831" xr:uid="{76144AD1-15AF-4B5A-A430-E9185135A150}"/>
    <cellStyle name="Normal 8 2 2 2 2 2 2 2 4" xfId="25081" xr:uid="{BFB26599-6B59-41BC-B080-CA4CFD0E7A6A}"/>
    <cellStyle name="Normal 8 2 2 2 2 2 2 2 5" xfId="11620" xr:uid="{D9C904CB-931B-45DF-BE14-6387B187DBB9}"/>
    <cellStyle name="Normal 8 2 2 2 2 2 2 3" xfId="5264" xr:uid="{00000000-0005-0000-0000-0000FA1B0000}"/>
    <cellStyle name="Normal 8 2 2 2 2 2 2 3 2" xfId="17897" xr:uid="{5C7F49B4-B96D-4134-AD82-3D768BCFDC5D}"/>
    <cellStyle name="Normal 8 2 2 2 2 2 2 4" xfId="22109" xr:uid="{0AB9FDF3-7145-4942-908E-E72EED369734}"/>
    <cellStyle name="Normal 8 2 2 2 2 2 2 5" xfId="13686" xr:uid="{E04F942B-C11D-4307-B375-2B5D0DD60D47}"/>
    <cellStyle name="Normal 8 2 2 2 2 2 2 6" xfId="22936" xr:uid="{C05B87A7-E735-4159-A05D-8A177EC38BF2}"/>
    <cellStyle name="Normal 8 2 2 2 2 2 2 7" xfId="9475" xr:uid="{5925A1C6-2E33-4D15-B310-24D130713D9F}"/>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20455" xr:uid="{A2D08084-4665-4FFC-8318-6555BDA7234C}"/>
    <cellStyle name="Normal 8 2 2 2 2 2 3 2 3" xfId="16244" xr:uid="{2B3CD42B-D648-43C6-95F8-9F8D0A075705}"/>
    <cellStyle name="Normal 8 2 2 2 2 2 3 2 4" xfId="25494" xr:uid="{C45FC90A-6289-4EF2-B02E-F6D7D9CB61C1}"/>
    <cellStyle name="Normal 8 2 2 2 2 2 3 2 5" xfId="12033" xr:uid="{488DCF6F-0AE2-4228-ABF0-807761477117}"/>
    <cellStyle name="Normal 8 2 2 2 2 2 3 3" xfId="5677" xr:uid="{00000000-0005-0000-0000-0000FE1B0000}"/>
    <cellStyle name="Normal 8 2 2 2 2 2 3 3 2" xfId="18310" xr:uid="{AD70C7A1-F292-4AE8-B21B-3A3239C58BA7}"/>
    <cellStyle name="Normal 8 2 2 2 2 2 3 4" xfId="14099" xr:uid="{FF2ED4F9-313E-4031-87D4-5C385BC02106}"/>
    <cellStyle name="Normal 8 2 2 2 2 2 3 5" xfId="23349" xr:uid="{CE6B4122-B41B-43D5-A836-E8A72A9A93D2}"/>
    <cellStyle name="Normal 8 2 2 2 2 2 3 6" xfId="9888" xr:uid="{9E35BDAB-08FC-4AE2-9353-9DBDEFA99326}"/>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20868" xr:uid="{3439A674-FD2A-4816-81C4-A065CD623091}"/>
    <cellStyle name="Normal 8 2 2 2 2 2 4 2 3" xfId="16657" xr:uid="{F6E796A9-1A4C-4A2B-9F71-EC6FFFC924FE}"/>
    <cellStyle name="Normal 8 2 2 2 2 2 4 2 4" xfId="25907" xr:uid="{97407352-A18A-4A81-B32B-98C4068CC811}"/>
    <cellStyle name="Normal 8 2 2 2 2 2 4 2 5" xfId="12446" xr:uid="{75395F37-737F-4FE5-87CB-87A289CAD054}"/>
    <cellStyle name="Normal 8 2 2 2 2 2 4 3" xfId="6090" xr:uid="{00000000-0005-0000-0000-0000021C0000}"/>
    <cellStyle name="Normal 8 2 2 2 2 2 4 3 2" xfId="18723" xr:uid="{0BC3C726-8CB6-4F07-B021-4B374288A276}"/>
    <cellStyle name="Normal 8 2 2 2 2 2 4 4" xfId="14512" xr:uid="{FC19E082-7871-4B01-89FE-BA00579E2FB2}"/>
    <cellStyle name="Normal 8 2 2 2 2 2 4 5" xfId="23762" xr:uid="{7A92C91D-D18E-4012-927A-2D34FB2E0A13}"/>
    <cellStyle name="Normal 8 2 2 2 2 2 4 6" xfId="10301" xr:uid="{84C93DDC-CF7F-4C4B-B22C-84A9AFFA8E86}"/>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21281" xr:uid="{8FD1DF22-99CA-48FE-AEDB-DC4F5941CBC1}"/>
    <cellStyle name="Normal 8 2 2 2 2 2 5 2 3" xfId="17070" xr:uid="{2821BB1B-F0EC-4DAB-B244-321F655BDFA9}"/>
    <cellStyle name="Normal 8 2 2 2 2 2 5 2 4" xfId="26320" xr:uid="{42F0E858-C74E-41AA-976B-2356CA8440B3}"/>
    <cellStyle name="Normal 8 2 2 2 2 2 5 2 5" xfId="12859" xr:uid="{F5AEF36A-F91D-4636-B3F9-70011CCBE1A0}"/>
    <cellStyle name="Normal 8 2 2 2 2 2 5 3" xfId="6503" xr:uid="{00000000-0005-0000-0000-0000061C0000}"/>
    <cellStyle name="Normal 8 2 2 2 2 2 5 3 2" xfId="19136" xr:uid="{1A1EEB75-87E4-4316-8BEC-46E3D3C3DE2C}"/>
    <cellStyle name="Normal 8 2 2 2 2 2 5 4" xfId="14925" xr:uid="{ACB187FA-6796-47FB-9A31-14AE5C114A80}"/>
    <cellStyle name="Normal 8 2 2 2 2 2 5 5" xfId="24175" xr:uid="{910C49C8-C9AA-43E7-80E7-491DB2FEE9D4}"/>
    <cellStyle name="Normal 8 2 2 2 2 2 5 6" xfId="10714" xr:uid="{74DB09B9-8F21-4EA7-A727-762D3279F3D5}"/>
    <cellStyle name="Normal 8 2 2 2 2 2 6" xfId="2631" xr:uid="{00000000-0005-0000-0000-0000071C0000}"/>
    <cellStyle name="Normal 8 2 2 2 2 2 6 2" xfId="6916" xr:uid="{00000000-0005-0000-0000-0000081C0000}"/>
    <cellStyle name="Normal 8 2 2 2 2 2 6 2 2" xfId="19549" xr:uid="{A5A3D101-3F74-4140-B2FD-E9BFA7593CC8}"/>
    <cellStyle name="Normal 8 2 2 2 2 2 6 3" xfId="15338" xr:uid="{63F6915C-8CB4-4137-BDB3-2DE5C4244245}"/>
    <cellStyle name="Normal 8 2 2 2 2 2 6 4" xfId="24588" xr:uid="{9C1A9EB2-0A27-499C-B37E-22B26194D182}"/>
    <cellStyle name="Normal 8 2 2 2 2 2 6 5" xfId="11127" xr:uid="{FD9FD7B7-BDBF-4CF0-AEEA-D951AF3E0A96}"/>
    <cellStyle name="Normal 8 2 2 2 2 2 7" xfId="4851" xr:uid="{00000000-0005-0000-0000-0000091C0000}"/>
    <cellStyle name="Normal 8 2 2 2 2 2 7 2" xfId="17484" xr:uid="{E89EA176-6759-443A-BF38-63A132A4F0F7}"/>
    <cellStyle name="Normal 8 2 2 2 2 2 8" xfId="21694" xr:uid="{06A00B28-4261-4A9A-9D6B-5C9B06EFCD5E}"/>
    <cellStyle name="Normal 8 2 2 2 2 2 9" xfId="13273" xr:uid="{7179EFDE-6DBA-4058-8DAB-B6647B3F8E52}"/>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20041" xr:uid="{5590E073-4426-4D6C-B772-F734118C78A6}"/>
    <cellStyle name="Normal 8 2 2 2 2 3 2 3" xfId="15830" xr:uid="{7AA2BAF8-6966-4ADD-A410-1F7AA14B5399}"/>
    <cellStyle name="Normal 8 2 2 2 2 3 2 4" xfId="25080" xr:uid="{C73DF4A0-2AA2-4668-B72A-09A9F664E0E2}"/>
    <cellStyle name="Normal 8 2 2 2 2 3 2 5" xfId="11619" xr:uid="{B29CC0DE-4A2B-4E11-B41A-70FA6FDD9197}"/>
    <cellStyle name="Normal 8 2 2 2 2 3 3" xfId="5263" xr:uid="{00000000-0005-0000-0000-00000D1C0000}"/>
    <cellStyle name="Normal 8 2 2 2 2 3 3 2" xfId="17896" xr:uid="{941CAD07-051A-41F4-85BA-E005B7FFF52B}"/>
    <cellStyle name="Normal 8 2 2 2 2 3 4" xfId="22108" xr:uid="{D68C48CA-13B7-4FDA-A072-F22476440B89}"/>
    <cellStyle name="Normal 8 2 2 2 2 3 5" xfId="13685" xr:uid="{4C6AD9CC-FD23-487C-BF33-18C0297FF0BE}"/>
    <cellStyle name="Normal 8 2 2 2 2 3 6" xfId="22935" xr:uid="{2B793B42-FBD6-42CF-86B2-9D8CB1EB0B71}"/>
    <cellStyle name="Normal 8 2 2 2 2 3 7" xfId="9474" xr:uid="{ED152FF4-DC8D-41F9-B34B-5F9EEB34626E}"/>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20454" xr:uid="{97984C67-3F19-4A8D-A453-6DA29349F5EA}"/>
    <cellStyle name="Normal 8 2 2 2 2 4 2 3" xfId="16243" xr:uid="{B5FEF249-707A-48A5-B93E-369E3A8BE104}"/>
    <cellStyle name="Normal 8 2 2 2 2 4 2 4" xfId="25493" xr:uid="{FB2395FF-19E7-4FB0-89F9-D271AAD319F7}"/>
    <cellStyle name="Normal 8 2 2 2 2 4 2 5" xfId="12032" xr:uid="{4FF91D51-8447-485B-80BE-21BBFC839CE1}"/>
    <cellStyle name="Normal 8 2 2 2 2 4 3" xfId="5676" xr:uid="{00000000-0005-0000-0000-0000111C0000}"/>
    <cellStyle name="Normal 8 2 2 2 2 4 3 2" xfId="18309" xr:uid="{86FACA92-5A4C-4277-B44A-7E346D6263A9}"/>
    <cellStyle name="Normal 8 2 2 2 2 4 4" xfId="14098" xr:uid="{E35A0A1A-F75C-46FA-8CE0-14D6131653FB}"/>
    <cellStyle name="Normal 8 2 2 2 2 4 5" xfId="23348" xr:uid="{40EA8B24-E58C-4DF8-8BBF-DD1FAA6FDDBB}"/>
    <cellStyle name="Normal 8 2 2 2 2 4 6" xfId="9887" xr:uid="{FE60B9D9-C0D8-454E-9860-07FF6D07B24C}"/>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20867" xr:uid="{7A12A286-2920-4472-B799-5E7C0A571909}"/>
    <cellStyle name="Normal 8 2 2 2 2 5 2 3" xfId="16656" xr:uid="{F97EDFC4-F403-49DB-8838-BF6DDDE4DAA8}"/>
    <cellStyle name="Normal 8 2 2 2 2 5 2 4" xfId="25906" xr:uid="{CE92DECD-45E1-4244-BA74-CA3BAC8D6806}"/>
    <cellStyle name="Normal 8 2 2 2 2 5 2 5" xfId="12445" xr:uid="{8EFE1D46-F44C-4C05-95E1-99ED107B029E}"/>
    <cellStyle name="Normal 8 2 2 2 2 5 3" xfId="6089" xr:uid="{00000000-0005-0000-0000-0000151C0000}"/>
    <cellStyle name="Normal 8 2 2 2 2 5 3 2" xfId="18722" xr:uid="{57ED61FB-1E1B-4769-A409-F38124C59C4F}"/>
    <cellStyle name="Normal 8 2 2 2 2 5 4" xfId="14511" xr:uid="{315617DB-187F-4D80-B365-51F4ED375930}"/>
    <cellStyle name="Normal 8 2 2 2 2 5 5" xfId="23761" xr:uid="{2CB602E1-EFD3-4F44-9029-BB38FDCD4F0C}"/>
    <cellStyle name="Normal 8 2 2 2 2 5 6" xfId="10300" xr:uid="{FE0FF7B9-B91A-4987-B600-706421549672}"/>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21280" xr:uid="{0B60EA62-1CFC-4BFF-A30A-837AF042B8F5}"/>
    <cellStyle name="Normal 8 2 2 2 2 6 2 3" xfId="17069" xr:uid="{83A42E84-7D2E-4C97-83EB-B2ED37870CFF}"/>
    <cellStyle name="Normal 8 2 2 2 2 6 2 4" xfId="26319" xr:uid="{73BF79AA-8E5E-4191-9C9B-8CC307F145B1}"/>
    <cellStyle name="Normal 8 2 2 2 2 6 2 5" xfId="12858" xr:uid="{B8447535-22A1-47A0-85FF-C4707D6584B5}"/>
    <cellStyle name="Normal 8 2 2 2 2 6 3" xfId="6502" xr:uid="{00000000-0005-0000-0000-0000191C0000}"/>
    <cellStyle name="Normal 8 2 2 2 2 6 3 2" xfId="19135" xr:uid="{B57BB124-8F6C-4495-9BDB-C547FBCDD760}"/>
    <cellStyle name="Normal 8 2 2 2 2 6 4" xfId="14924" xr:uid="{3C2A605C-4414-4662-ACAF-1CC059799303}"/>
    <cellStyle name="Normal 8 2 2 2 2 6 5" xfId="24174" xr:uid="{FA43D9A1-DAB6-4595-AAF0-F9C8C41F092B}"/>
    <cellStyle name="Normal 8 2 2 2 2 6 6" xfId="10713" xr:uid="{373A7D57-13E5-4914-9B3C-221EB6E053B5}"/>
    <cellStyle name="Normal 8 2 2 2 2 7" xfId="2630" xr:uid="{00000000-0005-0000-0000-00001A1C0000}"/>
    <cellStyle name="Normal 8 2 2 2 2 7 2" xfId="6915" xr:uid="{00000000-0005-0000-0000-00001B1C0000}"/>
    <cellStyle name="Normal 8 2 2 2 2 7 2 2" xfId="19548" xr:uid="{DB566E1F-F6C3-4C0C-949C-52921D037E36}"/>
    <cellStyle name="Normal 8 2 2 2 2 7 3" xfId="15337" xr:uid="{18BC0549-CA51-462A-B019-30D331052952}"/>
    <cellStyle name="Normal 8 2 2 2 2 7 4" xfId="24587" xr:uid="{B8E39C4E-23F6-4C87-B501-FC43DA1059FB}"/>
    <cellStyle name="Normal 8 2 2 2 2 7 5" xfId="11126" xr:uid="{7BB58AD8-8C86-4B3D-A90D-DA56FE61D260}"/>
    <cellStyle name="Normal 8 2 2 2 2 8" xfId="4850" xr:uid="{00000000-0005-0000-0000-00001C1C0000}"/>
    <cellStyle name="Normal 8 2 2 2 2 8 2" xfId="17483" xr:uid="{F7182EB0-365D-4F83-8132-34EA441E8E6C}"/>
    <cellStyle name="Normal 8 2 2 2 2 9" xfId="21693" xr:uid="{99191AFC-9CAD-42C3-A6E7-0AAEF7C0B932}"/>
    <cellStyle name="Normal 8 2 2 2 3" xfId="484" xr:uid="{00000000-0005-0000-0000-00001D1C0000}"/>
    <cellStyle name="Normal 8 2 2 2 3 10" xfId="22524" xr:uid="{2F9CDC2E-3D54-453C-952A-064B6B294989}"/>
    <cellStyle name="Normal 8 2 2 2 3 11" xfId="9063" xr:uid="{AEFDC782-7C1A-4A28-B1F0-EC06E7CEB207}"/>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20043" xr:uid="{3E4238F1-66AE-4280-B090-5A0AFECCD54B}"/>
    <cellStyle name="Normal 8 2 2 2 3 2 2 3" xfId="15832" xr:uid="{CB648541-AC36-485D-8DA6-E0D887D172E1}"/>
    <cellStyle name="Normal 8 2 2 2 3 2 2 4" xfId="25082" xr:uid="{6AEFAC67-26A4-4BB7-9E3F-20283D112775}"/>
    <cellStyle name="Normal 8 2 2 2 3 2 2 5" xfId="11621" xr:uid="{4201CFC4-2191-4B8B-B938-CEDCA831A6D6}"/>
    <cellStyle name="Normal 8 2 2 2 3 2 3" xfId="5265" xr:uid="{00000000-0005-0000-0000-0000211C0000}"/>
    <cellStyle name="Normal 8 2 2 2 3 2 3 2" xfId="17898" xr:uid="{0EDC87B7-5F2F-46E1-BF87-CA35FB64875D}"/>
    <cellStyle name="Normal 8 2 2 2 3 2 4" xfId="22110" xr:uid="{DFEDA0D3-C7C8-4D30-BC7B-2EC91A7A5D8A}"/>
    <cellStyle name="Normal 8 2 2 2 3 2 5" xfId="13687" xr:uid="{354D06CF-0068-4415-825F-2776E123D9D9}"/>
    <cellStyle name="Normal 8 2 2 2 3 2 6" xfId="22937" xr:uid="{23E1367C-E264-4C9A-91B3-1F8143ACC12F}"/>
    <cellStyle name="Normal 8 2 2 2 3 2 7" xfId="9476" xr:uid="{8831E4E8-303E-4F61-AEAD-833768F1C9DC}"/>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20456" xr:uid="{C6F15AF0-780D-4DA6-B822-129403220286}"/>
    <cellStyle name="Normal 8 2 2 2 3 3 2 3" xfId="16245" xr:uid="{C6C1FE8C-2129-4AFF-BB2C-92E845099F66}"/>
    <cellStyle name="Normal 8 2 2 2 3 3 2 4" xfId="25495" xr:uid="{9B99A2EB-0BEA-4D3B-A8CA-5133661ADA54}"/>
    <cellStyle name="Normal 8 2 2 2 3 3 2 5" xfId="12034" xr:uid="{441D1942-34BF-4E86-B07D-8E84D823D0BB}"/>
    <cellStyle name="Normal 8 2 2 2 3 3 3" xfId="5678" xr:uid="{00000000-0005-0000-0000-0000251C0000}"/>
    <cellStyle name="Normal 8 2 2 2 3 3 3 2" xfId="18311" xr:uid="{15D5CF1D-4F09-4937-9EF1-9B93DDC122B5}"/>
    <cellStyle name="Normal 8 2 2 2 3 3 4" xfId="14100" xr:uid="{30B9CCDA-B9D8-49DE-A20F-08FFF2303EAF}"/>
    <cellStyle name="Normal 8 2 2 2 3 3 5" xfId="23350" xr:uid="{BB479961-0F67-4BD2-97E7-E31B2C377136}"/>
    <cellStyle name="Normal 8 2 2 2 3 3 6" xfId="9889" xr:uid="{AB70ADFF-E475-40B2-B7F2-C347734142B3}"/>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20869" xr:uid="{DD774078-D3C2-4F03-AE7B-69BDD50344B1}"/>
    <cellStyle name="Normal 8 2 2 2 3 4 2 3" xfId="16658" xr:uid="{E8B1C542-4BA3-414D-8DC9-BC89FB60B7E1}"/>
    <cellStyle name="Normal 8 2 2 2 3 4 2 4" xfId="25908" xr:uid="{40506E51-EA59-470C-9F42-764BD507B7A9}"/>
    <cellStyle name="Normal 8 2 2 2 3 4 2 5" xfId="12447" xr:uid="{DDABFED3-F97B-4191-B2E0-BBC459DC9FB7}"/>
    <cellStyle name="Normal 8 2 2 2 3 4 3" xfId="6091" xr:uid="{00000000-0005-0000-0000-0000291C0000}"/>
    <cellStyle name="Normal 8 2 2 2 3 4 3 2" xfId="18724" xr:uid="{2A84EEC0-FEE1-4A9B-8F47-932030124057}"/>
    <cellStyle name="Normal 8 2 2 2 3 4 4" xfId="14513" xr:uid="{EC5282B2-F3E8-412A-B647-808D05A08E70}"/>
    <cellStyle name="Normal 8 2 2 2 3 4 5" xfId="23763" xr:uid="{EED70FB7-E34C-46B3-81AB-81EA77BB537A}"/>
    <cellStyle name="Normal 8 2 2 2 3 4 6" xfId="10302" xr:uid="{AA50E88F-53AB-42FB-AF71-0673CCC4068C}"/>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21282" xr:uid="{3565085D-4620-4B30-BEF5-87265E13D4C4}"/>
    <cellStyle name="Normal 8 2 2 2 3 5 2 3" xfId="17071" xr:uid="{34C29E70-AD7E-4454-A68D-41A5C3C15989}"/>
    <cellStyle name="Normal 8 2 2 2 3 5 2 4" xfId="26321" xr:uid="{E9362944-9CB7-4B11-BD51-0B796A9E635C}"/>
    <cellStyle name="Normal 8 2 2 2 3 5 2 5" xfId="12860" xr:uid="{A7AEE55C-E5CD-4B36-857F-87D4E831CD13}"/>
    <cellStyle name="Normal 8 2 2 2 3 5 3" xfId="6504" xr:uid="{00000000-0005-0000-0000-00002D1C0000}"/>
    <cellStyle name="Normal 8 2 2 2 3 5 3 2" xfId="19137" xr:uid="{233386A0-58D3-40F0-B001-312A07645C50}"/>
    <cellStyle name="Normal 8 2 2 2 3 5 4" xfId="14926" xr:uid="{FE32273A-09F2-483A-9403-D954848E40A3}"/>
    <cellStyle name="Normal 8 2 2 2 3 5 5" xfId="24176" xr:uid="{0A75B88C-31C6-4E2C-8E00-088A14175937}"/>
    <cellStyle name="Normal 8 2 2 2 3 5 6" xfId="10715" xr:uid="{440EE8A3-4F40-4D58-ACC5-7575CA832DF8}"/>
    <cellStyle name="Normal 8 2 2 2 3 6" xfId="2632" xr:uid="{00000000-0005-0000-0000-00002E1C0000}"/>
    <cellStyle name="Normal 8 2 2 2 3 6 2" xfId="6917" xr:uid="{00000000-0005-0000-0000-00002F1C0000}"/>
    <cellStyle name="Normal 8 2 2 2 3 6 2 2" xfId="19550" xr:uid="{D047B4F6-02B4-44A0-9E13-EBAB8F52BD98}"/>
    <cellStyle name="Normal 8 2 2 2 3 6 3" xfId="15339" xr:uid="{3991F578-53E1-4346-AC59-E2200BDE9024}"/>
    <cellStyle name="Normal 8 2 2 2 3 6 4" xfId="24589" xr:uid="{6AE26033-E684-455C-8E59-C2C623DC7D23}"/>
    <cellStyle name="Normal 8 2 2 2 3 6 5" xfId="11128" xr:uid="{FB13451B-7F7E-4614-8BE1-A2DAA54DE7C6}"/>
    <cellStyle name="Normal 8 2 2 2 3 7" xfId="4852" xr:uid="{00000000-0005-0000-0000-0000301C0000}"/>
    <cellStyle name="Normal 8 2 2 2 3 7 2" xfId="17485" xr:uid="{5E05AC9F-7306-4A7B-A291-25C596291EA1}"/>
    <cellStyle name="Normal 8 2 2 2 3 8" xfId="21695" xr:uid="{EA0407DE-7ABE-4B82-B07D-576BED78558C}"/>
    <cellStyle name="Normal 8 2 2 2 3 9" xfId="13274" xr:uid="{03B297EB-591A-45E5-9265-59827658C6C1}"/>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20040" xr:uid="{DDB74B30-8433-4833-96C6-38FF4F7EB733}"/>
    <cellStyle name="Normal 8 2 2 2 4 2 3" xfId="15829" xr:uid="{F4E0F2E9-D75A-4726-94D1-6B2763A1E5B4}"/>
    <cellStyle name="Normal 8 2 2 2 4 2 4" xfId="25079" xr:uid="{611AE039-663C-4FEE-BD2B-E83612109069}"/>
    <cellStyle name="Normal 8 2 2 2 4 2 5" xfId="11618" xr:uid="{65C3CCD5-E1F1-4FE1-ACFD-EBA51ED3971B}"/>
    <cellStyle name="Normal 8 2 2 2 4 3" xfId="5262" xr:uid="{00000000-0005-0000-0000-0000341C0000}"/>
    <cellStyle name="Normal 8 2 2 2 4 3 2" xfId="17895" xr:uid="{5E4D4797-3ED5-422D-A74E-52A34E8C1C61}"/>
    <cellStyle name="Normal 8 2 2 2 4 4" xfId="22107" xr:uid="{C32A9E57-7969-45EB-8754-65CCDDD4C719}"/>
    <cellStyle name="Normal 8 2 2 2 4 5" xfId="13684" xr:uid="{74851EE2-2C89-4BDE-860A-E0FD498CA178}"/>
    <cellStyle name="Normal 8 2 2 2 4 6" xfId="22934" xr:uid="{801386AD-31E4-4056-9A60-9AE2D89CF7CF}"/>
    <cellStyle name="Normal 8 2 2 2 4 7" xfId="9473" xr:uid="{855C7064-CDAC-4AE1-B1FE-9994F2116ABB}"/>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20453" xr:uid="{0AB9AEB4-64F8-41A1-8FB8-BE90D1E56C6F}"/>
    <cellStyle name="Normal 8 2 2 2 5 2 3" xfId="16242" xr:uid="{37076487-163A-427E-90B6-B3FFF04A9BD9}"/>
    <cellStyle name="Normal 8 2 2 2 5 2 4" xfId="25492" xr:uid="{A3AA5130-92EF-4022-AD1A-AC75CB4A00A7}"/>
    <cellStyle name="Normal 8 2 2 2 5 2 5" xfId="12031" xr:uid="{C4B05005-4B72-4F67-B479-CCB8E132480F}"/>
    <cellStyle name="Normal 8 2 2 2 5 3" xfId="5675" xr:uid="{00000000-0005-0000-0000-0000381C0000}"/>
    <cellStyle name="Normal 8 2 2 2 5 3 2" xfId="18308" xr:uid="{ED2D0DCA-5098-4454-BC9F-2BB27CAD9760}"/>
    <cellStyle name="Normal 8 2 2 2 5 4" xfId="14097" xr:uid="{AA88485C-5776-4F38-AF9C-E606E731FB8A}"/>
    <cellStyle name="Normal 8 2 2 2 5 5" xfId="23347" xr:uid="{22B5FCD2-4C0B-42B3-9026-B413290272B2}"/>
    <cellStyle name="Normal 8 2 2 2 5 6" xfId="9886" xr:uid="{DC91029F-F8D8-4DD0-8B37-BA90FD086234}"/>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20866" xr:uid="{E8A31372-EEFA-4987-87B4-72400CC6C36A}"/>
    <cellStyle name="Normal 8 2 2 2 6 2 3" xfId="16655" xr:uid="{C5290841-F3DE-4C96-A783-D17C160DACDF}"/>
    <cellStyle name="Normal 8 2 2 2 6 2 4" xfId="25905" xr:uid="{B3C8ECAA-4AEC-43C5-82FD-78DAABBF9A05}"/>
    <cellStyle name="Normal 8 2 2 2 6 2 5" xfId="12444" xr:uid="{4FA90544-7E11-475B-8FB7-0952434D8CB8}"/>
    <cellStyle name="Normal 8 2 2 2 6 3" xfId="6088" xr:uid="{00000000-0005-0000-0000-00003C1C0000}"/>
    <cellStyle name="Normal 8 2 2 2 6 3 2" xfId="18721" xr:uid="{3D1EBB84-F1C3-482F-BB72-290F586D1247}"/>
    <cellStyle name="Normal 8 2 2 2 6 4" xfId="14510" xr:uid="{09F0381A-03C6-47B5-B5DC-F0DF891C3F60}"/>
    <cellStyle name="Normal 8 2 2 2 6 5" xfId="23760" xr:uid="{44170180-648F-4CF8-8210-E6877CAA2DCA}"/>
    <cellStyle name="Normal 8 2 2 2 6 6" xfId="10299" xr:uid="{E93C99D0-30B3-4A8C-856E-037F3C2F5F28}"/>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21279" xr:uid="{2CA4A45B-5B15-4DD4-ADFB-1A885A569D87}"/>
    <cellStyle name="Normal 8 2 2 2 7 2 3" xfId="17068" xr:uid="{23351238-0B80-46C6-8435-7A1E625EB440}"/>
    <cellStyle name="Normal 8 2 2 2 7 2 4" xfId="26318" xr:uid="{34E11DED-768B-4D5A-AF49-1F4BA98C467A}"/>
    <cellStyle name="Normal 8 2 2 2 7 2 5" xfId="12857" xr:uid="{4EF957A9-CA82-4097-ADA9-B3E827C994B6}"/>
    <cellStyle name="Normal 8 2 2 2 7 3" xfId="6501" xr:uid="{00000000-0005-0000-0000-0000401C0000}"/>
    <cellStyle name="Normal 8 2 2 2 7 3 2" xfId="19134" xr:uid="{72072C12-2986-49C5-97D0-CC9800FA7EEB}"/>
    <cellStyle name="Normal 8 2 2 2 7 4" xfId="14923" xr:uid="{B8351E40-C6A1-440A-897E-81B47DEFF246}"/>
    <cellStyle name="Normal 8 2 2 2 7 5" xfId="24173" xr:uid="{27548852-A1DA-4C28-8C58-1592F8676592}"/>
    <cellStyle name="Normal 8 2 2 2 7 6" xfId="10712" xr:uid="{44ED4CBC-F954-4F9E-BEA1-FD68DC64D2FA}"/>
    <cellStyle name="Normal 8 2 2 2 8" xfId="2629" xr:uid="{00000000-0005-0000-0000-0000411C0000}"/>
    <cellStyle name="Normal 8 2 2 2 8 2" xfId="6914" xr:uid="{00000000-0005-0000-0000-0000421C0000}"/>
    <cellStyle name="Normal 8 2 2 2 8 2 2" xfId="19547" xr:uid="{DAEA72EC-99F2-4F63-AE89-C2695E53DDB3}"/>
    <cellStyle name="Normal 8 2 2 2 8 3" xfId="15336" xr:uid="{3A6226A1-721D-4152-A6CD-FA0E543E5DBC}"/>
    <cellStyle name="Normal 8 2 2 2 8 4" xfId="24586" xr:uid="{42774EA5-BCC8-42A1-BA3A-86C23A677E6F}"/>
    <cellStyle name="Normal 8 2 2 2 8 5" xfId="11125" xr:uid="{29352583-1D0D-47ED-8395-B86FC6B1FAA6}"/>
    <cellStyle name="Normal 8 2 2 2 9" xfId="4849" xr:uid="{00000000-0005-0000-0000-0000431C0000}"/>
    <cellStyle name="Normal 8 2 2 2 9 2" xfId="17482" xr:uid="{01D3EB70-2BA0-4CAD-BF49-702654199673}"/>
    <cellStyle name="Normal 8 2 2 3" xfId="485" xr:uid="{00000000-0005-0000-0000-0000441C0000}"/>
    <cellStyle name="Normal 8 2 2 3 10" xfId="13275" xr:uid="{D35C683A-CFCB-4440-92E0-372C519EA11E}"/>
    <cellStyle name="Normal 8 2 2 3 11" xfId="22525" xr:uid="{79792E3F-021E-4040-A4F1-DF001E4F4C84}"/>
    <cellStyle name="Normal 8 2 2 3 12" xfId="9064" xr:uid="{BEAC47DA-21E7-4289-93BC-FBCC605219BD}"/>
    <cellStyle name="Normal 8 2 2 3 2" xfId="486" xr:uid="{00000000-0005-0000-0000-0000451C0000}"/>
    <cellStyle name="Normal 8 2 2 3 2 10" xfId="22526" xr:uid="{47558BA2-7568-42D2-9D68-13425DA60FB4}"/>
    <cellStyle name="Normal 8 2 2 3 2 11" xfId="9065" xr:uid="{7C530BDB-3A2C-4004-9464-E3376948A49B}"/>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20045" xr:uid="{5C9164DA-7DE3-4D20-AA7C-0F9C2A1CC7D7}"/>
    <cellStyle name="Normal 8 2 2 3 2 2 2 3" xfId="15834" xr:uid="{CE6EB99F-3361-4FC1-A745-A9E84705FB1B}"/>
    <cellStyle name="Normal 8 2 2 3 2 2 2 4" xfId="25084" xr:uid="{918C04D6-81A1-487D-9BAD-1E100C47BFF8}"/>
    <cellStyle name="Normal 8 2 2 3 2 2 2 5" xfId="11623" xr:uid="{AF3E4635-0373-45B3-B127-C8641147A817}"/>
    <cellStyle name="Normal 8 2 2 3 2 2 3" xfId="5267" xr:uid="{00000000-0005-0000-0000-0000491C0000}"/>
    <cellStyle name="Normal 8 2 2 3 2 2 3 2" xfId="17900" xr:uid="{5654BD91-4A99-41CB-9CD7-7A5273320F67}"/>
    <cellStyle name="Normal 8 2 2 3 2 2 4" xfId="22112" xr:uid="{184D81FA-1ED8-4BB8-9668-2F3FA433E643}"/>
    <cellStyle name="Normal 8 2 2 3 2 2 5" xfId="13689" xr:uid="{A2EE6881-3058-432D-B6EB-698FB17BA782}"/>
    <cellStyle name="Normal 8 2 2 3 2 2 6" xfId="22939" xr:uid="{31968953-6054-42C4-A4BB-81E9B645239E}"/>
    <cellStyle name="Normal 8 2 2 3 2 2 7" xfId="9478" xr:uid="{30278327-D67A-4EC5-AEA4-0100BAB97BE8}"/>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20458" xr:uid="{721D780D-5AC3-48A1-992F-A81ED2313885}"/>
    <cellStyle name="Normal 8 2 2 3 2 3 2 3" xfId="16247" xr:uid="{B529C3D1-2C53-4043-9538-E99FBA4FCAC0}"/>
    <cellStyle name="Normal 8 2 2 3 2 3 2 4" xfId="25497" xr:uid="{024FFF38-C4E5-4C6F-A350-9F402A70E1E1}"/>
    <cellStyle name="Normal 8 2 2 3 2 3 2 5" xfId="12036" xr:uid="{4DF2E30C-F22A-438F-B66C-6A5D09D137B2}"/>
    <cellStyle name="Normal 8 2 2 3 2 3 3" xfId="5680" xr:uid="{00000000-0005-0000-0000-00004D1C0000}"/>
    <cellStyle name="Normal 8 2 2 3 2 3 3 2" xfId="18313" xr:uid="{E954F28F-F33C-4612-A679-48092AAD3C2C}"/>
    <cellStyle name="Normal 8 2 2 3 2 3 4" xfId="14102" xr:uid="{6583F456-2722-464B-BF42-13AAC8026A40}"/>
    <cellStyle name="Normal 8 2 2 3 2 3 5" xfId="23352" xr:uid="{8A678232-0523-4B19-9545-AD6BF3FDE81B}"/>
    <cellStyle name="Normal 8 2 2 3 2 3 6" xfId="9891" xr:uid="{E5B0EE70-F2DC-4D2E-8CBB-809D1B947558}"/>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20871" xr:uid="{FC2FF012-970D-4D38-B750-652DF1A48C4F}"/>
    <cellStyle name="Normal 8 2 2 3 2 4 2 3" xfId="16660" xr:uid="{70414806-BF3E-487C-9DC5-09FB0909149D}"/>
    <cellStyle name="Normal 8 2 2 3 2 4 2 4" xfId="25910" xr:uid="{B2898166-B901-4278-BA5D-D082080D61C0}"/>
    <cellStyle name="Normal 8 2 2 3 2 4 2 5" xfId="12449" xr:uid="{819E88EF-8FD1-44D2-8450-035DF46FCE12}"/>
    <cellStyle name="Normal 8 2 2 3 2 4 3" xfId="6093" xr:uid="{00000000-0005-0000-0000-0000511C0000}"/>
    <cellStyle name="Normal 8 2 2 3 2 4 3 2" xfId="18726" xr:uid="{95ABC4FE-7BBA-48BD-B959-793D743BBF92}"/>
    <cellStyle name="Normal 8 2 2 3 2 4 4" xfId="14515" xr:uid="{09E63B50-1C70-43A3-91A7-5581D8888F1F}"/>
    <cellStyle name="Normal 8 2 2 3 2 4 5" xfId="23765" xr:uid="{8A24DA53-490E-41D3-A27F-ACC28287CFE9}"/>
    <cellStyle name="Normal 8 2 2 3 2 4 6" xfId="10304" xr:uid="{BC479FF3-E9EF-4E95-BA3A-BF9AEFBCC248}"/>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21284" xr:uid="{EBE75906-C257-4A75-BEC5-2038092002F1}"/>
    <cellStyle name="Normal 8 2 2 3 2 5 2 3" xfId="17073" xr:uid="{8AB1A66F-7827-4DC0-9319-A4C4769FE45F}"/>
    <cellStyle name="Normal 8 2 2 3 2 5 2 4" xfId="26323" xr:uid="{0F6C1003-06A6-46E0-A853-140DF0771BD7}"/>
    <cellStyle name="Normal 8 2 2 3 2 5 2 5" xfId="12862" xr:uid="{09302AA4-CA6E-4BD5-8EF4-86099CF7C8CE}"/>
    <cellStyle name="Normal 8 2 2 3 2 5 3" xfId="6506" xr:uid="{00000000-0005-0000-0000-0000551C0000}"/>
    <cellStyle name="Normal 8 2 2 3 2 5 3 2" xfId="19139" xr:uid="{38A314FE-1415-4DA8-95B1-D35ED1897C76}"/>
    <cellStyle name="Normal 8 2 2 3 2 5 4" xfId="14928" xr:uid="{7965E82E-6915-4006-A4E0-FEF018D28A04}"/>
    <cellStyle name="Normal 8 2 2 3 2 5 5" xfId="24178" xr:uid="{09750CE0-02CA-46C4-9CBA-211E94CB59C4}"/>
    <cellStyle name="Normal 8 2 2 3 2 5 6" xfId="10717" xr:uid="{760ABB46-2373-4D01-97FB-4DADEBACCC2E}"/>
    <cellStyle name="Normal 8 2 2 3 2 6" xfId="2634" xr:uid="{00000000-0005-0000-0000-0000561C0000}"/>
    <cellStyle name="Normal 8 2 2 3 2 6 2" xfId="6919" xr:uid="{00000000-0005-0000-0000-0000571C0000}"/>
    <cellStyle name="Normal 8 2 2 3 2 6 2 2" xfId="19552" xr:uid="{E5B9BEE5-BF26-4F8B-A5FF-D91AB04724B1}"/>
    <cellStyle name="Normal 8 2 2 3 2 6 3" xfId="15341" xr:uid="{D9EC0A67-7A67-463A-B1FA-7DC0EA9FD212}"/>
    <cellStyle name="Normal 8 2 2 3 2 6 4" xfId="24591" xr:uid="{7FDADE7F-B25F-4773-A20D-59DA3F9F409C}"/>
    <cellStyle name="Normal 8 2 2 3 2 6 5" xfId="11130" xr:uid="{963F38F1-A9C4-485F-A073-9EF6A2EA11DF}"/>
    <cellStyle name="Normal 8 2 2 3 2 7" xfId="4854" xr:uid="{00000000-0005-0000-0000-0000581C0000}"/>
    <cellStyle name="Normal 8 2 2 3 2 7 2" xfId="17487" xr:uid="{F2990D6F-0EFA-490D-9D35-5CAA90F5918E}"/>
    <cellStyle name="Normal 8 2 2 3 2 8" xfId="21697" xr:uid="{AC12887D-35EC-4336-8FCE-FB0F1286880C}"/>
    <cellStyle name="Normal 8 2 2 3 2 9" xfId="13276" xr:uid="{32A264CC-89F5-4157-87E1-F65B984C7204}"/>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20044" xr:uid="{08945062-AC28-4097-A51A-35108F782ABB}"/>
    <cellStyle name="Normal 8 2 2 3 3 2 3" xfId="15833" xr:uid="{8305BC7A-9167-42AF-9B99-1EFF3D3AE002}"/>
    <cellStyle name="Normal 8 2 2 3 3 2 4" xfId="25083" xr:uid="{FDCF0A11-06A0-424B-8DEE-E934EABCCD6E}"/>
    <cellStyle name="Normal 8 2 2 3 3 2 5" xfId="11622" xr:uid="{57F3B3C5-0BD9-41AB-A194-F65621588B34}"/>
    <cellStyle name="Normal 8 2 2 3 3 3" xfId="5266" xr:uid="{00000000-0005-0000-0000-00005C1C0000}"/>
    <cellStyle name="Normal 8 2 2 3 3 3 2" xfId="17899" xr:uid="{FA9775D7-222C-4303-B17B-D90F3B3B0D6B}"/>
    <cellStyle name="Normal 8 2 2 3 3 4" xfId="22111" xr:uid="{35CE388D-F39C-49C5-BA4C-B63588E866E4}"/>
    <cellStyle name="Normal 8 2 2 3 3 5" xfId="13688" xr:uid="{0B620998-1F94-441B-9FF4-24CDF707A95C}"/>
    <cellStyle name="Normal 8 2 2 3 3 6" xfId="22938" xr:uid="{32882E7C-F0E7-437D-B270-7D153915E069}"/>
    <cellStyle name="Normal 8 2 2 3 3 7" xfId="9477" xr:uid="{0996AE3A-51DC-40F1-9F2E-58AFA861437F}"/>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20457" xr:uid="{9C65256F-4EB2-499F-AD40-363BBEF4DA9D}"/>
    <cellStyle name="Normal 8 2 2 3 4 2 3" xfId="16246" xr:uid="{A86CE596-855A-446A-A5E9-8F4F91563D5C}"/>
    <cellStyle name="Normal 8 2 2 3 4 2 4" xfId="25496" xr:uid="{ADC6C34A-5981-41C7-BBDC-BC5F9ABB608F}"/>
    <cellStyle name="Normal 8 2 2 3 4 2 5" xfId="12035" xr:uid="{77E6D873-D7EB-426D-B95C-9018FF0B6244}"/>
    <cellStyle name="Normal 8 2 2 3 4 3" xfId="5679" xr:uid="{00000000-0005-0000-0000-0000601C0000}"/>
    <cellStyle name="Normal 8 2 2 3 4 3 2" xfId="18312" xr:uid="{FD5AF15C-E386-4FD7-93A6-E7C7A4F781C5}"/>
    <cellStyle name="Normal 8 2 2 3 4 4" xfId="14101" xr:uid="{DA06BED9-344E-4CCB-9842-C944C5DFBCB2}"/>
    <cellStyle name="Normal 8 2 2 3 4 5" xfId="23351" xr:uid="{CFB85E13-1229-4EE5-952B-230FD24E301F}"/>
    <cellStyle name="Normal 8 2 2 3 4 6" xfId="9890" xr:uid="{3961254B-DE08-46EE-B982-6695B3B2E092}"/>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20870" xr:uid="{A2C9A041-DFCE-49D8-A01C-93777BA4BB4E}"/>
    <cellStyle name="Normal 8 2 2 3 5 2 3" xfId="16659" xr:uid="{169EFDD3-3E97-40E8-95D9-A131B59E8701}"/>
    <cellStyle name="Normal 8 2 2 3 5 2 4" xfId="25909" xr:uid="{DE1B16A5-7474-4EA3-90E3-9A23F8143DEF}"/>
    <cellStyle name="Normal 8 2 2 3 5 2 5" xfId="12448" xr:uid="{8C5F25F5-4DD5-4D73-96C7-16CD9ED8D946}"/>
    <cellStyle name="Normal 8 2 2 3 5 3" xfId="6092" xr:uid="{00000000-0005-0000-0000-0000641C0000}"/>
    <cellStyle name="Normal 8 2 2 3 5 3 2" xfId="18725" xr:uid="{629A95D1-EC7C-4ED3-A931-D7149F6A5DD4}"/>
    <cellStyle name="Normal 8 2 2 3 5 4" xfId="14514" xr:uid="{7D98EDC3-D861-4A95-B4C7-C96ABC128D7C}"/>
    <cellStyle name="Normal 8 2 2 3 5 5" xfId="23764" xr:uid="{6DE7D5C1-6999-45D0-9306-579B9F446109}"/>
    <cellStyle name="Normal 8 2 2 3 5 6" xfId="10303" xr:uid="{277DF037-8BC5-4EBF-81A0-669843298C1A}"/>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21283" xr:uid="{B4EEF73E-257D-41EB-8679-7BB9D509531B}"/>
    <cellStyle name="Normal 8 2 2 3 6 2 3" xfId="17072" xr:uid="{DBE66B25-A1AA-4A0E-BD71-677071856A0C}"/>
    <cellStyle name="Normal 8 2 2 3 6 2 4" xfId="26322" xr:uid="{0E44BCE2-259B-4E5D-8B56-90F695A93F09}"/>
    <cellStyle name="Normal 8 2 2 3 6 2 5" xfId="12861" xr:uid="{20C8CFC9-D6B5-4084-9D4C-F5DE668958C7}"/>
    <cellStyle name="Normal 8 2 2 3 6 3" xfId="6505" xr:uid="{00000000-0005-0000-0000-0000681C0000}"/>
    <cellStyle name="Normal 8 2 2 3 6 3 2" xfId="19138" xr:uid="{436FBA8F-7249-476A-A0C4-6AA637BAD2FD}"/>
    <cellStyle name="Normal 8 2 2 3 6 4" xfId="14927" xr:uid="{C4DEF626-A08F-4E0A-AE35-C56D7A205F5B}"/>
    <cellStyle name="Normal 8 2 2 3 6 5" xfId="24177" xr:uid="{37FC5982-B6A8-4C85-BB89-387A5277C722}"/>
    <cellStyle name="Normal 8 2 2 3 6 6" xfId="10716" xr:uid="{D68DF9A6-B8EC-45BF-B451-A955ED5CD205}"/>
    <cellStyle name="Normal 8 2 2 3 7" xfId="2633" xr:uid="{00000000-0005-0000-0000-0000691C0000}"/>
    <cellStyle name="Normal 8 2 2 3 7 2" xfId="6918" xr:uid="{00000000-0005-0000-0000-00006A1C0000}"/>
    <cellStyle name="Normal 8 2 2 3 7 2 2" xfId="19551" xr:uid="{99F05BDC-79EE-421A-8E09-5A8C9087B60F}"/>
    <cellStyle name="Normal 8 2 2 3 7 3" xfId="15340" xr:uid="{A369052E-4373-494F-B253-A71CEE3636CF}"/>
    <cellStyle name="Normal 8 2 2 3 7 4" xfId="24590" xr:uid="{DA2E0F85-86D8-41F5-9FDF-C29E8B957420}"/>
    <cellStyle name="Normal 8 2 2 3 7 5" xfId="11129" xr:uid="{20D4AC37-8B77-4A9B-9070-90A9E8CD1088}"/>
    <cellStyle name="Normal 8 2 2 3 8" xfId="4853" xr:uid="{00000000-0005-0000-0000-00006B1C0000}"/>
    <cellStyle name="Normal 8 2 2 3 8 2" xfId="17486" xr:uid="{2B83902A-7514-458D-8A21-B8442A1E8721}"/>
    <cellStyle name="Normal 8 2 2 3 9" xfId="21696" xr:uid="{4D73F093-14BC-42B7-8630-C24B8ABABB99}"/>
    <cellStyle name="Normal 8 2 2 4" xfId="487" xr:uid="{00000000-0005-0000-0000-00006C1C0000}"/>
    <cellStyle name="Normal 8 2 2 4 10" xfId="22527" xr:uid="{100C1E77-AECE-4367-B777-E0348DF76B01}"/>
    <cellStyle name="Normal 8 2 2 4 11" xfId="9066" xr:uid="{A358AE3F-D27B-4AEB-AB0F-3973F24876F9}"/>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20046" xr:uid="{4385B995-BB9C-4FB5-9B86-AEE1F67CFCA1}"/>
    <cellStyle name="Normal 8 2 2 4 2 2 3" xfId="15835" xr:uid="{5D17256E-EFD6-4B20-A1D1-E61D672583F6}"/>
    <cellStyle name="Normal 8 2 2 4 2 2 4" xfId="25085" xr:uid="{CD1469EE-0453-4A96-9B5D-0B678BB05B79}"/>
    <cellStyle name="Normal 8 2 2 4 2 2 5" xfId="11624" xr:uid="{32C6F61B-4BBF-472D-8B19-85CB99DDEF7F}"/>
    <cellStyle name="Normal 8 2 2 4 2 3" xfId="5268" xr:uid="{00000000-0005-0000-0000-0000701C0000}"/>
    <cellStyle name="Normal 8 2 2 4 2 3 2" xfId="17901" xr:uid="{347C2DF0-DF87-4F26-8370-B40BF9253BF2}"/>
    <cellStyle name="Normal 8 2 2 4 2 4" xfId="22113" xr:uid="{5155D054-33BE-4054-BACC-1E5409434D14}"/>
    <cellStyle name="Normal 8 2 2 4 2 5" xfId="13690" xr:uid="{19818FC7-6E6D-49BB-B23C-2809F8EB3E47}"/>
    <cellStyle name="Normal 8 2 2 4 2 6" xfId="22940" xr:uid="{C57B33CF-E1CB-45E3-8459-356626890BF7}"/>
    <cellStyle name="Normal 8 2 2 4 2 7" xfId="9479" xr:uid="{BD9CE616-1F5F-4A5A-B2FC-2EAF3AC25D4E}"/>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20459" xr:uid="{3D733B7F-F87B-45BE-AD25-B660A2A17C81}"/>
    <cellStyle name="Normal 8 2 2 4 3 2 3" xfId="16248" xr:uid="{D317E074-BA5A-4016-AFB8-E33AAA1D8332}"/>
    <cellStyle name="Normal 8 2 2 4 3 2 4" xfId="25498" xr:uid="{80834C57-1B2D-4F9A-8325-CF3FD60BFC80}"/>
    <cellStyle name="Normal 8 2 2 4 3 2 5" xfId="12037" xr:uid="{25FA6A0C-3E1D-4953-9E3C-098EF386EB9B}"/>
    <cellStyle name="Normal 8 2 2 4 3 3" xfId="5681" xr:uid="{00000000-0005-0000-0000-0000741C0000}"/>
    <cellStyle name="Normal 8 2 2 4 3 3 2" xfId="18314" xr:uid="{5F763A81-DB5E-447F-B5B2-141BC7E20408}"/>
    <cellStyle name="Normal 8 2 2 4 3 4" xfId="14103" xr:uid="{2AB6BCF6-3C5B-45DF-A4DF-619EA5291C60}"/>
    <cellStyle name="Normal 8 2 2 4 3 5" xfId="23353" xr:uid="{A4AD96BA-5101-455B-B8C4-F057A490E58D}"/>
    <cellStyle name="Normal 8 2 2 4 3 6" xfId="9892" xr:uid="{AE9B7F5C-01FA-4352-A685-90D011B63DF6}"/>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20872" xr:uid="{8CA9224A-E2FA-4A93-A0F0-026537B09594}"/>
    <cellStyle name="Normal 8 2 2 4 4 2 3" xfId="16661" xr:uid="{8621BFC4-57A0-47AE-B702-EB511A2E34D6}"/>
    <cellStyle name="Normal 8 2 2 4 4 2 4" xfId="25911" xr:uid="{45B5F3D0-97FC-4998-A544-15968DAB637B}"/>
    <cellStyle name="Normal 8 2 2 4 4 2 5" xfId="12450" xr:uid="{97DF3A22-3761-4B71-9E6D-CE0A69D06E90}"/>
    <cellStyle name="Normal 8 2 2 4 4 3" xfId="6094" xr:uid="{00000000-0005-0000-0000-0000781C0000}"/>
    <cellStyle name="Normal 8 2 2 4 4 3 2" xfId="18727" xr:uid="{7AE36BAB-2B37-43E7-A02C-2B7D82CF6A2C}"/>
    <cellStyle name="Normal 8 2 2 4 4 4" xfId="14516" xr:uid="{20290D4A-AE80-4540-8332-48EE6FD429F2}"/>
    <cellStyle name="Normal 8 2 2 4 4 5" xfId="23766" xr:uid="{2EE88D06-8134-4590-941F-51F414C60520}"/>
    <cellStyle name="Normal 8 2 2 4 4 6" xfId="10305" xr:uid="{FDC2F6CE-C096-46AB-9F99-5C3C7873E53F}"/>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21285" xr:uid="{4A35502E-48B4-40D8-A182-1495C3B52DB1}"/>
    <cellStyle name="Normal 8 2 2 4 5 2 3" xfId="17074" xr:uid="{4282B301-BFAD-44F9-AF03-FF2CB6B5C4CA}"/>
    <cellStyle name="Normal 8 2 2 4 5 2 4" xfId="26324" xr:uid="{F0C830DA-0ADC-4910-9425-DA8120632364}"/>
    <cellStyle name="Normal 8 2 2 4 5 2 5" xfId="12863" xr:uid="{4800A869-6FF5-4742-B261-C770EB11753C}"/>
    <cellStyle name="Normal 8 2 2 4 5 3" xfId="6507" xr:uid="{00000000-0005-0000-0000-00007C1C0000}"/>
    <cellStyle name="Normal 8 2 2 4 5 3 2" xfId="19140" xr:uid="{830132BC-B1A1-4543-A3F6-AB3193B54B0E}"/>
    <cellStyle name="Normal 8 2 2 4 5 4" xfId="14929" xr:uid="{09845E7C-F6EB-431C-89AA-C27BA513EA16}"/>
    <cellStyle name="Normal 8 2 2 4 5 5" xfId="24179" xr:uid="{4C2082A4-438C-446C-950C-227BF4460B34}"/>
    <cellStyle name="Normal 8 2 2 4 5 6" xfId="10718" xr:uid="{2C966702-5E39-4478-BFE0-1647ED24971F}"/>
    <cellStyle name="Normal 8 2 2 4 6" xfId="2635" xr:uid="{00000000-0005-0000-0000-00007D1C0000}"/>
    <cellStyle name="Normal 8 2 2 4 6 2" xfId="6920" xr:uid="{00000000-0005-0000-0000-00007E1C0000}"/>
    <cellStyle name="Normal 8 2 2 4 6 2 2" xfId="19553" xr:uid="{20BB7A3D-B0AE-4540-A547-292BA74929B3}"/>
    <cellStyle name="Normal 8 2 2 4 6 3" xfId="15342" xr:uid="{B6958B03-4000-48C6-B544-F175CC663C01}"/>
    <cellStyle name="Normal 8 2 2 4 6 4" xfId="24592" xr:uid="{FAB16081-387A-442B-B5F7-4B3E73FA7279}"/>
    <cellStyle name="Normal 8 2 2 4 6 5" xfId="11131" xr:uid="{A854765F-7A28-4C2A-A7CD-80302DBE6B76}"/>
    <cellStyle name="Normal 8 2 2 4 7" xfId="4855" xr:uid="{00000000-0005-0000-0000-00007F1C0000}"/>
    <cellStyle name="Normal 8 2 2 4 7 2" xfId="17488" xr:uid="{0CDE5F8D-5DCA-46DB-82D5-9C2D190C439D}"/>
    <cellStyle name="Normal 8 2 2 4 8" xfId="21698" xr:uid="{56A8D408-5673-4DE5-8C8E-239BA82615AF}"/>
    <cellStyle name="Normal 8 2 2 4 9" xfId="13277" xr:uid="{552C367A-4611-47A3-B3E8-43AF5AEF29E5}"/>
    <cellStyle name="Normal 8 2 2 5" xfId="948" xr:uid="{00000000-0005-0000-0000-0000801C0000}"/>
    <cellStyle name="Normal 8 2 2 5 2" xfId="3182" xr:uid="{00000000-0005-0000-0000-0000811C0000}"/>
    <cellStyle name="Normal 8 2 2 5 2 2" xfId="7406" xr:uid="{00000000-0005-0000-0000-0000821C0000}"/>
    <cellStyle name="Normal 8 2 2 5 2 2 2" xfId="20039" xr:uid="{F357C8C8-A3C5-4036-882C-93BC48563BE3}"/>
    <cellStyle name="Normal 8 2 2 5 2 3" xfId="15828" xr:uid="{A2264319-695B-45EB-999B-8F4C3CFF3954}"/>
    <cellStyle name="Normal 8 2 2 5 2 4" xfId="25078" xr:uid="{46696F55-8678-4AC8-A523-C32EE4686131}"/>
    <cellStyle name="Normal 8 2 2 5 2 5" xfId="11617" xr:uid="{B4049A69-F3D0-4458-A2BB-822E20A6C3CA}"/>
    <cellStyle name="Normal 8 2 2 5 3" xfId="5261" xr:uid="{00000000-0005-0000-0000-0000831C0000}"/>
    <cellStyle name="Normal 8 2 2 5 3 2" xfId="17894" xr:uid="{E8A1EE58-BB48-440A-A0AB-B52D8B05DE39}"/>
    <cellStyle name="Normal 8 2 2 5 4" xfId="22106" xr:uid="{03EE9B1C-872A-43BE-8990-BFA46AF4F036}"/>
    <cellStyle name="Normal 8 2 2 5 5" xfId="13683" xr:uid="{A00158BC-A308-4C6F-8389-8BE1DF65EFA4}"/>
    <cellStyle name="Normal 8 2 2 5 6" xfId="22933" xr:uid="{B9D737FB-EA2B-41E9-8D02-50CCC8F223BF}"/>
    <cellStyle name="Normal 8 2 2 5 7" xfId="9472" xr:uid="{526DF0B0-B906-42F1-87D1-77A4121A7C83}"/>
    <cellStyle name="Normal 8 2 2 6" xfId="1365" xr:uid="{00000000-0005-0000-0000-0000841C0000}"/>
    <cellStyle name="Normal 8 2 2 6 2" xfId="3595" xr:uid="{00000000-0005-0000-0000-0000851C0000}"/>
    <cellStyle name="Normal 8 2 2 6 2 2" xfId="7819" xr:uid="{00000000-0005-0000-0000-0000861C0000}"/>
    <cellStyle name="Normal 8 2 2 6 2 2 2" xfId="20452" xr:uid="{39B3E8F7-ED01-4332-9E80-14E9F29F1B92}"/>
    <cellStyle name="Normal 8 2 2 6 2 3" xfId="16241" xr:uid="{89E2A668-EB34-4B84-AC75-806F98034B20}"/>
    <cellStyle name="Normal 8 2 2 6 2 4" xfId="25491" xr:uid="{71DEEC53-58F9-4195-8377-280AFE8F465B}"/>
    <cellStyle name="Normal 8 2 2 6 2 5" xfId="12030" xr:uid="{9A3C22A2-8511-4C52-96DA-3970490EE27C}"/>
    <cellStyle name="Normal 8 2 2 6 3" xfId="5674" xr:uid="{00000000-0005-0000-0000-0000871C0000}"/>
    <cellStyle name="Normal 8 2 2 6 3 2" xfId="18307" xr:uid="{C186FF43-D1E1-4397-9D45-8960045AAC45}"/>
    <cellStyle name="Normal 8 2 2 6 4" xfId="14096" xr:uid="{97C0CC9C-1A70-49E0-868A-52C8D9B23FBC}"/>
    <cellStyle name="Normal 8 2 2 6 5" xfId="23346" xr:uid="{DC0F3A12-628D-4C3F-9DBF-05D83C6541F7}"/>
    <cellStyle name="Normal 8 2 2 6 6" xfId="9885" xr:uid="{20D71A6A-F4B3-4898-8836-218C887B23FF}"/>
    <cellStyle name="Normal 8 2 2 7" xfId="1778" xr:uid="{00000000-0005-0000-0000-0000881C0000}"/>
    <cellStyle name="Normal 8 2 2 7 2" xfId="4008" xr:uid="{00000000-0005-0000-0000-0000891C0000}"/>
    <cellStyle name="Normal 8 2 2 7 2 2" xfId="8232" xr:uid="{00000000-0005-0000-0000-00008A1C0000}"/>
    <cellStyle name="Normal 8 2 2 7 2 2 2" xfId="20865" xr:uid="{DF68BC0B-B80A-4F5B-BFA9-C3C37C6A2A40}"/>
    <cellStyle name="Normal 8 2 2 7 2 3" xfId="16654" xr:uid="{91E25532-A2FE-4EB9-AF30-245B62CD6E68}"/>
    <cellStyle name="Normal 8 2 2 7 2 4" xfId="25904" xr:uid="{84824CE1-6ECA-4EF2-A7EF-EE7A2F4F71F3}"/>
    <cellStyle name="Normal 8 2 2 7 2 5" xfId="12443" xr:uid="{936D3883-D09A-45B7-AF10-4D919B12DF3D}"/>
    <cellStyle name="Normal 8 2 2 7 3" xfId="6087" xr:uid="{00000000-0005-0000-0000-00008B1C0000}"/>
    <cellStyle name="Normal 8 2 2 7 3 2" xfId="18720" xr:uid="{EB01C58F-3D53-421B-BECB-83D727C5D40F}"/>
    <cellStyle name="Normal 8 2 2 7 4" xfId="14509" xr:uid="{368286AA-4058-4C4C-AA99-0A752E7307D9}"/>
    <cellStyle name="Normal 8 2 2 7 5" xfId="23759" xr:uid="{FB5645BB-7448-484E-830D-A40FBBDAA303}"/>
    <cellStyle name="Normal 8 2 2 7 6" xfId="10298" xr:uid="{4BB7B8B3-A511-464E-9B87-89534DBE262A}"/>
    <cellStyle name="Normal 8 2 2 8" xfId="2192" xr:uid="{00000000-0005-0000-0000-00008C1C0000}"/>
    <cellStyle name="Normal 8 2 2 8 2" xfId="4421" xr:uid="{00000000-0005-0000-0000-00008D1C0000}"/>
    <cellStyle name="Normal 8 2 2 8 2 2" xfId="8645" xr:uid="{00000000-0005-0000-0000-00008E1C0000}"/>
    <cellStyle name="Normal 8 2 2 8 2 2 2" xfId="21278" xr:uid="{F043C5EE-85FB-4F6F-8045-A1EAEC97D644}"/>
    <cellStyle name="Normal 8 2 2 8 2 3" xfId="17067" xr:uid="{05D31501-4524-4850-8F31-D83B4CABBCF9}"/>
    <cellStyle name="Normal 8 2 2 8 2 4" xfId="26317" xr:uid="{2FD50506-2CE7-406C-B0D2-F864D0CABA6E}"/>
    <cellStyle name="Normal 8 2 2 8 2 5" xfId="12856" xr:uid="{BA6ADA87-6258-4B2D-BCAB-002A672C52AA}"/>
    <cellStyle name="Normal 8 2 2 8 3" xfId="6500" xr:uid="{00000000-0005-0000-0000-00008F1C0000}"/>
    <cellStyle name="Normal 8 2 2 8 3 2" xfId="19133" xr:uid="{660EC5E3-DC65-4462-A345-2FD26D1DFA24}"/>
    <cellStyle name="Normal 8 2 2 8 4" xfId="14922" xr:uid="{7D072DC1-BE0F-4B3B-9A46-D8DC914DD94D}"/>
    <cellStyle name="Normal 8 2 2 8 5" xfId="24172" xr:uid="{94A81D24-626D-42D1-B41B-BC4110DD1039}"/>
    <cellStyle name="Normal 8 2 2 8 6" xfId="10711" xr:uid="{59DACDEB-D530-4057-9815-B377E020E8FF}"/>
    <cellStyle name="Normal 8 2 2 9" xfId="2628" xr:uid="{00000000-0005-0000-0000-0000901C0000}"/>
    <cellStyle name="Normal 8 2 2 9 2" xfId="6913" xr:uid="{00000000-0005-0000-0000-0000911C0000}"/>
    <cellStyle name="Normal 8 2 2 9 2 2" xfId="19546" xr:uid="{736DE181-B6D8-441F-A1AB-E4E833615F22}"/>
    <cellStyle name="Normal 8 2 2 9 3" xfId="15335" xr:uid="{D7A5B72A-80C7-4E78-87A9-3F0D630FE68F}"/>
    <cellStyle name="Normal 8 2 2 9 4" xfId="24585" xr:uid="{868CDC37-9C9A-4A95-A353-39C5A4FCC8CB}"/>
    <cellStyle name="Normal 8 2 2 9 5" xfId="11124" xr:uid="{8F4D0243-BC58-4929-BD21-C2AF93B1F05B}"/>
    <cellStyle name="Normal 8 2 3" xfId="488" xr:uid="{00000000-0005-0000-0000-0000921C0000}"/>
    <cellStyle name="Normal 8 2 3 10" xfId="21699" xr:uid="{EC75FB27-3782-4572-8892-7CA545F801DA}"/>
    <cellStyle name="Normal 8 2 3 11" xfId="13278" xr:uid="{90C10A9E-13AF-470D-9435-D4DD502D90FB}"/>
    <cellStyle name="Normal 8 2 3 12" xfId="22528" xr:uid="{0C10E104-AF57-4E6E-9F32-07B2A016CE2E}"/>
    <cellStyle name="Normal 8 2 3 13" xfId="9067" xr:uid="{B03280EA-527E-4EA9-8FAE-ED8FC8E23213}"/>
    <cellStyle name="Normal 8 2 3 2" xfId="489" xr:uid="{00000000-0005-0000-0000-0000931C0000}"/>
    <cellStyle name="Normal 8 2 3 2 10" xfId="13279" xr:uid="{3D012929-714F-4F59-9C55-4D7FA031161E}"/>
    <cellStyle name="Normal 8 2 3 2 11" xfId="22529" xr:uid="{E5D5661B-A337-4BF6-ABDD-02E361A8E7F9}"/>
    <cellStyle name="Normal 8 2 3 2 12" xfId="9068" xr:uid="{BEDA2CAE-99C1-4275-9924-40642AEF6256}"/>
    <cellStyle name="Normal 8 2 3 2 2" xfId="490" xr:uid="{00000000-0005-0000-0000-0000941C0000}"/>
    <cellStyle name="Normal 8 2 3 2 2 10" xfId="22530" xr:uid="{24D8C749-900C-4816-976C-80227280FDAF}"/>
    <cellStyle name="Normal 8 2 3 2 2 11" xfId="9069" xr:uid="{C8DCFA61-D824-4D9F-9024-D7CCBB3F711E}"/>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20049" xr:uid="{309DDB63-8429-442D-9FD6-67275993F816}"/>
    <cellStyle name="Normal 8 2 3 2 2 2 2 3" xfId="15838" xr:uid="{CD81893D-8F40-4FB1-AD99-5367D297153F}"/>
    <cellStyle name="Normal 8 2 3 2 2 2 2 4" xfId="25088" xr:uid="{BFB5C847-9AB7-4886-96BA-1A9EB3C92148}"/>
    <cellStyle name="Normal 8 2 3 2 2 2 2 5" xfId="11627" xr:uid="{7C28F68C-0426-40BE-A678-8778826FD4B8}"/>
    <cellStyle name="Normal 8 2 3 2 2 2 3" xfId="5271" xr:uid="{00000000-0005-0000-0000-0000981C0000}"/>
    <cellStyle name="Normal 8 2 3 2 2 2 3 2" xfId="17904" xr:uid="{CAE8493F-7C21-4FE9-BEF3-EC28175C6AD6}"/>
    <cellStyle name="Normal 8 2 3 2 2 2 4" xfId="22116" xr:uid="{B810977E-C96F-4273-B64A-EE1E7B6401B7}"/>
    <cellStyle name="Normal 8 2 3 2 2 2 5" xfId="13693" xr:uid="{64E8212D-7E7A-4AE6-AEF9-9B4FEDF0C9AF}"/>
    <cellStyle name="Normal 8 2 3 2 2 2 6" xfId="22943" xr:uid="{24806695-0A33-4127-ADA2-B3ED78FE376F}"/>
    <cellStyle name="Normal 8 2 3 2 2 2 7" xfId="9482" xr:uid="{83A35A0A-86FA-4987-93A0-D4F0576864C8}"/>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20462" xr:uid="{17F0CEE3-A091-4277-8664-4006179AA42D}"/>
    <cellStyle name="Normal 8 2 3 2 2 3 2 3" xfId="16251" xr:uid="{760E579E-6316-4C08-855A-9CDC72DF0334}"/>
    <cellStyle name="Normal 8 2 3 2 2 3 2 4" xfId="25501" xr:uid="{D9A2276D-8959-4300-AEE5-8A5FC069FCC1}"/>
    <cellStyle name="Normal 8 2 3 2 2 3 2 5" xfId="12040" xr:uid="{819EAD78-1C4C-41A4-9EDD-B90D52A461B3}"/>
    <cellStyle name="Normal 8 2 3 2 2 3 3" xfId="5684" xr:uid="{00000000-0005-0000-0000-00009C1C0000}"/>
    <cellStyle name="Normal 8 2 3 2 2 3 3 2" xfId="18317" xr:uid="{9FEB581A-2E63-4DE6-93BA-4A82CFB76C2F}"/>
    <cellStyle name="Normal 8 2 3 2 2 3 4" xfId="14106" xr:uid="{32101767-F84F-4C92-B146-D915A98DA4E7}"/>
    <cellStyle name="Normal 8 2 3 2 2 3 5" xfId="23356" xr:uid="{1AACE0F2-938C-4185-8A3B-0F0426860CE3}"/>
    <cellStyle name="Normal 8 2 3 2 2 3 6" xfId="9895" xr:uid="{C43658CA-52EF-4629-BEF4-42BCCC7F276C}"/>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20875" xr:uid="{A9BC26D1-DC21-4FE3-888D-4D7FBBCF8BCB}"/>
    <cellStyle name="Normal 8 2 3 2 2 4 2 3" xfId="16664" xr:uid="{02D70E3E-72E7-4C9D-8FAF-1CCCA790C7A0}"/>
    <cellStyle name="Normal 8 2 3 2 2 4 2 4" xfId="25914" xr:uid="{8A2B7848-8C02-46F7-B676-2EAAEBEBFD86}"/>
    <cellStyle name="Normal 8 2 3 2 2 4 2 5" xfId="12453" xr:uid="{8BF046B6-05BB-49C6-BC85-B3AF6522194A}"/>
    <cellStyle name="Normal 8 2 3 2 2 4 3" xfId="6097" xr:uid="{00000000-0005-0000-0000-0000A01C0000}"/>
    <cellStyle name="Normal 8 2 3 2 2 4 3 2" xfId="18730" xr:uid="{64A43DEA-D370-42A6-9AAC-7A18B914A182}"/>
    <cellStyle name="Normal 8 2 3 2 2 4 4" xfId="14519" xr:uid="{3A065406-7D30-4511-A263-2A16FD175416}"/>
    <cellStyle name="Normal 8 2 3 2 2 4 5" xfId="23769" xr:uid="{B566E330-3DAC-4348-A9CF-5472F0AA65CA}"/>
    <cellStyle name="Normal 8 2 3 2 2 4 6" xfId="10308" xr:uid="{9918C57F-B75E-4B4E-ADB5-0E9B67605147}"/>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21288" xr:uid="{3C847789-3A51-497B-9331-922DAFA2B125}"/>
    <cellStyle name="Normal 8 2 3 2 2 5 2 3" xfId="17077" xr:uid="{0380FD14-F0C8-4684-9384-436A47745318}"/>
    <cellStyle name="Normal 8 2 3 2 2 5 2 4" xfId="26327" xr:uid="{0C48A986-5238-4645-A7F8-FCF93792CCBE}"/>
    <cellStyle name="Normal 8 2 3 2 2 5 2 5" xfId="12866" xr:uid="{8AFE99B8-3D5F-43B3-800D-238CCDA9742C}"/>
    <cellStyle name="Normal 8 2 3 2 2 5 3" xfId="6510" xr:uid="{00000000-0005-0000-0000-0000A41C0000}"/>
    <cellStyle name="Normal 8 2 3 2 2 5 3 2" xfId="19143" xr:uid="{AAA0ED21-F32E-47C5-B89D-7EE7D4AC982B}"/>
    <cellStyle name="Normal 8 2 3 2 2 5 4" xfId="14932" xr:uid="{A5B4EF35-0BD4-4976-BB48-6D5941307CEB}"/>
    <cellStyle name="Normal 8 2 3 2 2 5 5" xfId="24182" xr:uid="{90E4B8C6-C800-4E2F-863E-EB42AA204A33}"/>
    <cellStyle name="Normal 8 2 3 2 2 5 6" xfId="10721" xr:uid="{943D34E4-6A0B-49C9-B3D5-83ABA00192C6}"/>
    <cellStyle name="Normal 8 2 3 2 2 6" xfId="2638" xr:uid="{00000000-0005-0000-0000-0000A51C0000}"/>
    <cellStyle name="Normal 8 2 3 2 2 6 2" xfId="6923" xr:uid="{00000000-0005-0000-0000-0000A61C0000}"/>
    <cellStyle name="Normal 8 2 3 2 2 6 2 2" xfId="19556" xr:uid="{AC5F6E6E-8234-42DF-9407-1F9E333CD8A6}"/>
    <cellStyle name="Normal 8 2 3 2 2 6 3" xfId="15345" xr:uid="{29E47B96-6AF9-4562-B596-59E7F5B90550}"/>
    <cellStyle name="Normal 8 2 3 2 2 6 4" xfId="24595" xr:uid="{E5200F8F-0CBD-4484-8185-CD4DFF29C709}"/>
    <cellStyle name="Normal 8 2 3 2 2 6 5" xfId="11134" xr:uid="{34F9F33D-34DA-4031-B342-5D543490FD2D}"/>
    <cellStyle name="Normal 8 2 3 2 2 7" xfId="4858" xr:uid="{00000000-0005-0000-0000-0000A71C0000}"/>
    <cellStyle name="Normal 8 2 3 2 2 7 2" xfId="17491" xr:uid="{034D610F-0BF4-4A04-97DC-6E666097397A}"/>
    <cellStyle name="Normal 8 2 3 2 2 8" xfId="21701" xr:uid="{DC0D293F-46FF-456D-B476-458FC94098D2}"/>
    <cellStyle name="Normal 8 2 3 2 2 9" xfId="13280" xr:uid="{208C9451-A4EA-4E46-916E-F4784CEBB7C4}"/>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20048" xr:uid="{40D16115-33E9-4C75-B939-019309F50E08}"/>
    <cellStyle name="Normal 8 2 3 2 3 2 3" xfId="15837" xr:uid="{6F98E357-5C5C-421E-A9E2-61FE93FB8717}"/>
    <cellStyle name="Normal 8 2 3 2 3 2 4" xfId="25087" xr:uid="{A80F683E-4701-4F39-A1CB-93EAF0939537}"/>
    <cellStyle name="Normal 8 2 3 2 3 2 5" xfId="11626" xr:uid="{C06B04F9-5234-45EB-B141-F2A45E819297}"/>
    <cellStyle name="Normal 8 2 3 2 3 3" xfId="5270" xr:uid="{00000000-0005-0000-0000-0000AB1C0000}"/>
    <cellStyle name="Normal 8 2 3 2 3 3 2" xfId="17903" xr:uid="{B5AF814C-203B-4335-84EF-C94BAD6C131D}"/>
    <cellStyle name="Normal 8 2 3 2 3 4" xfId="22115" xr:uid="{3B2746DF-FB10-4C35-BA48-AADC964A9150}"/>
    <cellStyle name="Normal 8 2 3 2 3 5" xfId="13692" xr:uid="{3A5F963A-3B54-49D8-B709-34A658E235E4}"/>
    <cellStyle name="Normal 8 2 3 2 3 6" xfId="22942" xr:uid="{60C7A93E-380F-4900-8810-DD411F0F1016}"/>
    <cellStyle name="Normal 8 2 3 2 3 7" xfId="9481" xr:uid="{876B497F-7A01-43D4-B6D7-28C47615C8E2}"/>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20461" xr:uid="{BB87CF95-293A-489F-A735-9CB5C5747B62}"/>
    <cellStyle name="Normal 8 2 3 2 4 2 3" xfId="16250" xr:uid="{D9C9926B-1186-43C6-AD79-8CFD615CC844}"/>
    <cellStyle name="Normal 8 2 3 2 4 2 4" xfId="25500" xr:uid="{0D1D966E-AD20-444A-806F-242047C14081}"/>
    <cellStyle name="Normal 8 2 3 2 4 2 5" xfId="12039" xr:uid="{F15DB8D3-6481-467A-ADD8-CE53DB7E25C7}"/>
    <cellStyle name="Normal 8 2 3 2 4 3" xfId="5683" xr:uid="{00000000-0005-0000-0000-0000AF1C0000}"/>
    <cellStyle name="Normal 8 2 3 2 4 3 2" xfId="18316" xr:uid="{C2C8474E-CD27-4AD5-8DEE-65A8EA9E9B38}"/>
    <cellStyle name="Normal 8 2 3 2 4 4" xfId="14105" xr:uid="{DCDD32EE-426B-4692-A1E8-2039CA6E704F}"/>
    <cellStyle name="Normal 8 2 3 2 4 5" xfId="23355" xr:uid="{C121BD4E-8E61-43B9-80AA-3BC8025E19EF}"/>
    <cellStyle name="Normal 8 2 3 2 4 6" xfId="9894" xr:uid="{9C0B5825-ECEB-4102-9464-59B67C699694}"/>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20874" xr:uid="{4B77F1E8-9831-4E1B-84D8-C9CFB7AB874D}"/>
    <cellStyle name="Normal 8 2 3 2 5 2 3" xfId="16663" xr:uid="{BFA49A19-BC42-42BF-BBFD-4AA23CDDFFFD}"/>
    <cellStyle name="Normal 8 2 3 2 5 2 4" xfId="25913" xr:uid="{7F085778-0622-4892-9B9A-DC3D85A8282B}"/>
    <cellStyle name="Normal 8 2 3 2 5 2 5" xfId="12452" xr:uid="{3E862B17-92C0-4E0D-A382-0A99E0483972}"/>
    <cellStyle name="Normal 8 2 3 2 5 3" xfId="6096" xr:uid="{00000000-0005-0000-0000-0000B31C0000}"/>
    <cellStyle name="Normal 8 2 3 2 5 3 2" xfId="18729" xr:uid="{FE189433-CC32-4FBC-A270-76154F0B4825}"/>
    <cellStyle name="Normal 8 2 3 2 5 4" xfId="14518" xr:uid="{A11B5E8A-185A-4B04-95CE-312DE2AB3D6B}"/>
    <cellStyle name="Normal 8 2 3 2 5 5" xfId="23768" xr:uid="{4DC70A49-F82A-4B4F-90C7-08363ACCE006}"/>
    <cellStyle name="Normal 8 2 3 2 5 6" xfId="10307" xr:uid="{F5ACE99B-C107-4264-AEC9-E11E8D2BACEB}"/>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21287" xr:uid="{CA2C1497-80A6-456B-9CB6-DB003E1D0AB1}"/>
    <cellStyle name="Normal 8 2 3 2 6 2 3" xfId="17076" xr:uid="{66EAFFFE-1AE3-4894-89FD-3B204489D341}"/>
    <cellStyle name="Normal 8 2 3 2 6 2 4" xfId="26326" xr:uid="{56601F02-1AA4-4C68-AA17-31D208018C55}"/>
    <cellStyle name="Normal 8 2 3 2 6 2 5" xfId="12865" xr:uid="{85675176-FF65-4DFF-B65B-2EF5838F70A1}"/>
    <cellStyle name="Normal 8 2 3 2 6 3" xfId="6509" xr:uid="{00000000-0005-0000-0000-0000B71C0000}"/>
    <cellStyle name="Normal 8 2 3 2 6 3 2" xfId="19142" xr:uid="{9236316A-6D1C-40DB-8394-A4DC0498CDE2}"/>
    <cellStyle name="Normal 8 2 3 2 6 4" xfId="14931" xr:uid="{212D6799-5CA2-4D47-9427-761930087E54}"/>
    <cellStyle name="Normal 8 2 3 2 6 5" xfId="24181" xr:uid="{88E27D6E-9C1D-4588-85EC-612481CBA190}"/>
    <cellStyle name="Normal 8 2 3 2 6 6" xfId="10720" xr:uid="{0C1B3DAB-796F-48FD-9329-22C3234E5205}"/>
    <cellStyle name="Normal 8 2 3 2 7" xfId="2637" xr:uid="{00000000-0005-0000-0000-0000B81C0000}"/>
    <cellStyle name="Normal 8 2 3 2 7 2" xfId="6922" xr:uid="{00000000-0005-0000-0000-0000B91C0000}"/>
    <cellStyle name="Normal 8 2 3 2 7 2 2" xfId="19555" xr:uid="{FCBBC1B6-9B6F-4547-AD1F-62E9F278CB49}"/>
    <cellStyle name="Normal 8 2 3 2 7 3" xfId="15344" xr:uid="{920A7563-AEC1-4254-A17C-65264A7AD1DB}"/>
    <cellStyle name="Normal 8 2 3 2 7 4" xfId="24594" xr:uid="{BE9D8A2C-E6CA-4589-8796-BA5D891C6809}"/>
    <cellStyle name="Normal 8 2 3 2 7 5" xfId="11133" xr:uid="{74F9747A-2137-4BCF-AFB8-EA0E43F87DF2}"/>
    <cellStyle name="Normal 8 2 3 2 8" xfId="4857" xr:uid="{00000000-0005-0000-0000-0000BA1C0000}"/>
    <cellStyle name="Normal 8 2 3 2 8 2" xfId="17490" xr:uid="{B8C6CF93-7759-47AB-95F9-FCE96C9342B8}"/>
    <cellStyle name="Normal 8 2 3 2 9" xfId="21700" xr:uid="{52BC2519-68C2-4CA4-AFA7-07EFDD5D853F}"/>
    <cellStyle name="Normal 8 2 3 3" xfId="491" xr:uid="{00000000-0005-0000-0000-0000BB1C0000}"/>
    <cellStyle name="Normal 8 2 3 3 10" xfId="22531" xr:uid="{527C3CF3-719B-43A0-B906-308A7A24E784}"/>
    <cellStyle name="Normal 8 2 3 3 11" xfId="9070" xr:uid="{7CF5DC53-7FA8-490F-B619-0E46A3154EF7}"/>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20050" xr:uid="{E3A27B42-9BA6-4FCF-B34A-5FAC3772200F}"/>
    <cellStyle name="Normal 8 2 3 3 2 2 3" xfId="15839" xr:uid="{73A7BF8F-6F94-4CF3-BE83-BA292547BB58}"/>
    <cellStyle name="Normal 8 2 3 3 2 2 4" xfId="25089" xr:uid="{88B2588D-E0F1-4CAE-AF20-92885F8B52B1}"/>
    <cellStyle name="Normal 8 2 3 3 2 2 5" xfId="11628" xr:uid="{F81BDFB3-8768-4ABD-BA40-2D40DB3FBDC3}"/>
    <cellStyle name="Normal 8 2 3 3 2 3" xfId="5272" xr:uid="{00000000-0005-0000-0000-0000BF1C0000}"/>
    <cellStyle name="Normal 8 2 3 3 2 3 2" xfId="17905" xr:uid="{24AF22BA-336A-4539-AF6C-4E440ED29344}"/>
    <cellStyle name="Normal 8 2 3 3 2 4" xfId="22117" xr:uid="{A7DF3E9D-6B50-427B-AB7C-3F42B8C22ED4}"/>
    <cellStyle name="Normal 8 2 3 3 2 5" xfId="13694" xr:uid="{47C18B83-5ABD-4804-A92B-6BED5F8B785E}"/>
    <cellStyle name="Normal 8 2 3 3 2 6" xfId="22944" xr:uid="{9DD7B800-193B-4B3C-8F4D-A4EC8FCF7C16}"/>
    <cellStyle name="Normal 8 2 3 3 2 7" xfId="9483" xr:uid="{CDFCE28C-7694-4DDC-AD67-0633B3E18E07}"/>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20463" xr:uid="{20CAF60C-C2FA-4DCA-AD3B-F3BFF48D8831}"/>
    <cellStyle name="Normal 8 2 3 3 3 2 3" xfId="16252" xr:uid="{EE4CFD9A-18AC-4EDE-ADEF-6445EEC1AA2A}"/>
    <cellStyle name="Normal 8 2 3 3 3 2 4" xfId="25502" xr:uid="{12157511-27B7-4FCB-9721-BBC7DD20E76C}"/>
    <cellStyle name="Normal 8 2 3 3 3 2 5" xfId="12041" xr:uid="{782550F0-58F7-4917-B5C5-EEF4901D25E5}"/>
    <cellStyle name="Normal 8 2 3 3 3 3" xfId="5685" xr:uid="{00000000-0005-0000-0000-0000C31C0000}"/>
    <cellStyle name="Normal 8 2 3 3 3 3 2" xfId="18318" xr:uid="{B706D095-9717-4A97-801A-45B00F3AE7EC}"/>
    <cellStyle name="Normal 8 2 3 3 3 4" xfId="14107" xr:uid="{230D89F6-DEE2-4BE8-B258-200B0FD6F523}"/>
    <cellStyle name="Normal 8 2 3 3 3 5" xfId="23357" xr:uid="{8737FD26-6600-4CFD-885C-C7E82205FFEE}"/>
    <cellStyle name="Normal 8 2 3 3 3 6" xfId="9896" xr:uid="{1118F270-5E0B-4960-959E-97C67660D1B9}"/>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20876" xr:uid="{6FC8BEF1-1562-4E9E-A7A2-A55C9E8AB45D}"/>
    <cellStyle name="Normal 8 2 3 3 4 2 3" xfId="16665" xr:uid="{56E03D3B-BCB0-41F3-B42A-A943EA258896}"/>
    <cellStyle name="Normal 8 2 3 3 4 2 4" xfId="25915" xr:uid="{53B27613-9C1C-41EC-8221-539E364900FF}"/>
    <cellStyle name="Normal 8 2 3 3 4 2 5" xfId="12454" xr:uid="{CA632D66-8A79-483F-9710-65E2CE046A1B}"/>
    <cellStyle name="Normal 8 2 3 3 4 3" xfId="6098" xr:uid="{00000000-0005-0000-0000-0000C71C0000}"/>
    <cellStyle name="Normal 8 2 3 3 4 3 2" xfId="18731" xr:uid="{4EACD596-CE11-4363-B066-F8DD32269386}"/>
    <cellStyle name="Normal 8 2 3 3 4 4" xfId="14520" xr:uid="{FEEA2302-E3C7-43E2-8613-AA16B07B8C1A}"/>
    <cellStyle name="Normal 8 2 3 3 4 5" xfId="23770" xr:uid="{3156C369-E546-453F-94E1-28A50E0CA99D}"/>
    <cellStyle name="Normal 8 2 3 3 4 6" xfId="10309" xr:uid="{D84AD80E-5EF6-4EF5-AC75-B50587C4FB1C}"/>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21289" xr:uid="{BAF8E130-7DA7-4EF3-A331-461705E7F4FA}"/>
    <cellStyle name="Normal 8 2 3 3 5 2 3" xfId="17078" xr:uid="{13E8B504-6FC5-4887-8061-E849317DCEA9}"/>
    <cellStyle name="Normal 8 2 3 3 5 2 4" xfId="26328" xr:uid="{750A6C35-C1A2-4A2E-BC4D-E674A3693E35}"/>
    <cellStyle name="Normal 8 2 3 3 5 2 5" xfId="12867" xr:uid="{650F3BAB-9184-4B64-9D5C-8529C3046998}"/>
    <cellStyle name="Normal 8 2 3 3 5 3" xfId="6511" xr:uid="{00000000-0005-0000-0000-0000CB1C0000}"/>
    <cellStyle name="Normal 8 2 3 3 5 3 2" xfId="19144" xr:uid="{78726EA7-1C3D-4D21-A8C8-FDB9506F5E12}"/>
    <cellStyle name="Normal 8 2 3 3 5 4" xfId="14933" xr:uid="{8375FA6D-FA89-4A92-926E-0F5F8D057F0E}"/>
    <cellStyle name="Normal 8 2 3 3 5 5" xfId="24183" xr:uid="{6DF84311-68E0-43B3-BD1D-41ADBE32D54F}"/>
    <cellStyle name="Normal 8 2 3 3 5 6" xfId="10722" xr:uid="{8056189E-80C4-4E72-B25E-13EE4FE27ADD}"/>
    <cellStyle name="Normal 8 2 3 3 6" xfId="2639" xr:uid="{00000000-0005-0000-0000-0000CC1C0000}"/>
    <cellStyle name="Normal 8 2 3 3 6 2" xfId="6924" xr:uid="{00000000-0005-0000-0000-0000CD1C0000}"/>
    <cellStyle name="Normal 8 2 3 3 6 2 2" xfId="19557" xr:uid="{DDA7F71C-138A-43FD-AB79-E56E11999424}"/>
    <cellStyle name="Normal 8 2 3 3 6 3" xfId="15346" xr:uid="{BD87AA22-4897-4D1E-9CCF-9E88E8BEE14E}"/>
    <cellStyle name="Normal 8 2 3 3 6 4" xfId="24596" xr:uid="{34E935FE-D228-44AF-858D-BDEB25ACB74C}"/>
    <cellStyle name="Normal 8 2 3 3 6 5" xfId="11135" xr:uid="{8FFF6BA2-F900-4FB0-BB16-274EF8B02BD9}"/>
    <cellStyle name="Normal 8 2 3 3 7" xfId="4859" xr:uid="{00000000-0005-0000-0000-0000CE1C0000}"/>
    <cellStyle name="Normal 8 2 3 3 7 2" xfId="17492" xr:uid="{E1F36094-4EB0-4776-9B7D-E82446E9B871}"/>
    <cellStyle name="Normal 8 2 3 3 8" xfId="21702" xr:uid="{FC6533D8-7886-42AA-B8B8-CA623F778EC2}"/>
    <cellStyle name="Normal 8 2 3 3 9" xfId="13281" xr:uid="{3787C149-E2A0-46AF-B6E4-5332DE4367AD}"/>
    <cellStyle name="Normal 8 2 3 4" xfId="956" xr:uid="{00000000-0005-0000-0000-0000CF1C0000}"/>
    <cellStyle name="Normal 8 2 3 4 2" xfId="3190" xr:uid="{00000000-0005-0000-0000-0000D01C0000}"/>
    <cellStyle name="Normal 8 2 3 4 2 2" xfId="7414" xr:uid="{00000000-0005-0000-0000-0000D11C0000}"/>
    <cellStyle name="Normal 8 2 3 4 2 2 2" xfId="20047" xr:uid="{AD204FA0-41E0-4292-953D-E2CD7BC8E862}"/>
    <cellStyle name="Normal 8 2 3 4 2 3" xfId="15836" xr:uid="{F995B683-8A53-4689-8391-4B3E6BB12BC7}"/>
    <cellStyle name="Normal 8 2 3 4 2 4" xfId="25086" xr:uid="{D699B68D-C9F7-404C-9AA1-70D6183EB258}"/>
    <cellStyle name="Normal 8 2 3 4 2 5" xfId="11625" xr:uid="{FB7FFDEF-DE7A-4E80-BEFD-B9BA9C470F29}"/>
    <cellStyle name="Normal 8 2 3 4 3" xfId="5269" xr:uid="{00000000-0005-0000-0000-0000D21C0000}"/>
    <cellStyle name="Normal 8 2 3 4 3 2" xfId="17902" xr:uid="{52AC6727-A06B-4D6D-8FEB-20C210B28726}"/>
    <cellStyle name="Normal 8 2 3 4 4" xfId="22114" xr:uid="{E9B52CEF-340C-4839-8AEE-93B268F7FC45}"/>
    <cellStyle name="Normal 8 2 3 4 5" xfId="13691" xr:uid="{9673AA87-BC6D-411B-AAC2-AEEDB6B103AC}"/>
    <cellStyle name="Normal 8 2 3 4 6" xfId="22941" xr:uid="{CDD612D9-6078-45F0-8FE2-6929FA7E5CCA}"/>
    <cellStyle name="Normal 8 2 3 4 7" xfId="9480" xr:uid="{A98AF991-AB46-4418-BB83-F4588F7E6CDC}"/>
    <cellStyle name="Normal 8 2 3 5" xfId="1373" xr:uid="{00000000-0005-0000-0000-0000D31C0000}"/>
    <cellStyle name="Normal 8 2 3 5 2" xfId="3603" xr:uid="{00000000-0005-0000-0000-0000D41C0000}"/>
    <cellStyle name="Normal 8 2 3 5 2 2" xfId="7827" xr:uid="{00000000-0005-0000-0000-0000D51C0000}"/>
    <cellStyle name="Normal 8 2 3 5 2 2 2" xfId="20460" xr:uid="{2743E1B6-59E6-4BE8-8853-E5D9B2576A84}"/>
    <cellStyle name="Normal 8 2 3 5 2 3" xfId="16249" xr:uid="{3EDE1A5C-0EFB-4CE7-B428-8C88043A2904}"/>
    <cellStyle name="Normal 8 2 3 5 2 4" xfId="25499" xr:uid="{3C528CEE-56E3-4D02-86FB-F0E557AE9CDE}"/>
    <cellStyle name="Normal 8 2 3 5 2 5" xfId="12038" xr:uid="{82B8FE9F-0A13-45A8-A5B8-996D3D137EAB}"/>
    <cellStyle name="Normal 8 2 3 5 3" xfId="5682" xr:uid="{00000000-0005-0000-0000-0000D61C0000}"/>
    <cellStyle name="Normal 8 2 3 5 3 2" xfId="18315" xr:uid="{182185D7-CE65-424F-9DDD-0C990F91F41C}"/>
    <cellStyle name="Normal 8 2 3 5 4" xfId="14104" xr:uid="{912202C4-03D1-4FBA-ACEB-2307D6E7E151}"/>
    <cellStyle name="Normal 8 2 3 5 5" xfId="23354" xr:uid="{991189BA-3C3C-4FBD-8F87-00A567E6D0C3}"/>
    <cellStyle name="Normal 8 2 3 5 6" xfId="9893" xr:uid="{6F3F6523-48A3-4FC5-B29D-B4DA10FB49EE}"/>
    <cellStyle name="Normal 8 2 3 6" xfId="1786" xr:uid="{00000000-0005-0000-0000-0000D71C0000}"/>
    <cellStyle name="Normal 8 2 3 6 2" xfId="4016" xr:uid="{00000000-0005-0000-0000-0000D81C0000}"/>
    <cellStyle name="Normal 8 2 3 6 2 2" xfId="8240" xr:uid="{00000000-0005-0000-0000-0000D91C0000}"/>
    <cellStyle name="Normal 8 2 3 6 2 2 2" xfId="20873" xr:uid="{10E7449C-C42D-4022-8857-EFAD858CF074}"/>
    <cellStyle name="Normal 8 2 3 6 2 3" xfId="16662" xr:uid="{2D339BB1-E123-4135-81D4-12016C6194ED}"/>
    <cellStyle name="Normal 8 2 3 6 2 4" xfId="25912" xr:uid="{19AF5AEC-35B9-44F1-9976-EEBAE1EF8852}"/>
    <cellStyle name="Normal 8 2 3 6 2 5" xfId="12451" xr:uid="{65DE3931-1FEE-4105-8711-E467DC5E46C1}"/>
    <cellStyle name="Normal 8 2 3 6 3" xfId="6095" xr:uid="{00000000-0005-0000-0000-0000DA1C0000}"/>
    <cellStyle name="Normal 8 2 3 6 3 2" xfId="18728" xr:uid="{EEDD4805-C09A-4365-85BE-E5A932340AC1}"/>
    <cellStyle name="Normal 8 2 3 6 4" xfId="14517" xr:uid="{58373120-8E94-45B3-806E-7995A17D617C}"/>
    <cellStyle name="Normal 8 2 3 6 5" xfId="23767" xr:uid="{366E1F79-E544-45C1-9C8D-E06FE0B314D7}"/>
    <cellStyle name="Normal 8 2 3 6 6" xfId="10306" xr:uid="{436B1C7D-4066-4F37-BAE5-1F13A2786D66}"/>
    <cellStyle name="Normal 8 2 3 7" xfId="2200" xr:uid="{00000000-0005-0000-0000-0000DB1C0000}"/>
    <cellStyle name="Normal 8 2 3 7 2" xfId="4429" xr:uid="{00000000-0005-0000-0000-0000DC1C0000}"/>
    <cellStyle name="Normal 8 2 3 7 2 2" xfId="8653" xr:uid="{00000000-0005-0000-0000-0000DD1C0000}"/>
    <cellStyle name="Normal 8 2 3 7 2 2 2" xfId="21286" xr:uid="{04F50579-D371-4A92-8526-27FAFBC76256}"/>
    <cellStyle name="Normal 8 2 3 7 2 3" xfId="17075" xr:uid="{CCE84096-960A-4BB2-A984-B16290BDB333}"/>
    <cellStyle name="Normal 8 2 3 7 2 4" xfId="26325" xr:uid="{15AC8825-17F0-41F9-AE85-768FF769076F}"/>
    <cellStyle name="Normal 8 2 3 7 2 5" xfId="12864" xr:uid="{674E81F6-D5A8-438D-A0DD-4F555213CA01}"/>
    <cellStyle name="Normal 8 2 3 7 3" xfId="6508" xr:uid="{00000000-0005-0000-0000-0000DE1C0000}"/>
    <cellStyle name="Normal 8 2 3 7 3 2" xfId="19141" xr:uid="{7801F4C8-CB5D-413F-9E62-F832483E996D}"/>
    <cellStyle name="Normal 8 2 3 7 4" xfId="14930" xr:uid="{E26A884C-B387-4E7C-91F3-6B6A15689B60}"/>
    <cellStyle name="Normal 8 2 3 7 5" xfId="24180" xr:uid="{38C204F0-7BD5-4841-A108-A17D60A96474}"/>
    <cellStyle name="Normal 8 2 3 7 6" xfId="10719" xr:uid="{4FCC278B-32C2-4385-9334-FBA8A08E4ABE}"/>
    <cellStyle name="Normal 8 2 3 8" xfId="2636" xr:uid="{00000000-0005-0000-0000-0000DF1C0000}"/>
    <cellStyle name="Normal 8 2 3 8 2" xfId="6921" xr:uid="{00000000-0005-0000-0000-0000E01C0000}"/>
    <cellStyle name="Normal 8 2 3 8 2 2" xfId="19554" xr:uid="{EAA8FCF7-28A1-426A-89DB-8978FF487D1C}"/>
    <cellStyle name="Normal 8 2 3 8 3" xfId="15343" xr:uid="{8B8EFECD-10EE-4EE4-8B15-69FDBCBE01F6}"/>
    <cellStyle name="Normal 8 2 3 8 4" xfId="24593" xr:uid="{67BBFB59-7855-444F-8B92-9DD0E8E83716}"/>
    <cellStyle name="Normal 8 2 3 8 5" xfId="11132" xr:uid="{2B4D7E2F-705C-4815-96D5-F757670D9B38}"/>
    <cellStyle name="Normal 8 2 3 9" xfId="4856" xr:uid="{00000000-0005-0000-0000-0000E11C0000}"/>
    <cellStyle name="Normal 8 2 3 9 2" xfId="17489" xr:uid="{D4A022F5-8407-4A43-B647-69CA5496D7B8}"/>
    <cellStyle name="Normal 8 2 4" xfId="492" xr:uid="{00000000-0005-0000-0000-0000E21C0000}"/>
    <cellStyle name="Normal 8 2 4 10" xfId="13282" xr:uid="{81844339-4B22-4592-A6A3-74069CD464BB}"/>
    <cellStyle name="Normal 8 2 4 11" xfId="22532" xr:uid="{9111386F-7F59-4D7A-93F1-887FB1F7172B}"/>
    <cellStyle name="Normal 8 2 4 12" xfId="9071" xr:uid="{19EF84A2-3185-4D3E-8818-C5BEA4324952}"/>
    <cellStyle name="Normal 8 2 4 2" xfId="493" xr:uid="{00000000-0005-0000-0000-0000E31C0000}"/>
    <cellStyle name="Normal 8 2 4 2 10" xfId="22533" xr:uid="{F8F2F2DD-67ED-49AC-AE20-D2746DB176DB}"/>
    <cellStyle name="Normal 8 2 4 2 11" xfId="9072" xr:uid="{4F02E8DE-763F-4A13-AD26-0297CE3B3A8C}"/>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20052" xr:uid="{0E7172AA-9D8C-4574-A7A5-17113250290B}"/>
    <cellStyle name="Normal 8 2 4 2 2 2 3" xfId="15841" xr:uid="{3BC561F2-76F0-45BC-B6C1-9002EFBCEA6E}"/>
    <cellStyle name="Normal 8 2 4 2 2 2 4" xfId="25091" xr:uid="{B76B63DA-03A0-4D83-B171-BBD85E9DCC46}"/>
    <cellStyle name="Normal 8 2 4 2 2 2 5" xfId="11630" xr:uid="{388A02E3-7C0C-41DA-BD9F-2C814F5A17F7}"/>
    <cellStyle name="Normal 8 2 4 2 2 3" xfId="5274" xr:uid="{00000000-0005-0000-0000-0000E71C0000}"/>
    <cellStyle name="Normal 8 2 4 2 2 3 2" xfId="17907" xr:uid="{2FCD9D77-0A23-47FF-B680-C5A20D65E8AC}"/>
    <cellStyle name="Normal 8 2 4 2 2 4" xfId="22119" xr:uid="{7A853C92-B23F-4FB9-9B89-E19B90D45208}"/>
    <cellStyle name="Normal 8 2 4 2 2 5" xfId="13696" xr:uid="{0F50F6A5-C5A2-487F-A07D-F84A2354E91E}"/>
    <cellStyle name="Normal 8 2 4 2 2 6" xfId="22946" xr:uid="{E2F16EC3-182B-43AD-BD57-32D0F7FD4FC2}"/>
    <cellStyle name="Normal 8 2 4 2 2 7" xfId="9485" xr:uid="{8A10E597-C85A-4731-B409-C6BBE8D33871}"/>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20465" xr:uid="{624E67E6-B694-44AA-B7AD-04502795EDC3}"/>
    <cellStyle name="Normal 8 2 4 2 3 2 3" xfId="16254" xr:uid="{9D2A9C9D-4E9D-445C-B10F-D7C12FD3BD2C}"/>
    <cellStyle name="Normal 8 2 4 2 3 2 4" xfId="25504" xr:uid="{0EA9E42F-739C-413D-9C43-68F48A85EFC9}"/>
    <cellStyle name="Normal 8 2 4 2 3 2 5" xfId="12043" xr:uid="{8FAAB0FA-526C-402B-A610-35333D249566}"/>
    <cellStyle name="Normal 8 2 4 2 3 3" xfId="5687" xr:uid="{00000000-0005-0000-0000-0000EB1C0000}"/>
    <cellStyle name="Normal 8 2 4 2 3 3 2" xfId="18320" xr:uid="{D9F3ADCC-60C4-4F31-82C9-0C78E1D2A542}"/>
    <cellStyle name="Normal 8 2 4 2 3 4" xfId="14109" xr:uid="{4BABE0AF-7152-445B-A15A-E9D46C03D24B}"/>
    <cellStyle name="Normal 8 2 4 2 3 5" xfId="23359" xr:uid="{F4C79184-B6BB-4992-BA74-4C2543AF6E48}"/>
    <cellStyle name="Normal 8 2 4 2 3 6" xfId="9898" xr:uid="{B3528A9C-0623-4DB9-9FA6-90849F39E868}"/>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20878" xr:uid="{B3B328CA-444B-4692-A4D6-5A8E86582DC6}"/>
    <cellStyle name="Normal 8 2 4 2 4 2 3" xfId="16667" xr:uid="{099C176B-FE88-46D6-9D3F-F544923BF33D}"/>
    <cellStyle name="Normal 8 2 4 2 4 2 4" xfId="25917" xr:uid="{12755691-0FFF-46BD-9A3B-88453A0B2C54}"/>
    <cellStyle name="Normal 8 2 4 2 4 2 5" xfId="12456" xr:uid="{D3104D2A-1446-438D-B8D4-2E3F68854F72}"/>
    <cellStyle name="Normal 8 2 4 2 4 3" xfId="6100" xr:uid="{00000000-0005-0000-0000-0000EF1C0000}"/>
    <cellStyle name="Normal 8 2 4 2 4 3 2" xfId="18733" xr:uid="{2DCBE556-A2BF-4A94-881F-1E5C811462BE}"/>
    <cellStyle name="Normal 8 2 4 2 4 4" xfId="14522" xr:uid="{1DEB0104-8A97-484B-BFBD-6DA6A8E5CBBA}"/>
    <cellStyle name="Normal 8 2 4 2 4 5" xfId="23772" xr:uid="{A4BBE860-6E76-42F1-B33D-5F503BD6DE2B}"/>
    <cellStyle name="Normal 8 2 4 2 4 6" xfId="10311" xr:uid="{D84F2395-A980-484B-B1CC-B4D39071806E}"/>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21291" xr:uid="{FC861335-C439-4CE5-9008-27EEFE458CDB}"/>
    <cellStyle name="Normal 8 2 4 2 5 2 3" xfId="17080" xr:uid="{AF36473C-9D0B-4D9E-BA0E-B1E892EA663C}"/>
    <cellStyle name="Normal 8 2 4 2 5 2 4" xfId="26330" xr:uid="{FDC8973B-764E-45D6-9CE6-D04717957B5F}"/>
    <cellStyle name="Normal 8 2 4 2 5 2 5" xfId="12869" xr:uid="{E8720E61-D4A0-45E6-ABCC-93FEFD4B882F}"/>
    <cellStyle name="Normal 8 2 4 2 5 3" xfId="6513" xr:uid="{00000000-0005-0000-0000-0000F31C0000}"/>
    <cellStyle name="Normal 8 2 4 2 5 3 2" xfId="19146" xr:uid="{E83B44CE-FD84-48CF-AD0F-F5013E2D9850}"/>
    <cellStyle name="Normal 8 2 4 2 5 4" xfId="14935" xr:uid="{896FF532-4CEF-4A95-BF88-10B70530DE6D}"/>
    <cellStyle name="Normal 8 2 4 2 5 5" xfId="24185" xr:uid="{D126B95D-AE42-4D99-8F6F-12F0AB6C48C7}"/>
    <cellStyle name="Normal 8 2 4 2 5 6" xfId="10724" xr:uid="{D03F841C-6B52-4E93-8773-D2D8A509DAA1}"/>
    <cellStyle name="Normal 8 2 4 2 6" xfId="2641" xr:uid="{00000000-0005-0000-0000-0000F41C0000}"/>
    <cellStyle name="Normal 8 2 4 2 6 2" xfId="6926" xr:uid="{00000000-0005-0000-0000-0000F51C0000}"/>
    <cellStyle name="Normal 8 2 4 2 6 2 2" xfId="19559" xr:uid="{7AF3AA95-7F05-47D8-8111-4F0B34BB41F2}"/>
    <cellStyle name="Normal 8 2 4 2 6 3" xfId="15348" xr:uid="{5E7BC7AD-B26C-4748-B0D0-8E1C023699E3}"/>
    <cellStyle name="Normal 8 2 4 2 6 4" xfId="24598" xr:uid="{30147172-E60F-48B9-8FFE-A87F261246CF}"/>
    <cellStyle name="Normal 8 2 4 2 6 5" xfId="11137" xr:uid="{87C2A8F2-28B7-4B16-9224-CED74D6AA0CC}"/>
    <cellStyle name="Normal 8 2 4 2 7" xfId="4861" xr:uid="{00000000-0005-0000-0000-0000F61C0000}"/>
    <cellStyle name="Normal 8 2 4 2 7 2" xfId="17494" xr:uid="{FA9B8809-11D3-4573-B410-630481193485}"/>
    <cellStyle name="Normal 8 2 4 2 8" xfId="21704" xr:uid="{8E95BA3E-A02D-4E8E-B036-C52534A3452F}"/>
    <cellStyle name="Normal 8 2 4 2 9" xfId="13283" xr:uid="{E384AADC-3578-418B-94EF-C1D83CC50440}"/>
    <cellStyle name="Normal 8 2 4 3" xfId="960" xr:uid="{00000000-0005-0000-0000-0000F71C0000}"/>
    <cellStyle name="Normal 8 2 4 3 2" xfId="3194" xr:uid="{00000000-0005-0000-0000-0000F81C0000}"/>
    <cellStyle name="Normal 8 2 4 3 2 2" xfId="7418" xr:uid="{00000000-0005-0000-0000-0000F91C0000}"/>
    <cellStyle name="Normal 8 2 4 3 2 2 2" xfId="20051" xr:uid="{1BAC6103-231D-47E8-926D-2ADF111EB72D}"/>
    <cellStyle name="Normal 8 2 4 3 2 3" xfId="15840" xr:uid="{3B305985-B56F-4556-8F55-584FE82721D0}"/>
    <cellStyle name="Normal 8 2 4 3 2 4" xfId="25090" xr:uid="{1DB04F6C-FE29-487B-9F16-BFA03BBF6F3A}"/>
    <cellStyle name="Normal 8 2 4 3 2 5" xfId="11629" xr:uid="{F6DA884E-406C-47F9-8977-8C3907A9E03D}"/>
    <cellStyle name="Normal 8 2 4 3 3" xfId="5273" xr:uid="{00000000-0005-0000-0000-0000FA1C0000}"/>
    <cellStyle name="Normal 8 2 4 3 3 2" xfId="17906" xr:uid="{ED73DD69-ED7F-48E5-B764-5BB5698C802C}"/>
    <cellStyle name="Normal 8 2 4 3 4" xfId="22118" xr:uid="{3EDE5847-59F8-4EB2-BC3E-DB2F04363101}"/>
    <cellStyle name="Normal 8 2 4 3 5" xfId="13695" xr:uid="{164B8F70-0505-455B-B351-E0DA75E59BD7}"/>
    <cellStyle name="Normal 8 2 4 3 6" xfId="22945" xr:uid="{3DEEF565-A338-41C9-90D7-B178BB23449C}"/>
    <cellStyle name="Normal 8 2 4 3 7" xfId="9484" xr:uid="{46F8C648-201F-4942-A885-668324AE0D24}"/>
    <cellStyle name="Normal 8 2 4 4" xfId="1377" xr:uid="{00000000-0005-0000-0000-0000FB1C0000}"/>
    <cellStyle name="Normal 8 2 4 4 2" xfId="3607" xr:uid="{00000000-0005-0000-0000-0000FC1C0000}"/>
    <cellStyle name="Normal 8 2 4 4 2 2" xfId="7831" xr:uid="{00000000-0005-0000-0000-0000FD1C0000}"/>
    <cellStyle name="Normal 8 2 4 4 2 2 2" xfId="20464" xr:uid="{09F14DF4-1E05-46BE-B725-978153A39A44}"/>
    <cellStyle name="Normal 8 2 4 4 2 3" xfId="16253" xr:uid="{18A316FF-1E0B-4B31-B9E1-06FDAF6F64DF}"/>
    <cellStyle name="Normal 8 2 4 4 2 4" xfId="25503" xr:uid="{A9228F90-0FBD-4B90-AFBD-E0E76DD420AB}"/>
    <cellStyle name="Normal 8 2 4 4 2 5" xfId="12042" xr:uid="{629C89E7-65C8-471F-910B-DE243319A674}"/>
    <cellStyle name="Normal 8 2 4 4 3" xfId="5686" xr:uid="{00000000-0005-0000-0000-0000FE1C0000}"/>
    <cellStyle name="Normal 8 2 4 4 3 2" xfId="18319" xr:uid="{68BD373E-00C7-466F-A309-FB8E8F149416}"/>
    <cellStyle name="Normal 8 2 4 4 4" xfId="14108" xr:uid="{1D383DAF-A363-47D7-A322-AAA663F4F0EC}"/>
    <cellStyle name="Normal 8 2 4 4 5" xfId="23358" xr:uid="{2C851C13-1386-4116-8915-8B6AEF094037}"/>
    <cellStyle name="Normal 8 2 4 4 6" xfId="9897" xr:uid="{0533594D-AFDF-4C71-BB8B-649C71B786EA}"/>
    <cellStyle name="Normal 8 2 4 5" xfId="1790" xr:uid="{00000000-0005-0000-0000-0000FF1C0000}"/>
    <cellStyle name="Normal 8 2 4 5 2" xfId="4020" xr:uid="{00000000-0005-0000-0000-0000001D0000}"/>
    <cellStyle name="Normal 8 2 4 5 2 2" xfId="8244" xr:uid="{00000000-0005-0000-0000-0000011D0000}"/>
    <cellStyle name="Normal 8 2 4 5 2 2 2" xfId="20877" xr:uid="{6710881E-4357-4922-8F71-285B3C049A79}"/>
    <cellStyle name="Normal 8 2 4 5 2 3" xfId="16666" xr:uid="{6FA42AEE-B1E4-4ED3-AD34-3EF50591AF61}"/>
    <cellStyle name="Normal 8 2 4 5 2 4" xfId="25916" xr:uid="{C8501F2F-38B2-42FC-97C3-680F1A0B84C4}"/>
    <cellStyle name="Normal 8 2 4 5 2 5" xfId="12455" xr:uid="{273FFD04-2B3B-4252-9E58-C645E4B4407C}"/>
    <cellStyle name="Normal 8 2 4 5 3" xfId="6099" xr:uid="{00000000-0005-0000-0000-0000021D0000}"/>
    <cellStyle name="Normal 8 2 4 5 3 2" xfId="18732" xr:uid="{62FA2CE3-9F3E-4511-ACCF-071C21F102CB}"/>
    <cellStyle name="Normal 8 2 4 5 4" xfId="14521" xr:uid="{B717EDD8-1938-4BB1-8448-78EFD7918CEC}"/>
    <cellStyle name="Normal 8 2 4 5 5" xfId="23771" xr:uid="{685B9426-8796-4A45-A0C4-A279DF1CC524}"/>
    <cellStyle name="Normal 8 2 4 5 6" xfId="10310" xr:uid="{8B6F7A34-54AC-4594-9504-849A9FDA5C51}"/>
    <cellStyle name="Normal 8 2 4 6" xfId="2204" xr:uid="{00000000-0005-0000-0000-0000031D0000}"/>
    <cellStyle name="Normal 8 2 4 6 2" xfId="4433" xr:uid="{00000000-0005-0000-0000-0000041D0000}"/>
    <cellStyle name="Normal 8 2 4 6 2 2" xfId="8657" xr:uid="{00000000-0005-0000-0000-0000051D0000}"/>
    <cellStyle name="Normal 8 2 4 6 2 2 2" xfId="21290" xr:uid="{723A9B8F-E3CA-4DCA-AB7E-71A0A81B906E}"/>
    <cellStyle name="Normal 8 2 4 6 2 3" xfId="17079" xr:uid="{453B241C-51DC-45DE-8FBB-E45BE3704BA4}"/>
    <cellStyle name="Normal 8 2 4 6 2 4" xfId="26329" xr:uid="{34025380-E8E0-4CDE-8776-ABB1C09E109A}"/>
    <cellStyle name="Normal 8 2 4 6 2 5" xfId="12868" xr:uid="{17638E27-74A4-41AE-BB61-3E5F82EBE4F7}"/>
    <cellStyle name="Normal 8 2 4 6 3" xfId="6512" xr:uid="{00000000-0005-0000-0000-0000061D0000}"/>
    <cellStyle name="Normal 8 2 4 6 3 2" xfId="19145" xr:uid="{E1F6E7A0-ED58-4D9B-880D-85B31AB3E3A3}"/>
    <cellStyle name="Normal 8 2 4 6 4" xfId="14934" xr:uid="{4D3EA7ED-B2EB-478E-8184-99F98EB3D4B6}"/>
    <cellStyle name="Normal 8 2 4 6 5" xfId="24184" xr:uid="{BE4F2A41-5A59-4471-8DDA-0E6EA19C8001}"/>
    <cellStyle name="Normal 8 2 4 6 6" xfId="10723" xr:uid="{671BB738-B649-44F5-87FD-0B058874D279}"/>
    <cellStyle name="Normal 8 2 4 7" xfId="2640" xr:uid="{00000000-0005-0000-0000-0000071D0000}"/>
    <cellStyle name="Normal 8 2 4 7 2" xfId="6925" xr:uid="{00000000-0005-0000-0000-0000081D0000}"/>
    <cellStyle name="Normal 8 2 4 7 2 2" xfId="19558" xr:uid="{C36D50EF-5F9E-4941-A787-6CDF91CCD5DF}"/>
    <cellStyle name="Normal 8 2 4 7 3" xfId="15347" xr:uid="{D2E8FCD7-CBB5-4D8A-B2F1-DC12CA585111}"/>
    <cellStyle name="Normal 8 2 4 7 4" xfId="24597" xr:uid="{1B259DFF-90B0-40C1-A27F-C5991D630F00}"/>
    <cellStyle name="Normal 8 2 4 7 5" xfId="11136" xr:uid="{5BB84F8E-F18A-4995-A148-4F7B2BBEEAD8}"/>
    <cellStyle name="Normal 8 2 4 8" xfId="4860" xr:uid="{00000000-0005-0000-0000-0000091D0000}"/>
    <cellStyle name="Normal 8 2 4 8 2" xfId="17493" xr:uid="{DE1B127E-C01D-46CC-B778-EA38F14E24F6}"/>
    <cellStyle name="Normal 8 2 4 9" xfId="21703" xr:uid="{759E635D-22D8-481E-ACED-8F0E21839534}"/>
    <cellStyle name="Normal 8 2 5" xfId="494" xr:uid="{00000000-0005-0000-0000-00000A1D0000}"/>
    <cellStyle name="Normal 8 2 5 10" xfId="22534" xr:uid="{07754CAB-49F8-4D30-8381-40E79A2CDB9F}"/>
    <cellStyle name="Normal 8 2 5 11" xfId="9073" xr:uid="{A62E0A70-DD56-43CE-8E80-73AC0918D0FE}"/>
    <cellStyle name="Normal 8 2 5 2" xfId="962" xr:uid="{00000000-0005-0000-0000-00000B1D0000}"/>
    <cellStyle name="Normal 8 2 5 2 2" xfId="3196" xr:uid="{00000000-0005-0000-0000-00000C1D0000}"/>
    <cellStyle name="Normal 8 2 5 2 2 2" xfId="7420" xr:uid="{00000000-0005-0000-0000-00000D1D0000}"/>
    <cellStyle name="Normal 8 2 5 2 2 2 2" xfId="20053" xr:uid="{5DEEE776-08C8-457F-A8E1-E3BD98007C62}"/>
    <cellStyle name="Normal 8 2 5 2 2 3" xfId="15842" xr:uid="{8425CC7D-1511-4650-830E-9B5BAC902E9E}"/>
    <cellStyle name="Normal 8 2 5 2 2 4" xfId="25092" xr:uid="{4E49841F-904C-479C-A9EF-AAC026F4CF48}"/>
    <cellStyle name="Normal 8 2 5 2 2 5" xfId="11631" xr:uid="{7ADAED27-07CC-45E6-AB44-FD29B969B58B}"/>
    <cellStyle name="Normal 8 2 5 2 3" xfId="5275" xr:uid="{00000000-0005-0000-0000-00000E1D0000}"/>
    <cellStyle name="Normal 8 2 5 2 3 2" xfId="17908" xr:uid="{2CACBFA6-0A3B-437B-A781-0038C04CDACD}"/>
    <cellStyle name="Normal 8 2 5 2 4" xfId="22120" xr:uid="{E615FA1F-78FA-4048-A4F1-81676179A179}"/>
    <cellStyle name="Normal 8 2 5 2 5" xfId="13697" xr:uid="{33CBAE60-38B7-4EFF-B4E1-DC4D199A3CE2}"/>
    <cellStyle name="Normal 8 2 5 2 6" xfId="22947" xr:uid="{F9A86220-5912-4276-A8B5-AA459B4F3160}"/>
    <cellStyle name="Normal 8 2 5 2 7" xfId="9486" xr:uid="{CE7E9329-FEE6-44C3-9B30-59495805B647}"/>
    <cellStyle name="Normal 8 2 5 3" xfId="1379" xr:uid="{00000000-0005-0000-0000-00000F1D0000}"/>
    <cellStyle name="Normal 8 2 5 3 2" xfId="3609" xr:uid="{00000000-0005-0000-0000-0000101D0000}"/>
    <cellStyle name="Normal 8 2 5 3 2 2" xfId="7833" xr:uid="{00000000-0005-0000-0000-0000111D0000}"/>
    <cellStyle name="Normal 8 2 5 3 2 2 2" xfId="20466" xr:uid="{C16D977D-042F-4618-9D11-65D76A00A5F2}"/>
    <cellStyle name="Normal 8 2 5 3 2 3" xfId="16255" xr:uid="{0B910756-BF76-4D76-8829-19C5A189A409}"/>
    <cellStyle name="Normal 8 2 5 3 2 4" xfId="25505" xr:uid="{DB4E2000-EE3A-47F1-8C8A-B6EA3A7FAE8C}"/>
    <cellStyle name="Normal 8 2 5 3 2 5" xfId="12044" xr:uid="{CA5C7A58-20DE-42C1-982B-5EEB6BBA5D12}"/>
    <cellStyle name="Normal 8 2 5 3 3" xfId="5688" xr:uid="{00000000-0005-0000-0000-0000121D0000}"/>
    <cellStyle name="Normal 8 2 5 3 3 2" xfId="18321" xr:uid="{88BBCE2F-84CA-4D80-86AC-F0BCFFCE9D47}"/>
    <cellStyle name="Normal 8 2 5 3 4" xfId="14110" xr:uid="{79C6B8B3-5316-45D7-B8FA-3C27DF0969B9}"/>
    <cellStyle name="Normal 8 2 5 3 5" xfId="23360" xr:uid="{A554D031-CB49-48F2-AC0A-D9595895743D}"/>
    <cellStyle name="Normal 8 2 5 3 6" xfId="9899" xr:uid="{10301DA3-D440-40AF-898A-E01737EC2ABE}"/>
    <cellStyle name="Normal 8 2 5 4" xfId="1792" xr:uid="{00000000-0005-0000-0000-0000131D0000}"/>
    <cellStyle name="Normal 8 2 5 4 2" xfId="4022" xr:uid="{00000000-0005-0000-0000-0000141D0000}"/>
    <cellStyle name="Normal 8 2 5 4 2 2" xfId="8246" xr:uid="{00000000-0005-0000-0000-0000151D0000}"/>
    <cellStyle name="Normal 8 2 5 4 2 2 2" xfId="20879" xr:uid="{46E9E048-AE2D-4DAC-BAEE-98C4DFEE993E}"/>
    <cellStyle name="Normal 8 2 5 4 2 3" xfId="16668" xr:uid="{4B3E55AF-EA1C-4B56-B716-D021F3790771}"/>
    <cellStyle name="Normal 8 2 5 4 2 4" xfId="25918" xr:uid="{CC84271F-3438-4555-B6F8-2B725F6E48E8}"/>
    <cellStyle name="Normal 8 2 5 4 2 5" xfId="12457" xr:uid="{D6F60DBF-AE23-471A-A6B6-6966C221C691}"/>
    <cellStyle name="Normal 8 2 5 4 3" xfId="6101" xr:uid="{00000000-0005-0000-0000-0000161D0000}"/>
    <cellStyle name="Normal 8 2 5 4 3 2" xfId="18734" xr:uid="{F1C18082-2E59-451A-B58C-97F4B432799F}"/>
    <cellStyle name="Normal 8 2 5 4 4" xfId="14523" xr:uid="{0A879383-F273-436A-869E-1C7B97560C7D}"/>
    <cellStyle name="Normal 8 2 5 4 5" xfId="23773" xr:uid="{3A1275F3-E5FE-4D02-8B81-0CF7041B8975}"/>
    <cellStyle name="Normal 8 2 5 4 6" xfId="10312" xr:uid="{D893C1D1-BF83-476D-9471-2083011789AD}"/>
    <cellStyle name="Normal 8 2 5 5" xfId="2206" xr:uid="{00000000-0005-0000-0000-0000171D0000}"/>
    <cellStyle name="Normal 8 2 5 5 2" xfId="4435" xr:uid="{00000000-0005-0000-0000-0000181D0000}"/>
    <cellStyle name="Normal 8 2 5 5 2 2" xfId="8659" xr:uid="{00000000-0005-0000-0000-0000191D0000}"/>
    <cellStyle name="Normal 8 2 5 5 2 2 2" xfId="21292" xr:uid="{61089EA3-7D21-457B-8C3F-59B1B4EF4118}"/>
    <cellStyle name="Normal 8 2 5 5 2 3" xfId="17081" xr:uid="{DA908AB1-81E2-4EA2-BB52-7C6F6363239C}"/>
    <cellStyle name="Normal 8 2 5 5 2 4" xfId="26331" xr:uid="{CECEBBEF-C1C1-4F8F-9D79-C00DF2673BA3}"/>
    <cellStyle name="Normal 8 2 5 5 2 5" xfId="12870" xr:uid="{A8A4B833-F8FC-40C2-91A8-1AECA2AA3916}"/>
    <cellStyle name="Normal 8 2 5 5 3" xfId="6514" xr:uid="{00000000-0005-0000-0000-00001A1D0000}"/>
    <cellStyle name="Normal 8 2 5 5 3 2" xfId="19147" xr:uid="{CE9C1E6A-9D49-489A-B6B2-FFBFA485D9D4}"/>
    <cellStyle name="Normal 8 2 5 5 4" xfId="14936" xr:uid="{D962E92F-7323-4BD0-8F3A-E64CF90FFC74}"/>
    <cellStyle name="Normal 8 2 5 5 5" xfId="24186" xr:uid="{F0865AC8-DA4E-4F53-A9FF-A6D0EF6AD656}"/>
    <cellStyle name="Normal 8 2 5 5 6" xfId="10725" xr:uid="{5852814F-0E45-4176-BCCA-C5209F3C2614}"/>
    <cellStyle name="Normal 8 2 5 6" xfId="2642" xr:uid="{00000000-0005-0000-0000-00001B1D0000}"/>
    <cellStyle name="Normal 8 2 5 6 2" xfId="6927" xr:uid="{00000000-0005-0000-0000-00001C1D0000}"/>
    <cellStyle name="Normal 8 2 5 6 2 2" xfId="19560" xr:uid="{6BDC7F64-1595-4EC7-A257-9D7FE95CE36A}"/>
    <cellStyle name="Normal 8 2 5 6 3" xfId="15349" xr:uid="{86BD1600-6B45-4DA3-8781-7F0BED17D8A2}"/>
    <cellStyle name="Normal 8 2 5 6 4" xfId="24599" xr:uid="{44675C9E-EB0B-4EFD-B35F-BC9F1D8CE8F6}"/>
    <cellStyle name="Normal 8 2 5 6 5" xfId="11138" xr:uid="{5FA2B91B-AC8C-43DC-9B8F-B9C9F5E508E0}"/>
    <cellStyle name="Normal 8 2 5 7" xfId="4862" xr:uid="{00000000-0005-0000-0000-00001D1D0000}"/>
    <cellStyle name="Normal 8 2 5 7 2" xfId="17495" xr:uid="{CC1969F3-5F0E-45A0-ACEE-F7486137560B}"/>
    <cellStyle name="Normal 8 2 5 8" xfId="21705" xr:uid="{BC68C0C7-07A4-4E75-9FF3-2E1F755202A6}"/>
    <cellStyle name="Normal 8 2 5 9" xfId="13284" xr:uid="{6E57B7BE-6482-4FAE-912C-355EDDD39B50}"/>
    <cellStyle name="Normal 8 2 6" xfId="947" xr:uid="{00000000-0005-0000-0000-00001E1D0000}"/>
    <cellStyle name="Normal 8 2 6 2" xfId="3181" xr:uid="{00000000-0005-0000-0000-00001F1D0000}"/>
    <cellStyle name="Normal 8 2 6 2 2" xfId="7405" xr:uid="{00000000-0005-0000-0000-0000201D0000}"/>
    <cellStyle name="Normal 8 2 6 2 2 2" xfId="20038" xr:uid="{159F6D47-809B-446F-94D6-F9D236F6B292}"/>
    <cellStyle name="Normal 8 2 6 2 3" xfId="15827" xr:uid="{7E0B6F7D-F2E0-4EEA-85D5-79E1347C66A6}"/>
    <cellStyle name="Normal 8 2 6 2 4" xfId="25077" xr:uid="{B4EA96BC-E4B1-476E-85B3-A6A5BE9E4680}"/>
    <cellStyle name="Normal 8 2 6 2 5" xfId="11616" xr:uid="{BEDDEC52-3A5F-4C63-87E9-D6A836C1BB25}"/>
    <cellStyle name="Normal 8 2 6 3" xfId="5260" xr:uid="{00000000-0005-0000-0000-0000211D0000}"/>
    <cellStyle name="Normal 8 2 6 3 2" xfId="17893" xr:uid="{598D8B5F-0346-47D4-A5CF-36DC47F01FDE}"/>
    <cellStyle name="Normal 8 2 6 4" xfId="22105" xr:uid="{AF98C916-330C-494E-A308-97E909E1CBD0}"/>
    <cellStyle name="Normal 8 2 6 5" xfId="13682" xr:uid="{5EDB0061-235B-4A41-927A-D15DBCEA2EB5}"/>
    <cellStyle name="Normal 8 2 6 6" xfId="22932" xr:uid="{2D5E7BE9-44B0-44D2-B1AB-74CFD7EE7126}"/>
    <cellStyle name="Normal 8 2 6 7" xfId="9471" xr:uid="{E4CB3A2C-4F64-4C88-A1FC-D24091CE7289}"/>
    <cellStyle name="Normal 8 2 7" xfId="1364" xr:uid="{00000000-0005-0000-0000-0000221D0000}"/>
    <cellStyle name="Normal 8 2 7 2" xfId="3594" xr:uid="{00000000-0005-0000-0000-0000231D0000}"/>
    <cellStyle name="Normal 8 2 7 2 2" xfId="7818" xr:uid="{00000000-0005-0000-0000-0000241D0000}"/>
    <cellStyle name="Normal 8 2 7 2 2 2" xfId="20451" xr:uid="{5290A2E0-7A25-4382-9F63-2F30DAEF3E1B}"/>
    <cellStyle name="Normal 8 2 7 2 3" xfId="16240" xr:uid="{F71FA71F-09EF-4985-89B9-0C5CF3ED3837}"/>
    <cellStyle name="Normal 8 2 7 2 4" xfId="25490" xr:uid="{3F7D5DAF-96A9-48D4-9183-9A0736D22487}"/>
    <cellStyle name="Normal 8 2 7 2 5" xfId="12029" xr:uid="{F848F399-7169-42B2-B144-788B3B64A292}"/>
    <cellStyle name="Normal 8 2 7 3" xfId="5673" xr:uid="{00000000-0005-0000-0000-0000251D0000}"/>
    <cellStyle name="Normal 8 2 7 3 2" xfId="18306" xr:uid="{90423470-38D1-473B-A8A0-1258EB75DABF}"/>
    <cellStyle name="Normal 8 2 7 4" xfId="14095" xr:uid="{1DADC758-14E0-4044-8F5E-3539C8F5A061}"/>
    <cellStyle name="Normal 8 2 7 5" xfId="23345" xr:uid="{6AABCB6A-19D5-441B-91A8-BC611AA71E03}"/>
    <cellStyle name="Normal 8 2 7 6" xfId="9884" xr:uid="{DE47FBC4-0349-4FF7-8D1E-A88B57163945}"/>
    <cellStyle name="Normal 8 2 8" xfId="1777" xr:uid="{00000000-0005-0000-0000-0000261D0000}"/>
    <cellStyle name="Normal 8 2 8 2" xfId="4007" xr:uid="{00000000-0005-0000-0000-0000271D0000}"/>
    <cellStyle name="Normal 8 2 8 2 2" xfId="8231" xr:uid="{00000000-0005-0000-0000-0000281D0000}"/>
    <cellStyle name="Normal 8 2 8 2 2 2" xfId="20864" xr:uid="{2B7C3831-5E53-435E-B00F-231D81C8A8FA}"/>
    <cellStyle name="Normal 8 2 8 2 3" xfId="16653" xr:uid="{24164F2A-E36B-48D4-8157-1413D683BA43}"/>
    <cellStyle name="Normal 8 2 8 2 4" xfId="25903" xr:uid="{EC9FAA55-4DCB-4E91-A97F-E5EAEDA55980}"/>
    <cellStyle name="Normal 8 2 8 2 5" xfId="12442" xr:uid="{7980B18D-3C3D-45D5-ACCD-B715287CD2B8}"/>
    <cellStyle name="Normal 8 2 8 3" xfId="6086" xr:uid="{00000000-0005-0000-0000-0000291D0000}"/>
    <cellStyle name="Normal 8 2 8 3 2" xfId="18719" xr:uid="{114AE583-B6D9-49D2-BE20-2A596686967C}"/>
    <cellStyle name="Normal 8 2 8 4" xfId="14508" xr:uid="{42F56B8A-5D44-43F3-880D-A9ECCE529B77}"/>
    <cellStyle name="Normal 8 2 8 5" xfId="23758" xr:uid="{E9D4CBD2-D95F-4728-8DF0-62935C9AC2FA}"/>
    <cellStyle name="Normal 8 2 8 6" xfId="10297" xr:uid="{79A50EE5-AA6C-49D9-9981-6EC77DE83BC0}"/>
    <cellStyle name="Normal 8 2 9" xfId="2191" xr:uid="{00000000-0005-0000-0000-00002A1D0000}"/>
    <cellStyle name="Normal 8 2 9 2" xfId="4420" xr:uid="{00000000-0005-0000-0000-00002B1D0000}"/>
    <cellStyle name="Normal 8 2 9 2 2" xfId="8644" xr:uid="{00000000-0005-0000-0000-00002C1D0000}"/>
    <cellStyle name="Normal 8 2 9 2 2 2" xfId="21277" xr:uid="{9499A382-C03B-4D51-9482-8AEEAA641CC4}"/>
    <cellStyle name="Normal 8 2 9 2 3" xfId="17066" xr:uid="{37414592-77D7-42CA-8488-788EDFB9A602}"/>
    <cellStyle name="Normal 8 2 9 2 4" xfId="26316" xr:uid="{B2AD06F0-830C-4AAF-AF66-C4792825FE3C}"/>
    <cellStyle name="Normal 8 2 9 2 5" xfId="12855" xr:uid="{490071F5-5031-461B-9F84-AE6AFFB17CF2}"/>
    <cellStyle name="Normal 8 2 9 3" xfId="6499" xr:uid="{00000000-0005-0000-0000-00002D1D0000}"/>
    <cellStyle name="Normal 8 2 9 3 2" xfId="19132" xr:uid="{041E68AB-38E1-4F1D-BB93-E88A6183F3F5}"/>
    <cellStyle name="Normal 8 2 9 4" xfId="14921" xr:uid="{B5724339-91E2-4B71-8037-D9B9857B4860}"/>
    <cellStyle name="Normal 8 2 9 5" xfId="24171" xr:uid="{5891DF7D-7380-4931-9419-E9F23A1A593B}"/>
    <cellStyle name="Normal 8 2 9 6" xfId="10710" xr:uid="{F8423365-D964-44EE-BB2F-68FBAA1B1A15}"/>
    <cellStyle name="Normal 8 3" xfId="495" xr:uid="{00000000-0005-0000-0000-00002E1D0000}"/>
    <cellStyle name="Normal 8 3 10" xfId="4863" xr:uid="{00000000-0005-0000-0000-00002F1D0000}"/>
    <cellStyle name="Normal 8 3 10 2" xfId="17496" xr:uid="{88CF2654-05A6-4A39-A73F-D35DE4F3EC87}"/>
    <cellStyle name="Normal 8 3 11" xfId="21706" xr:uid="{195A734C-6249-40F9-BC3D-DB9F9BF3D8EB}"/>
    <cellStyle name="Normal 8 3 12" xfId="13285" xr:uid="{1A9D550B-7A53-4E3E-B6DA-F9F547CA4C24}"/>
    <cellStyle name="Normal 8 3 13" xfId="22535" xr:uid="{6B646642-4F57-4CE8-BD57-0CDB0169E480}"/>
    <cellStyle name="Normal 8 3 14" xfId="9074" xr:uid="{8E403B58-1417-4557-A578-423B049C220F}"/>
    <cellStyle name="Normal 8 3 2" xfId="496" xr:uid="{00000000-0005-0000-0000-0000301D0000}"/>
    <cellStyle name="Normal 8 3 2 10" xfId="21707" xr:uid="{D7A79FA2-AEE0-466F-8C14-83D25CBF756B}"/>
    <cellStyle name="Normal 8 3 2 11" xfId="13286" xr:uid="{5547CDCF-ECDB-47D3-8A0D-346CEEC3F10D}"/>
    <cellStyle name="Normal 8 3 2 12" xfId="22536" xr:uid="{ECF42836-5467-4B30-AC7D-5945B5F7D923}"/>
    <cellStyle name="Normal 8 3 2 13" xfId="9075" xr:uid="{0FE70DA7-86CA-438A-BF36-507086AC8334}"/>
    <cellStyle name="Normal 8 3 2 2" xfId="497" xr:uid="{00000000-0005-0000-0000-0000311D0000}"/>
    <cellStyle name="Normal 8 3 2 2 10" xfId="13287" xr:uid="{85C54A2B-2B8E-48B0-85B6-0B5E3CE60FE0}"/>
    <cellStyle name="Normal 8 3 2 2 11" xfId="22537" xr:uid="{880419D2-316E-4E06-A228-FEFAC425FC1C}"/>
    <cellStyle name="Normal 8 3 2 2 12" xfId="9076" xr:uid="{729AB566-43DA-4FA8-B0A0-1507B505BA4A}"/>
    <cellStyle name="Normal 8 3 2 2 2" xfId="498" xr:uid="{00000000-0005-0000-0000-0000321D0000}"/>
    <cellStyle name="Normal 8 3 2 2 2 10" xfId="22538" xr:uid="{5843810B-3DF3-4BA7-BD05-124BA99894FC}"/>
    <cellStyle name="Normal 8 3 2 2 2 11" xfId="9077" xr:uid="{0B8C9969-32F9-409E-8D73-4C458DEBDE11}"/>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20057" xr:uid="{1E6AF147-AC2F-4C5C-87F3-C4FF3648258D}"/>
    <cellStyle name="Normal 8 3 2 2 2 2 2 3" xfId="15846" xr:uid="{5B144AD0-DCAF-4F5F-B4AD-4D1B8F5BEEEC}"/>
    <cellStyle name="Normal 8 3 2 2 2 2 2 4" xfId="25096" xr:uid="{28AD4DB8-13AB-413C-9716-5A8F04B04D98}"/>
    <cellStyle name="Normal 8 3 2 2 2 2 2 5" xfId="11635" xr:uid="{16533989-A0C9-40E5-9B48-C0ED60B57F90}"/>
    <cellStyle name="Normal 8 3 2 2 2 2 3" xfId="5279" xr:uid="{00000000-0005-0000-0000-0000361D0000}"/>
    <cellStyle name="Normal 8 3 2 2 2 2 3 2" xfId="17912" xr:uid="{2CC21B46-064F-4777-A61D-946E96C0CEC7}"/>
    <cellStyle name="Normal 8 3 2 2 2 2 4" xfId="22124" xr:uid="{A33D122A-9025-493C-9FF7-8C2BCB2DA7BC}"/>
    <cellStyle name="Normal 8 3 2 2 2 2 5" xfId="13701" xr:uid="{939EF255-DC3A-4BD9-8BEB-002B95B5E58B}"/>
    <cellStyle name="Normal 8 3 2 2 2 2 6" xfId="22951" xr:uid="{91FB8F72-8882-45BF-8805-273A1D8ABE04}"/>
    <cellStyle name="Normal 8 3 2 2 2 2 7" xfId="9490" xr:uid="{485C4E33-8E27-4B3C-901A-CC9C0AC1A8AC}"/>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20470" xr:uid="{AAD02424-EC97-4C36-8EEF-583A39403DF8}"/>
    <cellStyle name="Normal 8 3 2 2 2 3 2 3" xfId="16259" xr:uid="{30042EF6-B1BD-41E4-B861-51CE0BED4843}"/>
    <cellStyle name="Normal 8 3 2 2 2 3 2 4" xfId="25509" xr:uid="{7F185768-AE60-4FC9-AF71-23C2211730EF}"/>
    <cellStyle name="Normal 8 3 2 2 2 3 2 5" xfId="12048" xr:uid="{FE95F56E-143F-4971-92F8-ED71E67C88FF}"/>
    <cellStyle name="Normal 8 3 2 2 2 3 3" xfId="5692" xr:uid="{00000000-0005-0000-0000-00003A1D0000}"/>
    <cellStyle name="Normal 8 3 2 2 2 3 3 2" xfId="18325" xr:uid="{FC5D4FA7-6010-4044-8912-271466AC55C3}"/>
    <cellStyle name="Normal 8 3 2 2 2 3 4" xfId="14114" xr:uid="{28001B78-9B14-4719-9C1E-CC3D4D563B56}"/>
    <cellStyle name="Normal 8 3 2 2 2 3 5" xfId="23364" xr:uid="{349423CE-E2F5-4E8B-95FC-5FF2799CB584}"/>
    <cellStyle name="Normal 8 3 2 2 2 3 6" xfId="9903" xr:uid="{7CA2F932-B291-4E8E-B2D6-967345849038}"/>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20883" xr:uid="{73E59BFD-E712-4E68-9C1E-E74CE6700929}"/>
    <cellStyle name="Normal 8 3 2 2 2 4 2 3" xfId="16672" xr:uid="{4F55704C-BFB6-4058-825C-FB2DEFFFA803}"/>
    <cellStyle name="Normal 8 3 2 2 2 4 2 4" xfId="25922" xr:uid="{489CBA0B-9829-430C-B436-BF61360F533D}"/>
    <cellStyle name="Normal 8 3 2 2 2 4 2 5" xfId="12461" xr:uid="{E23F0D36-23A8-41AC-B5C8-D51E6D158260}"/>
    <cellStyle name="Normal 8 3 2 2 2 4 3" xfId="6105" xr:uid="{00000000-0005-0000-0000-00003E1D0000}"/>
    <cellStyle name="Normal 8 3 2 2 2 4 3 2" xfId="18738" xr:uid="{59FF279F-2BC7-4265-8F54-23EC75B712C3}"/>
    <cellStyle name="Normal 8 3 2 2 2 4 4" xfId="14527" xr:uid="{E7F7B8F3-1861-41C2-8B8E-FDB94CB36BEE}"/>
    <cellStyle name="Normal 8 3 2 2 2 4 5" xfId="23777" xr:uid="{47A6A39E-8FFE-4907-AE36-CC038A019CBC}"/>
    <cellStyle name="Normal 8 3 2 2 2 4 6" xfId="10316" xr:uid="{B3DECBF4-784D-42A6-863A-D6C853134CA3}"/>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21296" xr:uid="{42E1F0D4-6F1E-46A3-ABC0-D4D46D844CE7}"/>
    <cellStyle name="Normal 8 3 2 2 2 5 2 3" xfId="17085" xr:uid="{5246942F-7586-4602-B217-15F2A238379A}"/>
    <cellStyle name="Normal 8 3 2 2 2 5 2 4" xfId="26335" xr:uid="{CA44E142-99BE-4C7D-82ED-2D4BA1D6DDA8}"/>
    <cellStyle name="Normal 8 3 2 2 2 5 2 5" xfId="12874" xr:uid="{177BCCE3-4A74-4A33-B809-09E97F767D0E}"/>
    <cellStyle name="Normal 8 3 2 2 2 5 3" xfId="6518" xr:uid="{00000000-0005-0000-0000-0000421D0000}"/>
    <cellStyle name="Normal 8 3 2 2 2 5 3 2" xfId="19151" xr:uid="{0C20598C-5DAB-4D5C-A0F4-50C6708E5750}"/>
    <cellStyle name="Normal 8 3 2 2 2 5 4" xfId="14940" xr:uid="{933AD5CB-2655-40F7-9E06-E43345D167D9}"/>
    <cellStyle name="Normal 8 3 2 2 2 5 5" xfId="24190" xr:uid="{51319632-B7FD-47D4-9605-0336C9A20902}"/>
    <cellStyle name="Normal 8 3 2 2 2 5 6" xfId="10729" xr:uid="{5F87AB99-E562-4AD9-9FE4-E05EB361CB36}"/>
    <cellStyle name="Normal 8 3 2 2 2 6" xfId="2646" xr:uid="{00000000-0005-0000-0000-0000431D0000}"/>
    <cellStyle name="Normal 8 3 2 2 2 6 2" xfId="6931" xr:uid="{00000000-0005-0000-0000-0000441D0000}"/>
    <cellStyle name="Normal 8 3 2 2 2 6 2 2" xfId="19564" xr:uid="{3580E451-922A-46B9-9E78-EC5FCECF4455}"/>
    <cellStyle name="Normal 8 3 2 2 2 6 3" xfId="15353" xr:uid="{58828A6E-153E-4009-A29C-B96C891A8F07}"/>
    <cellStyle name="Normal 8 3 2 2 2 6 4" xfId="24603" xr:uid="{94F7B38B-3011-4DA5-89B0-A09EE2FBB58C}"/>
    <cellStyle name="Normal 8 3 2 2 2 6 5" xfId="11142" xr:uid="{C684F58B-5778-4DA6-836E-7BE9A9D88DDB}"/>
    <cellStyle name="Normal 8 3 2 2 2 7" xfId="4866" xr:uid="{00000000-0005-0000-0000-0000451D0000}"/>
    <cellStyle name="Normal 8 3 2 2 2 7 2" xfId="17499" xr:uid="{CD148769-0A1C-4DDC-9965-3D9F5111B9B8}"/>
    <cellStyle name="Normal 8 3 2 2 2 8" xfId="21709" xr:uid="{4EAE1EF2-F85A-4927-A1AE-BA2AA347694B}"/>
    <cellStyle name="Normal 8 3 2 2 2 9" xfId="13288" xr:uid="{E06D1CDA-4F62-4092-BAC9-E6C444F4FF9F}"/>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20056" xr:uid="{8DF326C9-0402-4C96-A2C3-8A176F3B44EC}"/>
    <cellStyle name="Normal 8 3 2 2 3 2 3" xfId="15845" xr:uid="{5E10C111-8D97-4C46-A25A-F673A487C408}"/>
    <cellStyle name="Normal 8 3 2 2 3 2 4" xfId="25095" xr:uid="{28A56A01-8F75-430E-BB79-5662613EB447}"/>
    <cellStyle name="Normal 8 3 2 2 3 2 5" xfId="11634" xr:uid="{50156134-0A19-443E-BBA7-6326F0CC059D}"/>
    <cellStyle name="Normal 8 3 2 2 3 3" xfId="5278" xr:uid="{00000000-0005-0000-0000-0000491D0000}"/>
    <cellStyle name="Normal 8 3 2 2 3 3 2" xfId="17911" xr:uid="{AD4578CA-0405-43C2-8854-2C5C0562AC43}"/>
    <cellStyle name="Normal 8 3 2 2 3 4" xfId="22123" xr:uid="{99EFB480-11B5-4CD3-BB2E-638A1587CB71}"/>
    <cellStyle name="Normal 8 3 2 2 3 5" xfId="13700" xr:uid="{A8966ED8-BF59-40E3-A2BE-91125C66E385}"/>
    <cellStyle name="Normal 8 3 2 2 3 6" xfId="22950" xr:uid="{EC49DB29-8AF8-4236-ABBE-1CB60E689DC8}"/>
    <cellStyle name="Normal 8 3 2 2 3 7" xfId="9489" xr:uid="{51C406D4-430E-4648-81F7-B21A8C0F50F4}"/>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20469" xr:uid="{316AA200-4018-48E0-A1D7-7E06DA144D65}"/>
    <cellStyle name="Normal 8 3 2 2 4 2 3" xfId="16258" xr:uid="{9258298D-6205-498B-B635-BDA0B9311964}"/>
    <cellStyle name="Normal 8 3 2 2 4 2 4" xfId="25508" xr:uid="{3BE8A206-AA28-47D9-96A5-B35C8E6758BB}"/>
    <cellStyle name="Normal 8 3 2 2 4 2 5" xfId="12047" xr:uid="{CE72B2AB-EB8E-4041-86D9-703DFB4D4DDD}"/>
    <cellStyle name="Normal 8 3 2 2 4 3" xfId="5691" xr:uid="{00000000-0005-0000-0000-00004D1D0000}"/>
    <cellStyle name="Normal 8 3 2 2 4 3 2" xfId="18324" xr:uid="{98ED4D41-5891-4563-9827-DC763E134263}"/>
    <cellStyle name="Normal 8 3 2 2 4 4" xfId="14113" xr:uid="{5C12255E-6908-4927-A2CB-E197E6B20C21}"/>
    <cellStyle name="Normal 8 3 2 2 4 5" xfId="23363" xr:uid="{EF9A4522-7559-4512-B2CD-3A3DF746FC34}"/>
    <cellStyle name="Normal 8 3 2 2 4 6" xfId="9902" xr:uid="{804A90FC-72ED-4373-AC90-E9B355EA62FC}"/>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20882" xr:uid="{C7C41366-5544-4AD6-8E7C-CADC15179391}"/>
    <cellStyle name="Normal 8 3 2 2 5 2 3" xfId="16671" xr:uid="{D2D56A3E-F1D1-47E0-B867-7D01856179AF}"/>
    <cellStyle name="Normal 8 3 2 2 5 2 4" xfId="25921" xr:uid="{933152BF-7AE9-4968-B092-FED88E141DE5}"/>
    <cellStyle name="Normal 8 3 2 2 5 2 5" xfId="12460" xr:uid="{B777AC45-F4D9-48CC-9BB9-67A66295BCBB}"/>
    <cellStyle name="Normal 8 3 2 2 5 3" xfId="6104" xr:uid="{00000000-0005-0000-0000-0000511D0000}"/>
    <cellStyle name="Normal 8 3 2 2 5 3 2" xfId="18737" xr:uid="{004D144D-555E-401C-ABB5-17A05A7B6027}"/>
    <cellStyle name="Normal 8 3 2 2 5 4" xfId="14526" xr:uid="{DB293457-B79C-441A-B7B6-F9A3B5DBB576}"/>
    <cellStyle name="Normal 8 3 2 2 5 5" xfId="23776" xr:uid="{537785F0-D83A-494C-A0DB-1CFFCCFEF5D5}"/>
    <cellStyle name="Normal 8 3 2 2 5 6" xfId="10315" xr:uid="{757EE994-DB51-470E-B9E7-CE8A88FFAB2E}"/>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21295" xr:uid="{A817FBC6-527C-4202-AD83-EFAD20931C04}"/>
    <cellStyle name="Normal 8 3 2 2 6 2 3" xfId="17084" xr:uid="{2B7D3EEE-92A3-4258-B381-D73424858C08}"/>
    <cellStyle name="Normal 8 3 2 2 6 2 4" xfId="26334" xr:uid="{F397E6A2-7811-4E1F-A340-CB54EA5B1EE1}"/>
    <cellStyle name="Normal 8 3 2 2 6 2 5" xfId="12873" xr:uid="{E9D22B97-8249-47FF-AFEC-8F5DB0E361A0}"/>
    <cellStyle name="Normal 8 3 2 2 6 3" xfId="6517" xr:uid="{00000000-0005-0000-0000-0000551D0000}"/>
    <cellStyle name="Normal 8 3 2 2 6 3 2" xfId="19150" xr:uid="{F67BF204-5E64-4343-A742-2732003D0F4F}"/>
    <cellStyle name="Normal 8 3 2 2 6 4" xfId="14939" xr:uid="{B0A61BE2-1104-4630-8780-59083600E0AC}"/>
    <cellStyle name="Normal 8 3 2 2 6 5" xfId="24189" xr:uid="{74F0140E-B1BE-4E69-8C54-848F65C14227}"/>
    <cellStyle name="Normal 8 3 2 2 6 6" xfId="10728" xr:uid="{B5B12480-475B-48AC-98C1-78CDC83C00C9}"/>
    <cellStyle name="Normal 8 3 2 2 7" xfId="2645" xr:uid="{00000000-0005-0000-0000-0000561D0000}"/>
    <cellStyle name="Normal 8 3 2 2 7 2" xfId="6930" xr:uid="{00000000-0005-0000-0000-0000571D0000}"/>
    <cellStyle name="Normal 8 3 2 2 7 2 2" xfId="19563" xr:uid="{7EA28256-F63A-476A-90DB-A51582852B29}"/>
    <cellStyle name="Normal 8 3 2 2 7 3" xfId="15352" xr:uid="{9A9126EC-9602-470C-A2CD-763874CF8700}"/>
    <cellStyle name="Normal 8 3 2 2 7 4" xfId="24602" xr:uid="{BC2221F9-3E94-4589-9397-FABA20D215F2}"/>
    <cellStyle name="Normal 8 3 2 2 7 5" xfId="11141" xr:uid="{AFC38617-5E3F-4A08-A57A-9B1E30D273C1}"/>
    <cellStyle name="Normal 8 3 2 2 8" xfId="4865" xr:uid="{00000000-0005-0000-0000-0000581D0000}"/>
    <cellStyle name="Normal 8 3 2 2 8 2" xfId="17498" xr:uid="{63CCCFCA-2D4A-4C51-9B7E-DD0FEF96EEC0}"/>
    <cellStyle name="Normal 8 3 2 2 9" xfId="21708" xr:uid="{E3E51157-9460-4CB1-B6AB-22773C08A9A7}"/>
    <cellStyle name="Normal 8 3 2 3" xfId="499" xr:uid="{00000000-0005-0000-0000-0000591D0000}"/>
    <cellStyle name="Normal 8 3 2 3 10" xfId="22539" xr:uid="{8E6811E9-8A53-4467-9333-A7AE64324D27}"/>
    <cellStyle name="Normal 8 3 2 3 11" xfId="9078" xr:uid="{2B2BA70B-59A9-458A-9F37-178BB407E773}"/>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20058" xr:uid="{0A392EEF-AD93-467A-A5C8-B8BD203496CB}"/>
    <cellStyle name="Normal 8 3 2 3 2 2 3" xfId="15847" xr:uid="{44FA4792-EA35-4C4D-B126-A5D021F26563}"/>
    <cellStyle name="Normal 8 3 2 3 2 2 4" xfId="25097" xr:uid="{C99000D6-1BAF-4D29-90F1-F8F753D7C957}"/>
    <cellStyle name="Normal 8 3 2 3 2 2 5" xfId="11636" xr:uid="{F26619D6-9D69-4D07-B1CF-0E7950085F05}"/>
    <cellStyle name="Normal 8 3 2 3 2 3" xfId="5280" xr:uid="{00000000-0005-0000-0000-00005D1D0000}"/>
    <cellStyle name="Normal 8 3 2 3 2 3 2" xfId="17913" xr:uid="{33DE96A5-4D98-435E-A663-88D239DD2CD4}"/>
    <cellStyle name="Normal 8 3 2 3 2 4" xfId="22125" xr:uid="{8FE02A1E-A19D-4A16-B351-FF55AEA665BF}"/>
    <cellStyle name="Normal 8 3 2 3 2 5" xfId="13702" xr:uid="{73AC254D-A674-4770-AFD5-63E4D303AB6B}"/>
    <cellStyle name="Normal 8 3 2 3 2 6" xfId="22952" xr:uid="{C976FC84-5AC7-48E7-98DF-4CC1BF2B00CC}"/>
    <cellStyle name="Normal 8 3 2 3 2 7" xfId="9491" xr:uid="{8EAE7F2E-3C42-443C-8833-350297FC1A66}"/>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20471" xr:uid="{063A72E3-776C-4327-B291-FFC5D2DE5BB0}"/>
    <cellStyle name="Normal 8 3 2 3 3 2 3" xfId="16260" xr:uid="{F6447D10-05D0-4C40-822E-4879246B9D01}"/>
    <cellStyle name="Normal 8 3 2 3 3 2 4" xfId="25510" xr:uid="{39DFC11D-2B28-4841-A2CB-A583A4B29668}"/>
    <cellStyle name="Normal 8 3 2 3 3 2 5" xfId="12049" xr:uid="{38AF75DE-A95A-4A2B-8B6F-26C325A0405C}"/>
    <cellStyle name="Normal 8 3 2 3 3 3" xfId="5693" xr:uid="{00000000-0005-0000-0000-0000611D0000}"/>
    <cellStyle name="Normal 8 3 2 3 3 3 2" xfId="18326" xr:uid="{4B138528-F73F-4E63-8DD4-2DEE7879C87B}"/>
    <cellStyle name="Normal 8 3 2 3 3 4" xfId="14115" xr:uid="{7187BD9F-9022-49F9-B8B1-D5A7CC45F406}"/>
    <cellStyle name="Normal 8 3 2 3 3 5" xfId="23365" xr:uid="{6D8E6733-AF5E-4617-A9EB-FA973803D8ED}"/>
    <cellStyle name="Normal 8 3 2 3 3 6" xfId="9904" xr:uid="{A7781F81-A323-4AF4-B7B2-BDD0400083DA}"/>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20884" xr:uid="{4F848E5E-AB4A-462A-A841-A05414BD1504}"/>
    <cellStyle name="Normal 8 3 2 3 4 2 3" xfId="16673" xr:uid="{A397C803-F7F1-4627-B0CF-23972381EAC5}"/>
    <cellStyle name="Normal 8 3 2 3 4 2 4" xfId="25923" xr:uid="{11F5ECA3-BC6D-4BF9-A38F-ACA3B4FCDD37}"/>
    <cellStyle name="Normal 8 3 2 3 4 2 5" xfId="12462" xr:uid="{0DF346E2-74B7-4A14-968D-1910C38EB432}"/>
    <cellStyle name="Normal 8 3 2 3 4 3" xfId="6106" xr:uid="{00000000-0005-0000-0000-0000651D0000}"/>
    <cellStyle name="Normal 8 3 2 3 4 3 2" xfId="18739" xr:uid="{D2656ABB-0B1F-4861-871B-E1DE62A03604}"/>
    <cellStyle name="Normal 8 3 2 3 4 4" xfId="14528" xr:uid="{7E21E9C8-FA9C-45C6-A342-80BB158C0675}"/>
    <cellStyle name="Normal 8 3 2 3 4 5" xfId="23778" xr:uid="{DCF3CF40-FAEB-45CD-B835-E28E59732D04}"/>
    <cellStyle name="Normal 8 3 2 3 4 6" xfId="10317" xr:uid="{EA88F0F8-D2D6-4D84-9CEC-1DC1B0DD2263}"/>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21297" xr:uid="{6C1ED896-2CCB-4286-982D-13405624C2CB}"/>
    <cellStyle name="Normal 8 3 2 3 5 2 3" xfId="17086" xr:uid="{AFC877F3-55B3-4CED-9B59-D61AE914EB21}"/>
    <cellStyle name="Normal 8 3 2 3 5 2 4" xfId="26336" xr:uid="{C65D31D7-48A1-4C3D-BD2D-7624925D2D87}"/>
    <cellStyle name="Normal 8 3 2 3 5 2 5" xfId="12875" xr:uid="{64F69D42-4E81-4372-AFFB-4E13913D9007}"/>
    <cellStyle name="Normal 8 3 2 3 5 3" xfId="6519" xr:uid="{00000000-0005-0000-0000-0000691D0000}"/>
    <cellStyle name="Normal 8 3 2 3 5 3 2" xfId="19152" xr:uid="{53632E21-7698-43B9-99C5-F5B031C2A50D}"/>
    <cellStyle name="Normal 8 3 2 3 5 4" xfId="14941" xr:uid="{A599B776-E7E6-4266-820C-E69E9D383C63}"/>
    <cellStyle name="Normal 8 3 2 3 5 5" xfId="24191" xr:uid="{64443DFD-8D65-4CAF-9BF0-213566FB2AC0}"/>
    <cellStyle name="Normal 8 3 2 3 5 6" xfId="10730" xr:uid="{05A7C868-62CB-40C8-BA86-F4E1D16CA0E0}"/>
    <cellStyle name="Normal 8 3 2 3 6" xfId="2647" xr:uid="{00000000-0005-0000-0000-00006A1D0000}"/>
    <cellStyle name="Normal 8 3 2 3 6 2" xfId="6932" xr:uid="{00000000-0005-0000-0000-00006B1D0000}"/>
    <cellStyle name="Normal 8 3 2 3 6 2 2" xfId="19565" xr:uid="{64A33ED2-7638-4DD7-8069-05519A40E8A7}"/>
    <cellStyle name="Normal 8 3 2 3 6 3" xfId="15354" xr:uid="{FF722E90-C90B-4F0A-9744-99BA73177B2A}"/>
    <cellStyle name="Normal 8 3 2 3 6 4" xfId="24604" xr:uid="{5291D4C3-0255-42B5-B64E-D6C321642EBE}"/>
    <cellStyle name="Normal 8 3 2 3 6 5" xfId="11143" xr:uid="{EFF1AF95-2D63-468C-9907-9542ADD77464}"/>
    <cellStyle name="Normal 8 3 2 3 7" xfId="4867" xr:uid="{00000000-0005-0000-0000-00006C1D0000}"/>
    <cellStyle name="Normal 8 3 2 3 7 2" xfId="17500" xr:uid="{91DA0089-2B07-4BA2-9195-E5180643D8AA}"/>
    <cellStyle name="Normal 8 3 2 3 8" xfId="21710" xr:uid="{D72ECE0F-4EB0-4EF0-8C92-F799A79BFB6B}"/>
    <cellStyle name="Normal 8 3 2 3 9" xfId="13289" xr:uid="{608B4BBE-B41F-4995-B68A-27AC2725DCAB}"/>
    <cellStyle name="Normal 8 3 2 4" xfId="964" xr:uid="{00000000-0005-0000-0000-00006D1D0000}"/>
    <cellStyle name="Normal 8 3 2 4 2" xfId="3198" xr:uid="{00000000-0005-0000-0000-00006E1D0000}"/>
    <cellStyle name="Normal 8 3 2 4 2 2" xfId="7422" xr:uid="{00000000-0005-0000-0000-00006F1D0000}"/>
    <cellStyle name="Normal 8 3 2 4 2 2 2" xfId="20055" xr:uid="{65FCD610-25C9-4505-9CBC-51E565C69950}"/>
    <cellStyle name="Normal 8 3 2 4 2 3" xfId="15844" xr:uid="{6E1253F4-F887-4BF7-ABBB-1C509EE91381}"/>
    <cellStyle name="Normal 8 3 2 4 2 4" xfId="25094" xr:uid="{23F76132-6A78-4B2E-A134-A89B0C3B5926}"/>
    <cellStyle name="Normal 8 3 2 4 2 5" xfId="11633" xr:uid="{E051F3A7-1BD5-4721-94CE-16FE88D64B1C}"/>
    <cellStyle name="Normal 8 3 2 4 3" xfId="5277" xr:uid="{00000000-0005-0000-0000-0000701D0000}"/>
    <cellStyle name="Normal 8 3 2 4 3 2" xfId="17910" xr:uid="{3C273418-235B-4B68-AE58-1F40D1D540F3}"/>
    <cellStyle name="Normal 8 3 2 4 4" xfId="22122" xr:uid="{0E52B36A-1A6C-43EB-8CAB-89B4B7DCF3C2}"/>
    <cellStyle name="Normal 8 3 2 4 5" xfId="13699" xr:uid="{A2511EB0-A273-4F29-9BC3-E88E96442938}"/>
    <cellStyle name="Normal 8 3 2 4 6" xfId="22949" xr:uid="{4C372122-996E-4078-8972-A9D384229C6A}"/>
    <cellStyle name="Normal 8 3 2 4 7" xfId="9488" xr:uid="{DA8FFAEA-0255-48CE-9393-A861E524CB2A}"/>
    <cellStyle name="Normal 8 3 2 5" xfId="1381" xr:uid="{00000000-0005-0000-0000-0000711D0000}"/>
    <cellStyle name="Normal 8 3 2 5 2" xfId="3611" xr:uid="{00000000-0005-0000-0000-0000721D0000}"/>
    <cellStyle name="Normal 8 3 2 5 2 2" xfId="7835" xr:uid="{00000000-0005-0000-0000-0000731D0000}"/>
    <cellStyle name="Normal 8 3 2 5 2 2 2" xfId="20468" xr:uid="{982DD9C8-6DE7-40F1-A730-D21F27744CD9}"/>
    <cellStyle name="Normal 8 3 2 5 2 3" xfId="16257" xr:uid="{8AAB6D6C-87DF-4187-8D74-1848B536F9B9}"/>
    <cellStyle name="Normal 8 3 2 5 2 4" xfId="25507" xr:uid="{B8CD26F0-3AA6-4237-B231-48CC6239D2C8}"/>
    <cellStyle name="Normal 8 3 2 5 2 5" xfId="12046" xr:uid="{13B2226A-A769-4CC3-97FF-28E102ED8C15}"/>
    <cellStyle name="Normal 8 3 2 5 3" xfId="5690" xr:uid="{00000000-0005-0000-0000-0000741D0000}"/>
    <cellStyle name="Normal 8 3 2 5 3 2" xfId="18323" xr:uid="{B1A9BDDE-06E8-4ED5-B0CD-6E8A6E38F910}"/>
    <cellStyle name="Normal 8 3 2 5 4" xfId="14112" xr:uid="{1268C021-0481-4733-AB64-5EACCB1F1735}"/>
    <cellStyle name="Normal 8 3 2 5 5" xfId="23362" xr:uid="{5C6866A3-4383-4434-9441-1FBEB9DEACF5}"/>
    <cellStyle name="Normal 8 3 2 5 6" xfId="9901" xr:uid="{D2FADFD8-01B1-4B39-996F-56E4F384CB69}"/>
    <cellStyle name="Normal 8 3 2 6" xfId="1794" xr:uid="{00000000-0005-0000-0000-0000751D0000}"/>
    <cellStyle name="Normal 8 3 2 6 2" xfId="4024" xr:uid="{00000000-0005-0000-0000-0000761D0000}"/>
    <cellStyle name="Normal 8 3 2 6 2 2" xfId="8248" xr:uid="{00000000-0005-0000-0000-0000771D0000}"/>
    <cellStyle name="Normal 8 3 2 6 2 2 2" xfId="20881" xr:uid="{3E083122-5C37-4417-BF68-0A5637C50FD0}"/>
    <cellStyle name="Normal 8 3 2 6 2 3" xfId="16670" xr:uid="{CC848267-8E4C-41FF-865E-3FA5D7856D25}"/>
    <cellStyle name="Normal 8 3 2 6 2 4" xfId="25920" xr:uid="{11452D4A-D705-458B-9981-1E88C9DFAA58}"/>
    <cellStyle name="Normal 8 3 2 6 2 5" xfId="12459" xr:uid="{12ED7B10-BBF3-443B-8D42-91E19903E200}"/>
    <cellStyle name="Normal 8 3 2 6 3" xfId="6103" xr:uid="{00000000-0005-0000-0000-0000781D0000}"/>
    <cellStyle name="Normal 8 3 2 6 3 2" xfId="18736" xr:uid="{6825126A-3A56-446E-BFED-A48A743625A6}"/>
    <cellStyle name="Normal 8 3 2 6 4" xfId="14525" xr:uid="{DD0330E2-B3D6-4D9C-B028-75B7832BACEF}"/>
    <cellStyle name="Normal 8 3 2 6 5" xfId="23775" xr:uid="{DBF31727-4512-4EE9-81EA-30769BF4E93F}"/>
    <cellStyle name="Normal 8 3 2 6 6" xfId="10314" xr:uid="{CC798D62-4721-4017-A6DA-20EA4F240991}"/>
    <cellStyle name="Normal 8 3 2 7" xfId="2208" xr:uid="{00000000-0005-0000-0000-0000791D0000}"/>
    <cellStyle name="Normal 8 3 2 7 2" xfId="4437" xr:uid="{00000000-0005-0000-0000-00007A1D0000}"/>
    <cellStyle name="Normal 8 3 2 7 2 2" xfId="8661" xr:uid="{00000000-0005-0000-0000-00007B1D0000}"/>
    <cellStyle name="Normal 8 3 2 7 2 2 2" xfId="21294" xr:uid="{A8532F19-5A5C-4515-97AA-B18861E1EB41}"/>
    <cellStyle name="Normal 8 3 2 7 2 3" xfId="17083" xr:uid="{7A70C0C9-0012-4E66-945C-41FAD8E89BE1}"/>
    <cellStyle name="Normal 8 3 2 7 2 4" xfId="26333" xr:uid="{AC0B242D-21D7-4D77-9226-7FC65442D44E}"/>
    <cellStyle name="Normal 8 3 2 7 2 5" xfId="12872" xr:uid="{42286402-54B7-4A38-BECE-6A4C5001220E}"/>
    <cellStyle name="Normal 8 3 2 7 3" xfId="6516" xr:uid="{00000000-0005-0000-0000-00007C1D0000}"/>
    <cellStyle name="Normal 8 3 2 7 3 2" xfId="19149" xr:uid="{7E0C62C0-D325-4DB4-8E2A-BD163F8AD5CB}"/>
    <cellStyle name="Normal 8 3 2 7 4" xfId="14938" xr:uid="{A833C914-55FD-4F3E-891B-941C4B16CD9D}"/>
    <cellStyle name="Normal 8 3 2 7 5" xfId="24188" xr:uid="{EEEE648D-7028-494E-AB22-CE2510378FCB}"/>
    <cellStyle name="Normal 8 3 2 7 6" xfId="10727" xr:uid="{AFBDAE46-06B2-48D1-9C5D-BB0F5227B0E6}"/>
    <cellStyle name="Normal 8 3 2 8" xfId="2644" xr:uid="{00000000-0005-0000-0000-00007D1D0000}"/>
    <cellStyle name="Normal 8 3 2 8 2" xfId="6929" xr:uid="{00000000-0005-0000-0000-00007E1D0000}"/>
    <cellStyle name="Normal 8 3 2 8 2 2" xfId="19562" xr:uid="{62169814-EF18-45CE-B4AE-710C16BB71CA}"/>
    <cellStyle name="Normal 8 3 2 8 3" xfId="15351" xr:uid="{A4D8119F-AC53-4BAF-9E80-E69A4AC9BF3A}"/>
    <cellStyle name="Normal 8 3 2 8 4" xfId="24601" xr:uid="{4F84EEFF-D229-44A8-AC52-EC4326D5F6DD}"/>
    <cellStyle name="Normal 8 3 2 8 5" xfId="11140" xr:uid="{BF9942D1-3C5B-4767-9408-44B3A425E915}"/>
    <cellStyle name="Normal 8 3 2 9" xfId="4864" xr:uid="{00000000-0005-0000-0000-00007F1D0000}"/>
    <cellStyle name="Normal 8 3 2 9 2" xfId="17497" xr:uid="{FDA98092-4AF8-4171-98D4-AD926842597D}"/>
    <cellStyle name="Normal 8 3 3" xfId="500" xr:uid="{00000000-0005-0000-0000-0000801D0000}"/>
    <cellStyle name="Normal 8 3 3 10" xfId="13290" xr:uid="{6D1D8D95-3AB9-4FBD-8EAA-8DBD688B1AC3}"/>
    <cellStyle name="Normal 8 3 3 11" xfId="22540" xr:uid="{430C279D-AB87-4B17-A8D5-228AC024C0C2}"/>
    <cellStyle name="Normal 8 3 3 12" xfId="9079" xr:uid="{9702AA69-4A45-4B9D-A4D9-8DFAB4979A4D}"/>
    <cellStyle name="Normal 8 3 3 2" xfId="501" xr:uid="{00000000-0005-0000-0000-0000811D0000}"/>
    <cellStyle name="Normal 8 3 3 2 10" xfId="22541" xr:uid="{D310672E-8206-46F8-98B9-2FA268659597}"/>
    <cellStyle name="Normal 8 3 3 2 11" xfId="9080" xr:uid="{BAA71226-E6A2-443F-AC9C-29B4FF573833}"/>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20060" xr:uid="{FD9E2C3B-7769-4C25-AB23-811688E538F3}"/>
    <cellStyle name="Normal 8 3 3 2 2 2 3" xfId="15849" xr:uid="{BB8D47F6-09B8-4CE8-A373-78F2631E43A7}"/>
    <cellStyle name="Normal 8 3 3 2 2 2 4" xfId="25099" xr:uid="{7BD58F41-853B-4AC3-90D7-9976054DF1EC}"/>
    <cellStyle name="Normal 8 3 3 2 2 2 5" xfId="11638" xr:uid="{B15FB5AC-87DB-4A7B-8320-F11A8EB0595E}"/>
    <cellStyle name="Normal 8 3 3 2 2 3" xfId="5282" xr:uid="{00000000-0005-0000-0000-0000851D0000}"/>
    <cellStyle name="Normal 8 3 3 2 2 3 2" xfId="17915" xr:uid="{29D391A3-4E2A-4937-A81F-C2A1FD6BFD29}"/>
    <cellStyle name="Normal 8 3 3 2 2 4" xfId="22127" xr:uid="{FB97333B-DC3A-427A-AB82-CA1197EFEB62}"/>
    <cellStyle name="Normal 8 3 3 2 2 5" xfId="13704" xr:uid="{F4DDF5E0-C11F-451B-A59B-81985AB5A076}"/>
    <cellStyle name="Normal 8 3 3 2 2 6" xfId="22954" xr:uid="{95F1EF07-5503-4B8D-8AA4-5A6A957F5D4B}"/>
    <cellStyle name="Normal 8 3 3 2 2 7" xfId="9493" xr:uid="{4F9D87EC-09D7-4B09-9EAF-7BD27927ABBD}"/>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20473" xr:uid="{7809522B-374A-4F46-9817-E54D4FA9BD03}"/>
    <cellStyle name="Normal 8 3 3 2 3 2 3" xfId="16262" xr:uid="{40BAFD2D-637D-44D2-8C80-63C2C07AAE3B}"/>
    <cellStyle name="Normal 8 3 3 2 3 2 4" xfId="25512" xr:uid="{EA0FC21B-89C1-40A4-8C17-2A255B9FF427}"/>
    <cellStyle name="Normal 8 3 3 2 3 2 5" xfId="12051" xr:uid="{F19116CF-88FA-4208-8082-249D438A2EFE}"/>
    <cellStyle name="Normal 8 3 3 2 3 3" xfId="5695" xr:uid="{00000000-0005-0000-0000-0000891D0000}"/>
    <cellStyle name="Normal 8 3 3 2 3 3 2" xfId="18328" xr:uid="{9C57460B-2E5C-4DD5-BB42-A043E03A0439}"/>
    <cellStyle name="Normal 8 3 3 2 3 4" xfId="14117" xr:uid="{FEC5D25E-3CE0-4C7F-84DE-29C2F110FD6E}"/>
    <cellStyle name="Normal 8 3 3 2 3 5" xfId="23367" xr:uid="{636DCE86-BA8C-4E49-9921-01949EB522D9}"/>
    <cellStyle name="Normal 8 3 3 2 3 6" xfId="9906" xr:uid="{B61F88B6-0752-4DA8-9933-EC0D33B9FB32}"/>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20886" xr:uid="{368AD13E-5A7E-4AC0-9404-B6460DCE9763}"/>
    <cellStyle name="Normal 8 3 3 2 4 2 3" xfId="16675" xr:uid="{F48A2F0A-6141-4BA8-9546-44568B432B15}"/>
    <cellStyle name="Normal 8 3 3 2 4 2 4" xfId="25925" xr:uid="{802C6244-8804-43B2-A6CE-3D96AB5B18EB}"/>
    <cellStyle name="Normal 8 3 3 2 4 2 5" xfId="12464" xr:uid="{D209BF33-71B6-4C24-8015-3099CB5685C9}"/>
    <cellStyle name="Normal 8 3 3 2 4 3" xfId="6108" xr:uid="{00000000-0005-0000-0000-00008D1D0000}"/>
    <cellStyle name="Normal 8 3 3 2 4 3 2" xfId="18741" xr:uid="{45AA9B82-2860-4398-A9F9-2E730C1E510C}"/>
    <cellStyle name="Normal 8 3 3 2 4 4" xfId="14530" xr:uid="{895D00C9-5AC1-4C5A-BFE6-C1124F86D423}"/>
    <cellStyle name="Normal 8 3 3 2 4 5" xfId="23780" xr:uid="{FAEE02E9-FB7C-4B5D-AE3D-D157B204A3C1}"/>
    <cellStyle name="Normal 8 3 3 2 4 6" xfId="10319" xr:uid="{A1CBB2B9-A4D4-439C-B459-807110FBF068}"/>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21299" xr:uid="{0A8A417A-D29F-4320-B268-18E8F998598F}"/>
    <cellStyle name="Normal 8 3 3 2 5 2 3" xfId="17088" xr:uid="{4D965130-DCF8-4412-9064-C7F99AA7A418}"/>
    <cellStyle name="Normal 8 3 3 2 5 2 4" xfId="26338" xr:uid="{CB8587FC-7E14-4D7A-8C45-012159F3A808}"/>
    <cellStyle name="Normal 8 3 3 2 5 2 5" xfId="12877" xr:uid="{AF5C9D00-BA23-49EF-8144-15B14EAFC79E}"/>
    <cellStyle name="Normal 8 3 3 2 5 3" xfId="6521" xr:uid="{00000000-0005-0000-0000-0000911D0000}"/>
    <cellStyle name="Normal 8 3 3 2 5 3 2" xfId="19154" xr:uid="{9D9A1D49-CC69-43A6-BEF3-BDC8EB1EC018}"/>
    <cellStyle name="Normal 8 3 3 2 5 4" xfId="14943" xr:uid="{B06F0741-2E00-4E58-82B5-A0208DC76C0D}"/>
    <cellStyle name="Normal 8 3 3 2 5 5" xfId="24193" xr:uid="{756318C5-82D1-46B0-9F53-7101A09B2EE0}"/>
    <cellStyle name="Normal 8 3 3 2 5 6" xfId="10732" xr:uid="{97091505-4D9B-4914-84A8-7437A0D46658}"/>
    <cellStyle name="Normal 8 3 3 2 6" xfId="2649" xr:uid="{00000000-0005-0000-0000-0000921D0000}"/>
    <cellStyle name="Normal 8 3 3 2 6 2" xfId="6934" xr:uid="{00000000-0005-0000-0000-0000931D0000}"/>
    <cellStyle name="Normal 8 3 3 2 6 2 2" xfId="19567" xr:uid="{69FA3E56-46DB-4C41-A5DF-F5EC00F2CB24}"/>
    <cellStyle name="Normal 8 3 3 2 6 3" xfId="15356" xr:uid="{07A34385-3902-4813-8FDE-8A2956D90A20}"/>
    <cellStyle name="Normal 8 3 3 2 6 4" xfId="24606" xr:uid="{3218C95E-17D1-4BE2-903B-7F1C3C31BFC6}"/>
    <cellStyle name="Normal 8 3 3 2 6 5" xfId="11145" xr:uid="{45CF87AC-C5EA-4390-A799-ABCBD8D0DC4D}"/>
    <cellStyle name="Normal 8 3 3 2 7" xfId="4869" xr:uid="{00000000-0005-0000-0000-0000941D0000}"/>
    <cellStyle name="Normal 8 3 3 2 7 2" xfId="17502" xr:uid="{D6FA4405-30B6-43E2-A594-FE58F4D6F3D0}"/>
    <cellStyle name="Normal 8 3 3 2 8" xfId="21712" xr:uid="{A5C56718-A6C4-4516-9030-8130D7D37C69}"/>
    <cellStyle name="Normal 8 3 3 2 9" xfId="13291" xr:uid="{F46E1A5A-3713-4F74-9A41-99F8EAC62463}"/>
    <cellStyle name="Normal 8 3 3 3" xfId="968" xr:uid="{00000000-0005-0000-0000-0000951D0000}"/>
    <cellStyle name="Normal 8 3 3 3 2" xfId="3202" xr:uid="{00000000-0005-0000-0000-0000961D0000}"/>
    <cellStyle name="Normal 8 3 3 3 2 2" xfId="7426" xr:uid="{00000000-0005-0000-0000-0000971D0000}"/>
    <cellStyle name="Normal 8 3 3 3 2 2 2" xfId="20059" xr:uid="{A83C30B6-A723-48B6-ACB5-C7FF66034CB2}"/>
    <cellStyle name="Normal 8 3 3 3 2 3" xfId="15848" xr:uid="{17AE41D6-DA56-4975-894E-F5D30F360DC5}"/>
    <cellStyle name="Normal 8 3 3 3 2 4" xfId="25098" xr:uid="{90693B9D-E990-4080-8A99-E30B98325028}"/>
    <cellStyle name="Normal 8 3 3 3 2 5" xfId="11637" xr:uid="{A4D54EB2-1F4F-4B97-9D27-29B8E4C0DF02}"/>
    <cellStyle name="Normal 8 3 3 3 3" xfId="5281" xr:uid="{00000000-0005-0000-0000-0000981D0000}"/>
    <cellStyle name="Normal 8 3 3 3 3 2" xfId="17914" xr:uid="{6940814B-AAD4-4332-8613-FDEFC8A6B949}"/>
    <cellStyle name="Normal 8 3 3 3 4" xfId="22126" xr:uid="{985D2A0B-66D1-4E28-BFA9-FA8BA1ACE26D}"/>
    <cellStyle name="Normal 8 3 3 3 5" xfId="13703" xr:uid="{16817EA7-FAF5-466A-ABAD-9EBC56FD4ED5}"/>
    <cellStyle name="Normal 8 3 3 3 6" xfId="22953" xr:uid="{FBFBE49A-97B1-43EB-B0CF-9F5BBF564C8E}"/>
    <cellStyle name="Normal 8 3 3 3 7" xfId="9492" xr:uid="{B9E0D612-702F-49D3-A6ED-37303AEAB17C}"/>
    <cellStyle name="Normal 8 3 3 4" xfId="1385" xr:uid="{00000000-0005-0000-0000-0000991D0000}"/>
    <cellStyle name="Normal 8 3 3 4 2" xfId="3615" xr:uid="{00000000-0005-0000-0000-00009A1D0000}"/>
    <cellStyle name="Normal 8 3 3 4 2 2" xfId="7839" xr:uid="{00000000-0005-0000-0000-00009B1D0000}"/>
    <cellStyle name="Normal 8 3 3 4 2 2 2" xfId="20472" xr:uid="{D45F8CF8-4C37-4774-8EA9-24308DD7F72A}"/>
    <cellStyle name="Normal 8 3 3 4 2 3" xfId="16261" xr:uid="{AF4EDE27-3C99-4B13-A830-9800C9557A31}"/>
    <cellStyle name="Normal 8 3 3 4 2 4" xfId="25511" xr:uid="{E67D1EFF-A5EA-4B5F-A226-122D78574683}"/>
    <cellStyle name="Normal 8 3 3 4 2 5" xfId="12050" xr:uid="{F2E80220-7419-41B9-ACA7-7BA8889AF2CE}"/>
    <cellStyle name="Normal 8 3 3 4 3" xfId="5694" xr:uid="{00000000-0005-0000-0000-00009C1D0000}"/>
    <cellStyle name="Normal 8 3 3 4 3 2" xfId="18327" xr:uid="{68F840B9-E431-4B25-BD2E-FF0F8B0B7910}"/>
    <cellStyle name="Normal 8 3 3 4 4" xfId="14116" xr:uid="{6935FBBC-A0D0-4E0A-AD57-14482ED1D88C}"/>
    <cellStyle name="Normal 8 3 3 4 5" xfId="23366" xr:uid="{31602F03-268A-4902-BB22-3817362C1AB9}"/>
    <cellStyle name="Normal 8 3 3 4 6" xfId="9905" xr:uid="{FEF1BA82-9364-4FBD-940A-7FBC9AFB88B3}"/>
    <cellStyle name="Normal 8 3 3 5" xfId="1798" xr:uid="{00000000-0005-0000-0000-00009D1D0000}"/>
    <cellStyle name="Normal 8 3 3 5 2" xfId="4028" xr:uid="{00000000-0005-0000-0000-00009E1D0000}"/>
    <cellStyle name="Normal 8 3 3 5 2 2" xfId="8252" xr:uid="{00000000-0005-0000-0000-00009F1D0000}"/>
    <cellStyle name="Normal 8 3 3 5 2 2 2" xfId="20885" xr:uid="{2F1F0458-7BAA-427E-A8BB-51253FF0C99B}"/>
    <cellStyle name="Normal 8 3 3 5 2 3" xfId="16674" xr:uid="{10EF41C7-CB7B-4675-B567-396CEC61A5DB}"/>
    <cellStyle name="Normal 8 3 3 5 2 4" xfId="25924" xr:uid="{2A94C6E8-C305-41D1-9190-87AC992F7ABE}"/>
    <cellStyle name="Normal 8 3 3 5 2 5" xfId="12463" xr:uid="{24D2565A-6C5E-4B48-83C5-DE0E65568A89}"/>
    <cellStyle name="Normal 8 3 3 5 3" xfId="6107" xr:uid="{00000000-0005-0000-0000-0000A01D0000}"/>
    <cellStyle name="Normal 8 3 3 5 3 2" xfId="18740" xr:uid="{5E429C61-6BB8-4FB0-A833-0FD87DF37FA8}"/>
    <cellStyle name="Normal 8 3 3 5 4" xfId="14529" xr:uid="{8BDFDB92-27D8-4E32-BCE2-2E677392C9B6}"/>
    <cellStyle name="Normal 8 3 3 5 5" xfId="23779" xr:uid="{071BB90A-D5BD-425D-BA47-789ECE3C4F66}"/>
    <cellStyle name="Normal 8 3 3 5 6" xfId="10318" xr:uid="{57F8E56D-DA21-4476-99C0-CF69B5E539E6}"/>
    <cellStyle name="Normal 8 3 3 6" xfId="2212" xr:uid="{00000000-0005-0000-0000-0000A11D0000}"/>
    <cellStyle name="Normal 8 3 3 6 2" xfId="4441" xr:uid="{00000000-0005-0000-0000-0000A21D0000}"/>
    <cellStyle name="Normal 8 3 3 6 2 2" xfId="8665" xr:uid="{00000000-0005-0000-0000-0000A31D0000}"/>
    <cellStyle name="Normal 8 3 3 6 2 2 2" xfId="21298" xr:uid="{9A66749B-406A-4207-A536-B973DB3C9E27}"/>
    <cellStyle name="Normal 8 3 3 6 2 3" xfId="17087" xr:uid="{11BBF042-64E7-44CF-BD0E-E8C0E14F6CCC}"/>
    <cellStyle name="Normal 8 3 3 6 2 4" xfId="26337" xr:uid="{D6D2C638-C847-4E43-8570-9E9D67E7C4E0}"/>
    <cellStyle name="Normal 8 3 3 6 2 5" xfId="12876" xr:uid="{D6FA32BA-625A-408C-A466-73DBC6E70907}"/>
    <cellStyle name="Normal 8 3 3 6 3" xfId="6520" xr:uid="{00000000-0005-0000-0000-0000A41D0000}"/>
    <cellStyle name="Normal 8 3 3 6 3 2" xfId="19153" xr:uid="{9B81F099-158C-4C6C-88CC-25C66EB3244E}"/>
    <cellStyle name="Normal 8 3 3 6 4" xfId="14942" xr:uid="{2C4F3765-5E37-417A-8B31-787B24444289}"/>
    <cellStyle name="Normal 8 3 3 6 5" xfId="24192" xr:uid="{1C314E6A-AD43-41A9-B04E-5CF0F132DC9D}"/>
    <cellStyle name="Normal 8 3 3 6 6" xfId="10731" xr:uid="{8B1630CD-CEDC-47F8-AC1B-0CA4767C41DA}"/>
    <cellStyle name="Normal 8 3 3 7" xfId="2648" xr:uid="{00000000-0005-0000-0000-0000A51D0000}"/>
    <cellStyle name="Normal 8 3 3 7 2" xfId="6933" xr:uid="{00000000-0005-0000-0000-0000A61D0000}"/>
    <cellStyle name="Normal 8 3 3 7 2 2" xfId="19566" xr:uid="{38CB4188-CE97-42BF-8683-C36767F11DCA}"/>
    <cellStyle name="Normal 8 3 3 7 3" xfId="15355" xr:uid="{45FD5553-BE2C-44B1-9A3C-438CBBE91803}"/>
    <cellStyle name="Normal 8 3 3 7 4" xfId="24605" xr:uid="{CD0D7A19-11D0-4107-B58E-97A19E1E48E6}"/>
    <cellStyle name="Normal 8 3 3 7 5" xfId="11144" xr:uid="{160CC28C-8A08-4131-9C3A-E1DB80DEA792}"/>
    <cellStyle name="Normal 8 3 3 8" xfId="4868" xr:uid="{00000000-0005-0000-0000-0000A71D0000}"/>
    <cellStyle name="Normal 8 3 3 8 2" xfId="17501" xr:uid="{7DEE7D94-DE6B-4B02-ABF3-A63C55C5747D}"/>
    <cellStyle name="Normal 8 3 3 9" xfId="21711" xr:uid="{28D64BD1-74FD-4FE0-8F03-9B559EB756FA}"/>
    <cellStyle name="Normal 8 3 4" xfId="502" xr:uid="{00000000-0005-0000-0000-0000A81D0000}"/>
    <cellStyle name="Normal 8 3 4 10" xfId="22542" xr:uid="{C67A7E1E-1778-4660-9424-84015388FA0E}"/>
    <cellStyle name="Normal 8 3 4 11" xfId="9081" xr:uid="{6AB4C482-A307-4C09-9672-AAAB6941B958}"/>
    <cellStyle name="Normal 8 3 4 2" xfId="970" xr:uid="{00000000-0005-0000-0000-0000A91D0000}"/>
    <cellStyle name="Normal 8 3 4 2 2" xfId="3204" xr:uid="{00000000-0005-0000-0000-0000AA1D0000}"/>
    <cellStyle name="Normal 8 3 4 2 2 2" xfId="7428" xr:uid="{00000000-0005-0000-0000-0000AB1D0000}"/>
    <cellStyle name="Normal 8 3 4 2 2 2 2" xfId="20061" xr:uid="{69248751-01BA-4F63-B3EC-19EA177490A6}"/>
    <cellStyle name="Normal 8 3 4 2 2 3" xfId="15850" xr:uid="{7304530D-162F-47DD-8777-B043AB5887B1}"/>
    <cellStyle name="Normal 8 3 4 2 2 4" xfId="25100" xr:uid="{A8C14845-D5CD-406B-B4C8-216E76E7F0F6}"/>
    <cellStyle name="Normal 8 3 4 2 2 5" xfId="11639" xr:uid="{0BB27277-B0E4-41C7-980B-1F7FA001C0F0}"/>
    <cellStyle name="Normal 8 3 4 2 3" xfId="5283" xr:uid="{00000000-0005-0000-0000-0000AC1D0000}"/>
    <cellStyle name="Normal 8 3 4 2 3 2" xfId="17916" xr:uid="{03C9EEBB-1E82-487B-A5D0-D2211110FFBF}"/>
    <cellStyle name="Normal 8 3 4 2 4" xfId="22128" xr:uid="{970A9623-5DC0-42E5-9FDD-3AD95EF3C717}"/>
    <cellStyle name="Normal 8 3 4 2 5" xfId="13705" xr:uid="{5D62D06F-E4EB-490B-9D91-C7FCADBAEEF7}"/>
    <cellStyle name="Normal 8 3 4 2 6" xfId="22955" xr:uid="{79620E6A-2BD5-4447-A92E-8962D3954FE0}"/>
    <cellStyle name="Normal 8 3 4 2 7" xfId="9494" xr:uid="{67FEB0CB-3C4F-4AE3-B00D-2859FAAAEC7F}"/>
    <cellStyle name="Normal 8 3 4 3" xfId="1387" xr:uid="{00000000-0005-0000-0000-0000AD1D0000}"/>
    <cellStyle name="Normal 8 3 4 3 2" xfId="3617" xr:uid="{00000000-0005-0000-0000-0000AE1D0000}"/>
    <cellStyle name="Normal 8 3 4 3 2 2" xfId="7841" xr:uid="{00000000-0005-0000-0000-0000AF1D0000}"/>
    <cellStyle name="Normal 8 3 4 3 2 2 2" xfId="20474" xr:uid="{841CF317-DBD2-490B-88D7-A264847C4CD5}"/>
    <cellStyle name="Normal 8 3 4 3 2 3" xfId="16263" xr:uid="{C40F65F6-D0A5-43E6-B40D-4262E9A391BC}"/>
    <cellStyle name="Normal 8 3 4 3 2 4" xfId="25513" xr:uid="{73C262B4-7447-495C-9B2C-E5F895CF08B4}"/>
    <cellStyle name="Normal 8 3 4 3 2 5" xfId="12052" xr:uid="{4F2916A9-1289-4F39-A293-140699C627E4}"/>
    <cellStyle name="Normal 8 3 4 3 3" xfId="5696" xr:uid="{00000000-0005-0000-0000-0000B01D0000}"/>
    <cellStyle name="Normal 8 3 4 3 3 2" xfId="18329" xr:uid="{3C7EBB99-D3B0-46A1-8689-707E149AB4EE}"/>
    <cellStyle name="Normal 8 3 4 3 4" xfId="14118" xr:uid="{22796724-6919-4826-B235-88F77A7F1DB4}"/>
    <cellStyle name="Normal 8 3 4 3 5" xfId="23368" xr:uid="{FEB0C00C-194B-4443-8567-A6D41CF7D187}"/>
    <cellStyle name="Normal 8 3 4 3 6" xfId="9907" xr:uid="{FAD71C19-C4EE-4C8C-8FC1-588A567DA14B}"/>
    <cellStyle name="Normal 8 3 4 4" xfId="1800" xr:uid="{00000000-0005-0000-0000-0000B11D0000}"/>
    <cellStyle name="Normal 8 3 4 4 2" xfId="4030" xr:uid="{00000000-0005-0000-0000-0000B21D0000}"/>
    <cellStyle name="Normal 8 3 4 4 2 2" xfId="8254" xr:uid="{00000000-0005-0000-0000-0000B31D0000}"/>
    <cellStyle name="Normal 8 3 4 4 2 2 2" xfId="20887" xr:uid="{74DF0B43-A201-4D12-AE48-2E43920777AB}"/>
    <cellStyle name="Normal 8 3 4 4 2 3" xfId="16676" xr:uid="{7EFE6369-58A6-408A-BE93-B9753504886D}"/>
    <cellStyle name="Normal 8 3 4 4 2 4" xfId="25926" xr:uid="{8B011340-0C5C-40CE-BBBA-5C9C7090E243}"/>
    <cellStyle name="Normal 8 3 4 4 2 5" xfId="12465" xr:uid="{BE066119-2047-4E34-96C8-F86B27BD501C}"/>
    <cellStyle name="Normal 8 3 4 4 3" xfId="6109" xr:uid="{00000000-0005-0000-0000-0000B41D0000}"/>
    <cellStyle name="Normal 8 3 4 4 3 2" xfId="18742" xr:uid="{365281B7-FB1E-46A6-A307-A18ACB3744ED}"/>
    <cellStyle name="Normal 8 3 4 4 4" xfId="14531" xr:uid="{56DBD068-4C6D-40B8-B7E4-D347EE8DDF95}"/>
    <cellStyle name="Normal 8 3 4 4 5" xfId="23781" xr:uid="{5024424C-791E-461B-9D06-851C11347A0F}"/>
    <cellStyle name="Normal 8 3 4 4 6" xfId="10320" xr:uid="{80472717-5ACE-40C0-B2AC-692BC6D47621}"/>
    <cellStyle name="Normal 8 3 4 5" xfId="2214" xr:uid="{00000000-0005-0000-0000-0000B51D0000}"/>
    <cellStyle name="Normal 8 3 4 5 2" xfId="4443" xr:uid="{00000000-0005-0000-0000-0000B61D0000}"/>
    <cellStyle name="Normal 8 3 4 5 2 2" xfId="8667" xr:uid="{00000000-0005-0000-0000-0000B71D0000}"/>
    <cellStyle name="Normal 8 3 4 5 2 2 2" xfId="21300" xr:uid="{80875B45-9AA3-44EC-B53F-8A8BCEA4E667}"/>
    <cellStyle name="Normal 8 3 4 5 2 3" xfId="17089" xr:uid="{AAEC8A75-74A3-4490-8005-058F23BDA54A}"/>
    <cellStyle name="Normal 8 3 4 5 2 4" xfId="26339" xr:uid="{2012D687-78AE-4D94-9704-CBED856A22D4}"/>
    <cellStyle name="Normal 8 3 4 5 2 5" xfId="12878" xr:uid="{D98BBFED-A733-4F05-9C61-FD4C72378267}"/>
    <cellStyle name="Normal 8 3 4 5 3" xfId="6522" xr:uid="{00000000-0005-0000-0000-0000B81D0000}"/>
    <cellStyle name="Normal 8 3 4 5 3 2" xfId="19155" xr:uid="{9E6E3FD2-1B19-4CF4-AACA-C301931CCB12}"/>
    <cellStyle name="Normal 8 3 4 5 4" xfId="14944" xr:uid="{7254D07E-64B4-4A84-A10D-D86913691620}"/>
    <cellStyle name="Normal 8 3 4 5 5" xfId="24194" xr:uid="{0B163061-6361-493E-ACD1-0C35A8C07441}"/>
    <cellStyle name="Normal 8 3 4 5 6" xfId="10733" xr:uid="{C1C90399-3E1D-4B73-B358-C13AA98B67D3}"/>
    <cellStyle name="Normal 8 3 4 6" xfId="2650" xr:uid="{00000000-0005-0000-0000-0000B91D0000}"/>
    <cellStyle name="Normal 8 3 4 6 2" xfId="6935" xr:uid="{00000000-0005-0000-0000-0000BA1D0000}"/>
    <cellStyle name="Normal 8 3 4 6 2 2" xfId="19568" xr:uid="{A927601A-D32B-4B34-A6C1-92FC4DB6B814}"/>
    <cellStyle name="Normal 8 3 4 6 3" xfId="15357" xr:uid="{411DEF58-BC8C-4A0C-870D-5201C0CE2C93}"/>
    <cellStyle name="Normal 8 3 4 6 4" xfId="24607" xr:uid="{624D9689-7A28-42EE-8F79-BF27349385E4}"/>
    <cellStyle name="Normal 8 3 4 6 5" xfId="11146" xr:uid="{A47B1012-8E85-469E-9693-B506E40E1FB0}"/>
    <cellStyle name="Normal 8 3 4 7" xfId="4870" xr:uid="{00000000-0005-0000-0000-0000BB1D0000}"/>
    <cellStyle name="Normal 8 3 4 7 2" xfId="17503" xr:uid="{0BF135CD-FF0A-49BE-B7E6-0B0C0730BBE5}"/>
    <cellStyle name="Normal 8 3 4 8" xfId="21713" xr:uid="{4F5784DA-E0FA-460C-8196-D2F032BC92D4}"/>
    <cellStyle name="Normal 8 3 4 9" xfId="13292" xr:uid="{FC7E76E2-C1A5-4A34-92D1-0F6097387528}"/>
    <cellStyle name="Normal 8 3 5" xfId="963" xr:uid="{00000000-0005-0000-0000-0000BC1D0000}"/>
    <cellStyle name="Normal 8 3 5 2" xfId="3197" xr:uid="{00000000-0005-0000-0000-0000BD1D0000}"/>
    <cellStyle name="Normal 8 3 5 2 2" xfId="7421" xr:uid="{00000000-0005-0000-0000-0000BE1D0000}"/>
    <cellStyle name="Normal 8 3 5 2 2 2" xfId="20054" xr:uid="{45B19806-6CE3-4238-9FD6-2E7BD2B48095}"/>
    <cellStyle name="Normal 8 3 5 2 3" xfId="15843" xr:uid="{D0537E3B-5669-4F39-BD7D-7B0467BAEA56}"/>
    <cellStyle name="Normal 8 3 5 2 4" xfId="25093" xr:uid="{AAA7A546-E26D-43FB-8643-D86F74C689BB}"/>
    <cellStyle name="Normal 8 3 5 2 5" xfId="11632" xr:uid="{13DACD69-15C2-4BB6-AEA1-895BE5B97CFA}"/>
    <cellStyle name="Normal 8 3 5 3" xfId="5276" xr:uid="{00000000-0005-0000-0000-0000BF1D0000}"/>
    <cellStyle name="Normal 8 3 5 3 2" xfId="17909" xr:uid="{CB92FA10-33E4-416C-BB17-CBE2453F60C1}"/>
    <cellStyle name="Normal 8 3 5 4" xfId="22121" xr:uid="{937EA20E-EB21-4C2E-A9CE-C1DBF2BF715E}"/>
    <cellStyle name="Normal 8 3 5 5" xfId="13698" xr:uid="{6CB30658-B4AD-4791-99C0-2C4F19789B80}"/>
    <cellStyle name="Normal 8 3 5 6" xfId="22948" xr:uid="{ADD11855-AFB6-44FE-B695-EA7655E958E2}"/>
    <cellStyle name="Normal 8 3 5 7" xfId="9487" xr:uid="{1E121205-58AA-406A-A31F-4A45E9DADF4C}"/>
    <cellStyle name="Normal 8 3 6" xfId="1380" xr:uid="{00000000-0005-0000-0000-0000C01D0000}"/>
    <cellStyle name="Normal 8 3 6 2" xfId="3610" xr:uid="{00000000-0005-0000-0000-0000C11D0000}"/>
    <cellStyle name="Normal 8 3 6 2 2" xfId="7834" xr:uid="{00000000-0005-0000-0000-0000C21D0000}"/>
    <cellStyle name="Normal 8 3 6 2 2 2" xfId="20467" xr:uid="{EAB1D8DC-781D-4C62-8A46-9650CC84DEF0}"/>
    <cellStyle name="Normal 8 3 6 2 3" xfId="16256" xr:uid="{90484F18-6EEF-4461-B170-92E280A5E10C}"/>
    <cellStyle name="Normal 8 3 6 2 4" xfId="25506" xr:uid="{27987CF0-036C-4D51-97C0-9D3909EE3250}"/>
    <cellStyle name="Normal 8 3 6 2 5" xfId="12045" xr:uid="{CFF50A5B-2A01-4EA3-B184-F21FC4B256B8}"/>
    <cellStyle name="Normal 8 3 6 3" xfId="5689" xr:uid="{00000000-0005-0000-0000-0000C31D0000}"/>
    <cellStyle name="Normal 8 3 6 3 2" xfId="18322" xr:uid="{7EF94F6A-90AB-4AC3-B25E-7FEA7221C52B}"/>
    <cellStyle name="Normal 8 3 6 4" xfId="14111" xr:uid="{A30C92C4-62DE-4EAB-BEFE-C42B2D8AA092}"/>
    <cellStyle name="Normal 8 3 6 5" xfId="23361" xr:uid="{5C3597C6-40BA-4DA1-9A2F-B0EECD1C4894}"/>
    <cellStyle name="Normal 8 3 6 6" xfId="9900" xr:uid="{E7D01CAD-900D-4F9C-95FA-1BE7C64DCDE2}"/>
    <cellStyle name="Normal 8 3 7" xfId="1793" xr:uid="{00000000-0005-0000-0000-0000C41D0000}"/>
    <cellStyle name="Normal 8 3 7 2" xfId="4023" xr:uid="{00000000-0005-0000-0000-0000C51D0000}"/>
    <cellStyle name="Normal 8 3 7 2 2" xfId="8247" xr:uid="{00000000-0005-0000-0000-0000C61D0000}"/>
    <cellStyle name="Normal 8 3 7 2 2 2" xfId="20880" xr:uid="{8893CFE6-7B60-4C19-9C49-E1FEEB24B05E}"/>
    <cellStyle name="Normal 8 3 7 2 3" xfId="16669" xr:uid="{35871259-1A54-4B10-AEB2-0FBEE57169E5}"/>
    <cellStyle name="Normal 8 3 7 2 4" xfId="25919" xr:uid="{AE4E0DD7-45DF-4435-9157-2CD30CFB6925}"/>
    <cellStyle name="Normal 8 3 7 2 5" xfId="12458" xr:uid="{F8F337B3-4669-4636-9B2C-E892E56EAB4A}"/>
    <cellStyle name="Normal 8 3 7 3" xfId="6102" xr:uid="{00000000-0005-0000-0000-0000C71D0000}"/>
    <cellStyle name="Normal 8 3 7 3 2" xfId="18735" xr:uid="{00C035D4-9E47-4AD8-8628-6F308165989F}"/>
    <cellStyle name="Normal 8 3 7 4" xfId="14524" xr:uid="{3F11D130-0984-4546-9F04-152837C70B60}"/>
    <cellStyle name="Normal 8 3 7 5" xfId="23774" xr:uid="{9ECFC3AD-1E5B-465B-A7CD-7CA9FF403294}"/>
    <cellStyle name="Normal 8 3 7 6" xfId="10313" xr:uid="{A5B35780-F338-4BA9-80BF-ECF7DDE6598A}"/>
    <cellStyle name="Normal 8 3 8" xfId="2207" xr:uid="{00000000-0005-0000-0000-0000C81D0000}"/>
    <cellStyle name="Normal 8 3 8 2" xfId="4436" xr:uid="{00000000-0005-0000-0000-0000C91D0000}"/>
    <cellStyle name="Normal 8 3 8 2 2" xfId="8660" xr:uid="{00000000-0005-0000-0000-0000CA1D0000}"/>
    <cellStyle name="Normal 8 3 8 2 2 2" xfId="21293" xr:uid="{D0408B09-DF1F-4587-878D-D4433ED8B8F5}"/>
    <cellStyle name="Normal 8 3 8 2 3" xfId="17082" xr:uid="{1E4854FD-A252-4820-811C-C2EAB20DC615}"/>
    <cellStyle name="Normal 8 3 8 2 4" xfId="26332" xr:uid="{A7D4E7C7-A321-4106-AD1C-1E1C72D3D0CA}"/>
    <cellStyle name="Normal 8 3 8 2 5" xfId="12871" xr:uid="{26586321-713B-4D0E-9900-9F14ED0FD199}"/>
    <cellStyle name="Normal 8 3 8 3" xfId="6515" xr:uid="{00000000-0005-0000-0000-0000CB1D0000}"/>
    <cellStyle name="Normal 8 3 8 3 2" xfId="19148" xr:uid="{0B1FB848-6C1D-4F55-B677-7651087FA712}"/>
    <cellStyle name="Normal 8 3 8 4" xfId="14937" xr:uid="{D7DC1CDE-24DF-4121-93F7-C42D4CEE4BD6}"/>
    <cellStyle name="Normal 8 3 8 5" xfId="24187" xr:uid="{88314E14-ADCF-4924-8C81-F79107BF991E}"/>
    <cellStyle name="Normal 8 3 8 6" xfId="10726" xr:uid="{C743C181-7BCD-48F2-9B5A-E83490622866}"/>
    <cellStyle name="Normal 8 3 9" xfId="2643" xr:uid="{00000000-0005-0000-0000-0000CC1D0000}"/>
    <cellStyle name="Normal 8 3 9 2" xfId="6928" xr:uid="{00000000-0005-0000-0000-0000CD1D0000}"/>
    <cellStyle name="Normal 8 3 9 2 2" xfId="19561" xr:uid="{FEDAE3B8-02ED-4444-88B7-652EA5CCB9ED}"/>
    <cellStyle name="Normal 8 3 9 3" xfId="15350" xr:uid="{FCB2C200-AA6F-46A2-A0B0-D85C1AB4C2C1}"/>
    <cellStyle name="Normal 8 3 9 4" xfId="24600" xr:uid="{282BAF91-80FD-4936-8F07-9B3267A9F0F0}"/>
    <cellStyle name="Normal 8 3 9 5" xfId="11139" xr:uid="{7E94D390-70EF-432E-A050-D79C1C549476}"/>
    <cellStyle name="Normal 8 4" xfId="503" xr:uid="{00000000-0005-0000-0000-0000CE1D0000}"/>
    <cellStyle name="Normal 8 4 10" xfId="21714" xr:uid="{ABB0BEC7-C490-4DB0-A52B-4DCE1025F053}"/>
    <cellStyle name="Normal 8 4 11" xfId="13293" xr:uid="{9F3F7C2E-34DF-4849-A054-63315D9E2A8F}"/>
    <cellStyle name="Normal 8 4 12" xfId="22543" xr:uid="{D2ADE0CF-73A8-4B0C-92E8-7E63DAB58106}"/>
    <cellStyle name="Normal 8 4 13" xfId="9082" xr:uid="{809271AF-B1B4-40DB-85AA-4DDD864DD3A7}"/>
    <cellStyle name="Normal 8 4 2" xfId="504" xr:uid="{00000000-0005-0000-0000-0000CF1D0000}"/>
    <cellStyle name="Normal 8 4 2 10" xfId="13294" xr:uid="{60FD1D36-C314-486B-80F7-EA9FA5D439D3}"/>
    <cellStyle name="Normal 8 4 2 11" xfId="22544" xr:uid="{D51121FE-94BE-432D-B983-505A89BA9D6E}"/>
    <cellStyle name="Normal 8 4 2 12" xfId="9083" xr:uid="{20C9049B-07C4-41F0-B017-ABD8DAE31251}"/>
    <cellStyle name="Normal 8 4 2 2" xfId="505" xr:uid="{00000000-0005-0000-0000-0000D01D0000}"/>
    <cellStyle name="Normal 8 4 2 2 10" xfId="22545" xr:uid="{B85D69E2-C628-4813-8E8B-46A3CE12C2CE}"/>
    <cellStyle name="Normal 8 4 2 2 11" xfId="9084" xr:uid="{F42F66AB-03C6-4125-B15E-EB9F8FBD60CF}"/>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20064" xr:uid="{51AC619D-1823-4D50-95F3-EAE2C9A259D4}"/>
    <cellStyle name="Normal 8 4 2 2 2 2 3" xfId="15853" xr:uid="{3FA7B9A4-B950-4341-A31A-2955C02AF15C}"/>
    <cellStyle name="Normal 8 4 2 2 2 2 4" xfId="25103" xr:uid="{3B7D29E5-EDC3-4BB8-952F-121BE5DD95A6}"/>
    <cellStyle name="Normal 8 4 2 2 2 2 5" xfId="11642" xr:uid="{C0258693-EDB1-48F2-B1C4-380CCA4A4255}"/>
    <cellStyle name="Normal 8 4 2 2 2 3" xfId="5286" xr:uid="{00000000-0005-0000-0000-0000D41D0000}"/>
    <cellStyle name="Normal 8 4 2 2 2 3 2" xfId="17919" xr:uid="{649F5E37-BEA1-4016-8A5B-E2475F2E88C7}"/>
    <cellStyle name="Normal 8 4 2 2 2 4" xfId="22131" xr:uid="{FA86B186-5223-4681-9581-AEFAA17657F3}"/>
    <cellStyle name="Normal 8 4 2 2 2 5" xfId="13708" xr:uid="{E05667BD-7880-4884-A00C-B22770540221}"/>
    <cellStyle name="Normal 8 4 2 2 2 6" xfId="22958" xr:uid="{C8958621-9297-4745-B18A-0AD8B1BDD782}"/>
    <cellStyle name="Normal 8 4 2 2 2 7" xfId="9497" xr:uid="{DABF7C03-DEA5-4BDB-BC31-85FEEF3767CF}"/>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20477" xr:uid="{68F4A833-46F3-461F-BD37-CAE8380A4A74}"/>
    <cellStyle name="Normal 8 4 2 2 3 2 3" xfId="16266" xr:uid="{40AC3042-0B3D-43D9-A47C-6FA1129BCDFD}"/>
    <cellStyle name="Normal 8 4 2 2 3 2 4" xfId="25516" xr:uid="{F021915B-379A-4AC4-BFE4-5FA08EF570E4}"/>
    <cellStyle name="Normal 8 4 2 2 3 2 5" xfId="12055" xr:uid="{89758405-0A19-4368-A91F-E9F6A04D2ACD}"/>
    <cellStyle name="Normal 8 4 2 2 3 3" xfId="5699" xr:uid="{00000000-0005-0000-0000-0000D81D0000}"/>
    <cellStyle name="Normal 8 4 2 2 3 3 2" xfId="18332" xr:uid="{CFE1AD1D-BF80-4042-B58B-753FB8E0D6F5}"/>
    <cellStyle name="Normal 8 4 2 2 3 4" xfId="14121" xr:uid="{A93901F3-5D36-461E-8128-25A9EF508697}"/>
    <cellStyle name="Normal 8 4 2 2 3 5" xfId="23371" xr:uid="{CB0CFE7A-684F-4980-A6DD-D4E1ECD42352}"/>
    <cellStyle name="Normal 8 4 2 2 3 6" xfId="9910" xr:uid="{5AEAA695-B073-4E47-8664-7B5AC9693A2F}"/>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20890" xr:uid="{014C3BA7-BFF0-4BBB-B9A7-4F50BF31F0C8}"/>
    <cellStyle name="Normal 8 4 2 2 4 2 3" xfId="16679" xr:uid="{4A6B50EA-EE13-4D39-BE20-AF4D001E9F86}"/>
    <cellStyle name="Normal 8 4 2 2 4 2 4" xfId="25929" xr:uid="{857BF691-3DD5-470D-9311-B09EF6162C56}"/>
    <cellStyle name="Normal 8 4 2 2 4 2 5" xfId="12468" xr:uid="{5CE5BD98-6D16-4140-BE58-9CCBDC5948F1}"/>
    <cellStyle name="Normal 8 4 2 2 4 3" xfId="6112" xr:uid="{00000000-0005-0000-0000-0000DC1D0000}"/>
    <cellStyle name="Normal 8 4 2 2 4 3 2" xfId="18745" xr:uid="{2CE08E4D-FD92-4931-B01B-B66733CD46EC}"/>
    <cellStyle name="Normal 8 4 2 2 4 4" xfId="14534" xr:uid="{9A65B876-E623-4CEA-BDD5-689C073D0969}"/>
    <cellStyle name="Normal 8 4 2 2 4 5" xfId="23784" xr:uid="{59E98EE8-E595-46A5-801D-BEC52A4690F8}"/>
    <cellStyle name="Normal 8 4 2 2 4 6" xfId="10323" xr:uid="{FBB94700-C961-474A-AEF9-DDCFE7DDC1EF}"/>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21303" xr:uid="{4FF40E94-C303-40B3-A944-E487A58F2F0A}"/>
    <cellStyle name="Normal 8 4 2 2 5 2 3" xfId="17092" xr:uid="{2F16E203-3E43-4588-B0DE-160DA3EC8FCF}"/>
    <cellStyle name="Normal 8 4 2 2 5 2 4" xfId="26342" xr:uid="{0FC66495-0E6B-466B-BDCE-38A8FF3D29BD}"/>
    <cellStyle name="Normal 8 4 2 2 5 2 5" xfId="12881" xr:uid="{80204BAC-F963-4A21-8D51-8F21ADD63DAE}"/>
    <cellStyle name="Normal 8 4 2 2 5 3" xfId="6525" xr:uid="{00000000-0005-0000-0000-0000E01D0000}"/>
    <cellStyle name="Normal 8 4 2 2 5 3 2" xfId="19158" xr:uid="{3D115275-CE8D-40BF-891A-0666B16F85DA}"/>
    <cellStyle name="Normal 8 4 2 2 5 4" xfId="14947" xr:uid="{F0556CE5-8612-42E0-9C32-4559A763E398}"/>
    <cellStyle name="Normal 8 4 2 2 5 5" xfId="24197" xr:uid="{2CB90C1A-6F0D-4847-9B83-FCA4AB48E09E}"/>
    <cellStyle name="Normal 8 4 2 2 5 6" xfId="10736" xr:uid="{B7C2E7EB-88BD-4036-8E7B-B77082CF57E8}"/>
    <cellStyle name="Normal 8 4 2 2 6" xfId="2653" xr:uid="{00000000-0005-0000-0000-0000E11D0000}"/>
    <cellStyle name="Normal 8 4 2 2 6 2" xfId="6938" xr:uid="{00000000-0005-0000-0000-0000E21D0000}"/>
    <cellStyle name="Normal 8 4 2 2 6 2 2" xfId="19571" xr:uid="{174D9E05-4453-4819-8586-8B7F59356366}"/>
    <cellStyle name="Normal 8 4 2 2 6 3" xfId="15360" xr:uid="{715F39A5-2367-4540-81EA-FB7E22E2A5FF}"/>
    <cellStyle name="Normal 8 4 2 2 6 4" xfId="24610" xr:uid="{C743B9C3-AB6D-4110-BD0D-6E813C4DEC44}"/>
    <cellStyle name="Normal 8 4 2 2 6 5" xfId="11149" xr:uid="{5C0EEB33-836C-476F-A0DE-1070BC93D690}"/>
    <cellStyle name="Normal 8 4 2 2 7" xfId="4873" xr:uid="{00000000-0005-0000-0000-0000E31D0000}"/>
    <cellStyle name="Normal 8 4 2 2 7 2" xfId="17506" xr:uid="{3A10B4A2-7CCF-44C7-831E-1282D99015F0}"/>
    <cellStyle name="Normal 8 4 2 2 8" xfId="21716" xr:uid="{88DE8F2D-7301-4830-9149-5F3BF2BBC221}"/>
    <cellStyle name="Normal 8 4 2 2 9" xfId="13295" xr:uid="{D52B5306-49B0-4BD3-804C-0D5DE2D4371C}"/>
    <cellStyle name="Normal 8 4 2 3" xfId="972" xr:uid="{00000000-0005-0000-0000-0000E41D0000}"/>
    <cellStyle name="Normal 8 4 2 3 2" xfId="3206" xr:uid="{00000000-0005-0000-0000-0000E51D0000}"/>
    <cellStyle name="Normal 8 4 2 3 2 2" xfId="7430" xr:uid="{00000000-0005-0000-0000-0000E61D0000}"/>
    <cellStyle name="Normal 8 4 2 3 2 2 2" xfId="20063" xr:uid="{C81EF83E-4E10-490C-94DD-F33D46181850}"/>
    <cellStyle name="Normal 8 4 2 3 2 3" xfId="15852" xr:uid="{BD4E8BB6-A22C-4636-8FFB-3E44DA4BD9C2}"/>
    <cellStyle name="Normal 8 4 2 3 2 4" xfId="25102" xr:uid="{738D7F3E-491C-4CB0-A3FA-E08AC89B05FB}"/>
    <cellStyle name="Normal 8 4 2 3 2 5" xfId="11641" xr:uid="{51E753A7-D07F-4490-A665-D9DF73E8DFB5}"/>
    <cellStyle name="Normal 8 4 2 3 3" xfId="5285" xr:uid="{00000000-0005-0000-0000-0000E71D0000}"/>
    <cellStyle name="Normal 8 4 2 3 3 2" xfId="17918" xr:uid="{A8F2B733-596C-45B0-A7F0-B00C65D5FC1E}"/>
    <cellStyle name="Normal 8 4 2 3 4" xfId="22130" xr:uid="{A2C376F1-32F8-4C79-B772-97F8ED613E15}"/>
    <cellStyle name="Normal 8 4 2 3 5" xfId="13707" xr:uid="{222C4C52-A512-416D-A53E-085FF1E4DF1E}"/>
    <cellStyle name="Normal 8 4 2 3 6" xfId="22957" xr:uid="{55380939-936F-42D6-BDE5-459D3F2A8AA1}"/>
    <cellStyle name="Normal 8 4 2 3 7" xfId="9496" xr:uid="{E0E1A778-F915-48DD-8CFA-B943ACFEA12A}"/>
    <cellStyle name="Normal 8 4 2 4" xfId="1389" xr:uid="{00000000-0005-0000-0000-0000E81D0000}"/>
    <cellStyle name="Normal 8 4 2 4 2" xfId="3619" xr:uid="{00000000-0005-0000-0000-0000E91D0000}"/>
    <cellStyle name="Normal 8 4 2 4 2 2" xfId="7843" xr:uid="{00000000-0005-0000-0000-0000EA1D0000}"/>
    <cellStyle name="Normal 8 4 2 4 2 2 2" xfId="20476" xr:uid="{53D2A10A-77EA-4EF5-AC1D-76B93211E79A}"/>
    <cellStyle name="Normal 8 4 2 4 2 3" xfId="16265" xr:uid="{62907121-D301-44B5-8CEF-D74C124C8FE1}"/>
    <cellStyle name="Normal 8 4 2 4 2 4" xfId="25515" xr:uid="{60260288-C584-4C56-9EF8-B813E1B5B9E4}"/>
    <cellStyle name="Normal 8 4 2 4 2 5" xfId="12054" xr:uid="{C3BCCDC9-B4D6-456C-9B33-33192439FF68}"/>
    <cellStyle name="Normal 8 4 2 4 3" xfId="5698" xr:uid="{00000000-0005-0000-0000-0000EB1D0000}"/>
    <cellStyle name="Normal 8 4 2 4 3 2" xfId="18331" xr:uid="{5C34E63D-0B46-46A3-A46A-BC20DE366B40}"/>
    <cellStyle name="Normal 8 4 2 4 4" xfId="14120" xr:uid="{620A366C-6B02-400A-B770-FCDB541ADA99}"/>
    <cellStyle name="Normal 8 4 2 4 5" xfId="23370" xr:uid="{14829BA1-2776-4E11-93E9-C22B73DC7025}"/>
    <cellStyle name="Normal 8 4 2 4 6" xfId="9909" xr:uid="{5ECB1724-41D4-4750-8E60-92F4239FA492}"/>
    <cellStyle name="Normal 8 4 2 5" xfId="1802" xr:uid="{00000000-0005-0000-0000-0000EC1D0000}"/>
    <cellStyle name="Normal 8 4 2 5 2" xfId="4032" xr:uid="{00000000-0005-0000-0000-0000ED1D0000}"/>
    <cellStyle name="Normal 8 4 2 5 2 2" xfId="8256" xr:uid="{00000000-0005-0000-0000-0000EE1D0000}"/>
    <cellStyle name="Normal 8 4 2 5 2 2 2" xfId="20889" xr:uid="{4840D3A7-B5FE-405B-864D-0C46C68CEDCC}"/>
    <cellStyle name="Normal 8 4 2 5 2 3" xfId="16678" xr:uid="{B8C74C73-6A26-4BB1-9296-7E1CE1164B26}"/>
    <cellStyle name="Normal 8 4 2 5 2 4" xfId="25928" xr:uid="{0BFB46EC-DD2D-4780-B787-328411DCFE33}"/>
    <cellStyle name="Normal 8 4 2 5 2 5" xfId="12467" xr:uid="{B6D2FD5F-E9AE-4189-94E3-46924E56802C}"/>
    <cellStyle name="Normal 8 4 2 5 3" xfId="6111" xr:uid="{00000000-0005-0000-0000-0000EF1D0000}"/>
    <cellStyle name="Normal 8 4 2 5 3 2" xfId="18744" xr:uid="{FFCA25DD-F3C3-4188-9F5B-3A52C2508019}"/>
    <cellStyle name="Normal 8 4 2 5 4" xfId="14533" xr:uid="{5A4ACC0F-9EDC-4DD5-9EDA-FE66B7B29FB8}"/>
    <cellStyle name="Normal 8 4 2 5 5" xfId="23783" xr:uid="{6132BDF1-5B25-423E-B21C-DAEBF92E3150}"/>
    <cellStyle name="Normal 8 4 2 5 6" xfId="10322" xr:uid="{BDD84B9E-7ACC-44B9-B13F-C73C4FFE6BA4}"/>
    <cellStyle name="Normal 8 4 2 6" xfId="2216" xr:uid="{00000000-0005-0000-0000-0000F01D0000}"/>
    <cellStyle name="Normal 8 4 2 6 2" xfId="4445" xr:uid="{00000000-0005-0000-0000-0000F11D0000}"/>
    <cellStyle name="Normal 8 4 2 6 2 2" xfId="8669" xr:uid="{00000000-0005-0000-0000-0000F21D0000}"/>
    <cellStyle name="Normal 8 4 2 6 2 2 2" xfId="21302" xr:uid="{63ED16B0-A336-4E9B-9F16-959FF689EB20}"/>
    <cellStyle name="Normal 8 4 2 6 2 3" xfId="17091" xr:uid="{3F33245D-CCA7-4F01-AADF-55012F175BD6}"/>
    <cellStyle name="Normal 8 4 2 6 2 4" xfId="26341" xr:uid="{FC5BB34B-A5C9-42AD-91C3-AD14A6F719BD}"/>
    <cellStyle name="Normal 8 4 2 6 2 5" xfId="12880" xr:uid="{D6915E1A-6EF3-4512-B16F-671494A8D8F4}"/>
    <cellStyle name="Normal 8 4 2 6 3" xfId="6524" xr:uid="{00000000-0005-0000-0000-0000F31D0000}"/>
    <cellStyle name="Normal 8 4 2 6 3 2" xfId="19157" xr:uid="{F4494994-5C66-4307-9E20-0715B068D1C1}"/>
    <cellStyle name="Normal 8 4 2 6 4" xfId="14946" xr:uid="{42D967E7-FB37-4A87-81C9-4B47CAC9B410}"/>
    <cellStyle name="Normal 8 4 2 6 5" xfId="24196" xr:uid="{A9F55059-CF53-4910-BA5D-BA1C99179E2F}"/>
    <cellStyle name="Normal 8 4 2 6 6" xfId="10735" xr:uid="{3B313942-1E64-41A8-BE79-105356BB2948}"/>
    <cellStyle name="Normal 8 4 2 7" xfId="2652" xr:uid="{00000000-0005-0000-0000-0000F41D0000}"/>
    <cellStyle name="Normal 8 4 2 7 2" xfId="6937" xr:uid="{00000000-0005-0000-0000-0000F51D0000}"/>
    <cellStyle name="Normal 8 4 2 7 2 2" xfId="19570" xr:uid="{452398A9-0772-4DBC-881A-76D4A54D3ED0}"/>
    <cellStyle name="Normal 8 4 2 7 3" xfId="15359" xr:uid="{90433C60-8F7B-4934-A68B-B51D0FF8D4F2}"/>
    <cellStyle name="Normal 8 4 2 7 4" xfId="24609" xr:uid="{C3080B58-8C75-4F72-AF63-E0998CD63006}"/>
    <cellStyle name="Normal 8 4 2 7 5" xfId="11148" xr:uid="{48745E44-835C-4908-A596-D9DB3EA5434D}"/>
    <cellStyle name="Normal 8 4 2 8" xfId="4872" xr:uid="{00000000-0005-0000-0000-0000F61D0000}"/>
    <cellStyle name="Normal 8 4 2 8 2" xfId="17505" xr:uid="{F3E51D1E-96FE-4DFA-9286-8917451C9265}"/>
    <cellStyle name="Normal 8 4 2 9" xfId="21715" xr:uid="{32A2FF37-5843-4B96-9AD0-1B1708825E0A}"/>
    <cellStyle name="Normal 8 4 3" xfId="506" xr:uid="{00000000-0005-0000-0000-0000F71D0000}"/>
    <cellStyle name="Normal 8 4 3 10" xfId="22546" xr:uid="{51695E1A-FCD1-4D48-8F49-0F4E63421A05}"/>
    <cellStyle name="Normal 8 4 3 11" xfId="9085" xr:uid="{09459A49-6882-44ED-8A93-DB082C3960CC}"/>
    <cellStyle name="Normal 8 4 3 2" xfId="974" xr:uid="{00000000-0005-0000-0000-0000F81D0000}"/>
    <cellStyle name="Normal 8 4 3 2 2" xfId="3208" xr:uid="{00000000-0005-0000-0000-0000F91D0000}"/>
    <cellStyle name="Normal 8 4 3 2 2 2" xfId="7432" xr:uid="{00000000-0005-0000-0000-0000FA1D0000}"/>
    <cellStyle name="Normal 8 4 3 2 2 2 2" xfId="20065" xr:uid="{ECF438F4-D389-4B1E-8B9D-06C7F4D35990}"/>
    <cellStyle name="Normal 8 4 3 2 2 3" xfId="15854" xr:uid="{5057EB10-4176-457D-8D4A-0A51E4153EAB}"/>
    <cellStyle name="Normal 8 4 3 2 2 4" xfId="25104" xr:uid="{D61343E6-1D22-4307-8F60-9F42031352E2}"/>
    <cellStyle name="Normal 8 4 3 2 2 5" xfId="11643" xr:uid="{9C1465A9-59FA-45B8-B642-65EA516BE41B}"/>
    <cellStyle name="Normal 8 4 3 2 3" xfId="5287" xr:uid="{00000000-0005-0000-0000-0000FB1D0000}"/>
    <cellStyle name="Normal 8 4 3 2 3 2" xfId="17920" xr:uid="{A31897DD-C6EA-4F7D-B7D8-BD980E656781}"/>
    <cellStyle name="Normal 8 4 3 2 4" xfId="22132" xr:uid="{FB2DB1FD-1C4D-4277-AF93-9C96D36FA33B}"/>
    <cellStyle name="Normal 8 4 3 2 5" xfId="13709" xr:uid="{8396C661-02ED-410B-BAFB-2FC9F01397F2}"/>
    <cellStyle name="Normal 8 4 3 2 6" xfId="22959" xr:uid="{99371E7D-1135-4334-B685-E27D7D12BA5B}"/>
    <cellStyle name="Normal 8 4 3 2 7" xfId="9498" xr:uid="{C94D9453-DA26-41A7-95BC-15374D039383}"/>
    <cellStyle name="Normal 8 4 3 3" xfId="1391" xr:uid="{00000000-0005-0000-0000-0000FC1D0000}"/>
    <cellStyle name="Normal 8 4 3 3 2" xfId="3621" xr:uid="{00000000-0005-0000-0000-0000FD1D0000}"/>
    <cellStyle name="Normal 8 4 3 3 2 2" xfId="7845" xr:uid="{00000000-0005-0000-0000-0000FE1D0000}"/>
    <cellStyle name="Normal 8 4 3 3 2 2 2" xfId="20478" xr:uid="{6A12F4CB-1EDB-409E-8EAD-6F92057D5DFC}"/>
    <cellStyle name="Normal 8 4 3 3 2 3" xfId="16267" xr:uid="{E0D36AA3-439D-4F70-9139-B83AF0B3035F}"/>
    <cellStyle name="Normal 8 4 3 3 2 4" xfId="25517" xr:uid="{15649A10-F093-4CC9-9D3B-8E70EA1FADE5}"/>
    <cellStyle name="Normal 8 4 3 3 2 5" xfId="12056" xr:uid="{6C2E9837-8B57-4C15-98FF-E45CD507C7E1}"/>
    <cellStyle name="Normal 8 4 3 3 3" xfId="5700" xr:uid="{00000000-0005-0000-0000-0000FF1D0000}"/>
    <cellStyle name="Normal 8 4 3 3 3 2" xfId="18333" xr:uid="{4CC57C5A-B89C-47C8-AA90-85621C679915}"/>
    <cellStyle name="Normal 8 4 3 3 4" xfId="14122" xr:uid="{24586C26-1605-4FB4-9FA1-7D22F797CF38}"/>
    <cellStyle name="Normal 8 4 3 3 5" xfId="23372" xr:uid="{FE2D3590-A4D9-4A03-87D1-E1D52266B826}"/>
    <cellStyle name="Normal 8 4 3 3 6" xfId="9911" xr:uid="{ED6462B2-CA36-4CDC-AC59-D35998631A33}"/>
    <cellStyle name="Normal 8 4 3 4" xfId="1804" xr:uid="{00000000-0005-0000-0000-0000001E0000}"/>
    <cellStyle name="Normal 8 4 3 4 2" xfId="4034" xr:uid="{00000000-0005-0000-0000-0000011E0000}"/>
    <cellStyle name="Normal 8 4 3 4 2 2" xfId="8258" xr:uid="{00000000-0005-0000-0000-0000021E0000}"/>
    <cellStyle name="Normal 8 4 3 4 2 2 2" xfId="20891" xr:uid="{5B3ED4BD-53AD-4687-B2C5-3B08D36AEEAA}"/>
    <cellStyle name="Normal 8 4 3 4 2 3" xfId="16680" xr:uid="{1E7A1174-C9CB-4576-86C4-5CE006A3C8F4}"/>
    <cellStyle name="Normal 8 4 3 4 2 4" xfId="25930" xr:uid="{CCEBFDFF-350A-47CB-A0C6-FC20B3650E07}"/>
    <cellStyle name="Normal 8 4 3 4 2 5" xfId="12469" xr:uid="{35081E09-2CD3-4DBC-87B3-00488D01BB8F}"/>
    <cellStyle name="Normal 8 4 3 4 3" xfId="6113" xr:uid="{00000000-0005-0000-0000-0000031E0000}"/>
    <cellStyle name="Normal 8 4 3 4 3 2" xfId="18746" xr:uid="{69DA8256-ED4A-4437-8066-CAF627F5F22B}"/>
    <cellStyle name="Normal 8 4 3 4 4" xfId="14535" xr:uid="{470E0834-716C-4DBD-BB32-B57974A6BBEE}"/>
    <cellStyle name="Normal 8 4 3 4 5" xfId="23785" xr:uid="{3A86E172-EDBB-405C-A6E9-40DD83E3BD9C}"/>
    <cellStyle name="Normal 8 4 3 4 6" xfId="10324" xr:uid="{3A716C79-AF4D-4728-B9AC-427ABF0EC11C}"/>
    <cellStyle name="Normal 8 4 3 5" xfId="2218" xr:uid="{00000000-0005-0000-0000-0000041E0000}"/>
    <cellStyle name="Normal 8 4 3 5 2" xfId="4447" xr:uid="{00000000-0005-0000-0000-0000051E0000}"/>
    <cellStyle name="Normal 8 4 3 5 2 2" xfId="8671" xr:uid="{00000000-0005-0000-0000-0000061E0000}"/>
    <cellStyle name="Normal 8 4 3 5 2 2 2" xfId="21304" xr:uid="{DB7BB7ED-3B08-455F-9075-3362AFEEFBE6}"/>
    <cellStyle name="Normal 8 4 3 5 2 3" xfId="17093" xr:uid="{453F8316-C8B2-4F69-BBA6-8B88794F05BD}"/>
    <cellStyle name="Normal 8 4 3 5 2 4" xfId="26343" xr:uid="{9DDC4CED-8973-495D-884C-43540A9F7D3E}"/>
    <cellStyle name="Normal 8 4 3 5 2 5" xfId="12882" xr:uid="{A001F879-B4EB-4C8B-AB6C-5F13391B60FB}"/>
    <cellStyle name="Normal 8 4 3 5 3" xfId="6526" xr:uid="{00000000-0005-0000-0000-0000071E0000}"/>
    <cellStyle name="Normal 8 4 3 5 3 2" xfId="19159" xr:uid="{41E8ABD3-7B1F-40B8-8D40-19A26B7BB85C}"/>
    <cellStyle name="Normal 8 4 3 5 4" xfId="14948" xr:uid="{D12743B8-02FC-4F0B-800F-82EDD0CEB7D2}"/>
    <cellStyle name="Normal 8 4 3 5 5" xfId="24198" xr:uid="{D5192D6E-4341-4EF4-B420-54643359600B}"/>
    <cellStyle name="Normal 8 4 3 5 6" xfId="10737" xr:uid="{81F0E44B-BABA-4539-9ED2-4A3093C30CCA}"/>
    <cellStyle name="Normal 8 4 3 6" xfId="2654" xr:uid="{00000000-0005-0000-0000-0000081E0000}"/>
    <cellStyle name="Normal 8 4 3 6 2" xfId="6939" xr:uid="{00000000-0005-0000-0000-0000091E0000}"/>
    <cellStyle name="Normal 8 4 3 6 2 2" xfId="19572" xr:uid="{ADBC6590-43AE-49B0-9E99-B2878A55426A}"/>
    <cellStyle name="Normal 8 4 3 6 3" xfId="15361" xr:uid="{E31F2247-C67D-4C67-B33A-49BA9823B378}"/>
    <cellStyle name="Normal 8 4 3 6 4" xfId="24611" xr:uid="{1D35A5F7-4B74-40A3-853C-DCE1D081BC71}"/>
    <cellStyle name="Normal 8 4 3 6 5" xfId="11150" xr:uid="{C95B3517-6531-4E9C-B295-56D30EC86083}"/>
    <cellStyle name="Normal 8 4 3 7" xfId="4874" xr:uid="{00000000-0005-0000-0000-00000A1E0000}"/>
    <cellStyle name="Normal 8 4 3 7 2" xfId="17507" xr:uid="{D1984B66-F5F9-4CFA-BC9F-91FA94D55868}"/>
    <cellStyle name="Normal 8 4 3 8" xfId="21717" xr:uid="{EC636F32-E88C-414E-8AC2-3997A0110F9F}"/>
    <cellStyle name="Normal 8 4 3 9" xfId="13296" xr:uid="{B3F9131A-1FEF-4AE8-B393-C4A2816055D8}"/>
    <cellStyle name="Normal 8 4 4" xfId="971" xr:uid="{00000000-0005-0000-0000-00000B1E0000}"/>
    <cellStyle name="Normal 8 4 4 2" xfId="3205" xr:uid="{00000000-0005-0000-0000-00000C1E0000}"/>
    <cellStyle name="Normal 8 4 4 2 2" xfId="7429" xr:uid="{00000000-0005-0000-0000-00000D1E0000}"/>
    <cellStyle name="Normal 8 4 4 2 2 2" xfId="20062" xr:uid="{082D1462-0287-49A2-B068-E3312DF7FDAB}"/>
    <cellStyle name="Normal 8 4 4 2 3" xfId="15851" xr:uid="{B158EF24-6768-4928-A53A-34AF9B7BD56F}"/>
    <cellStyle name="Normal 8 4 4 2 4" xfId="25101" xr:uid="{45499451-15BF-4ABB-9F17-1726C99299AA}"/>
    <cellStyle name="Normal 8 4 4 2 5" xfId="11640" xr:uid="{5B5B4157-8193-477F-9A7F-669EBF003401}"/>
    <cellStyle name="Normal 8 4 4 3" xfId="5284" xr:uid="{00000000-0005-0000-0000-00000E1E0000}"/>
    <cellStyle name="Normal 8 4 4 3 2" xfId="17917" xr:uid="{D72A774A-7FFB-4B1C-B366-9D47086B11CD}"/>
    <cellStyle name="Normal 8 4 4 4" xfId="22129" xr:uid="{3014E923-A747-40F7-AB0D-D7F202D9E81C}"/>
    <cellStyle name="Normal 8 4 4 5" xfId="13706" xr:uid="{724B0AE5-919C-4379-8CCC-7BCB655C37F6}"/>
    <cellStyle name="Normal 8 4 4 6" xfId="22956" xr:uid="{2CD80D41-23DB-4ACD-A3A4-C6BA0EE4DD70}"/>
    <cellStyle name="Normal 8 4 4 7" xfId="9495" xr:uid="{EB278D40-AE55-406B-AAF5-F5D8A502B944}"/>
    <cellStyle name="Normal 8 4 5" xfId="1388" xr:uid="{00000000-0005-0000-0000-00000F1E0000}"/>
    <cellStyle name="Normal 8 4 5 2" xfId="3618" xr:uid="{00000000-0005-0000-0000-0000101E0000}"/>
    <cellStyle name="Normal 8 4 5 2 2" xfId="7842" xr:uid="{00000000-0005-0000-0000-0000111E0000}"/>
    <cellStyle name="Normal 8 4 5 2 2 2" xfId="20475" xr:uid="{FD8B5F23-91B0-4E4D-B79B-BD10B221FBD1}"/>
    <cellStyle name="Normal 8 4 5 2 3" xfId="16264" xr:uid="{ED484A7A-E56E-4524-8625-1CD6D611A0DD}"/>
    <cellStyle name="Normal 8 4 5 2 4" xfId="25514" xr:uid="{7030E732-DABC-44F5-9A9C-B19086E30C61}"/>
    <cellStyle name="Normal 8 4 5 2 5" xfId="12053" xr:uid="{9A75F65C-B572-4D31-9A21-739892BD7DBA}"/>
    <cellStyle name="Normal 8 4 5 3" xfId="5697" xr:uid="{00000000-0005-0000-0000-0000121E0000}"/>
    <cellStyle name="Normal 8 4 5 3 2" xfId="18330" xr:uid="{1B602FDF-8C5D-419F-945D-3CAA12655445}"/>
    <cellStyle name="Normal 8 4 5 4" xfId="14119" xr:uid="{189A079C-CFF9-4EC8-B804-A8849C20C10E}"/>
    <cellStyle name="Normal 8 4 5 5" xfId="23369" xr:uid="{8C7B5D9D-DFDD-4F92-B400-624DD558F2F9}"/>
    <cellStyle name="Normal 8 4 5 6" xfId="9908" xr:uid="{06DB095C-3E01-419E-9710-F88097492419}"/>
    <cellStyle name="Normal 8 4 6" xfId="1801" xr:uid="{00000000-0005-0000-0000-0000131E0000}"/>
    <cellStyle name="Normal 8 4 6 2" xfId="4031" xr:uid="{00000000-0005-0000-0000-0000141E0000}"/>
    <cellStyle name="Normal 8 4 6 2 2" xfId="8255" xr:uid="{00000000-0005-0000-0000-0000151E0000}"/>
    <cellStyle name="Normal 8 4 6 2 2 2" xfId="20888" xr:uid="{A369535B-2D4F-4FFC-AA2C-70D1EBC3E234}"/>
    <cellStyle name="Normal 8 4 6 2 3" xfId="16677" xr:uid="{1AD90BFC-2346-4824-9F65-36819D8958C6}"/>
    <cellStyle name="Normal 8 4 6 2 4" xfId="25927" xr:uid="{AE5DFC65-1869-463D-8737-01A2108B3B74}"/>
    <cellStyle name="Normal 8 4 6 2 5" xfId="12466" xr:uid="{BA0C73D4-7AD2-44D5-9CBD-4FC41B68C771}"/>
    <cellStyle name="Normal 8 4 6 3" xfId="6110" xr:uid="{00000000-0005-0000-0000-0000161E0000}"/>
    <cellStyle name="Normal 8 4 6 3 2" xfId="18743" xr:uid="{F0E59C57-49C8-4C3C-B50B-F113D6434801}"/>
    <cellStyle name="Normal 8 4 6 4" xfId="14532" xr:uid="{3C25E18A-7ED8-46B9-ADE3-9FC9122CFFDC}"/>
    <cellStyle name="Normal 8 4 6 5" xfId="23782" xr:uid="{C9D0AECB-2D6B-498B-931A-F59EBA461A2F}"/>
    <cellStyle name="Normal 8 4 6 6" xfId="10321" xr:uid="{0E495E3D-25A4-4909-A833-029E9EF59466}"/>
    <cellStyle name="Normal 8 4 7" xfId="2215" xr:uid="{00000000-0005-0000-0000-0000171E0000}"/>
    <cellStyle name="Normal 8 4 7 2" xfId="4444" xr:uid="{00000000-0005-0000-0000-0000181E0000}"/>
    <cellStyle name="Normal 8 4 7 2 2" xfId="8668" xr:uid="{00000000-0005-0000-0000-0000191E0000}"/>
    <cellStyle name="Normal 8 4 7 2 2 2" xfId="21301" xr:uid="{DAB0A94F-980D-4291-89AB-EEB5622937F3}"/>
    <cellStyle name="Normal 8 4 7 2 3" xfId="17090" xr:uid="{946CC8E0-0FEC-44DB-AFE2-32A71D7A3885}"/>
    <cellStyle name="Normal 8 4 7 2 4" xfId="26340" xr:uid="{E3E0AA4E-A678-42AD-928B-94CF97FB4194}"/>
    <cellStyle name="Normal 8 4 7 2 5" xfId="12879" xr:uid="{A5BEC0DA-2DAD-434A-BFF3-BCB590E1D0C6}"/>
    <cellStyle name="Normal 8 4 7 3" xfId="6523" xr:uid="{00000000-0005-0000-0000-00001A1E0000}"/>
    <cellStyle name="Normal 8 4 7 3 2" xfId="19156" xr:uid="{74B3E399-2B6A-4EE6-8AD4-9E98AE115804}"/>
    <cellStyle name="Normal 8 4 7 4" xfId="14945" xr:uid="{AB54B79B-835D-496C-B23C-38EA55506B29}"/>
    <cellStyle name="Normal 8 4 7 5" xfId="24195" xr:uid="{8B70B89C-2C52-4AE9-BF29-D408C5C60C9C}"/>
    <cellStyle name="Normal 8 4 7 6" xfId="10734" xr:uid="{8EF90957-1F82-4DC7-9EC7-2499364F06B9}"/>
    <cellStyle name="Normal 8 4 8" xfId="2651" xr:uid="{00000000-0005-0000-0000-00001B1E0000}"/>
    <cellStyle name="Normal 8 4 8 2" xfId="6936" xr:uid="{00000000-0005-0000-0000-00001C1E0000}"/>
    <cellStyle name="Normal 8 4 8 2 2" xfId="19569" xr:uid="{5BAB4C1B-FE8F-4A20-B203-6CA8CBD0A37C}"/>
    <cellStyle name="Normal 8 4 8 3" xfId="15358" xr:uid="{A8D2A807-BFAD-4C65-B0B6-50E1790BC4B2}"/>
    <cellStyle name="Normal 8 4 8 4" xfId="24608" xr:uid="{1CD50984-8DB1-4D88-81E0-63607FD0EFDF}"/>
    <cellStyle name="Normal 8 4 8 5" xfId="11147" xr:uid="{4E92E3C7-E753-4F74-8060-60404ADFC893}"/>
    <cellStyle name="Normal 8 4 9" xfId="4871" xr:uid="{00000000-0005-0000-0000-00001D1E0000}"/>
    <cellStyle name="Normal 8 4 9 2" xfId="17504" xr:uid="{CE1530C1-C630-4392-A720-2F3388B4B595}"/>
    <cellStyle name="Normal 8 5" xfId="507" xr:uid="{00000000-0005-0000-0000-00001E1E0000}"/>
    <cellStyle name="Normal 8 5 10" xfId="13297" xr:uid="{D4289A83-E94E-4419-8783-82ECA3C0E55C}"/>
    <cellStyle name="Normal 8 5 11" xfId="22547" xr:uid="{EDD4FDE7-3D10-4E90-97F6-342DDF448773}"/>
    <cellStyle name="Normal 8 5 12" xfId="9086" xr:uid="{FDEB5D78-0989-411F-8196-4BC3D9E1E399}"/>
    <cellStyle name="Normal 8 5 2" xfId="508" xr:uid="{00000000-0005-0000-0000-00001F1E0000}"/>
    <cellStyle name="Normal 8 5 2 10" xfId="22548" xr:uid="{34EBE2A5-8898-4FC1-80EE-0D94C4F3AE1D}"/>
    <cellStyle name="Normal 8 5 2 11" xfId="9087" xr:uid="{B73362F0-8D94-47CD-BD80-52A7DF307293}"/>
    <cellStyle name="Normal 8 5 2 2" xfId="976" xr:uid="{00000000-0005-0000-0000-0000201E0000}"/>
    <cellStyle name="Normal 8 5 2 2 2" xfId="3210" xr:uid="{00000000-0005-0000-0000-0000211E0000}"/>
    <cellStyle name="Normal 8 5 2 2 2 2" xfId="7434" xr:uid="{00000000-0005-0000-0000-0000221E0000}"/>
    <cellStyle name="Normal 8 5 2 2 2 2 2" xfId="20067" xr:uid="{31FB0787-9BB9-437F-A4BD-85D5017689E9}"/>
    <cellStyle name="Normal 8 5 2 2 2 3" xfId="15856" xr:uid="{910A276C-4785-45A0-83B4-106FA22A890D}"/>
    <cellStyle name="Normal 8 5 2 2 2 4" xfId="25106" xr:uid="{0B1CFCD0-8705-4482-A23A-BBE05DBE5B77}"/>
    <cellStyle name="Normal 8 5 2 2 2 5" xfId="11645" xr:uid="{DF00A1A0-CC8E-4160-B752-DC6BCC9136DB}"/>
    <cellStyle name="Normal 8 5 2 2 3" xfId="5289" xr:uid="{00000000-0005-0000-0000-0000231E0000}"/>
    <cellStyle name="Normal 8 5 2 2 3 2" xfId="17922" xr:uid="{6D3737A9-9DBF-4AA9-8354-31541C753DCB}"/>
    <cellStyle name="Normal 8 5 2 2 4" xfId="22134" xr:uid="{F7795888-267C-40DE-97D2-A5AE81F95C13}"/>
    <cellStyle name="Normal 8 5 2 2 5" xfId="13711" xr:uid="{7A820D79-93A3-4476-979D-EF9C63C02216}"/>
    <cellStyle name="Normal 8 5 2 2 6" xfId="22961" xr:uid="{7045D9FA-59D9-48A8-8632-AFFB39A7E7E3}"/>
    <cellStyle name="Normal 8 5 2 2 7" xfId="9500" xr:uid="{9A5980A0-9071-4BB2-8423-A105B4E436B5}"/>
    <cellStyle name="Normal 8 5 2 3" xfId="1393" xr:uid="{00000000-0005-0000-0000-0000241E0000}"/>
    <cellStyle name="Normal 8 5 2 3 2" xfId="3623" xr:uid="{00000000-0005-0000-0000-0000251E0000}"/>
    <cellStyle name="Normal 8 5 2 3 2 2" xfId="7847" xr:uid="{00000000-0005-0000-0000-0000261E0000}"/>
    <cellStyle name="Normal 8 5 2 3 2 2 2" xfId="20480" xr:uid="{88FCF804-B792-41F8-B3CE-E68EA5EE65A3}"/>
    <cellStyle name="Normal 8 5 2 3 2 3" xfId="16269" xr:uid="{A66D1D48-3B52-4E14-8E8F-AFDB353D8687}"/>
    <cellStyle name="Normal 8 5 2 3 2 4" xfId="25519" xr:uid="{A833237E-79FC-4221-A73F-710C4E3348EE}"/>
    <cellStyle name="Normal 8 5 2 3 2 5" xfId="12058" xr:uid="{3A80BA4A-7FAF-45C0-ACCD-796D49B79091}"/>
    <cellStyle name="Normal 8 5 2 3 3" xfId="5702" xr:uid="{00000000-0005-0000-0000-0000271E0000}"/>
    <cellStyle name="Normal 8 5 2 3 3 2" xfId="18335" xr:uid="{EFBA0C2B-713A-4379-942C-B57DBE882E20}"/>
    <cellStyle name="Normal 8 5 2 3 4" xfId="14124" xr:uid="{1B4616CD-F136-4BE3-9528-3063F63EB96B}"/>
    <cellStyle name="Normal 8 5 2 3 5" xfId="23374" xr:uid="{16EB7C71-6544-48E8-8573-51C031E02158}"/>
    <cellStyle name="Normal 8 5 2 3 6" xfId="9913" xr:uid="{EB73465A-E6A9-4740-B269-08481D509F8E}"/>
    <cellStyle name="Normal 8 5 2 4" xfId="1806" xr:uid="{00000000-0005-0000-0000-0000281E0000}"/>
    <cellStyle name="Normal 8 5 2 4 2" xfId="4036" xr:uid="{00000000-0005-0000-0000-0000291E0000}"/>
    <cellStyle name="Normal 8 5 2 4 2 2" xfId="8260" xr:uid="{00000000-0005-0000-0000-00002A1E0000}"/>
    <cellStyle name="Normal 8 5 2 4 2 2 2" xfId="20893" xr:uid="{DDB4B91C-A7AF-4630-8129-6C7934B00ADE}"/>
    <cellStyle name="Normal 8 5 2 4 2 3" xfId="16682" xr:uid="{CD5C1D88-5E93-4F99-AED0-A0B5A4F7E53E}"/>
    <cellStyle name="Normal 8 5 2 4 2 4" xfId="25932" xr:uid="{CEB3662F-01BE-4B36-9981-0DD227F0DAFF}"/>
    <cellStyle name="Normal 8 5 2 4 2 5" xfId="12471" xr:uid="{F94D9873-D649-4838-B28E-C45A4A8C5CE5}"/>
    <cellStyle name="Normal 8 5 2 4 3" xfId="6115" xr:uid="{00000000-0005-0000-0000-00002B1E0000}"/>
    <cellStyle name="Normal 8 5 2 4 3 2" xfId="18748" xr:uid="{A4DBB962-BF33-4231-A600-3AE0D0F3FA84}"/>
    <cellStyle name="Normal 8 5 2 4 4" xfId="14537" xr:uid="{EF004159-05EA-4350-A586-06D4FBB463B4}"/>
    <cellStyle name="Normal 8 5 2 4 5" xfId="23787" xr:uid="{6BF4B248-A7C8-434B-A78C-FF37305F6987}"/>
    <cellStyle name="Normal 8 5 2 4 6" xfId="10326" xr:uid="{ACDBB5F2-E706-408D-A1B4-ACBE0AC69357}"/>
    <cellStyle name="Normal 8 5 2 5" xfId="2220" xr:uid="{00000000-0005-0000-0000-00002C1E0000}"/>
    <cellStyle name="Normal 8 5 2 5 2" xfId="4449" xr:uid="{00000000-0005-0000-0000-00002D1E0000}"/>
    <cellStyle name="Normal 8 5 2 5 2 2" xfId="8673" xr:uid="{00000000-0005-0000-0000-00002E1E0000}"/>
    <cellStyle name="Normal 8 5 2 5 2 2 2" xfId="21306" xr:uid="{B978E8BA-B4FD-4F58-9EB7-B8A1D4D08A81}"/>
    <cellStyle name="Normal 8 5 2 5 2 3" xfId="17095" xr:uid="{A53DF949-F6DC-4449-8726-1F4485605AE3}"/>
    <cellStyle name="Normal 8 5 2 5 2 4" xfId="26345" xr:uid="{D1EFF508-2C94-4CE1-A48F-7FFB8749CBAE}"/>
    <cellStyle name="Normal 8 5 2 5 2 5" xfId="12884" xr:uid="{98F0F9E2-E583-4C74-BA42-02E7616901A8}"/>
    <cellStyle name="Normal 8 5 2 5 3" xfId="6528" xr:uid="{00000000-0005-0000-0000-00002F1E0000}"/>
    <cellStyle name="Normal 8 5 2 5 3 2" xfId="19161" xr:uid="{E81852E0-05AA-4F77-9CF5-AEDE5EC15882}"/>
    <cellStyle name="Normal 8 5 2 5 4" xfId="14950" xr:uid="{20A1843E-1A40-460C-9D81-B3A63706469A}"/>
    <cellStyle name="Normal 8 5 2 5 5" xfId="24200" xr:uid="{9006C0AA-7FBE-42E6-89F7-E1ADA27468F6}"/>
    <cellStyle name="Normal 8 5 2 5 6" xfId="10739" xr:uid="{1FA52D09-78E3-4B2C-AAED-7F79C7ADDDC1}"/>
    <cellStyle name="Normal 8 5 2 6" xfId="2656" xr:uid="{00000000-0005-0000-0000-0000301E0000}"/>
    <cellStyle name="Normal 8 5 2 6 2" xfId="6941" xr:uid="{00000000-0005-0000-0000-0000311E0000}"/>
    <cellStyle name="Normal 8 5 2 6 2 2" xfId="19574" xr:uid="{56DF308B-C449-4FD6-8BE8-9A3FC8B44D76}"/>
    <cellStyle name="Normal 8 5 2 6 3" xfId="15363" xr:uid="{7E016468-8976-465A-998B-DCA54A8D5439}"/>
    <cellStyle name="Normal 8 5 2 6 4" xfId="24613" xr:uid="{9AE42C7B-4017-44FF-906D-DC512C6C916F}"/>
    <cellStyle name="Normal 8 5 2 6 5" xfId="11152" xr:uid="{2A94A72D-7D8D-4984-900E-0B9CA632E828}"/>
    <cellStyle name="Normal 8 5 2 7" xfId="4876" xr:uid="{00000000-0005-0000-0000-0000321E0000}"/>
    <cellStyle name="Normal 8 5 2 7 2" xfId="17509" xr:uid="{240300E5-578A-4497-994D-DD8EFA26EB70}"/>
    <cellStyle name="Normal 8 5 2 8" xfId="21719" xr:uid="{23A22748-F116-403F-9C39-6EB25335B46D}"/>
    <cellStyle name="Normal 8 5 2 9" xfId="13298" xr:uid="{4319DC5C-CB39-4E73-8EF2-7448565AD9DA}"/>
    <cellStyle name="Normal 8 5 3" xfId="975" xr:uid="{00000000-0005-0000-0000-0000331E0000}"/>
    <cellStyle name="Normal 8 5 3 2" xfId="3209" xr:uid="{00000000-0005-0000-0000-0000341E0000}"/>
    <cellStyle name="Normal 8 5 3 2 2" xfId="7433" xr:uid="{00000000-0005-0000-0000-0000351E0000}"/>
    <cellStyle name="Normal 8 5 3 2 2 2" xfId="20066" xr:uid="{FDF83499-9F19-4EFE-8B4E-5CA1FDE27324}"/>
    <cellStyle name="Normal 8 5 3 2 3" xfId="15855" xr:uid="{9437E64E-75E7-4CEA-B3A7-2709D89B844A}"/>
    <cellStyle name="Normal 8 5 3 2 4" xfId="25105" xr:uid="{AAB0CCBA-D056-480E-9A6F-820FD4B52097}"/>
    <cellStyle name="Normal 8 5 3 2 5" xfId="11644" xr:uid="{475B2059-3E25-405F-A511-B60DC0DC17E7}"/>
    <cellStyle name="Normal 8 5 3 3" xfId="5288" xr:uid="{00000000-0005-0000-0000-0000361E0000}"/>
    <cellStyle name="Normal 8 5 3 3 2" xfId="17921" xr:uid="{0285C6D4-4FA2-4E59-8E77-31A42BA52DD0}"/>
    <cellStyle name="Normal 8 5 3 4" xfId="22133" xr:uid="{C303779C-84DC-4A60-BECF-5150D145D693}"/>
    <cellStyle name="Normal 8 5 3 5" xfId="13710" xr:uid="{F7E791ED-2A4C-48B2-A856-BBF0A09FE7F8}"/>
    <cellStyle name="Normal 8 5 3 6" xfId="22960" xr:uid="{416A3964-ED07-4E81-85BD-FBFC4737EBB7}"/>
    <cellStyle name="Normal 8 5 3 7" xfId="9499" xr:uid="{A09872C1-60EA-4FF9-AE3E-D15E2A8B6702}"/>
    <cellStyle name="Normal 8 5 4" xfId="1392" xr:uid="{00000000-0005-0000-0000-0000371E0000}"/>
    <cellStyle name="Normal 8 5 4 2" xfId="3622" xr:uid="{00000000-0005-0000-0000-0000381E0000}"/>
    <cellStyle name="Normal 8 5 4 2 2" xfId="7846" xr:uid="{00000000-0005-0000-0000-0000391E0000}"/>
    <cellStyle name="Normal 8 5 4 2 2 2" xfId="20479" xr:uid="{5044BBDC-B324-46EC-A6BC-B3C26C24FA2A}"/>
    <cellStyle name="Normal 8 5 4 2 3" xfId="16268" xr:uid="{1FD7BD75-53C9-4D09-82EC-7AB9F2F629B7}"/>
    <cellStyle name="Normal 8 5 4 2 4" xfId="25518" xr:uid="{4A9A512A-BD0A-45AE-8D4C-FB9E2B0B4A93}"/>
    <cellStyle name="Normal 8 5 4 2 5" xfId="12057" xr:uid="{474AAF38-F939-4294-9143-827CFC145E62}"/>
    <cellStyle name="Normal 8 5 4 3" xfId="5701" xr:uid="{00000000-0005-0000-0000-00003A1E0000}"/>
    <cellStyle name="Normal 8 5 4 3 2" xfId="18334" xr:uid="{5716C647-B784-4F66-96C8-4B16A4F0CD8A}"/>
    <cellStyle name="Normal 8 5 4 4" xfId="14123" xr:uid="{70402684-DA54-44EA-B29B-91D14F2C9543}"/>
    <cellStyle name="Normal 8 5 4 5" xfId="23373" xr:uid="{32813E12-569A-4FB5-B8B6-DAD913E6EE29}"/>
    <cellStyle name="Normal 8 5 4 6" xfId="9912" xr:uid="{7C09CCA2-0625-43FE-A40E-900EDDDE216E}"/>
    <cellStyle name="Normal 8 5 5" xfId="1805" xr:uid="{00000000-0005-0000-0000-00003B1E0000}"/>
    <cellStyle name="Normal 8 5 5 2" xfId="4035" xr:uid="{00000000-0005-0000-0000-00003C1E0000}"/>
    <cellStyle name="Normal 8 5 5 2 2" xfId="8259" xr:uid="{00000000-0005-0000-0000-00003D1E0000}"/>
    <cellStyle name="Normal 8 5 5 2 2 2" xfId="20892" xr:uid="{449589A3-5BB6-4D44-A921-9062FBE622B8}"/>
    <cellStyle name="Normal 8 5 5 2 3" xfId="16681" xr:uid="{E53B0021-13DF-4ACE-AF5A-0924BC13E987}"/>
    <cellStyle name="Normal 8 5 5 2 4" xfId="25931" xr:uid="{98B6059B-3CA7-4DF6-B970-506CFC310429}"/>
    <cellStyle name="Normal 8 5 5 2 5" xfId="12470" xr:uid="{5D2C8DE1-4BBC-42C9-A762-D6CAB599A398}"/>
    <cellStyle name="Normal 8 5 5 3" xfId="6114" xr:uid="{00000000-0005-0000-0000-00003E1E0000}"/>
    <cellStyle name="Normal 8 5 5 3 2" xfId="18747" xr:uid="{9496FAEE-3991-44A3-A3D8-B2063279A793}"/>
    <cellStyle name="Normal 8 5 5 4" xfId="14536" xr:uid="{97C83243-29F1-41B1-A917-A88F47F74F97}"/>
    <cellStyle name="Normal 8 5 5 5" xfId="23786" xr:uid="{A87F9045-3D33-4A02-9B69-45985ED76B90}"/>
    <cellStyle name="Normal 8 5 5 6" xfId="10325" xr:uid="{4E208221-88F2-4C4F-AABC-BCB0E12575DC}"/>
    <cellStyle name="Normal 8 5 6" xfId="2219" xr:uid="{00000000-0005-0000-0000-00003F1E0000}"/>
    <cellStyle name="Normal 8 5 6 2" xfId="4448" xr:uid="{00000000-0005-0000-0000-0000401E0000}"/>
    <cellStyle name="Normal 8 5 6 2 2" xfId="8672" xr:uid="{00000000-0005-0000-0000-0000411E0000}"/>
    <cellStyle name="Normal 8 5 6 2 2 2" xfId="21305" xr:uid="{FA556EFA-5605-4F06-978C-EBCB26879665}"/>
    <cellStyle name="Normal 8 5 6 2 3" xfId="17094" xr:uid="{16DDBF38-2F38-4771-BD86-02E273CBD7C6}"/>
    <cellStyle name="Normal 8 5 6 2 4" xfId="26344" xr:uid="{11C54FD6-FFAD-4DE3-BE1E-7EA97FB56AA3}"/>
    <cellStyle name="Normal 8 5 6 2 5" xfId="12883" xr:uid="{AF3B75AA-1A29-4EEF-ADBA-EA51978208CB}"/>
    <cellStyle name="Normal 8 5 6 3" xfId="6527" xr:uid="{00000000-0005-0000-0000-0000421E0000}"/>
    <cellStyle name="Normal 8 5 6 3 2" xfId="19160" xr:uid="{583CB699-2DAD-4AE0-B1D0-82AF7A0B5640}"/>
    <cellStyle name="Normal 8 5 6 4" xfId="14949" xr:uid="{018A1AAB-3912-4191-93DC-E94D5FD326B3}"/>
    <cellStyle name="Normal 8 5 6 5" xfId="24199" xr:uid="{43919435-B93B-4918-BD92-97CAA9B4A981}"/>
    <cellStyle name="Normal 8 5 6 6" xfId="10738" xr:uid="{2AAE74A6-81F9-4222-9535-A13F65861754}"/>
    <cellStyle name="Normal 8 5 7" xfId="2655" xr:uid="{00000000-0005-0000-0000-0000431E0000}"/>
    <cellStyle name="Normal 8 5 7 2" xfId="6940" xr:uid="{00000000-0005-0000-0000-0000441E0000}"/>
    <cellStyle name="Normal 8 5 7 2 2" xfId="19573" xr:uid="{6FF41CA0-C17D-4490-9221-78091EC16D65}"/>
    <cellStyle name="Normal 8 5 7 3" xfId="15362" xr:uid="{3FD32CF3-07A7-4C4A-A9DD-781037502B6D}"/>
    <cellStyle name="Normal 8 5 7 4" xfId="24612" xr:uid="{637261E4-A6D3-4116-B2A5-1EA4708A67CC}"/>
    <cellStyle name="Normal 8 5 7 5" xfId="11151" xr:uid="{04B9AD76-C486-4C73-A491-26EB34308B76}"/>
    <cellStyle name="Normal 8 5 8" xfId="4875" xr:uid="{00000000-0005-0000-0000-0000451E0000}"/>
    <cellStyle name="Normal 8 5 8 2" xfId="17508" xr:uid="{1B81B365-DA0A-4359-8543-28BAC34AD9A6}"/>
    <cellStyle name="Normal 8 5 9" xfId="21718" xr:uid="{2318E75A-7C1A-4CAF-A649-96BAF28F77CC}"/>
    <cellStyle name="Normal 8 6" xfId="509" xr:uid="{00000000-0005-0000-0000-0000461E0000}"/>
    <cellStyle name="Normal 8 6 10" xfId="22549" xr:uid="{19A8C927-AB7E-4536-89B1-0FE522E8540B}"/>
    <cellStyle name="Normal 8 6 11" xfId="9088" xr:uid="{12AD5080-7B8B-47F3-9267-7B74352806F9}"/>
    <cellStyle name="Normal 8 6 2" xfId="977" xr:uid="{00000000-0005-0000-0000-0000471E0000}"/>
    <cellStyle name="Normal 8 6 2 2" xfId="3211" xr:uid="{00000000-0005-0000-0000-0000481E0000}"/>
    <cellStyle name="Normal 8 6 2 2 2" xfId="7435" xr:uid="{00000000-0005-0000-0000-0000491E0000}"/>
    <cellStyle name="Normal 8 6 2 2 2 2" xfId="20068" xr:uid="{37E91B7E-68C6-41C0-BDEE-C623D3EEEC6B}"/>
    <cellStyle name="Normal 8 6 2 2 3" xfId="15857" xr:uid="{0DFB2BC9-3E09-4822-AEDC-4E7DE01400A4}"/>
    <cellStyle name="Normal 8 6 2 2 4" xfId="25107" xr:uid="{E0938FEE-1F72-414B-BA46-DA87A2B51305}"/>
    <cellStyle name="Normal 8 6 2 2 5" xfId="11646" xr:uid="{E5B46A01-FAE5-4721-B5D6-69677A9BAE59}"/>
    <cellStyle name="Normal 8 6 2 3" xfId="5290" xr:uid="{00000000-0005-0000-0000-00004A1E0000}"/>
    <cellStyle name="Normal 8 6 2 3 2" xfId="17923" xr:uid="{BCB19EC3-E63B-4074-AAB2-8C6DE941B9FA}"/>
    <cellStyle name="Normal 8 6 2 4" xfId="22135" xr:uid="{02D8F5C7-5861-4EBC-829F-46AFBAE308C5}"/>
    <cellStyle name="Normal 8 6 2 5" xfId="13712" xr:uid="{662D1FA8-2EF5-41E5-ABF7-E391E59D063D}"/>
    <cellStyle name="Normal 8 6 2 6" xfId="22962" xr:uid="{F52682D2-D17E-4160-81F4-FAF6E558826D}"/>
    <cellStyle name="Normal 8 6 2 7" xfId="9501" xr:uid="{4F84A227-4F85-411C-810E-35C73641F73E}"/>
    <cellStyle name="Normal 8 6 3" xfId="1394" xr:uid="{00000000-0005-0000-0000-00004B1E0000}"/>
    <cellStyle name="Normal 8 6 3 2" xfId="3624" xr:uid="{00000000-0005-0000-0000-00004C1E0000}"/>
    <cellStyle name="Normal 8 6 3 2 2" xfId="7848" xr:uid="{00000000-0005-0000-0000-00004D1E0000}"/>
    <cellStyle name="Normal 8 6 3 2 2 2" xfId="20481" xr:uid="{5EB56A8C-B782-4D2E-BBF9-A651B3234512}"/>
    <cellStyle name="Normal 8 6 3 2 3" xfId="16270" xr:uid="{2411F4E0-CDDB-4C7B-8127-4759B07BD600}"/>
    <cellStyle name="Normal 8 6 3 2 4" xfId="25520" xr:uid="{EA641F6F-7A02-4CBC-8329-5284FB5A06D7}"/>
    <cellStyle name="Normal 8 6 3 2 5" xfId="12059" xr:uid="{804D51D2-2EAC-4957-BA80-9E15D5CDDA93}"/>
    <cellStyle name="Normal 8 6 3 3" xfId="5703" xr:uid="{00000000-0005-0000-0000-00004E1E0000}"/>
    <cellStyle name="Normal 8 6 3 3 2" xfId="18336" xr:uid="{D4944B00-5D8F-487A-ACFF-3E7B530369EE}"/>
    <cellStyle name="Normal 8 6 3 4" xfId="14125" xr:uid="{3F34867B-DC39-4924-BF44-56542014D4C9}"/>
    <cellStyle name="Normal 8 6 3 5" xfId="23375" xr:uid="{CD8737A3-507C-43B0-9CE5-C0352B0E9CAA}"/>
    <cellStyle name="Normal 8 6 3 6" xfId="9914" xr:uid="{88E4FFC3-D6D0-433F-B8A9-66452314ED8E}"/>
    <cellStyle name="Normal 8 6 4" xfId="1807" xr:uid="{00000000-0005-0000-0000-00004F1E0000}"/>
    <cellStyle name="Normal 8 6 4 2" xfId="4037" xr:uid="{00000000-0005-0000-0000-0000501E0000}"/>
    <cellStyle name="Normal 8 6 4 2 2" xfId="8261" xr:uid="{00000000-0005-0000-0000-0000511E0000}"/>
    <cellStyle name="Normal 8 6 4 2 2 2" xfId="20894" xr:uid="{464459E3-3D54-4291-9EA0-3526BA67CCE8}"/>
    <cellStyle name="Normal 8 6 4 2 3" xfId="16683" xr:uid="{ECE12B5C-C288-4B43-A10E-ADB3D78531F2}"/>
    <cellStyle name="Normal 8 6 4 2 4" xfId="25933" xr:uid="{9F7B2518-F409-461D-A5C9-A784FD4CB50F}"/>
    <cellStyle name="Normal 8 6 4 2 5" xfId="12472" xr:uid="{4F293F37-6879-47F2-ABE4-EEBEDC667B83}"/>
    <cellStyle name="Normal 8 6 4 3" xfId="6116" xr:uid="{00000000-0005-0000-0000-0000521E0000}"/>
    <cellStyle name="Normal 8 6 4 3 2" xfId="18749" xr:uid="{0A311071-5AEF-46F2-9440-804426E9A7B5}"/>
    <cellStyle name="Normal 8 6 4 4" xfId="14538" xr:uid="{CE7EB30D-D495-43CD-9A2F-179B47593B27}"/>
    <cellStyle name="Normal 8 6 4 5" xfId="23788" xr:uid="{4977A9A4-C009-43E3-98C5-73AF27A2DA39}"/>
    <cellStyle name="Normal 8 6 4 6" xfId="10327" xr:uid="{4FD47CBF-6CDE-404E-BC4C-E7D046BB7A74}"/>
    <cellStyle name="Normal 8 6 5" xfId="2221" xr:uid="{00000000-0005-0000-0000-0000531E0000}"/>
    <cellStyle name="Normal 8 6 5 2" xfId="4450" xr:uid="{00000000-0005-0000-0000-0000541E0000}"/>
    <cellStyle name="Normal 8 6 5 2 2" xfId="8674" xr:uid="{00000000-0005-0000-0000-0000551E0000}"/>
    <cellStyle name="Normal 8 6 5 2 2 2" xfId="21307" xr:uid="{1938FE72-7DF9-47C1-9EE8-B599F77E759B}"/>
    <cellStyle name="Normal 8 6 5 2 3" xfId="17096" xr:uid="{6CFEE249-56B1-4F04-A367-4A87C735F514}"/>
    <cellStyle name="Normal 8 6 5 2 4" xfId="26346" xr:uid="{9F46374D-FFD1-42C4-BCA1-00BAF81DFCEB}"/>
    <cellStyle name="Normal 8 6 5 2 5" xfId="12885" xr:uid="{5738D11C-2910-4A6E-A0DB-9CF42A1BE3B9}"/>
    <cellStyle name="Normal 8 6 5 3" xfId="6529" xr:uid="{00000000-0005-0000-0000-0000561E0000}"/>
    <cellStyle name="Normal 8 6 5 3 2" xfId="19162" xr:uid="{C4069BFF-2942-4561-B214-90C5CC964ED4}"/>
    <cellStyle name="Normal 8 6 5 4" xfId="14951" xr:uid="{A77A4B8B-32DA-4C3E-8E44-1E938D8B34E7}"/>
    <cellStyle name="Normal 8 6 5 5" xfId="24201" xr:uid="{1184FAF7-7A63-479A-932A-688B47D6DBF7}"/>
    <cellStyle name="Normal 8 6 5 6" xfId="10740" xr:uid="{71165369-CF1F-4607-848B-0284CEFFF528}"/>
    <cellStyle name="Normal 8 6 6" xfId="2657" xr:uid="{00000000-0005-0000-0000-0000571E0000}"/>
    <cellStyle name="Normal 8 6 6 2" xfId="6942" xr:uid="{00000000-0005-0000-0000-0000581E0000}"/>
    <cellStyle name="Normal 8 6 6 2 2" xfId="19575" xr:uid="{1C0C3816-8EFE-4A4C-8BA0-5651AEA416E8}"/>
    <cellStyle name="Normal 8 6 6 3" xfId="15364" xr:uid="{76D27E0A-D88B-4F70-B2A2-E3BB6694724A}"/>
    <cellStyle name="Normal 8 6 6 4" xfId="24614" xr:uid="{788A80BB-3502-4700-A033-3B2E0DFDAF5F}"/>
    <cellStyle name="Normal 8 6 6 5" xfId="11153" xr:uid="{D0BBE064-04D4-4027-88B7-EE8D750D2AE4}"/>
    <cellStyle name="Normal 8 6 7" xfId="4877" xr:uid="{00000000-0005-0000-0000-0000591E0000}"/>
    <cellStyle name="Normal 8 6 7 2" xfId="17510" xr:uid="{FF89046D-54CD-485C-AB9A-CC5043A4714D}"/>
    <cellStyle name="Normal 8 6 8" xfId="21720" xr:uid="{15DD2AD8-160A-44A2-8F5B-1877E4AD1558}"/>
    <cellStyle name="Normal 8 6 9" xfId="13299" xr:uid="{8D520581-547B-4243-9E0E-6BCB46C4D2A7}"/>
    <cellStyle name="Normal 8 7" xfId="946" xr:uid="{00000000-0005-0000-0000-00005A1E0000}"/>
    <cellStyle name="Normal 8 7 2" xfId="3180" xr:uid="{00000000-0005-0000-0000-00005B1E0000}"/>
    <cellStyle name="Normal 8 7 2 2" xfId="7404" xr:uid="{00000000-0005-0000-0000-00005C1E0000}"/>
    <cellStyle name="Normal 8 7 2 2 2" xfId="20037" xr:uid="{E572B876-304C-44B8-BA43-DEE1263F01D1}"/>
    <cellStyle name="Normal 8 7 2 3" xfId="15826" xr:uid="{5176036C-7E8F-4FE4-AF23-FE03A59084CB}"/>
    <cellStyle name="Normal 8 7 2 4" xfId="25076" xr:uid="{B4B86EB3-2CE2-47C9-96A8-E078C348A9B2}"/>
    <cellStyle name="Normal 8 7 2 5" xfId="11615" xr:uid="{17C57AED-6139-4AB4-A7B8-6A4AD57B13D9}"/>
    <cellStyle name="Normal 8 7 3" xfId="5259" xr:uid="{00000000-0005-0000-0000-00005D1E0000}"/>
    <cellStyle name="Normal 8 7 3 2" xfId="17892" xr:uid="{7C064631-9F3E-445B-88F4-D8916151A686}"/>
    <cellStyle name="Normal 8 7 4" xfId="22104" xr:uid="{392E7ADE-C61C-4444-9DA0-D72D15D1F77B}"/>
    <cellStyle name="Normal 8 7 5" xfId="13681" xr:uid="{6EF7E832-EA36-429F-B6CB-9CCF3C86CF92}"/>
    <cellStyle name="Normal 8 7 6" xfId="22931" xr:uid="{C4471961-931C-4010-BD41-ECF71A9EF590}"/>
    <cellStyle name="Normal 8 7 7" xfId="9470" xr:uid="{BD2C1C2E-C517-4188-ADA5-BEAAA56D828D}"/>
    <cellStyle name="Normal 8 8" xfId="1363" xr:uid="{00000000-0005-0000-0000-00005E1E0000}"/>
    <cellStyle name="Normal 8 8 2" xfId="3593" xr:uid="{00000000-0005-0000-0000-00005F1E0000}"/>
    <cellStyle name="Normal 8 8 2 2" xfId="7817" xr:uid="{00000000-0005-0000-0000-0000601E0000}"/>
    <cellStyle name="Normal 8 8 2 2 2" xfId="20450" xr:uid="{789655DE-9A68-4A81-8840-008D3080A502}"/>
    <cellStyle name="Normal 8 8 2 3" xfId="16239" xr:uid="{B99F12E5-CA08-462A-8427-5A5BA1A3589B}"/>
    <cellStyle name="Normal 8 8 2 4" xfId="25489" xr:uid="{060FA32D-3454-4E00-BDF4-5247D13B960E}"/>
    <cellStyle name="Normal 8 8 2 5" xfId="12028" xr:uid="{062F85AD-FC0F-4A7A-AC48-5AB9405251AF}"/>
    <cellStyle name="Normal 8 8 3" xfId="5672" xr:uid="{00000000-0005-0000-0000-0000611E0000}"/>
    <cellStyle name="Normal 8 8 3 2" xfId="18305" xr:uid="{D37BF998-E1D2-4D1F-8B35-D06C7077C48D}"/>
    <cellStyle name="Normal 8 8 4" xfId="14094" xr:uid="{AA173082-CFA3-4249-8E28-ECCD96B0B7D6}"/>
    <cellStyle name="Normal 8 8 5" xfId="23344" xr:uid="{459CCA96-26BA-4D64-BEA6-033A480E1F4B}"/>
    <cellStyle name="Normal 8 8 6" xfId="9883" xr:uid="{D0E230C1-CA14-49A3-BC3B-D3F34F55AE72}"/>
    <cellStyle name="Normal 8 9" xfId="1776" xr:uid="{00000000-0005-0000-0000-0000621E0000}"/>
    <cellStyle name="Normal 8 9 2" xfId="4006" xr:uid="{00000000-0005-0000-0000-0000631E0000}"/>
    <cellStyle name="Normal 8 9 2 2" xfId="8230" xr:uid="{00000000-0005-0000-0000-0000641E0000}"/>
    <cellStyle name="Normal 8 9 2 2 2" xfId="20863" xr:uid="{B2448AC4-4394-4A3F-903D-B1DDB8160CCC}"/>
    <cellStyle name="Normal 8 9 2 3" xfId="16652" xr:uid="{608775D5-55E0-4223-9DC1-F079893E527E}"/>
    <cellStyle name="Normal 8 9 2 4" xfId="25902" xr:uid="{182FFD31-8005-4FE7-87E8-4F55BAA70C78}"/>
    <cellStyle name="Normal 8 9 2 5" xfId="12441" xr:uid="{FCCDC659-54CE-4A2B-8704-3BC536DC4FA3}"/>
    <cellStyle name="Normal 8 9 3" xfId="6085" xr:uid="{00000000-0005-0000-0000-0000651E0000}"/>
    <cellStyle name="Normal 8 9 3 2" xfId="18718" xr:uid="{66D8C858-938A-4DB6-8488-D21ACECE968F}"/>
    <cellStyle name="Normal 8 9 4" xfId="14507" xr:uid="{708C5372-81A6-4E6D-91F1-75BCF7433EE5}"/>
    <cellStyle name="Normal 8 9 5" xfId="23757" xr:uid="{50CB825D-8599-4638-A9DD-FDAF865F8C7A}"/>
    <cellStyle name="Normal 8 9 6" xfId="10296" xr:uid="{4D5590D2-23CF-4281-972A-B91EBDF9F882}"/>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9576" xr:uid="{471FB490-2861-4766-917F-AF123D4ACBDA}"/>
    <cellStyle name="Normal 9 2 10 3" xfId="15365" xr:uid="{576DA24E-8E76-4DD5-8942-FAD0D6EED66C}"/>
    <cellStyle name="Normal 9 2 10 4" xfId="24615" xr:uid="{C8703DCD-709A-41BE-8B66-6739B03A53BB}"/>
    <cellStyle name="Normal 9 2 10 5" xfId="11154" xr:uid="{3804AA88-0A29-469F-8323-BBF1A77910E2}"/>
    <cellStyle name="Normal 9 2 11" xfId="4878" xr:uid="{00000000-0005-0000-0000-00006A1E0000}"/>
    <cellStyle name="Normal 9 2 11 2" xfId="17511" xr:uid="{9019833C-6950-448A-A62B-5604BAFC5012}"/>
    <cellStyle name="Normal 9 2 12" xfId="21721" xr:uid="{DB4F1A64-0DF4-41A9-AFEC-B2B44F9E7DCD}"/>
    <cellStyle name="Normal 9 2 13" xfId="13300" xr:uid="{22ECB2B3-58EB-45DB-A3FD-AD1BF6519D88}"/>
    <cellStyle name="Normal 9 2 14" xfId="22550" xr:uid="{629D0BE6-EEBF-45FC-8FE3-488E70F94BF9}"/>
    <cellStyle name="Normal 9 2 15" xfId="9089" xr:uid="{6B21CABB-634C-4A4D-941E-1D525AF2D4F4}"/>
    <cellStyle name="Normal 9 2 2" xfId="512" xr:uid="{00000000-0005-0000-0000-00006B1E0000}"/>
    <cellStyle name="Normal 9 2 2 10" xfId="4879" xr:uid="{00000000-0005-0000-0000-00006C1E0000}"/>
    <cellStyle name="Normal 9 2 2 10 2" xfId="17512" xr:uid="{DBBC0FC8-BDCC-45DA-8196-FC75270AB7F3}"/>
    <cellStyle name="Normal 9 2 2 11" xfId="21722" xr:uid="{72686ED0-8834-4BFF-8874-9BCF08BC7800}"/>
    <cellStyle name="Normal 9 2 2 12" xfId="13301" xr:uid="{E8CCB832-DE1B-47A8-ADA8-C144473A6884}"/>
    <cellStyle name="Normal 9 2 2 13" xfId="22551" xr:uid="{D4388120-D049-4AE8-8D98-CF911C0C778E}"/>
    <cellStyle name="Normal 9 2 2 14" xfId="9090" xr:uid="{D412D3E5-5B7A-413A-928C-90E88E40A1E4}"/>
    <cellStyle name="Normal 9 2 2 2" xfId="513" xr:uid="{00000000-0005-0000-0000-00006D1E0000}"/>
    <cellStyle name="Normal 9 2 2 2 10" xfId="21723" xr:uid="{5C020908-70E5-4EA8-90B9-55F5880B9F4D}"/>
    <cellStyle name="Normal 9 2 2 2 11" xfId="13302" xr:uid="{F200BA39-55E3-454F-AA3D-E2FF0212CC07}"/>
    <cellStyle name="Normal 9 2 2 2 12" xfId="22552" xr:uid="{30123406-4ACD-4BA1-8627-73947F5C1DCB}"/>
    <cellStyle name="Normal 9 2 2 2 13" xfId="9091" xr:uid="{C5616D79-7A11-4D50-BC4F-363A3B6311CE}"/>
    <cellStyle name="Normal 9 2 2 2 2" xfId="514" xr:uid="{00000000-0005-0000-0000-00006E1E0000}"/>
    <cellStyle name="Normal 9 2 2 2 2 10" xfId="13303" xr:uid="{58F56617-109E-451B-92BB-40DB4B0F7C8B}"/>
    <cellStyle name="Normal 9 2 2 2 2 11" xfId="22553" xr:uid="{EF9F0FB4-ABED-412F-A023-B4C736FF0F15}"/>
    <cellStyle name="Normal 9 2 2 2 2 12" xfId="9092" xr:uid="{8653C6EA-7A77-40D9-B8ED-F66AE1543107}"/>
    <cellStyle name="Normal 9 2 2 2 2 2" xfId="515" xr:uid="{00000000-0005-0000-0000-00006F1E0000}"/>
    <cellStyle name="Normal 9 2 2 2 2 2 10" xfId="22554" xr:uid="{B0001DE8-A012-4ECE-906A-CE870AE833D1}"/>
    <cellStyle name="Normal 9 2 2 2 2 2 11" xfId="9093" xr:uid="{E2AC93D9-2350-47EB-AB6B-E9DC6FF4A38F}"/>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20073" xr:uid="{AC779E41-744D-4C61-A97D-D8DF44B26A36}"/>
    <cellStyle name="Normal 9 2 2 2 2 2 2 2 3" xfId="15862" xr:uid="{27531799-928E-424E-9D7A-552369171BD8}"/>
    <cellStyle name="Normal 9 2 2 2 2 2 2 2 4" xfId="25112" xr:uid="{2670893D-C821-4435-9E6A-1F016F390B06}"/>
    <cellStyle name="Normal 9 2 2 2 2 2 2 2 5" xfId="11651" xr:uid="{C0065F7A-3499-4427-A7D4-D4A78D839C62}"/>
    <cellStyle name="Normal 9 2 2 2 2 2 2 3" xfId="5295" xr:uid="{00000000-0005-0000-0000-0000731E0000}"/>
    <cellStyle name="Normal 9 2 2 2 2 2 2 3 2" xfId="17928" xr:uid="{5D321E4A-2ABF-4473-BB93-0DA10F54066E}"/>
    <cellStyle name="Normal 9 2 2 2 2 2 2 4" xfId="22140" xr:uid="{7656A743-E65E-4782-97BE-D7BA4D57B0F8}"/>
    <cellStyle name="Normal 9 2 2 2 2 2 2 5" xfId="13717" xr:uid="{6E8B7426-0447-472B-AF1B-D636312BAEB0}"/>
    <cellStyle name="Normal 9 2 2 2 2 2 2 6" xfId="22967" xr:uid="{92B6B56C-8FFB-4684-A124-ADB8FCE891AF}"/>
    <cellStyle name="Normal 9 2 2 2 2 2 2 7" xfId="9506" xr:uid="{7DEE7D87-078F-45EE-8114-6BC3EF24A6CC}"/>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20486" xr:uid="{F93998B8-7D20-4A18-94AF-16165E0A4C40}"/>
    <cellStyle name="Normal 9 2 2 2 2 2 3 2 3" xfId="16275" xr:uid="{736D9A75-8ADF-488F-803F-FA0B29728DEC}"/>
    <cellStyle name="Normal 9 2 2 2 2 2 3 2 4" xfId="25525" xr:uid="{49F13878-4B38-4448-94E6-19F83953813A}"/>
    <cellStyle name="Normal 9 2 2 2 2 2 3 2 5" xfId="12064" xr:uid="{416605E8-769C-4676-8CAE-9759DD8A1753}"/>
    <cellStyle name="Normal 9 2 2 2 2 2 3 3" xfId="5708" xr:uid="{00000000-0005-0000-0000-0000771E0000}"/>
    <cellStyle name="Normal 9 2 2 2 2 2 3 3 2" xfId="18341" xr:uid="{F016C71A-10D7-4A01-93F5-011BFA64E308}"/>
    <cellStyle name="Normal 9 2 2 2 2 2 3 4" xfId="14130" xr:uid="{AC40352C-272E-401B-B3A8-5707AFA7DB4C}"/>
    <cellStyle name="Normal 9 2 2 2 2 2 3 5" xfId="23380" xr:uid="{0B520DBE-4BC8-4611-9164-AA57E6B411D9}"/>
    <cellStyle name="Normal 9 2 2 2 2 2 3 6" xfId="9919" xr:uid="{10FD95FE-5C9B-4CC5-8A8F-D0C95B8D5935}"/>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20899" xr:uid="{F0FFF308-1CA6-4EAA-BB64-763D0E9A5B2D}"/>
    <cellStyle name="Normal 9 2 2 2 2 2 4 2 3" xfId="16688" xr:uid="{390FFA8A-4626-447B-BD2C-13D0A51D4C9F}"/>
    <cellStyle name="Normal 9 2 2 2 2 2 4 2 4" xfId="25938" xr:uid="{29ABA9AA-9B3A-41D5-B638-3AC3B23AACFC}"/>
    <cellStyle name="Normal 9 2 2 2 2 2 4 2 5" xfId="12477" xr:uid="{54D62C31-F41E-4EF2-BD9C-129D717601CC}"/>
    <cellStyle name="Normal 9 2 2 2 2 2 4 3" xfId="6121" xr:uid="{00000000-0005-0000-0000-00007B1E0000}"/>
    <cellStyle name="Normal 9 2 2 2 2 2 4 3 2" xfId="18754" xr:uid="{ED4074FF-F67A-4467-A948-D275E8C8E217}"/>
    <cellStyle name="Normal 9 2 2 2 2 2 4 4" xfId="14543" xr:uid="{DBA78314-8963-4945-A10E-AB5CBB98F24A}"/>
    <cellStyle name="Normal 9 2 2 2 2 2 4 5" xfId="23793" xr:uid="{27F6E931-D745-418F-9F10-B83C8F91EB50}"/>
    <cellStyle name="Normal 9 2 2 2 2 2 4 6" xfId="10332" xr:uid="{456DE80E-D0AE-493D-9FF0-C4B084FFF558}"/>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21312" xr:uid="{D2ABA2A6-CA93-455F-A8EA-5011FCC8DDDA}"/>
    <cellStyle name="Normal 9 2 2 2 2 2 5 2 3" xfId="17101" xr:uid="{9EFE6441-AFED-4454-B9D5-E2801B476F9B}"/>
    <cellStyle name="Normal 9 2 2 2 2 2 5 2 4" xfId="26351" xr:uid="{03C24AD3-06D3-46DD-B9E2-4CFA7F5B0B27}"/>
    <cellStyle name="Normal 9 2 2 2 2 2 5 2 5" xfId="12890" xr:uid="{F7FC3930-4675-428E-A281-A52F7C8ED7F3}"/>
    <cellStyle name="Normal 9 2 2 2 2 2 5 3" xfId="6534" xr:uid="{00000000-0005-0000-0000-00007F1E0000}"/>
    <cellStyle name="Normal 9 2 2 2 2 2 5 3 2" xfId="19167" xr:uid="{2BD80225-6CD0-4F51-97EA-F6CE0541B889}"/>
    <cellStyle name="Normal 9 2 2 2 2 2 5 4" xfId="14956" xr:uid="{FF673284-DBF0-4DF5-9C1A-5632A78A4594}"/>
    <cellStyle name="Normal 9 2 2 2 2 2 5 5" xfId="24206" xr:uid="{F62041E0-0044-4FC5-A667-49DBCB9F6D4C}"/>
    <cellStyle name="Normal 9 2 2 2 2 2 5 6" xfId="10745" xr:uid="{179D1299-4A1B-495A-8410-4B011917A1CB}"/>
    <cellStyle name="Normal 9 2 2 2 2 2 6" xfId="2662" xr:uid="{00000000-0005-0000-0000-0000801E0000}"/>
    <cellStyle name="Normal 9 2 2 2 2 2 6 2" xfId="6947" xr:uid="{00000000-0005-0000-0000-0000811E0000}"/>
    <cellStyle name="Normal 9 2 2 2 2 2 6 2 2" xfId="19580" xr:uid="{5CDB313F-C778-4BF1-8865-9B64E64860D0}"/>
    <cellStyle name="Normal 9 2 2 2 2 2 6 3" xfId="15369" xr:uid="{771D594A-54D2-43EF-AD5F-2F2A398FCDD0}"/>
    <cellStyle name="Normal 9 2 2 2 2 2 6 4" xfId="24619" xr:uid="{6B6C2AC8-14BF-4754-B50E-8FC6F86D18CF}"/>
    <cellStyle name="Normal 9 2 2 2 2 2 6 5" xfId="11158" xr:uid="{8E45B092-B0A2-46F7-A7EF-A454DAC30355}"/>
    <cellStyle name="Normal 9 2 2 2 2 2 7" xfId="4882" xr:uid="{00000000-0005-0000-0000-0000821E0000}"/>
    <cellStyle name="Normal 9 2 2 2 2 2 7 2" xfId="17515" xr:uid="{809FCC21-AF69-414B-9049-EA83CF424000}"/>
    <cellStyle name="Normal 9 2 2 2 2 2 8" xfId="21725" xr:uid="{CB7AF943-A1FA-4367-9813-A5A249F816BF}"/>
    <cellStyle name="Normal 9 2 2 2 2 2 9" xfId="13304" xr:uid="{56DEB245-94C6-4C72-9A61-972864934D09}"/>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20072" xr:uid="{D3586021-6D6F-420B-A5CF-56DCAB570F85}"/>
    <cellStyle name="Normal 9 2 2 2 2 3 2 3" xfId="15861" xr:uid="{BFCF53E1-A8B1-4D9B-B076-40208A245C2B}"/>
    <cellStyle name="Normal 9 2 2 2 2 3 2 4" xfId="25111" xr:uid="{5404A3CC-EF94-4A02-8A33-E7446712271E}"/>
    <cellStyle name="Normal 9 2 2 2 2 3 2 5" xfId="11650" xr:uid="{E862BD3D-2C19-4132-A212-1B8DA60651BF}"/>
    <cellStyle name="Normal 9 2 2 2 2 3 3" xfId="5294" xr:uid="{00000000-0005-0000-0000-0000861E0000}"/>
    <cellStyle name="Normal 9 2 2 2 2 3 3 2" xfId="17927" xr:uid="{AE804501-1F7F-4E35-8045-24B251B7894A}"/>
    <cellStyle name="Normal 9 2 2 2 2 3 4" xfId="22139" xr:uid="{7A71153A-2D11-4FC1-B842-0A5A7B525632}"/>
    <cellStyle name="Normal 9 2 2 2 2 3 5" xfId="13716" xr:uid="{4444389A-DB8B-4C27-B14D-7EF8DCAA2CB3}"/>
    <cellStyle name="Normal 9 2 2 2 2 3 6" xfId="22966" xr:uid="{677FF131-3788-4988-A513-157E131E68A9}"/>
    <cellStyle name="Normal 9 2 2 2 2 3 7" xfId="9505" xr:uid="{AB762CC4-7501-4C81-BE14-18059F6AF145}"/>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20485" xr:uid="{2D5DBB3D-45A7-42DF-8299-A1D6454059F0}"/>
    <cellStyle name="Normal 9 2 2 2 2 4 2 3" xfId="16274" xr:uid="{7DBDFEED-6471-47A1-B692-0D2756F87ADF}"/>
    <cellStyle name="Normal 9 2 2 2 2 4 2 4" xfId="25524" xr:uid="{20389741-5B2A-49D8-9375-3ECC40B0FE03}"/>
    <cellStyle name="Normal 9 2 2 2 2 4 2 5" xfId="12063" xr:uid="{90AAC687-280A-4D74-A192-360B70D21713}"/>
    <cellStyle name="Normal 9 2 2 2 2 4 3" xfId="5707" xr:uid="{00000000-0005-0000-0000-00008A1E0000}"/>
    <cellStyle name="Normal 9 2 2 2 2 4 3 2" xfId="18340" xr:uid="{628F07EF-CA89-4A2B-9C34-125A0882E6D9}"/>
    <cellStyle name="Normal 9 2 2 2 2 4 4" xfId="14129" xr:uid="{131DEA3A-B692-42D7-8283-118E712D409D}"/>
    <cellStyle name="Normal 9 2 2 2 2 4 5" xfId="23379" xr:uid="{DB033774-5011-467A-B337-1D7B92AB7092}"/>
    <cellStyle name="Normal 9 2 2 2 2 4 6" xfId="9918" xr:uid="{B6894512-23BA-4CBD-8D0C-7E5B3C0F8E99}"/>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20898" xr:uid="{1311FA8F-F50A-4C3F-998C-758E7F3A7603}"/>
    <cellStyle name="Normal 9 2 2 2 2 5 2 3" xfId="16687" xr:uid="{FC931C76-D230-4602-82E9-3F0CE576C6C4}"/>
    <cellStyle name="Normal 9 2 2 2 2 5 2 4" xfId="25937" xr:uid="{D59DE268-22B2-4538-9558-391E2AFA8EE9}"/>
    <cellStyle name="Normal 9 2 2 2 2 5 2 5" xfId="12476" xr:uid="{6B82F3DD-8CC4-4803-B418-169D1417031A}"/>
    <cellStyle name="Normal 9 2 2 2 2 5 3" xfId="6120" xr:uid="{00000000-0005-0000-0000-00008E1E0000}"/>
    <cellStyle name="Normal 9 2 2 2 2 5 3 2" xfId="18753" xr:uid="{AF72FC00-9AC1-4E16-9E50-43857E85D875}"/>
    <cellStyle name="Normal 9 2 2 2 2 5 4" xfId="14542" xr:uid="{698990F1-FEC9-4278-820D-1A441DBEB908}"/>
    <cellStyle name="Normal 9 2 2 2 2 5 5" xfId="23792" xr:uid="{96710BB7-279E-42AD-A557-7E30E30498AB}"/>
    <cellStyle name="Normal 9 2 2 2 2 5 6" xfId="10331" xr:uid="{65896C30-4041-48AD-9F9F-CE4061FEBC24}"/>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21311" xr:uid="{8C9679AC-F56B-4790-BDCA-58D7EB3C71C5}"/>
    <cellStyle name="Normal 9 2 2 2 2 6 2 3" xfId="17100" xr:uid="{243C784E-BA3E-4823-98EF-B5F6FC2EC796}"/>
    <cellStyle name="Normal 9 2 2 2 2 6 2 4" xfId="26350" xr:uid="{19D0439E-4F39-48AD-8A7E-E4897C4B40CA}"/>
    <cellStyle name="Normal 9 2 2 2 2 6 2 5" xfId="12889" xr:uid="{DB47A609-D17C-42B0-9F47-7423B2766655}"/>
    <cellStyle name="Normal 9 2 2 2 2 6 3" xfId="6533" xr:uid="{00000000-0005-0000-0000-0000921E0000}"/>
    <cellStyle name="Normal 9 2 2 2 2 6 3 2" xfId="19166" xr:uid="{1EA8FD31-CA55-44CC-B4BD-F1FC579A875A}"/>
    <cellStyle name="Normal 9 2 2 2 2 6 4" xfId="14955" xr:uid="{FA8008FB-8437-43F4-809D-72F5A75D2DF8}"/>
    <cellStyle name="Normal 9 2 2 2 2 6 5" xfId="24205" xr:uid="{0136EFFF-81AA-472B-94BA-583BE9C07260}"/>
    <cellStyle name="Normal 9 2 2 2 2 6 6" xfId="10744" xr:uid="{5D447EA3-0AA6-48FB-9121-C5911AEEDD07}"/>
    <cellStyle name="Normal 9 2 2 2 2 7" xfId="2661" xr:uid="{00000000-0005-0000-0000-0000931E0000}"/>
    <cellStyle name="Normal 9 2 2 2 2 7 2" xfId="6946" xr:uid="{00000000-0005-0000-0000-0000941E0000}"/>
    <cellStyle name="Normal 9 2 2 2 2 7 2 2" xfId="19579" xr:uid="{5C4089B5-7C13-45DC-ACD1-000D65C470C0}"/>
    <cellStyle name="Normal 9 2 2 2 2 7 3" xfId="15368" xr:uid="{9F91D0D0-7CDD-4227-ADA7-6EACE43A12FE}"/>
    <cellStyle name="Normal 9 2 2 2 2 7 4" xfId="24618" xr:uid="{2BD6D7B8-1F8E-457F-9435-1D0CFFCCC12C}"/>
    <cellStyle name="Normal 9 2 2 2 2 7 5" xfId="11157" xr:uid="{9DB6C9BD-531D-4E8B-B267-80ACAEBA716D}"/>
    <cellStyle name="Normal 9 2 2 2 2 8" xfId="4881" xr:uid="{00000000-0005-0000-0000-0000951E0000}"/>
    <cellStyle name="Normal 9 2 2 2 2 8 2" xfId="17514" xr:uid="{F34D85A9-CEDA-4800-BF17-DCEE051296D1}"/>
    <cellStyle name="Normal 9 2 2 2 2 9" xfId="21724" xr:uid="{406ABCD9-EBBB-4CDC-A62B-A6CEF26983FB}"/>
    <cellStyle name="Normal 9 2 2 2 3" xfId="516" xr:uid="{00000000-0005-0000-0000-0000961E0000}"/>
    <cellStyle name="Normal 9 2 2 2 3 10" xfId="22555" xr:uid="{7440250F-3CA6-40F0-A25E-0E14C23C0CC8}"/>
    <cellStyle name="Normal 9 2 2 2 3 11" xfId="9094" xr:uid="{84709296-67F2-4CA9-A280-4EEC431BC7D6}"/>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20074" xr:uid="{BE0DCF11-7242-4F19-943C-8507AA87646D}"/>
    <cellStyle name="Normal 9 2 2 2 3 2 2 3" xfId="15863" xr:uid="{7A8855C5-67DF-4D68-85AA-B912BB6682CB}"/>
    <cellStyle name="Normal 9 2 2 2 3 2 2 4" xfId="25113" xr:uid="{D0E783B8-CE83-4871-8B7D-1D517791E911}"/>
    <cellStyle name="Normal 9 2 2 2 3 2 2 5" xfId="11652" xr:uid="{73EAA926-3970-4D05-A9BF-0138AF64E7F9}"/>
    <cellStyle name="Normal 9 2 2 2 3 2 3" xfId="5296" xr:uid="{00000000-0005-0000-0000-00009A1E0000}"/>
    <cellStyle name="Normal 9 2 2 2 3 2 3 2" xfId="17929" xr:uid="{DE781AD1-C4F7-48C2-BD0F-5D46CDEC2A53}"/>
    <cellStyle name="Normal 9 2 2 2 3 2 4" xfId="22141" xr:uid="{1A7FCEF9-93BA-437A-9B33-EC23F6F9B1C7}"/>
    <cellStyle name="Normal 9 2 2 2 3 2 5" xfId="13718" xr:uid="{7161DFAD-55D2-4FF8-9544-4A827EB9E976}"/>
    <cellStyle name="Normal 9 2 2 2 3 2 6" xfId="22968" xr:uid="{D699CE78-46EE-4969-AEE0-B18D82C8683D}"/>
    <cellStyle name="Normal 9 2 2 2 3 2 7" xfId="9507" xr:uid="{4B51C1E0-5C8C-404F-B21B-DFA19720F926}"/>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20487" xr:uid="{3CDA8461-0C0B-4EFC-944F-E846879C92C3}"/>
    <cellStyle name="Normal 9 2 2 2 3 3 2 3" xfId="16276" xr:uid="{3D9D8BF1-EF34-4EC9-98ED-1187345D4F68}"/>
    <cellStyle name="Normal 9 2 2 2 3 3 2 4" xfId="25526" xr:uid="{AE4A0836-90AA-498D-B2BF-FAD4C32E8C1F}"/>
    <cellStyle name="Normal 9 2 2 2 3 3 2 5" xfId="12065" xr:uid="{ECA08128-7160-4234-A003-0EE6D31C4CE5}"/>
    <cellStyle name="Normal 9 2 2 2 3 3 3" xfId="5709" xr:uid="{00000000-0005-0000-0000-00009E1E0000}"/>
    <cellStyle name="Normal 9 2 2 2 3 3 3 2" xfId="18342" xr:uid="{B07BFB09-6BD9-486F-B15C-AE2792A9DA8C}"/>
    <cellStyle name="Normal 9 2 2 2 3 3 4" xfId="14131" xr:uid="{7980568C-790F-45E7-869D-5168E5EBA14B}"/>
    <cellStyle name="Normal 9 2 2 2 3 3 5" xfId="23381" xr:uid="{A3163DBC-DF8E-4E83-8267-3CBBADD807F0}"/>
    <cellStyle name="Normal 9 2 2 2 3 3 6" xfId="9920" xr:uid="{0EDE0F33-A0DC-43AA-8921-0008EB9CC84C}"/>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20900" xr:uid="{32F640EC-979C-4125-88C7-A659ED303E8D}"/>
    <cellStyle name="Normal 9 2 2 2 3 4 2 3" xfId="16689" xr:uid="{C0E67F4B-F242-4D34-90BA-534DB2FC83CF}"/>
    <cellStyle name="Normal 9 2 2 2 3 4 2 4" xfId="25939" xr:uid="{70502F92-CBE3-47D3-872E-96E52B878F26}"/>
    <cellStyle name="Normal 9 2 2 2 3 4 2 5" xfId="12478" xr:uid="{EC11828A-0861-49C6-8755-193B7399031B}"/>
    <cellStyle name="Normal 9 2 2 2 3 4 3" xfId="6122" xr:uid="{00000000-0005-0000-0000-0000A21E0000}"/>
    <cellStyle name="Normal 9 2 2 2 3 4 3 2" xfId="18755" xr:uid="{D6848C71-489D-46B0-AA36-08573D9D0D11}"/>
    <cellStyle name="Normal 9 2 2 2 3 4 4" xfId="14544" xr:uid="{0DD716F5-9476-4F86-BC90-8467769CB421}"/>
    <cellStyle name="Normal 9 2 2 2 3 4 5" xfId="23794" xr:uid="{ED452B95-1626-48CC-A678-FB806F60BD66}"/>
    <cellStyle name="Normal 9 2 2 2 3 4 6" xfId="10333" xr:uid="{32B3D86D-D1AE-4D04-BE8B-79D9408EF4B1}"/>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21313" xr:uid="{25BA3481-AD4D-4E68-85DC-D65B53B3ACC7}"/>
    <cellStyle name="Normal 9 2 2 2 3 5 2 3" xfId="17102" xr:uid="{48268038-6773-4032-B387-47A547EEB675}"/>
    <cellStyle name="Normal 9 2 2 2 3 5 2 4" xfId="26352" xr:uid="{508198D9-A473-47D7-A349-FBED9E175E1F}"/>
    <cellStyle name="Normal 9 2 2 2 3 5 2 5" xfId="12891" xr:uid="{E375FD08-348B-4AB5-8F57-C89FBFD6A828}"/>
    <cellStyle name="Normal 9 2 2 2 3 5 3" xfId="6535" xr:uid="{00000000-0005-0000-0000-0000A61E0000}"/>
    <cellStyle name="Normal 9 2 2 2 3 5 3 2" xfId="19168" xr:uid="{4106DBCA-11D5-4415-842D-641CA1271F79}"/>
    <cellStyle name="Normal 9 2 2 2 3 5 4" xfId="14957" xr:uid="{FE565568-018D-474C-9FE5-BD255BAA6F35}"/>
    <cellStyle name="Normal 9 2 2 2 3 5 5" xfId="24207" xr:uid="{B8849FC9-DDAC-406B-971F-73C3B5D1EE45}"/>
    <cellStyle name="Normal 9 2 2 2 3 5 6" xfId="10746" xr:uid="{93998CF4-5B73-4862-A3EF-8E44489096AD}"/>
    <cellStyle name="Normal 9 2 2 2 3 6" xfId="2663" xr:uid="{00000000-0005-0000-0000-0000A71E0000}"/>
    <cellStyle name="Normal 9 2 2 2 3 6 2" xfId="6948" xr:uid="{00000000-0005-0000-0000-0000A81E0000}"/>
    <cellStyle name="Normal 9 2 2 2 3 6 2 2" xfId="19581" xr:uid="{C57D0283-CCAB-484B-92D5-24846CC56DE0}"/>
    <cellStyle name="Normal 9 2 2 2 3 6 3" xfId="15370" xr:uid="{8E93EEE1-4F1F-42F4-BF8A-F699DD43FA28}"/>
    <cellStyle name="Normal 9 2 2 2 3 6 4" xfId="24620" xr:uid="{7D2E24A9-0493-4827-BAF7-D274DF5871B0}"/>
    <cellStyle name="Normal 9 2 2 2 3 6 5" xfId="11159" xr:uid="{541C0EE7-02D4-4F57-99CB-E5668D43E081}"/>
    <cellStyle name="Normal 9 2 2 2 3 7" xfId="4883" xr:uid="{00000000-0005-0000-0000-0000A91E0000}"/>
    <cellStyle name="Normal 9 2 2 2 3 7 2" xfId="17516" xr:uid="{875CB4E1-D705-4959-A2C4-BAE807D8F403}"/>
    <cellStyle name="Normal 9 2 2 2 3 8" xfId="21726" xr:uid="{4B7AD72F-157B-4BD1-8E4F-D139C25528F8}"/>
    <cellStyle name="Normal 9 2 2 2 3 9" xfId="13305" xr:uid="{C5D066D7-70DC-4FEA-A88A-01B2D856F829}"/>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20071" xr:uid="{CCAC84D4-0FCF-44E5-9CFF-17FDF20F8718}"/>
    <cellStyle name="Normal 9 2 2 2 4 2 3" xfId="15860" xr:uid="{D8D93B94-E02A-4DD1-8E06-892FF5B45937}"/>
    <cellStyle name="Normal 9 2 2 2 4 2 4" xfId="25110" xr:uid="{1ECE6B24-01C3-46EF-A6E9-691274BAC8C8}"/>
    <cellStyle name="Normal 9 2 2 2 4 2 5" xfId="11649" xr:uid="{402FCBB3-CF47-4899-B640-8A69DC0126D6}"/>
    <cellStyle name="Normal 9 2 2 2 4 3" xfId="5293" xr:uid="{00000000-0005-0000-0000-0000AD1E0000}"/>
    <cellStyle name="Normal 9 2 2 2 4 3 2" xfId="17926" xr:uid="{B75238B2-E7D5-48BB-9121-215F565F2C28}"/>
    <cellStyle name="Normal 9 2 2 2 4 4" xfId="22138" xr:uid="{E580C8D1-EBC9-4A35-A132-58B99D4CD3B4}"/>
    <cellStyle name="Normal 9 2 2 2 4 5" xfId="13715" xr:uid="{E5245DD4-F6C0-42F3-A8CE-8861A2715697}"/>
    <cellStyle name="Normal 9 2 2 2 4 6" xfId="22965" xr:uid="{2AA3D360-2549-4525-8E85-C5FF1577E808}"/>
    <cellStyle name="Normal 9 2 2 2 4 7" xfId="9504" xr:uid="{F0D1E19F-5CC1-446C-A3A8-69801967CA85}"/>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20484" xr:uid="{BAA29DA4-82C8-49DE-9D0B-DB9C4BEA839E}"/>
    <cellStyle name="Normal 9 2 2 2 5 2 3" xfId="16273" xr:uid="{0EDF14F8-3AE1-4F8B-ACEB-100803CFBDB4}"/>
    <cellStyle name="Normal 9 2 2 2 5 2 4" xfId="25523" xr:uid="{D9A8904C-5924-4DDD-A731-3BD17CAE468C}"/>
    <cellStyle name="Normal 9 2 2 2 5 2 5" xfId="12062" xr:uid="{DECCFCD1-99E9-4A60-8803-5252F7F0EB1A}"/>
    <cellStyle name="Normal 9 2 2 2 5 3" xfId="5706" xr:uid="{00000000-0005-0000-0000-0000B11E0000}"/>
    <cellStyle name="Normal 9 2 2 2 5 3 2" xfId="18339" xr:uid="{3961DDFC-7A18-4B48-9DFA-A176106C63E4}"/>
    <cellStyle name="Normal 9 2 2 2 5 4" xfId="14128" xr:uid="{64F5A1A3-3AC9-4DCE-8E36-65FB43E67E4A}"/>
    <cellStyle name="Normal 9 2 2 2 5 5" xfId="23378" xr:uid="{69F7311F-F046-4D80-BCC1-FFEF7F5BA82E}"/>
    <cellStyle name="Normal 9 2 2 2 5 6" xfId="9917" xr:uid="{F9629420-9EF6-4A9C-8A9F-2970F5EB595B}"/>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20897" xr:uid="{7838CA69-6BF8-4080-808B-A408324C9CE3}"/>
    <cellStyle name="Normal 9 2 2 2 6 2 3" xfId="16686" xr:uid="{B3F2098C-B683-409F-8FAB-570E332FF4F4}"/>
    <cellStyle name="Normal 9 2 2 2 6 2 4" xfId="25936" xr:uid="{6A4539DB-EAE0-4F58-B573-12F5E17E8F56}"/>
    <cellStyle name="Normal 9 2 2 2 6 2 5" xfId="12475" xr:uid="{892F04B3-E785-48FE-8B01-7AF40FEC96F1}"/>
    <cellStyle name="Normal 9 2 2 2 6 3" xfId="6119" xr:uid="{00000000-0005-0000-0000-0000B51E0000}"/>
    <cellStyle name="Normal 9 2 2 2 6 3 2" xfId="18752" xr:uid="{B2E909E3-80BC-418D-AC1F-31F8E9FD6DB9}"/>
    <cellStyle name="Normal 9 2 2 2 6 4" xfId="14541" xr:uid="{A57D9727-5F43-4AFD-816F-3F36F07BC783}"/>
    <cellStyle name="Normal 9 2 2 2 6 5" xfId="23791" xr:uid="{725DB83A-400E-4F94-8D2B-2C9FCAC51457}"/>
    <cellStyle name="Normal 9 2 2 2 6 6" xfId="10330" xr:uid="{40AB594E-53EE-49F7-8862-FD05A4FB33EC}"/>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21310" xr:uid="{375B8652-0B45-468E-B0F2-12DB7686B441}"/>
    <cellStyle name="Normal 9 2 2 2 7 2 3" xfId="17099" xr:uid="{D04F2489-6329-4FAC-B516-B34433A31635}"/>
    <cellStyle name="Normal 9 2 2 2 7 2 4" xfId="26349" xr:uid="{FC32C746-689D-4705-9329-73804851BBF0}"/>
    <cellStyle name="Normal 9 2 2 2 7 2 5" xfId="12888" xr:uid="{F6423589-9333-44E6-A18B-E0BD2FC15B2F}"/>
    <cellStyle name="Normal 9 2 2 2 7 3" xfId="6532" xr:uid="{00000000-0005-0000-0000-0000B91E0000}"/>
    <cellStyle name="Normal 9 2 2 2 7 3 2" xfId="19165" xr:uid="{85D62984-1AE0-4CF8-BF11-43B99DE5550F}"/>
    <cellStyle name="Normal 9 2 2 2 7 4" xfId="14954" xr:uid="{CAF8AF7A-B01E-4A1F-A1D9-3004835E0A76}"/>
    <cellStyle name="Normal 9 2 2 2 7 5" xfId="24204" xr:uid="{E471E7DB-053C-4599-B995-521154E7F151}"/>
    <cellStyle name="Normal 9 2 2 2 7 6" xfId="10743" xr:uid="{54C88235-ED6F-44E0-AAC2-1CDD0F224C13}"/>
    <cellStyle name="Normal 9 2 2 2 8" xfId="2660" xr:uid="{00000000-0005-0000-0000-0000BA1E0000}"/>
    <cellStyle name="Normal 9 2 2 2 8 2" xfId="6945" xr:uid="{00000000-0005-0000-0000-0000BB1E0000}"/>
    <cellStyle name="Normal 9 2 2 2 8 2 2" xfId="19578" xr:uid="{E6BCF641-52D6-438A-94B5-33BCDA7F9B10}"/>
    <cellStyle name="Normal 9 2 2 2 8 3" xfId="15367" xr:uid="{5CA2C843-480F-4FC8-90B0-09956B603489}"/>
    <cellStyle name="Normal 9 2 2 2 8 4" xfId="24617" xr:uid="{3B847BE6-89A9-43D4-A8D5-B04672FCB07B}"/>
    <cellStyle name="Normal 9 2 2 2 8 5" xfId="11156" xr:uid="{49A263DC-1952-4A2A-B373-A042FA0CD03B}"/>
    <cellStyle name="Normal 9 2 2 2 9" xfId="4880" xr:uid="{00000000-0005-0000-0000-0000BC1E0000}"/>
    <cellStyle name="Normal 9 2 2 2 9 2" xfId="17513" xr:uid="{6DD64FA8-7D9A-4B91-A4B1-FDD21F6FE161}"/>
    <cellStyle name="Normal 9 2 2 3" xfId="517" xr:uid="{00000000-0005-0000-0000-0000BD1E0000}"/>
    <cellStyle name="Normal 9 2 2 3 10" xfId="13306" xr:uid="{AAD3B92F-A5E4-45E5-9F9D-1CAECE8EFC05}"/>
    <cellStyle name="Normal 9 2 2 3 11" xfId="22556" xr:uid="{0889E38E-0392-4C74-A846-24F41E6BBE98}"/>
    <cellStyle name="Normal 9 2 2 3 12" xfId="9095" xr:uid="{1E6577C5-F95D-486D-B7A3-A63DF2301575}"/>
    <cellStyle name="Normal 9 2 2 3 2" xfId="518" xr:uid="{00000000-0005-0000-0000-0000BE1E0000}"/>
    <cellStyle name="Normal 9 2 2 3 2 10" xfId="22557" xr:uid="{FAB7749C-F86C-4369-A71E-1F444DAF76A4}"/>
    <cellStyle name="Normal 9 2 2 3 2 11" xfId="9096" xr:uid="{79DCA11B-C0D8-434B-B6BF-CFFE8B15BD61}"/>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20076" xr:uid="{DC53763D-F1C2-45B0-ACC8-AED30807C4BD}"/>
    <cellStyle name="Normal 9 2 2 3 2 2 2 3" xfId="15865" xr:uid="{56594183-2EDF-4B0C-9420-C49334944C2B}"/>
    <cellStyle name="Normal 9 2 2 3 2 2 2 4" xfId="25115" xr:uid="{5A13AFAB-F22E-4EC2-9CB2-D64D2849CC35}"/>
    <cellStyle name="Normal 9 2 2 3 2 2 2 5" xfId="11654" xr:uid="{4896FCF1-9C7C-4AB6-8C7A-2B71A1087238}"/>
    <cellStyle name="Normal 9 2 2 3 2 2 3" xfId="5298" xr:uid="{00000000-0005-0000-0000-0000C21E0000}"/>
    <cellStyle name="Normal 9 2 2 3 2 2 3 2" xfId="17931" xr:uid="{88E41490-AF37-444C-89F0-BB6630B722EB}"/>
    <cellStyle name="Normal 9 2 2 3 2 2 4" xfId="22143" xr:uid="{10B471E2-593A-4509-9A63-486EE0B1AAD7}"/>
    <cellStyle name="Normal 9 2 2 3 2 2 5" xfId="13720" xr:uid="{746E84A2-03FC-4C48-B37F-AF10BEC05D55}"/>
    <cellStyle name="Normal 9 2 2 3 2 2 6" xfId="22970" xr:uid="{16FFC3ED-9BC9-4925-AADD-D50BDC4E6599}"/>
    <cellStyle name="Normal 9 2 2 3 2 2 7" xfId="9509" xr:uid="{19C1F330-DC28-4B48-9CF7-FF91688EEAAE}"/>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20489" xr:uid="{42D90B55-9BB8-408C-A8C4-BB67A82828C9}"/>
    <cellStyle name="Normal 9 2 2 3 2 3 2 3" xfId="16278" xr:uid="{1332E3EE-E691-4A4E-BA8F-1D413388B28E}"/>
    <cellStyle name="Normal 9 2 2 3 2 3 2 4" xfId="25528" xr:uid="{9FDD5139-DEBC-4FF5-8522-F3B8867047E4}"/>
    <cellStyle name="Normal 9 2 2 3 2 3 2 5" xfId="12067" xr:uid="{13674C12-0F42-4B10-A864-0BC236FA3FDF}"/>
    <cellStyle name="Normal 9 2 2 3 2 3 3" xfId="5711" xr:uid="{00000000-0005-0000-0000-0000C61E0000}"/>
    <cellStyle name="Normal 9 2 2 3 2 3 3 2" xfId="18344" xr:uid="{372BBC0C-35C7-41C0-BDD7-214A65418274}"/>
    <cellStyle name="Normal 9 2 2 3 2 3 4" xfId="14133" xr:uid="{7CFAF729-D1FB-431A-9150-65E1B5D71E97}"/>
    <cellStyle name="Normal 9 2 2 3 2 3 5" xfId="23383" xr:uid="{EEBD95ED-EF59-4AAD-95F3-7E534D81C688}"/>
    <cellStyle name="Normal 9 2 2 3 2 3 6" xfId="9922" xr:uid="{32E65F7F-7552-4AFD-9921-F93C4D2498D5}"/>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20902" xr:uid="{556A3917-C187-4DA1-92F6-BFEB626AD0A1}"/>
    <cellStyle name="Normal 9 2 2 3 2 4 2 3" xfId="16691" xr:uid="{6C641D4D-E27B-4356-9213-5FDA5DFDB43C}"/>
    <cellStyle name="Normal 9 2 2 3 2 4 2 4" xfId="25941" xr:uid="{4692D70D-F04A-4942-AA29-B57257B9F73E}"/>
    <cellStyle name="Normal 9 2 2 3 2 4 2 5" xfId="12480" xr:uid="{7D1191AA-457A-4CD0-81C0-43AB74B2999A}"/>
    <cellStyle name="Normal 9 2 2 3 2 4 3" xfId="6124" xr:uid="{00000000-0005-0000-0000-0000CA1E0000}"/>
    <cellStyle name="Normal 9 2 2 3 2 4 3 2" xfId="18757" xr:uid="{928A368A-C965-4E87-A71D-9BAADFE84DF9}"/>
    <cellStyle name="Normal 9 2 2 3 2 4 4" xfId="14546" xr:uid="{6E1D7038-86FD-41F5-A708-D5C5D0FDCC95}"/>
    <cellStyle name="Normal 9 2 2 3 2 4 5" xfId="23796" xr:uid="{A316713E-7A88-4114-A606-CAE208F96E82}"/>
    <cellStyle name="Normal 9 2 2 3 2 4 6" xfId="10335" xr:uid="{023FEA59-F272-46EF-B025-0F60FF5759E4}"/>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21315" xr:uid="{D064BDB0-6EEB-4376-9079-AB2A830B3F9B}"/>
    <cellStyle name="Normal 9 2 2 3 2 5 2 3" xfId="17104" xr:uid="{BAEBDE6F-8461-4109-A7B2-CF6227B2C5A6}"/>
    <cellStyle name="Normal 9 2 2 3 2 5 2 4" xfId="26354" xr:uid="{FFDFA108-43F6-4BFA-9941-18A86FE6AA00}"/>
    <cellStyle name="Normal 9 2 2 3 2 5 2 5" xfId="12893" xr:uid="{E03BE1A3-4B9C-418E-9B13-5FCB375B6A28}"/>
    <cellStyle name="Normal 9 2 2 3 2 5 3" xfId="6537" xr:uid="{00000000-0005-0000-0000-0000CE1E0000}"/>
    <cellStyle name="Normal 9 2 2 3 2 5 3 2" xfId="19170" xr:uid="{BD002B1D-D990-45CB-BA5A-A5FA5CB68DA0}"/>
    <cellStyle name="Normal 9 2 2 3 2 5 4" xfId="14959" xr:uid="{226BD67E-5326-434C-916A-A2B6C1D1D887}"/>
    <cellStyle name="Normal 9 2 2 3 2 5 5" xfId="24209" xr:uid="{813887B7-7C32-47A1-A363-70CCB2236154}"/>
    <cellStyle name="Normal 9 2 2 3 2 5 6" xfId="10748" xr:uid="{824F86AA-D57F-43F6-B6F1-F1BB72B49EFD}"/>
    <cellStyle name="Normal 9 2 2 3 2 6" xfId="2665" xr:uid="{00000000-0005-0000-0000-0000CF1E0000}"/>
    <cellStyle name="Normal 9 2 2 3 2 6 2" xfId="6950" xr:uid="{00000000-0005-0000-0000-0000D01E0000}"/>
    <cellStyle name="Normal 9 2 2 3 2 6 2 2" xfId="19583" xr:uid="{3314CF0E-F5AB-415B-96E9-742AB21B1396}"/>
    <cellStyle name="Normal 9 2 2 3 2 6 3" xfId="15372" xr:uid="{F5774FCC-548D-4B32-A5B3-E8CFCAA48C95}"/>
    <cellStyle name="Normal 9 2 2 3 2 6 4" xfId="24622" xr:uid="{D761D636-CD62-4321-AB4B-41448183A6DB}"/>
    <cellStyle name="Normal 9 2 2 3 2 6 5" xfId="11161" xr:uid="{B52CFCE6-D153-443D-9DCD-DF2E241AC415}"/>
    <cellStyle name="Normal 9 2 2 3 2 7" xfId="4885" xr:uid="{00000000-0005-0000-0000-0000D11E0000}"/>
    <cellStyle name="Normal 9 2 2 3 2 7 2" xfId="17518" xr:uid="{562C8B2F-23F6-4C65-8641-18D915532E28}"/>
    <cellStyle name="Normal 9 2 2 3 2 8" xfId="21728" xr:uid="{727B19F1-C341-4394-BC01-E56663F9B390}"/>
    <cellStyle name="Normal 9 2 2 3 2 9" xfId="13307" xr:uid="{3D87B397-9325-4B18-8E40-A01D2FC2BD4D}"/>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20075" xr:uid="{A4446891-EC06-4191-AC99-CC1376847C60}"/>
    <cellStyle name="Normal 9 2 2 3 3 2 3" xfId="15864" xr:uid="{E82EABAC-ECE3-4A5D-88B2-81C8AC760096}"/>
    <cellStyle name="Normal 9 2 2 3 3 2 4" xfId="25114" xr:uid="{B173AE19-F836-41F4-9C1B-252432FDAE42}"/>
    <cellStyle name="Normal 9 2 2 3 3 2 5" xfId="11653" xr:uid="{BB51559D-76CF-4C85-9300-CD02BEABCDBB}"/>
    <cellStyle name="Normal 9 2 2 3 3 3" xfId="5297" xr:uid="{00000000-0005-0000-0000-0000D51E0000}"/>
    <cellStyle name="Normal 9 2 2 3 3 3 2" xfId="17930" xr:uid="{B19A4A72-2D1F-4238-AA89-CA426A300B8A}"/>
    <cellStyle name="Normal 9 2 2 3 3 4" xfId="22142" xr:uid="{2F80CB3F-443F-4D01-B5AB-692CECEB76C1}"/>
    <cellStyle name="Normal 9 2 2 3 3 5" xfId="13719" xr:uid="{108EE58A-631D-4AE3-81D5-CAD2CD7BBBB5}"/>
    <cellStyle name="Normal 9 2 2 3 3 6" xfId="22969" xr:uid="{77F79DFC-407B-4439-B1DF-BEE7A27819ED}"/>
    <cellStyle name="Normal 9 2 2 3 3 7" xfId="9508" xr:uid="{373CF8A7-B1A5-4188-986A-6EBEA7614231}"/>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20488" xr:uid="{0A16F049-EF1B-45F6-BCAE-D4A37C6786F2}"/>
    <cellStyle name="Normal 9 2 2 3 4 2 3" xfId="16277" xr:uid="{D0AC8E7E-DFD1-4779-ACEB-B36A1C4AC4C2}"/>
    <cellStyle name="Normal 9 2 2 3 4 2 4" xfId="25527" xr:uid="{00B92E81-8B7D-4D99-B57E-89C08A684E43}"/>
    <cellStyle name="Normal 9 2 2 3 4 2 5" xfId="12066" xr:uid="{FD03FED1-8CE5-409F-A0CC-ABBFCB72CEE2}"/>
    <cellStyle name="Normal 9 2 2 3 4 3" xfId="5710" xr:uid="{00000000-0005-0000-0000-0000D91E0000}"/>
    <cellStyle name="Normal 9 2 2 3 4 3 2" xfId="18343" xr:uid="{7D5BD49C-9B00-4142-AA8D-91B4501CFBB0}"/>
    <cellStyle name="Normal 9 2 2 3 4 4" xfId="14132" xr:uid="{250BAB79-80AA-4534-A27D-9C5DD3404EE3}"/>
    <cellStyle name="Normal 9 2 2 3 4 5" xfId="23382" xr:uid="{A70F6CED-1C4C-4D87-9E39-678127A59739}"/>
    <cellStyle name="Normal 9 2 2 3 4 6" xfId="9921" xr:uid="{61B6D555-C984-4962-A6DC-04CFFD285722}"/>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20901" xr:uid="{B260B707-51EF-4FA4-BDD2-9A3826EFAAF6}"/>
    <cellStyle name="Normal 9 2 2 3 5 2 3" xfId="16690" xr:uid="{8EB629AF-2314-45F4-9021-A3328F81C2B4}"/>
    <cellStyle name="Normal 9 2 2 3 5 2 4" xfId="25940" xr:uid="{6530EBD3-F084-44EB-93EE-89E1BE684A77}"/>
    <cellStyle name="Normal 9 2 2 3 5 2 5" xfId="12479" xr:uid="{9E25EB62-74FE-45FE-A1B3-95F03E69E208}"/>
    <cellStyle name="Normal 9 2 2 3 5 3" xfId="6123" xr:uid="{00000000-0005-0000-0000-0000DD1E0000}"/>
    <cellStyle name="Normal 9 2 2 3 5 3 2" xfId="18756" xr:uid="{A1F8CE46-7057-4CD3-A708-05AC80FE7410}"/>
    <cellStyle name="Normal 9 2 2 3 5 4" xfId="14545" xr:uid="{BA217E7F-E067-453D-85F6-554E88AC4C7C}"/>
    <cellStyle name="Normal 9 2 2 3 5 5" xfId="23795" xr:uid="{D14D26A0-E2B8-4F57-911C-748E8A67AAED}"/>
    <cellStyle name="Normal 9 2 2 3 5 6" xfId="10334" xr:uid="{2149DCD4-B263-42A7-8998-4AD9458208D1}"/>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21314" xr:uid="{B617B550-627D-42E2-BD33-CCA92736C6E8}"/>
    <cellStyle name="Normal 9 2 2 3 6 2 3" xfId="17103" xr:uid="{1E8A496F-6F5B-45E1-AE99-5CC87DF73685}"/>
    <cellStyle name="Normal 9 2 2 3 6 2 4" xfId="26353" xr:uid="{08002BEF-F0DC-459C-9924-ABF1BA2C24EE}"/>
    <cellStyle name="Normal 9 2 2 3 6 2 5" xfId="12892" xr:uid="{6CCE3C8A-E75A-42C7-932E-0BDD1557E65B}"/>
    <cellStyle name="Normal 9 2 2 3 6 3" xfId="6536" xr:uid="{00000000-0005-0000-0000-0000E11E0000}"/>
    <cellStyle name="Normal 9 2 2 3 6 3 2" xfId="19169" xr:uid="{9F2416D6-A26F-4942-ABBF-75BF9918576C}"/>
    <cellStyle name="Normal 9 2 2 3 6 4" xfId="14958" xr:uid="{1260E10C-5D21-4BAD-A282-5C6664CD2F7E}"/>
    <cellStyle name="Normal 9 2 2 3 6 5" xfId="24208" xr:uid="{CFFFC77A-2D9B-488A-879D-3A11B4ADE990}"/>
    <cellStyle name="Normal 9 2 2 3 6 6" xfId="10747" xr:uid="{9C0F0A9A-5ADF-4700-9423-6E55E091E274}"/>
    <cellStyle name="Normal 9 2 2 3 7" xfId="2664" xr:uid="{00000000-0005-0000-0000-0000E21E0000}"/>
    <cellStyle name="Normal 9 2 2 3 7 2" xfId="6949" xr:uid="{00000000-0005-0000-0000-0000E31E0000}"/>
    <cellStyle name="Normal 9 2 2 3 7 2 2" xfId="19582" xr:uid="{F29E3408-6B39-4DBC-8AF4-3FF5FE4765B7}"/>
    <cellStyle name="Normal 9 2 2 3 7 3" xfId="15371" xr:uid="{39B6C75E-4800-41D2-8667-519ECDF82B35}"/>
    <cellStyle name="Normal 9 2 2 3 7 4" xfId="24621" xr:uid="{24C85901-B035-46C0-A05D-6504EC32FF40}"/>
    <cellStyle name="Normal 9 2 2 3 7 5" xfId="11160" xr:uid="{6FAF64FA-306F-44C9-B5DD-58016F5D0933}"/>
    <cellStyle name="Normal 9 2 2 3 8" xfId="4884" xr:uid="{00000000-0005-0000-0000-0000E41E0000}"/>
    <cellStyle name="Normal 9 2 2 3 8 2" xfId="17517" xr:uid="{F04F5BD7-86C0-4A23-94BC-6D726A1493DB}"/>
    <cellStyle name="Normal 9 2 2 3 9" xfId="21727" xr:uid="{7834300A-7C21-4F5C-B484-12C9CB367792}"/>
    <cellStyle name="Normal 9 2 2 4" xfId="519" xr:uid="{00000000-0005-0000-0000-0000E51E0000}"/>
    <cellStyle name="Normal 9 2 2 4 10" xfId="22558" xr:uid="{381162C2-FB74-49AE-A532-E61B60DC3252}"/>
    <cellStyle name="Normal 9 2 2 4 11" xfId="9097" xr:uid="{B02B98E1-82E7-4623-B587-6E79836BFB4C}"/>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20077" xr:uid="{4BD2677F-CA9B-4EBC-A945-108028A10C7F}"/>
    <cellStyle name="Normal 9 2 2 4 2 2 3" xfId="15866" xr:uid="{970F9B9B-77B1-48B3-9F7A-271B432BD99D}"/>
    <cellStyle name="Normal 9 2 2 4 2 2 4" xfId="25116" xr:uid="{54B9957C-4212-4FEF-8FC1-A49AA5315AEB}"/>
    <cellStyle name="Normal 9 2 2 4 2 2 5" xfId="11655" xr:uid="{F0309BC1-070D-416B-8E80-F926E4C23BBD}"/>
    <cellStyle name="Normal 9 2 2 4 2 3" xfId="5299" xr:uid="{00000000-0005-0000-0000-0000E91E0000}"/>
    <cellStyle name="Normal 9 2 2 4 2 3 2" xfId="17932" xr:uid="{15BAB4E6-3F35-4190-A118-37F973C5A461}"/>
    <cellStyle name="Normal 9 2 2 4 2 4" xfId="22144" xr:uid="{59A34A9D-BEDE-434B-98AB-C0C58029EE0E}"/>
    <cellStyle name="Normal 9 2 2 4 2 5" xfId="13721" xr:uid="{85BF1EDF-A86C-4BEF-A5D5-4591472EA783}"/>
    <cellStyle name="Normal 9 2 2 4 2 6" xfId="22971" xr:uid="{BBEA7E24-0219-4244-B3D8-5E7FFBA64E19}"/>
    <cellStyle name="Normal 9 2 2 4 2 7" xfId="9510" xr:uid="{CF86AB48-1C36-44F7-A3BA-71498C51ED7D}"/>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20490" xr:uid="{63B2F0DB-8E77-4FD4-B845-261C200B1109}"/>
    <cellStyle name="Normal 9 2 2 4 3 2 3" xfId="16279" xr:uid="{B793B99A-B3D7-4B98-987B-80FD573C6D85}"/>
    <cellStyle name="Normal 9 2 2 4 3 2 4" xfId="25529" xr:uid="{11C89206-37C0-459B-9D3E-E09029A4C5D7}"/>
    <cellStyle name="Normal 9 2 2 4 3 2 5" xfId="12068" xr:uid="{58435D9C-9D9A-4BBB-84A9-E98CEECD20DF}"/>
    <cellStyle name="Normal 9 2 2 4 3 3" xfId="5712" xr:uid="{00000000-0005-0000-0000-0000ED1E0000}"/>
    <cellStyle name="Normal 9 2 2 4 3 3 2" xfId="18345" xr:uid="{DFBF074C-C91D-48AC-9FE4-C9487DBA5B47}"/>
    <cellStyle name="Normal 9 2 2 4 3 4" xfId="14134" xr:uid="{D99C3E7B-3FA6-422E-8C71-050D0F759783}"/>
    <cellStyle name="Normal 9 2 2 4 3 5" xfId="23384" xr:uid="{A59A5B50-9CC6-4F26-AE3D-307686BF5BF1}"/>
    <cellStyle name="Normal 9 2 2 4 3 6" xfId="9923" xr:uid="{1EAF04A8-D4BC-4DC8-9D30-67FC861729B4}"/>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20903" xr:uid="{71F08E3D-AFA2-450A-BB2F-EA23755CFBC9}"/>
    <cellStyle name="Normal 9 2 2 4 4 2 3" xfId="16692" xr:uid="{0C276FCF-A08B-4451-8E8F-C3767AA689F6}"/>
    <cellStyle name="Normal 9 2 2 4 4 2 4" xfId="25942" xr:uid="{76CD3106-31ED-4512-9109-B3D58B3DBDE7}"/>
    <cellStyle name="Normal 9 2 2 4 4 2 5" xfId="12481" xr:uid="{49C49F40-3EC8-4E2D-9160-2F687F601E99}"/>
    <cellStyle name="Normal 9 2 2 4 4 3" xfId="6125" xr:uid="{00000000-0005-0000-0000-0000F11E0000}"/>
    <cellStyle name="Normal 9 2 2 4 4 3 2" xfId="18758" xr:uid="{EB8A2165-AA12-4E96-8ADE-3FF4B3C75BB0}"/>
    <cellStyle name="Normal 9 2 2 4 4 4" xfId="14547" xr:uid="{DB18F61F-F065-4FED-9525-6BED2B2E29CD}"/>
    <cellStyle name="Normal 9 2 2 4 4 5" xfId="23797" xr:uid="{C69E4387-9AE3-4130-9E87-26441EAB5D6D}"/>
    <cellStyle name="Normal 9 2 2 4 4 6" xfId="10336" xr:uid="{2B88A1DF-BBF4-489F-A5D6-3926C58352B7}"/>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21316" xr:uid="{31C6BD64-A97B-466E-97C9-D0BD0938CC55}"/>
    <cellStyle name="Normal 9 2 2 4 5 2 3" xfId="17105" xr:uid="{8930579B-4C4A-4B4B-A419-060433979E42}"/>
    <cellStyle name="Normal 9 2 2 4 5 2 4" xfId="26355" xr:uid="{3A402FDB-1982-459D-A9E8-29B2765CC464}"/>
    <cellStyle name="Normal 9 2 2 4 5 2 5" xfId="12894" xr:uid="{5B044B42-6A65-4E04-AB4B-9BAA1AB89D98}"/>
    <cellStyle name="Normal 9 2 2 4 5 3" xfId="6538" xr:uid="{00000000-0005-0000-0000-0000F51E0000}"/>
    <cellStyle name="Normal 9 2 2 4 5 3 2" xfId="19171" xr:uid="{FE1D03A9-1747-42B5-B3DA-1AD2BDDC23AE}"/>
    <cellStyle name="Normal 9 2 2 4 5 4" xfId="14960" xr:uid="{0E2BFA8C-7149-40EB-86CF-4DE3D224E531}"/>
    <cellStyle name="Normal 9 2 2 4 5 5" xfId="24210" xr:uid="{25C6B470-9FF0-4D9D-87E9-0888E4D36ACD}"/>
    <cellStyle name="Normal 9 2 2 4 5 6" xfId="10749" xr:uid="{D45946F1-AD68-4ABC-BD29-A3D034D59559}"/>
    <cellStyle name="Normal 9 2 2 4 6" xfId="2666" xr:uid="{00000000-0005-0000-0000-0000F61E0000}"/>
    <cellStyle name="Normal 9 2 2 4 6 2" xfId="6951" xr:uid="{00000000-0005-0000-0000-0000F71E0000}"/>
    <cellStyle name="Normal 9 2 2 4 6 2 2" xfId="19584" xr:uid="{412A7AB5-1467-4BE4-BCCC-508163534795}"/>
    <cellStyle name="Normal 9 2 2 4 6 3" xfId="15373" xr:uid="{5DF5071E-5443-4296-86CE-EC27F2C2054C}"/>
    <cellStyle name="Normal 9 2 2 4 6 4" xfId="24623" xr:uid="{BDDBCF72-42E1-40D0-A2A3-122A15D5A096}"/>
    <cellStyle name="Normal 9 2 2 4 6 5" xfId="11162" xr:uid="{723CB05E-DE53-4C7B-BED4-620CF50D5A61}"/>
    <cellStyle name="Normal 9 2 2 4 7" xfId="4886" xr:uid="{00000000-0005-0000-0000-0000F81E0000}"/>
    <cellStyle name="Normal 9 2 2 4 7 2" xfId="17519" xr:uid="{42890A17-7267-43A1-8540-DCC66C171DE8}"/>
    <cellStyle name="Normal 9 2 2 4 8" xfId="21729" xr:uid="{C30545DD-4E7D-4772-9E71-F37AB77EDFC8}"/>
    <cellStyle name="Normal 9 2 2 4 9" xfId="13308" xr:uid="{C169CF32-D6AE-4211-820C-22E07106E0A9}"/>
    <cellStyle name="Normal 9 2 2 5" xfId="980" xr:uid="{00000000-0005-0000-0000-0000F91E0000}"/>
    <cellStyle name="Normal 9 2 2 5 2" xfId="3213" xr:uid="{00000000-0005-0000-0000-0000FA1E0000}"/>
    <cellStyle name="Normal 9 2 2 5 2 2" xfId="7437" xr:uid="{00000000-0005-0000-0000-0000FB1E0000}"/>
    <cellStyle name="Normal 9 2 2 5 2 2 2" xfId="20070" xr:uid="{6510EFEA-5C7B-40A7-AC1F-381D63A094C4}"/>
    <cellStyle name="Normal 9 2 2 5 2 3" xfId="15859" xr:uid="{CDC27431-CE22-4E0B-A9B4-9D33B25EDE9F}"/>
    <cellStyle name="Normal 9 2 2 5 2 4" xfId="25109" xr:uid="{66F9D75E-9EF5-441D-8AE7-7E8998CE812F}"/>
    <cellStyle name="Normal 9 2 2 5 2 5" xfId="11648" xr:uid="{71911DCA-6E1C-44B2-B9CA-97184FD701EA}"/>
    <cellStyle name="Normal 9 2 2 5 3" xfId="5292" xr:uid="{00000000-0005-0000-0000-0000FC1E0000}"/>
    <cellStyle name="Normal 9 2 2 5 3 2" xfId="17925" xr:uid="{0E954C98-8AAD-4B28-8821-CF6BEC11488D}"/>
    <cellStyle name="Normal 9 2 2 5 4" xfId="22137" xr:uid="{CCCFF6C2-1577-4C78-816C-191E7C881B2B}"/>
    <cellStyle name="Normal 9 2 2 5 5" xfId="13714" xr:uid="{6907A4B7-029B-40BE-BB24-0F7963DBF142}"/>
    <cellStyle name="Normal 9 2 2 5 6" xfId="22964" xr:uid="{4D4F751D-9085-4014-B2B9-D089BD0A9F88}"/>
    <cellStyle name="Normal 9 2 2 5 7" xfId="9503" xr:uid="{174A7919-FAE7-4AB6-915D-4DD4CE335741}"/>
    <cellStyle name="Normal 9 2 2 6" xfId="1396" xr:uid="{00000000-0005-0000-0000-0000FD1E0000}"/>
    <cellStyle name="Normal 9 2 2 6 2" xfId="3626" xr:uid="{00000000-0005-0000-0000-0000FE1E0000}"/>
    <cellStyle name="Normal 9 2 2 6 2 2" xfId="7850" xr:uid="{00000000-0005-0000-0000-0000FF1E0000}"/>
    <cellStyle name="Normal 9 2 2 6 2 2 2" xfId="20483" xr:uid="{583AC494-1966-4FB6-96CE-8E013576DFAB}"/>
    <cellStyle name="Normal 9 2 2 6 2 3" xfId="16272" xr:uid="{21CE3D08-D2F9-4EE4-AFC8-5A9A271ABE47}"/>
    <cellStyle name="Normal 9 2 2 6 2 4" xfId="25522" xr:uid="{4E009DBC-9AFF-495E-BAD4-A7C823706A5C}"/>
    <cellStyle name="Normal 9 2 2 6 2 5" xfId="12061" xr:uid="{A54194D1-846B-4641-B595-ECC791FEDFD9}"/>
    <cellStyle name="Normal 9 2 2 6 3" xfId="5705" xr:uid="{00000000-0005-0000-0000-0000001F0000}"/>
    <cellStyle name="Normal 9 2 2 6 3 2" xfId="18338" xr:uid="{95EA5466-BAD6-4AE8-872C-1D6335C2E7B9}"/>
    <cellStyle name="Normal 9 2 2 6 4" xfId="14127" xr:uid="{E5D48522-93AA-4776-A9BB-B76BF173FA0B}"/>
    <cellStyle name="Normal 9 2 2 6 5" xfId="23377" xr:uid="{BCECADD4-1F4A-496D-A898-966B49E82C29}"/>
    <cellStyle name="Normal 9 2 2 6 6" xfId="9916" xr:uid="{01B60ABD-C3BB-4CCB-B613-56EE8C5C24D7}"/>
    <cellStyle name="Normal 9 2 2 7" xfId="1809" xr:uid="{00000000-0005-0000-0000-0000011F0000}"/>
    <cellStyle name="Normal 9 2 2 7 2" xfId="4039" xr:uid="{00000000-0005-0000-0000-0000021F0000}"/>
    <cellStyle name="Normal 9 2 2 7 2 2" xfId="8263" xr:uid="{00000000-0005-0000-0000-0000031F0000}"/>
    <cellStyle name="Normal 9 2 2 7 2 2 2" xfId="20896" xr:uid="{C14A8174-2601-48C7-9CA9-F46E468DF43A}"/>
    <cellStyle name="Normal 9 2 2 7 2 3" xfId="16685" xr:uid="{2E82A22F-8125-44C6-BCDC-22B2A476B62A}"/>
    <cellStyle name="Normal 9 2 2 7 2 4" xfId="25935" xr:uid="{458545AF-CD3E-4185-A1E5-059B80CEA534}"/>
    <cellStyle name="Normal 9 2 2 7 2 5" xfId="12474" xr:uid="{E61DFE3C-0D29-443A-BBCE-8E2627CBC262}"/>
    <cellStyle name="Normal 9 2 2 7 3" xfId="6118" xr:uid="{00000000-0005-0000-0000-0000041F0000}"/>
    <cellStyle name="Normal 9 2 2 7 3 2" xfId="18751" xr:uid="{154BA48B-1782-4903-ABF6-570BB5E26C65}"/>
    <cellStyle name="Normal 9 2 2 7 4" xfId="14540" xr:uid="{0148BB08-ADF7-4A82-BE89-1CFE5BA5431B}"/>
    <cellStyle name="Normal 9 2 2 7 5" xfId="23790" xr:uid="{0E85A07A-F7F8-451C-9E08-3752F8D0835A}"/>
    <cellStyle name="Normal 9 2 2 7 6" xfId="10329" xr:uid="{B9BE7F5B-2E9D-468C-BDB6-62C7E8CF73F3}"/>
    <cellStyle name="Normal 9 2 2 8" xfId="2223" xr:uid="{00000000-0005-0000-0000-0000051F0000}"/>
    <cellStyle name="Normal 9 2 2 8 2" xfId="4452" xr:uid="{00000000-0005-0000-0000-0000061F0000}"/>
    <cellStyle name="Normal 9 2 2 8 2 2" xfId="8676" xr:uid="{00000000-0005-0000-0000-0000071F0000}"/>
    <cellStyle name="Normal 9 2 2 8 2 2 2" xfId="21309" xr:uid="{5C4E1CEF-396D-427D-80B4-C1F634BC34D9}"/>
    <cellStyle name="Normal 9 2 2 8 2 3" xfId="17098" xr:uid="{0A99A669-35DC-48B1-9AFE-416B4835F459}"/>
    <cellStyle name="Normal 9 2 2 8 2 4" xfId="26348" xr:uid="{30C38728-23C8-4E61-921D-E655EAB34C31}"/>
    <cellStyle name="Normal 9 2 2 8 2 5" xfId="12887" xr:uid="{38F22DD0-C6CA-4038-867E-4BEF1179C6A4}"/>
    <cellStyle name="Normal 9 2 2 8 3" xfId="6531" xr:uid="{00000000-0005-0000-0000-0000081F0000}"/>
    <cellStyle name="Normal 9 2 2 8 3 2" xfId="19164" xr:uid="{29102A0D-A90D-40EB-BA81-3156B0645B3E}"/>
    <cellStyle name="Normal 9 2 2 8 4" xfId="14953" xr:uid="{87F57EE1-EDA7-4379-9FCF-0CA99F66422A}"/>
    <cellStyle name="Normal 9 2 2 8 5" xfId="24203" xr:uid="{5FDDD16D-85AB-4514-8593-319FBAA909E0}"/>
    <cellStyle name="Normal 9 2 2 8 6" xfId="10742" xr:uid="{3AECBB48-E269-472A-BD6D-42ED117F48DB}"/>
    <cellStyle name="Normal 9 2 2 9" xfId="2659" xr:uid="{00000000-0005-0000-0000-0000091F0000}"/>
    <cellStyle name="Normal 9 2 2 9 2" xfId="6944" xr:uid="{00000000-0005-0000-0000-00000A1F0000}"/>
    <cellStyle name="Normal 9 2 2 9 2 2" xfId="19577" xr:uid="{F7EC7092-04F6-4950-838C-A88B6DC9B53D}"/>
    <cellStyle name="Normal 9 2 2 9 3" xfId="15366" xr:uid="{1F8BFBDF-5364-44BF-AC68-C579F87E949C}"/>
    <cellStyle name="Normal 9 2 2 9 4" xfId="24616" xr:uid="{08F70ADF-1475-4ABD-8ABD-022003328B2E}"/>
    <cellStyle name="Normal 9 2 2 9 5" xfId="11155" xr:uid="{49F7C413-7E5E-42AF-B7E1-F21E4DDE0C92}"/>
    <cellStyle name="Normal 9 2 3" xfId="520" xr:uid="{00000000-0005-0000-0000-00000B1F0000}"/>
    <cellStyle name="Normal 9 2 3 10" xfId="21730" xr:uid="{31065AC5-0A6C-4E9D-86B3-EBEDD2369BD5}"/>
    <cellStyle name="Normal 9 2 3 11" xfId="13309" xr:uid="{121E9F64-7D64-4FF5-9BBA-460E6D8BC453}"/>
    <cellStyle name="Normal 9 2 3 12" xfId="22559" xr:uid="{08D562C0-EDE0-4AF7-B9F0-267CDC77FCC4}"/>
    <cellStyle name="Normal 9 2 3 13" xfId="9098" xr:uid="{B930AF50-AD02-4421-B4E5-A97CE58F92ED}"/>
    <cellStyle name="Normal 9 2 3 2" xfId="521" xr:uid="{00000000-0005-0000-0000-00000C1F0000}"/>
    <cellStyle name="Normal 9 2 3 2 10" xfId="13310" xr:uid="{94040AD6-F747-4B2F-A370-3F8AE5B3C11E}"/>
    <cellStyle name="Normal 9 2 3 2 11" xfId="22560" xr:uid="{11A247B5-EBAF-496A-844C-8DF9F5B7EFBB}"/>
    <cellStyle name="Normal 9 2 3 2 12" xfId="9099" xr:uid="{5CB88771-EEF4-4C32-8B9D-C79B96B13076}"/>
    <cellStyle name="Normal 9 2 3 2 2" xfId="522" xr:uid="{00000000-0005-0000-0000-00000D1F0000}"/>
    <cellStyle name="Normal 9 2 3 2 2 10" xfId="22561" xr:uid="{83EB7DDC-B891-43C0-9E66-9B01CF99E197}"/>
    <cellStyle name="Normal 9 2 3 2 2 11" xfId="9100" xr:uid="{C9B53B68-4AE6-4F52-8CD6-165D77ABF595}"/>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20080" xr:uid="{85E2C12B-7B98-42B1-9FD3-E949ABBCF765}"/>
    <cellStyle name="Normal 9 2 3 2 2 2 2 3" xfId="15869" xr:uid="{E0828125-586E-4C90-9E16-659A07B0DD11}"/>
    <cellStyle name="Normal 9 2 3 2 2 2 2 4" xfId="25119" xr:uid="{C6A079EA-71A6-4C4C-B92E-C6E65DDB1E91}"/>
    <cellStyle name="Normal 9 2 3 2 2 2 2 5" xfId="11658" xr:uid="{CE0A91E4-FBBB-4F5A-8D29-0E3C38B07068}"/>
    <cellStyle name="Normal 9 2 3 2 2 2 3" xfId="5302" xr:uid="{00000000-0005-0000-0000-0000111F0000}"/>
    <cellStyle name="Normal 9 2 3 2 2 2 3 2" xfId="17935" xr:uid="{9EBF6863-08BF-4E0D-A25B-372DC52578EE}"/>
    <cellStyle name="Normal 9 2 3 2 2 2 4" xfId="22147" xr:uid="{10FC8D22-B749-408E-BFA1-BD496E7F9E1E}"/>
    <cellStyle name="Normal 9 2 3 2 2 2 5" xfId="13724" xr:uid="{31A8D24A-D518-4B51-AEEC-1E152D9A8C33}"/>
    <cellStyle name="Normal 9 2 3 2 2 2 6" xfId="22974" xr:uid="{75953C06-8149-40EE-9F40-F8C259A939ED}"/>
    <cellStyle name="Normal 9 2 3 2 2 2 7" xfId="9513" xr:uid="{CBFC97E3-16EE-4BE9-BC40-5A75652EFFB1}"/>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20493" xr:uid="{F768F134-EF81-43D2-BE0F-992D972EBB0B}"/>
    <cellStyle name="Normal 9 2 3 2 2 3 2 3" xfId="16282" xr:uid="{7BEFC562-5B78-4B10-B0E9-2BAFF9B68756}"/>
    <cellStyle name="Normal 9 2 3 2 2 3 2 4" xfId="25532" xr:uid="{C62E8DCB-4FB7-47ED-8245-D1032C68D118}"/>
    <cellStyle name="Normal 9 2 3 2 2 3 2 5" xfId="12071" xr:uid="{48C67FE4-8464-44EE-9A02-EDAB0E80FE4A}"/>
    <cellStyle name="Normal 9 2 3 2 2 3 3" xfId="5715" xr:uid="{00000000-0005-0000-0000-0000151F0000}"/>
    <cellStyle name="Normal 9 2 3 2 2 3 3 2" xfId="18348" xr:uid="{C3A3E059-2CEF-4F68-A6C7-8B6EAF167DCB}"/>
    <cellStyle name="Normal 9 2 3 2 2 3 4" xfId="14137" xr:uid="{E1277FE5-8DDD-40A3-9941-B1088880F3D9}"/>
    <cellStyle name="Normal 9 2 3 2 2 3 5" xfId="23387" xr:uid="{D77986DF-9D8F-45DD-84D8-75E3BC343F54}"/>
    <cellStyle name="Normal 9 2 3 2 2 3 6" xfId="9926" xr:uid="{0A3882BE-9DA4-4C4F-A94B-9AEFEDEAC198}"/>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20906" xr:uid="{1A68D09C-008F-4F5B-8457-C25ABDE16B15}"/>
    <cellStyle name="Normal 9 2 3 2 2 4 2 3" xfId="16695" xr:uid="{0B2E9EFB-7213-4678-83F8-0163C6E610A9}"/>
    <cellStyle name="Normal 9 2 3 2 2 4 2 4" xfId="25945" xr:uid="{81379C7E-FCC1-4156-8E8D-652EE12A1B22}"/>
    <cellStyle name="Normal 9 2 3 2 2 4 2 5" xfId="12484" xr:uid="{EB8B5347-C872-4C21-842F-70D5A2F4C71E}"/>
    <cellStyle name="Normal 9 2 3 2 2 4 3" xfId="6128" xr:uid="{00000000-0005-0000-0000-0000191F0000}"/>
    <cellStyle name="Normal 9 2 3 2 2 4 3 2" xfId="18761" xr:uid="{96669EB5-9D98-46FB-B19F-FE7621146DB5}"/>
    <cellStyle name="Normal 9 2 3 2 2 4 4" xfId="14550" xr:uid="{A451B4EE-FA3B-499C-82D7-5C1E720E1D43}"/>
    <cellStyle name="Normal 9 2 3 2 2 4 5" xfId="23800" xr:uid="{509E09FD-0193-4EBE-85DA-3C652821BD71}"/>
    <cellStyle name="Normal 9 2 3 2 2 4 6" xfId="10339" xr:uid="{9744837B-2180-47F0-BDBE-5D973734BB38}"/>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21319" xr:uid="{4B65E02E-4E34-4C7A-BF68-BBC6CB52F909}"/>
    <cellStyle name="Normal 9 2 3 2 2 5 2 3" xfId="17108" xr:uid="{3655F149-66D6-42E3-8020-82A113B80870}"/>
    <cellStyle name="Normal 9 2 3 2 2 5 2 4" xfId="26358" xr:uid="{46B43323-460E-414A-990A-4BFF40D634FD}"/>
    <cellStyle name="Normal 9 2 3 2 2 5 2 5" xfId="12897" xr:uid="{280E213A-0198-43FC-9BCB-07881CBD3F8B}"/>
    <cellStyle name="Normal 9 2 3 2 2 5 3" xfId="6541" xr:uid="{00000000-0005-0000-0000-00001D1F0000}"/>
    <cellStyle name="Normal 9 2 3 2 2 5 3 2" xfId="19174" xr:uid="{A2C2C572-CDC7-4320-88CD-56366892C24F}"/>
    <cellStyle name="Normal 9 2 3 2 2 5 4" xfId="14963" xr:uid="{DB82F374-7872-43B4-B294-FF7531442A81}"/>
    <cellStyle name="Normal 9 2 3 2 2 5 5" xfId="24213" xr:uid="{7D6D7606-3B45-48BE-806A-8B5159E3E01E}"/>
    <cellStyle name="Normal 9 2 3 2 2 5 6" xfId="10752" xr:uid="{95E1D13E-45DC-4F66-9F56-E784C7449FF4}"/>
    <cellStyle name="Normal 9 2 3 2 2 6" xfId="2669" xr:uid="{00000000-0005-0000-0000-00001E1F0000}"/>
    <cellStyle name="Normal 9 2 3 2 2 6 2" xfId="6954" xr:uid="{00000000-0005-0000-0000-00001F1F0000}"/>
    <cellStyle name="Normal 9 2 3 2 2 6 2 2" xfId="19587" xr:uid="{6BEC1D06-B024-4D61-854E-52FAE523DDB8}"/>
    <cellStyle name="Normal 9 2 3 2 2 6 3" xfId="15376" xr:uid="{DF25AB0A-95CF-41A2-A485-127AC5809209}"/>
    <cellStyle name="Normal 9 2 3 2 2 6 4" xfId="24626" xr:uid="{77BD5DFD-F297-4FA1-A7B3-1F81F2FC61A5}"/>
    <cellStyle name="Normal 9 2 3 2 2 6 5" xfId="11165" xr:uid="{9B0E9960-2124-4AF9-B876-FD3E6219DE12}"/>
    <cellStyle name="Normal 9 2 3 2 2 7" xfId="4889" xr:uid="{00000000-0005-0000-0000-0000201F0000}"/>
    <cellStyle name="Normal 9 2 3 2 2 7 2" xfId="17522" xr:uid="{A17A9B7C-050C-43B2-94C1-21E24CF4B428}"/>
    <cellStyle name="Normal 9 2 3 2 2 8" xfId="21732" xr:uid="{3DC56547-BCD4-4408-827E-83823BECFD1D}"/>
    <cellStyle name="Normal 9 2 3 2 2 9" xfId="13311" xr:uid="{E8F9F4F6-9199-48A7-A99F-F825F597D139}"/>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20079" xr:uid="{6D65EB69-C79B-4505-961A-627934B95D54}"/>
    <cellStyle name="Normal 9 2 3 2 3 2 3" xfId="15868" xr:uid="{B08CF308-D28D-4039-8B96-2D39D416B325}"/>
    <cellStyle name="Normal 9 2 3 2 3 2 4" xfId="25118" xr:uid="{1353389B-EEC4-4896-96EA-8AA3BBCE6D4F}"/>
    <cellStyle name="Normal 9 2 3 2 3 2 5" xfId="11657" xr:uid="{4A91E8AB-F04F-42DD-958B-9C4C6BCE5E33}"/>
    <cellStyle name="Normal 9 2 3 2 3 3" xfId="5301" xr:uid="{00000000-0005-0000-0000-0000241F0000}"/>
    <cellStyle name="Normal 9 2 3 2 3 3 2" xfId="17934" xr:uid="{166AF797-E032-4437-837B-1FEC576F4B1D}"/>
    <cellStyle name="Normal 9 2 3 2 3 4" xfId="22146" xr:uid="{682F78AE-0337-488B-AB26-310445AFCF22}"/>
    <cellStyle name="Normal 9 2 3 2 3 5" xfId="13723" xr:uid="{1FE5B904-ED0C-4044-A8E7-4A49D6434E33}"/>
    <cellStyle name="Normal 9 2 3 2 3 6" xfId="22973" xr:uid="{E74BBAE1-32C0-491F-AEE1-DE0004E4E7B8}"/>
    <cellStyle name="Normal 9 2 3 2 3 7" xfId="9512" xr:uid="{3BA34081-BB05-4DB0-B4EF-7BA424DCE52F}"/>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20492" xr:uid="{A3076667-ABE4-43F7-AC00-82CE23FD166F}"/>
    <cellStyle name="Normal 9 2 3 2 4 2 3" xfId="16281" xr:uid="{4F75D17B-D399-42B9-8666-4E40FDC20313}"/>
    <cellStyle name="Normal 9 2 3 2 4 2 4" xfId="25531" xr:uid="{4211171D-4C00-4836-8512-89D99DC0283C}"/>
    <cellStyle name="Normal 9 2 3 2 4 2 5" xfId="12070" xr:uid="{909840EC-12CF-45E8-B234-31A9F3C6B0E7}"/>
    <cellStyle name="Normal 9 2 3 2 4 3" xfId="5714" xr:uid="{00000000-0005-0000-0000-0000281F0000}"/>
    <cellStyle name="Normal 9 2 3 2 4 3 2" xfId="18347" xr:uid="{B7A008DE-ABBE-43B3-B699-40F8CDE4B7AE}"/>
    <cellStyle name="Normal 9 2 3 2 4 4" xfId="14136" xr:uid="{63933274-1622-4DD5-9791-1402618A34C4}"/>
    <cellStyle name="Normal 9 2 3 2 4 5" xfId="23386" xr:uid="{38B2BA63-D5E7-4443-B2F0-AF3D2AA5F9FA}"/>
    <cellStyle name="Normal 9 2 3 2 4 6" xfId="9925" xr:uid="{E062E711-C3F4-4295-A503-B45CF5D54DFE}"/>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20905" xr:uid="{9709C08C-FD05-4292-A64C-1617071FAD1A}"/>
    <cellStyle name="Normal 9 2 3 2 5 2 3" xfId="16694" xr:uid="{299AFE09-2957-4124-B71A-FCBFFEC16058}"/>
    <cellStyle name="Normal 9 2 3 2 5 2 4" xfId="25944" xr:uid="{3198A38D-DB3E-4890-AFB7-F8EA07B877D6}"/>
    <cellStyle name="Normal 9 2 3 2 5 2 5" xfId="12483" xr:uid="{4C9281CD-497E-4375-9109-DAB10371C9F4}"/>
    <cellStyle name="Normal 9 2 3 2 5 3" xfId="6127" xr:uid="{00000000-0005-0000-0000-00002C1F0000}"/>
    <cellStyle name="Normal 9 2 3 2 5 3 2" xfId="18760" xr:uid="{7935EA93-2A49-42B6-A1E3-6AD5D856357D}"/>
    <cellStyle name="Normal 9 2 3 2 5 4" xfId="14549" xr:uid="{2A1AD495-A05A-442A-960A-531650C0249B}"/>
    <cellStyle name="Normal 9 2 3 2 5 5" xfId="23799" xr:uid="{7250DD5B-46B2-455F-8109-DFE182F494D9}"/>
    <cellStyle name="Normal 9 2 3 2 5 6" xfId="10338" xr:uid="{726589DC-9E66-49DF-995D-C9C478B86950}"/>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21318" xr:uid="{D607F327-A805-4AA0-9472-3A486EBB54F0}"/>
    <cellStyle name="Normal 9 2 3 2 6 2 3" xfId="17107" xr:uid="{6B21CFF1-382B-4117-B8ED-5ABFB2E22309}"/>
    <cellStyle name="Normal 9 2 3 2 6 2 4" xfId="26357" xr:uid="{F0201792-C30F-4807-A3B1-00FFF8336B36}"/>
    <cellStyle name="Normal 9 2 3 2 6 2 5" xfId="12896" xr:uid="{21753B54-D55C-4881-A745-D199CBC33576}"/>
    <cellStyle name="Normal 9 2 3 2 6 3" xfId="6540" xr:uid="{00000000-0005-0000-0000-0000301F0000}"/>
    <cellStyle name="Normal 9 2 3 2 6 3 2" xfId="19173" xr:uid="{8B540F18-D1D5-49CB-A775-BB57BCB4E8B2}"/>
    <cellStyle name="Normal 9 2 3 2 6 4" xfId="14962" xr:uid="{CDEECE34-6294-4682-9C28-4A36F8E7451A}"/>
    <cellStyle name="Normal 9 2 3 2 6 5" xfId="24212" xr:uid="{F8219D4B-2F6D-468C-841F-63540E8752ED}"/>
    <cellStyle name="Normal 9 2 3 2 6 6" xfId="10751" xr:uid="{A4CB7A8C-2AE2-4CD3-8E55-7B7826371C2B}"/>
    <cellStyle name="Normal 9 2 3 2 7" xfId="2668" xr:uid="{00000000-0005-0000-0000-0000311F0000}"/>
    <cellStyle name="Normal 9 2 3 2 7 2" xfId="6953" xr:uid="{00000000-0005-0000-0000-0000321F0000}"/>
    <cellStyle name="Normal 9 2 3 2 7 2 2" xfId="19586" xr:uid="{9F3EF100-D8C9-4196-BB3F-678C50F59144}"/>
    <cellStyle name="Normal 9 2 3 2 7 3" xfId="15375" xr:uid="{074AC027-39D8-4B57-9B1A-970F70A98813}"/>
    <cellStyle name="Normal 9 2 3 2 7 4" xfId="24625" xr:uid="{73408682-4DA4-48FD-A61D-B38A82C1FC8A}"/>
    <cellStyle name="Normal 9 2 3 2 7 5" xfId="11164" xr:uid="{FC95684B-75C9-4455-93F3-29263545C3D5}"/>
    <cellStyle name="Normal 9 2 3 2 8" xfId="4888" xr:uid="{00000000-0005-0000-0000-0000331F0000}"/>
    <cellStyle name="Normal 9 2 3 2 8 2" xfId="17521" xr:uid="{FF1833AE-55C1-43DB-9805-D059FEDB48DA}"/>
    <cellStyle name="Normal 9 2 3 2 9" xfId="21731" xr:uid="{B6A340E2-EC95-47AB-AF22-3333C6CE47CF}"/>
    <cellStyle name="Normal 9 2 3 3" xfId="523" xr:uid="{00000000-0005-0000-0000-0000341F0000}"/>
    <cellStyle name="Normal 9 2 3 3 10" xfId="22562" xr:uid="{A41BA0A3-097C-4D52-B00A-BF60C28528B9}"/>
    <cellStyle name="Normal 9 2 3 3 11" xfId="9101" xr:uid="{AF740EC7-DCA3-40CF-A8E8-5BC392DCE532}"/>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20081" xr:uid="{01050BD1-54A0-4AFD-AAE0-45D4F4E14F9E}"/>
    <cellStyle name="Normal 9 2 3 3 2 2 3" xfId="15870" xr:uid="{5A2529CC-CFDE-4FA7-818D-999BD9D1D3FF}"/>
    <cellStyle name="Normal 9 2 3 3 2 2 4" xfId="25120" xr:uid="{A419C2E6-9F01-41A6-8C1E-D62EF6EACF79}"/>
    <cellStyle name="Normal 9 2 3 3 2 2 5" xfId="11659" xr:uid="{93B3A662-B907-468C-A748-902208AC1BD3}"/>
    <cellStyle name="Normal 9 2 3 3 2 3" xfId="5303" xr:uid="{00000000-0005-0000-0000-0000381F0000}"/>
    <cellStyle name="Normal 9 2 3 3 2 3 2" xfId="17936" xr:uid="{C397BDA2-BA07-4851-9704-67125917D3F5}"/>
    <cellStyle name="Normal 9 2 3 3 2 4" xfId="22148" xr:uid="{B0250382-066A-41A3-8AEF-133681C4D73C}"/>
    <cellStyle name="Normal 9 2 3 3 2 5" xfId="13725" xr:uid="{2C34A7C8-4877-4CB1-84CA-CBBAFC2C63FA}"/>
    <cellStyle name="Normal 9 2 3 3 2 6" xfId="22975" xr:uid="{3AFE2E09-C6B0-48C3-8F1E-678119DFF562}"/>
    <cellStyle name="Normal 9 2 3 3 2 7" xfId="9514" xr:uid="{DC7915A3-E48E-4308-987C-C7CFBB9BA98F}"/>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20494" xr:uid="{2FDA2F57-E014-44B8-BC2A-30B74C4BD5C7}"/>
    <cellStyle name="Normal 9 2 3 3 3 2 3" xfId="16283" xr:uid="{E62B35C7-44E6-454E-8F36-ED30FC50D771}"/>
    <cellStyle name="Normal 9 2 3 3 3 2 4" xfId="25533" xr:uid="{CE261D53-0BEA-45BB-A48D-DCF56A24A845}"/>
    <cellStyle name="Normal 9 2 3 3 3 2 5" xfId="12072" xr:uid="{A654F01C-A5FB-4495-913F-BA80299ED3A3}"/>
    <cellStyle name="Normal 9 2 3 3 3 3" xfId="5716" xr:uid="{00000000-0005-0000-0000-00003C1F0000}"/>
    <cellStyle name="Normal 9 2 3 3 3 3 2" xfId="18349" xr:uid="{9308832B-C7C9-4221-AA5C-5F618CE2E08B}"/>
    <cellStyle name="Normal 9 2 3 3 3 4" xfId="14138" xr:uid="{C58FCF6B-4B01-49BB-8551-A1A91FB14579}"/>
    <cellStyle name="Normal 9 2 3 3 3 5" xfId="23388" xr:uid="{5A7D0153-1E82-4D56-ADD3-DB342BF08AC4}"/>
    <cellStyle name="Normal 9 2 3 3 3 6" xfId="9927" xr:uid="{D5726E91-94E1-4721-B6BE-11BAA9CC5D47}"/>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20907" xr:uid="{6547F436-DADB-4AE8-86CC-4ABA65261179}"/>
    <cellStyle name="Normal 9 2 3 3 4 2 3" xfId="16696" xr:uid="{A04CC2E6-9DA8-4AD8-BAA7-14F81BB30DCB}"/>
    <cellStyle name="Normal 9 2 3 3 4 2 4" xfId="25946" xr:uid="{16528E9F-420F-48F6-8389-F153C7584823}"/>
    <cellStyle name="Normal 9 2 3 3 4 2 5" xfId="12485" xr:uid="{6C08E9F3-B490-4379-8D6E-AD49DEBF7065}"/>
    <cellStyle name="Normal 9 2 3 3 4 3" xfId="6129" xr:uid="{00000000-0005-0000-0000-0000401F0000}"/>
    <cellStyle name="Normal 9 2 3 3 4 3 2" xfId="18762" xr:uid="{FC127BEF-DB3E-427E-9341-931D0F3D0747}"/>
    <cellStyle name="Normal 9 2 3 3 4 4" xfId="14551" xr:uid="{A371D2FA-C0AC-4F48-8C17-4A10B156624B}"/>
    <cellStyle name="Normal 9 2 3 3 4 5" xfId="23801" xr:uid="{D409D956-A045-4AE3-939A-6FA09FEE9FFD}"/>
    <cellStyle name="Normal 9 2 3 3 4 6" xfId="10340" xr:uid="{D1EE8D78-674F-44B3-B4C5-4A1D379FDCB3}"/>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21320" xr:uid="{9D63A89D-1EA7-4C8E-890F-A5B33AB151C2}"/>
    <cellStyle name="Normal 9 2 3 3 5 2 3" xfId="17109" xr:uid="{B20E92C9-DCAE-4952-8F5E-F1CE501BFD16}"/>
    <cellStyle name="Normal 9 2 3 3 5 2 4" xfId="26359" xr:uid="{065A4DFB-8CC6-4B8B-B83D-CE9342AAE010}"/>
    <cellStyle name="Normal 9 2 3 3 5 2 5" xfId="12898" xr:uid="{CCA13FC2-01D3-40F8-9EB5-868854409D91}"/>
    <cellStyle name="Normal 9 2 3 3 5 3" xfId="6542" xr:uid="{00000000-0005-0000-0000-0000441F0000}"/>
    <cellStyle name="Normal 9 2 3 3 5 3 2" xfId="19175" xr:uid="{DDD55E5A-4575-41EC-9D12-2A5516057EEB}"/>
    <cellStyle name="Normal 9 2 3 3 5 4" xfId="14964" xr:uid="{94F37B47-0172-44A9-8E6A-F895F901291D}"/>
    <cellStyle name="Normal 9 2 3 3 5 5" xfId="24214" xr:uid="{FE720F23-E281-4EBC-B51D-47DF0301127E}"/>
    <cellStyle name="Normal 9 2 3 3 5 6" xfId="10753" xr:uid="{CCAF7896-154B-4BF8-964D-4267E8B3C329}"/>
    <cellStyle name="Normal 9 2 3 3 6" xfId="2670" xr:uid="{00000000-0005-0000-0000-0000451F0000}"/>
    <cellStyle name="Normal 9 2 3 3 6 2" xfId="6955" xr:uid="{00000000-0005-0000-0000-0000461F0000}"/>
    <cellStyle name="Normal 9 2 3 3 6 2 2" xfId="19588" xr:uid="{9C91CD57-B0F4-4182-A298-6AFC4AB70ADC}"/>
    <cellStyle name="Normal 9 2 3 3 6 3" xfId="15377" xr:uid="{E15AEC0E-0ACD-47F4-AAB2-C37E4D07187A}"/>
    <cellStyle name="Normal 9 2 3 3 6 4" xfId="24627" xr:uid="{D5BC8A73-5DCF-49A2-9AE4-346B09D3FA4E}"/>
    <cellStyle name="Normal 9 2 3 3 6 5" xfId="11166" xr:uid="{0706D85A-B3F5-4A54-B475-39BA9771734B}"/>
    <cellStyle name="Normal 9 2 3 3 7" xfId="4890" xr:uid="{00000000-0005-0000-0000-0000471F0000}"/>
    <cellStyle name="Normal 9 2 3 3 7 2" xfId="17523" xr:uid="{80FF6835-1889-406B-ADB4-551F32A9ED41}"/>
    <cellStyle name="Normal 9 2 3 3 8" xfId="21733" xr:uid="{99CD126F-B605-40C3-A646-80FD72E7C250}"/>
    <cellStyle name="Normal 9 2 3 3 9" xfId="13312" xr:uid="{51F63926-DECA-4D58-A00B-632E508913E6}"/>
    <cellStyle name="Normal 9 2 3 4" xfId="988" xr:uid="{00000000-0005-0000-0000-0000481F0000}"/>
    <cellStyle name="Normal 9 2 3 4 2" xfId="3221" xr:uid="{00000000-0005-0000-0000-0000491F0000}"/>
    <cellStyle name="Normal 9 2 3 4 2 2" xfId="7445" xr:uid="{00000000-0005-0000-0000-00004A1F0000}"/>
    <cellStyle name="Normal 9 2 3 4 2 2 2" xfId="20078" xr:uid="{DC0B3F01-528B-49FF-A0F0-04F27CCE9617}"/>
    <cellStyle name="Normal 9 2 3 4 2 3" xfId="15867" xr:uid="{D34CE7BD-F050-459D-AD36-31259C91AF38}"/>
    <cellStyle name="Normal 9 2 3 4 2 4" xfId="25117" xr:uid="{F461A34F-D36F-44C4-929A-D9E6EB64A7FA}"/>
    <cellStyle name="Normal 9 2 3 4 2 5" xfId="11656" xr:uid="{37E7BED1-FEA6-4AD8-8216-43CC25860D85}"/>
    <cellStyle name="Normal 9 2 3 4 3" xfId="5300" xr:uid="{00000000-0005-0000-0000-00004B1F0000}"/>
    <cellStyle name="Normal 9 2 3 4 3 2" xfId="17933" xr:uid="{9ABD652C-E1E9-4544-A809-F4DB42991D52}"/>
    <cellStyle name="Normal 9 2 3 4 4" xfId="22145" xr:uid="{59DF1576-CFCF-46D5-A6D9-C17DE91C3F41}"/>
    <cellStyle name="Normal 9 2 3 4 5" xfId="13722" xr:uid="{617C6976-7F59-4988-86ED-8C688374ED39}"/>
    <cellStyle name="Normal 9 2 3 4 6" xfId="22972" xr:uid="{74584C7B-6F48-49C6-BC64-F91FDD72D55F}"/>
    <cellStyle name="Normal 9 2 3 4 7" xfId="9511" xr:uid="{2E5BC75A-5EFC-4CBC-ADDF-663353258215}"/>
    <cellStyle name="Normal 9 2 3 5" xfId="1404" xr:uid="{00000000-0005-0000-0000-00004C1F0000}"/>
    <cellStyle name="Normal 9 2 3 5 2" xfId="3634" xr:uid="{00000000-0005-0000-0000-00004D1F0000}"/>
    <cellStyle name="Normal 9 2 3 5 2 2" xfId="7858" xr:uid="{00000000-0005-0000-0000-00004E1F0000}"/>
    <cellStyle name="Normal 9 2 3 5 2 2 2" xfId="20491" xr:uid="{9737824F-E3A9-44ED-B7DF-711ED1EEABBC}"/>
    <cellStyle name="Normal 9 2 3 5 2 3" xfId="16280" xr:uid="{1DAAE096-53CC-42F2-88AD-05BE96975FD7}"/>
    <cellStyle name="Normal 9 2 3 5 2 4" xfId="25530" xr:uid="{5B21029D-7597-4B1E-8C9B-FEEF31FF251A}"/>
    <cellStyle name="Normal 9 2 3 5 2 5" xfId="12069" xr:uid="{FBA75CD3-FDCA-4A60-84F7-1FB99F7167AE}"/>
    <cellStyle name="Normal 9 2 3 5 3" xfId="5713" xr:uid="{00000000-0005-0000-0000-00004F1F0000}"/>
    <cellStyle name="Normal 9 2 3 5 3 2" xfId="18346" xr:uid="{8F6E2B35-F363-462A-8478-F6EB07493ECD}"/>
    <cellStyle name="Normal 9 2 3 5 4" xfId="14135" xr:uid="{08714151-C654-40C4-9DD6-8A8E63918C99}"/>
    <cellStyle name="Normal 9 2 3 5 5" xfId="23385" xr:uid="{6CACB7A5-C4BB-49C3-8295-60B94A89B4F2}"/>
    <cellStyle name="Normal 9 2 3 5 6" xfId="9924" xr:uid="{890A6527-8D39-474F-B5E3-7F0FAFCC2DD9}"/>
    <cellStyle name="Normal 9 2 3 6" xfId="1817" xr:uid="{00000000-0005-0000-0000-0000501F0000}"/>
    <cellStyle name="Normal 9 2 3 6 2" xfId="4047" xr:uid="{00000000-0005-0000-0000-0000511F0000}"/>
    <cellStyle name="Normal 9 2 3 6 2 2" xfId="8271" xr:uid="{00000000-0005-0000-0000-0000521F0000}"/>
    <cellStyle name="Normal 9 2 3 6 2 2 2" xfId="20904" xr:uid="{288C6719-01FB-4261-9587-226873B846C0}"/>
    <cellStyle name="Normal 9 2 3 6 2 3" xfId="16693" xr:uid="{425F2EDE-C554-4397-AB48-D79639B1F49E}"/>
    <cellStyle name="Normal 9 2 3 6 2 4" xfId="25943" xr:uid="{5A2E1527-A22B-43EC-97B8-E5ACB38383EC}"/>
    <cellStyle name="Normal 9 2 3 6 2 5" xfId="12482" xr:uid="{9CA7F0DC-DD52-4FF2-8A55-7513E0A60F07}"/>
    <cellStyle name="Normal 9 2 3 6 3" xfId="6126" xr:uid="{00000000-0005-0000-0000-0000531F0000}"/>
    <cellStyle name="Normal 9 2 3 6 3 2" xfId="18759" xr:uid="{58A0BFBC-40D4-4104-B489-A35922423895}"/>
    <cellStyle name="Normal 9 2 3 6 4" xfId="14548" xr:uid="{8CEA4501-7CF0-4274-B28E-D76592B7A394}"/>
    <cellStyle name="Normal 9 2 3 6 5" xfId="23798" xr:uid="{A6ECC05E-7126-414E-857D-A78CCCA31395}"/>
    <cellStyle name="Normal 9 2 3 6 6" xfId="10337" xr:uid="{08B257EB-14D3-445B-9838-FFD7CE18DB05}"/>
    <cellStyle name="Normal 9 2 3 7" xfId="2231" xr:uid="{00000000-0005-0000-0000-0000541F0000}"/>
    <cellStyle name="Normal 9 2 3 7 2" xfId="4460" xr:uid="{00000000-0005-0000-0000-0000551F0000}"/>
    <cellStyle name="Normal 9 2 3 7 2 2" xfId="8684" xr:uid="{00000000-0005-0000-0000-0000561F0000}"/>
    <cellStyle name="Normal 9 2 3 7 2 2 2" xfId="21317" xr:uid="{462FD4A0-59B4-49FF-82C6-92D75B68B6FA}"/>
    <cellStyle name="Normal 9 2 3 7 2 3" xfId="17106" xr:uid="{9781254F-76AB-4E27-9516-0E1F01E3593C}"/>
    <cellStyle name="Normal 9 2 3 7 2 4" xfId="26356" xr:uid="{43DC5D29-BD06-4A7D-8642-3B31A88E6028}"/>
    <cellStyle name="Normal 9 2 3 7 2 5" xfId="12895" xr:uid="{5B4F024E-B642-4296-8110-29A1E162C8A7}"/>
    <cellStyle name="Normal 9 2 3 7 3" xfId="6539" xr:uid="{00000000-0005-0000-0000-0000571F0000}"/>
    <cellStyle name="Normal 9 2 3 7 3 2" xfId="19172" xr:uid="{DA56497D-BDEA-4023-86D3-E8CB0DDED4A9}"/>
    <cellStyle name="Normal 9 2 3 7 4" xfId="14961" xr:uid="{A93E779F-DC5B-43C2-9BE9-96AAA4ED2BD3}"/>
    <cellStyle name="Normal 9 2 3 7 5" xfId="24211" xr:uid="{64381BB0-F91C-4A6E-85CA-E5771EF651D3}"/>
    <cellStyle name="Normal 9 2 3 7 6" xfId="10750" xr:uid="{31CEE1A7-41FB-4955-B982-D4743B8DDD39}"/>
    <cellStyle name="Normal 9 2 3 8" xfId="2667" xr:uid="{00000000-0005-0000-0000-0000581F0000}"/>
    <cellStyle name="Normal 9 2 3 8 2" xfId="6952" xr:uid="{00000000-0005-0000-0000-0000591F0000}"/>
    <cellStyle name="Normal 9 2 3 8 2 2" xfId="19585" xr:uid="{F736FE65-ED84-4C66-BB99-C5AF94AFBF3C}"/>
    <cellStyle name="Normal 9 2 3 8 3" xfId="15374" xr:uid="{7EB5A84E-F222-441B-B49A-61FA35BC53A8}"/>
    <cellStyle name="Normal 9 2 3 8 4" xfId="24624" xr:uid="{CD6D93AF-FB31-4923-A281-B958801DDDE0}"/>
    <cellStyle name="Normal 9 2 3 8 5" xfId="11163" xr:uid="{467B54D9-6FC9-4B2A-ACAC-45CF11BBB52E}"/>
    <cellStyle name="Normal 9 2 3 9" xfId="4887" xr:uid="{00000000-0005-0000-0000-00005A1F0000}"/>
    <cellStyle name="Normal 9 2 3 9 2" xfId="17520" xr:uid="{74115A94-8A15-4C12-B587-AAC266760844}"/>
    <cellStyle name="Normal 9 2 4" xfId="524" xr:uid="{00000000-0005-0000-0000-00005B1F0000}"/>
    <cellStyle name="Normal 9 2 4 10" xfId="13313" xr:uid="{DA184589-9779-4FDE-962A-897DE3105177}"/>
    <cellStyle name="Normal 9 2 4 11" xfId="22563" xr:uid="{BC5C7985-DBAF-4F8A-9AE3-85F054B44763}"/>
    <cellStyle name="Normal 9 2 4 12" xfId="9102" xr:uid="{FDEEC44B-48A1-4818-8381-765DB63D2C07}"/>
    <cellStyle name="Normal 9 2 4 2" xfId="525" xr:uid="{00000000-0005-0000-0000-00005C1F0000}"/>
    <cellStyle name="Normal 9 2 4 2 10" xfId="22564" xr:uid="{6634546C-4F75-4F32-AE91-2DC2C9C61B0F}"/>
    <cellStyle name="Normal 9 2 4 2 11" xfId="9103" xr:uid="{E3811843-520B-4CFF-9EA9-375111D2A3B2}"/>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20083" xr:uid="{6EEB5FA4-A19F-445F-9F12-4E759B80F9C6}"/>
    <cellStyle name="Normal 9 2 4 2 2 2 3" xfId="15872" xr:uid="{B8AB296C-15C6-4624-8A2E-4AAFE1F57B8F}"/>
    <cellStyle name="Normal 9 2 4 2 2 2 4" xfId="25122" xr:uid="{C68C5BEA-8920-4AE3-8F89-0CDE00C71A93}"/>
    <cellStyle name="Normal 9 2 4 2 2 2 5" xfId="11661" xr:uid="{CBA2886B-30AB-4C8B-A896-AEDD75507152}"/>
    <cellStyle name="Normal 9 2 4 2 2 3" xfId="5305" xr:uid="{00000000-0005-0000-0000-0000601F0000}"/>
    <cellStyle name="Normal 9 2 4 2 2 3 2" xfId="17938" xr:uid="{A6D33926-E9FE-4857-8839-86069E9E995C}"/>
    <cellStyle name="Normal 9 2 4 2 2 4" xfId="22150" xr:uid="{28ABDB78-A3EE-4E8C-B77F-3249C2E68C0A}"/>
    <cellStyle name="Normal 9 2 4 2 2 5" xfId="13727" xr:uid="{4DA9D148-2DBE-49F6-BE8E-81C65110E893}"/>
    <cellStyle name="Normal 9 2 4 2 2 6" xfId="22977" xr:uid="{DEF86062-4F97-493E-ACA8-B100AB97A376}"/>
    <cellStyle name="Normal 9 2 4 2 2 7" xfId="9516" xr:uid="{1FEDB260-B9F8-4083-9D41-A9CF3254C61F}"/>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20496" xr:uid="{2C60A7B5-320F-4835-9139-8DC37B9D9168}"/>
    <cellStyle name="Normal 9 2 4 2 3 2 3" xfId="16285" xr:uid="{18EB1397-BE25-4F16-A27B-1D14B3B2E7FA}"/>
    <cellStyle name="Normal 9 2 4 2 3 2 4" xfId="25535" xr:uid="{78A1B328-9AA4-4D05-9042-861EBE0E2C3F}"/>
    <cellStyle name="Normal 9 2 4 2 3 2 5" xfId="12074" xr:uid="{3B7563FC-3B9B-4E3E-9487-22BE085AD3F9}"/>
    <cellStyle name="Normal 9 2 4 2 3 3" xfId="5718" xr:uid="{00000000-0005-0000-0000-0000641F0000}"/>
    <cellStyle name="Normal 9 2 4 2 3 3 2" xfId="18351" xr:uid="{1AF3B53C-20D6-4EE0-A43D-09B3FFD1120A}"/>
    <cellStyle name="Normal 9 2 4 2 3 4" xfId="14140" xr:uid="{E25A1917-4B1C-49B1-BFB0-E472EE2A6B6E}"/>
    <cellStyle name="Normal 9 2 4 2 3 5" xfId="23390" xr:uid="{4CC08F99-CEE6-41B4-8DE3-B7BB1C763C24}"/>
    <cellStyle name="Normal 9 2 4 2 3 6" xfId="9929" xr:uid="{2B92CDF7-D27B-4448-89D7-3A699DC60116}"/>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20909" xr:uid="{365F7F60-5282-4087-8FEA-289FFB5F205A}"/>
    <cellStyle name="Normal 9 2 4 2 4 2 3" xfId="16698" xr:uid="{E5CD451B-D80A-49FD-B5F0-B7A193C0C666}"/>
    <cellStyle name="Normal 9 2 4 2 4 2 4" xfId="25948" xr:uid="{3270C795-E262-43B6-9054-C4FCA76F3828}"/>
    <cellStyle name="Normal 9 2 4 2 4 2 5" xfId="12487" xr:uid="{042D3872-1640-4932-8FE1-CAE07801688E}"/>
    <cellStyle name="Normal 9 2 4 2 4 3" xfId="6131" xr:uid="{00000000-0005-0000-0000-0000681F0000}"/>
    <cellStyle name="Normal 9 2 4 2 4 3 2" xfId="18764" xr:uid="{14792B72-C4CF-4A94-85DE-36428A3C5A1C}"/>
    <cellStyle name="Normal 9 2 4 2 4 4" xfId="14553" xr:uid="{BBA788D2-8985-4884-ADF0-35DEDFE40656}"/>
    <cellStyle name="Normal 9 2 4 2 4 5" xfId="23803" xr:uid="{F7264DE5-48CC-43EE-BDC3-3DF51593FEFA}"/>
    <cellStyle name="Normal 9 2 4 2 4 6" xfId="10342" xr:uid="{66B754F1-C1D2-4EE2-9800-65795411957C}"/>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21322" xr:uid="{500B7C68-546F-4EEF-8158-8625D5C109EC}"/>
    <cellStyle name="Normal 9 2 4 2 5 2 3" xfId="17111" xr:uid="{F82469C6-1573-4671-9876-E477B6799B3E}"/>
    <cellStyle name="Normal 9 2 4 2 5 2 4" xfId="26361" xr:uid="{28C0A236-7A8F-4056-A0FF-C1E7A502904C}"/>
    <cellStyle name="Normal 9 2 4 2 5 2 5" xfId="12900" xr:uid="{B9249644-7174-4D41-A801-05CDA0C2FEA8}"/>
    <cellStyle name="Normal 9 2 4 2 5 3" xfId="6544" xr:uid="{00000000-0005-0000-0000-00006C1F0000}"/>
    <cellStyle name="Normal 9 2 4 2 5 3 2" xfId="19177" xr:uid="{876303B1-0E39-408C-95B4-6E4D46A0A637}"/>
    <cellStyle name="Normal 9 2 4 2 5 4" xfId="14966" xr:uid="{8640F9F2-B5BD-4147-881A-7141601B504D}"/>
    <cellStyle name="Normal 9 2 4 2 5 5" xfId="24216" xr:uid="{40E8BE5B-813F-4611-8299-6E1E72995C96}"/>
    <cellStyle name="Normal 9 2 4 2 5 6" xfId="10755" xr:uid="{0F7503D8-205E-45EC-B94D-C929AC43F42D}"/>
    <cellStyle name="Normal 9 2 4 2 6" xfId="2672" xr:uid="{00000000-0005-0000-0000-00006D1F0000}"/>
    <cellStyle name="Normal 9 2 4 2 6 2" xfId="6957" xr:uid="{00000000-0005-0000-0000-00006E1F0000}"/>
    <cellStyle name="Normal 9 2 4 2 6 2 2" xfId="19590" xr:uid="{97ED73A6-E700-4CB3-889A-1FA55396178A}"/>
    <cellStyle name="Normal 9 2 4 2 6 3" xfId="15379" xr:uid="{6E2AE92B-A422-4746-9B17-8A78B24ED6E2}"/>
    <cellStyle name="Normal 9 2 4 2 6 4" xfId="24629" xr:uid="{25388A08-981B-460C-B1B3-2688F183E29A}"/>
    <cellStyle name="Normal 9 2 4 2 6 5" xfId="11168" xr:uid="{6E18D0CE-943D-4C2F-AE58-FA505A65EE14}"/>
    <cellStyle name="Normal 9 2 4 2 7" xfId="4892" xr:uid="{00000000-0005-0000-0000-00006F1F0000}"/>
    <cellStyle name="Normal 9 2 4 2 7 2" xfId="17525" xr:uid="{86611805-7B9C-4B40-8521-2ECEDA88835E}"/>
    <cellStyle name="Normal 9 2 4 2 8" xfId="21735" xr:uid="{2FB0C09E-9C54-46C9-8DA1-E21A8511451E}"/>
    <cellStyle name="Normal 9 2 4 2 9" xfId="13314" xr:uid="{2F4AE6BB-4AEC-42E9-BBF0-F4591F22A3C3}"/>
    <cellStyle name="Normal 9 2 4 3" xfId="992" xr:uid="{00000000-0005-0000-0000-0000701F0000}"/>
    <cellStyle name="Normal 9 2 4 3 2" xfId="3225" xr:uid="{00000000-0005-0000-0000-0000711F0000}"/>
    <cellStyle name="Normal 9 2 4 3 2 2" xfId="7449" xr:uid="{00000000-0005-0000-0000-0000721F0000}"/>
    <cellStyle name="Normal 9 2 4 3 2 2 2" xfId="20082" xr:uid="{58714C8D-30C7-440D-9856-31F5A018BC90}"/>
    <cellStyle name="Normal 9 2 4 3 2 3" xfId="15871" xr:uid="{4A553EDD-6E2E-4D15-95CA-328189B1A1EA}"/>
    <cellStyle name="Normal 9 2 4 3 2 4" xfId="25121" xr:uid="{18DAD9A5-38FB-4CAA-9F44-E9DC5680E0A3}"/>
    <cellStyle name="Normal 9 2 4 3 2 5" xfId="11660" xr:uid="{4C7C4810-0760-4C7C-B21F-3DF6FFDC51BF}"/>
    <cellStyle name="Normal 9 2 4 3 3" xfId="5304" xr:uid="{00000000-0005-0000-0000-0000731F0000}"/>
    <cellStyle name="Normal 9 2 4 3 3 2" xfId="17937" xr:uid="{81395EE2-2EBC-4084-862C-483A547A2A11}"/>
    <cellStyle name="Normal 9 2 4 3 4" xfId="22149" xr:uid="{D86C7EFE-BFA8-47B3-8D02-C88B6BEE2CA5}"/>
    <cellStyle name="Normal 9 2 4 3 5" xfId="13726" xr:uid="{3A56BB48-3683-43F1-B610-826DABE54827}"/>
    <cellStyle name="Normal 9 2 4 3 6" xfId="22976" xr:uid="{CB2BAEE3-3E82-48E5-A9FA-BFA51933606C}"/>
    <cellStyle name="Normal 9 2 4 3 7" xfId="9515" xr:uid="{477078DB-ECF7-4B3B-820E-D29D5C4F3CD0}"/>
    <cellStyle name="Normal 9 2 4 4" xfId="1408" xr:uid="{00000000-0005-0000-0000-0000741F0000}"/>
    <cellStyle name="Normal 9 2 4 4 2" xfId="3638" xr:uid="{00000000-0005-0000-0000-0000751F0000}"/>
    <cellStyle name="Normal 9 2 4 4 2 2" xfId="7862" xr:uid="{00000000-0005-0000-0000-0000761F0000}"/>
    <cellStyle name="Normal 9 2 4 4 2 2 2" xfId="20495" xr:uid="{E1A97B66-A7DD-491B-B771-384003518959}"/>
    <cellStyle name="Normal 9 2 4 4 2 3" xfId="16284" xr:uid="{6145F72D-CEBC-4DA1-9952-9BDCC7C39A36}"/>
    <cellStyle name="Normal 9 2 4 4 2 4" xfId="25534" xr:uid="{85DA3A34-ECED-469B-8189-1C8D05999DC7}"/>
    <cellStyle name="Normal 9 2 4 4 2 5" xfId="12073" xr:uid="{51DA5B68-B724-4D68-ACB7-FD54B407F729}"/>
    <cellStyle name="Normal 9 2 4 4 3" xfId="5717" xr:uid="{00000000-0005-0000-0000-0000771F0000}"/>
    <cellStyle name="Normal 9 2 4 4 3 2" xfId="18350" xr:uid="{0563F7B7-8D9F-4619-97E4-EE94660C58D9}"/>
    <cellStyle name="Normal 9 2 4 4 4" xfId="14139" xr:uid="{DCF17989-6776-42B6-93C2-A303F08335DA}"/>
    <cellStyle name="Normal 9 2 4 4 5" xfId="23389" xr:uid="{BBBC36A7-9E31-47B7-86C4-E400A4F18478}"/>
    <cellStyle name="Normal 9 2 4 4 6" xfId="9928" xr:uid="{45C6AD92-6797-4464-80A4-7CF08C3F84F5}"/>
    <cellStyle name="Normal 9 2 4 5" xfId="1821" xr:uid="{00000000-0005-0000-0000-0000781F0000}"/>
    <cellStyle name="Normal 9 2 4 5 2" xfId="4051" xr:uid="{00000000-0005-0000-0000-0000791F0000}"/>
    <cellStyle name="Normal 9 2 4 5 2 2" xfId="8275" xr:uid="{00000000-0005-0000-0000-00007A1F0000}"/>
    <cellStyle name="Normal 9 2 4 5 2 2 2" xfId="20908" xr:uid="{7593D372-7A62-4BC3-BE17-4075231FAF41}"/>
    <cellStyle name="Normal 9 2 4 5 2 3" xfId="16697" xr:uid="{72F649AE-0EC2-4A2D-9B50-99DF0CB78704}"/>
    <cellStyle name="Normal 9 2 4 5 2 4" xfId="25947" xr:uid="{2C7BFD8A-6E08-4090-BD31-3C207A2196C2}"/>
    <cellStyle name="Normal 9 2 4 5 2 5" xfId="12486" xr:uid="{66A1CF96-39DE-45BC-8A11-4A6EB90E778C}"/>
    <cellStyle name="Normal 9 2 4 5 3" xfId="6130" xr:uid="{00000000-0005-0000-0000-00007B1F0000}"/>
    <cellStyle name="Normal 9 2 4 5 3 2" xfId="18763" xr:uid="{93DFE1B8-EAE0-4C74-AEE4-ECC3ED8125A5}"/>
    <cellStyle name="Normal 9 2 4 5 4" xfId="14552" xr:uid="{059D15BA-95F6-44C1-93BA-5B2A05213C28}"/>
    <cellStyle name="Normal 9 2 4 5 5" xfId="23802" xr:uid="{2FD856A6-E76A-4CA1-A560-D9B97D5D07C0}"/>
    <cellStyle name="Normal 9 2 4 5 6" xfId="10341" xr:uid="{F321DF3D-E76D-480C-9234-CE342EE58134}"/>
    <cellStyle name="Normal 9 2 4 6" xfId="2235" xr:uid="{00000000-0005-0000-0000-00007C1F0000}"/>
    <cellStyle name="Normal 9 2 4 6 2" xfId="4464" xr:uid="{00000000-0005-0000-0000-00007D1F0000}"/>
    <cellStyle name="Normal 9 2 4 6 2 2" xfId="8688" xr:uid="{00000000-0005-0000-0000-00007E1F0000}"/>
    <cellStyle name="Normal 9 2 4 6 2 2 2" xfId="21321" xr:uid="{BC15DF98-F378-4B11-B09A-66907BDCEFFA}"/>
    <cellStyle name="Normal 9 2 4 6 2 3" xfId="17110" xr:uid="{CD533CD1-CC97-4A7F-A8A5-A070760F632B}"/>
    <cellStyle name="Normal 9 2 4 6 2 4" xfId="26360" xr:uid="{9658D51F-4C99-448E-9093-360D9C17BB10}"/>
    <cellStyle name="Normal 9 2 4 6 2 5" xfId="12899" xr:uid="{B7B25898-D543-43BA-9AB4-B57CC2CF03D3}"/>
    <cellStyle name="Normal 9 2 4 6 3" xfId="6543" xr:uid="{00000000-0005-0000-0000-00007F1F0000}"/>
    <cellStyle name="Normal 9 2 4 6 3 2" xfId="19176" xr:uid="{6A60FDDF-2B6D-4A02-83B0-AA77D9F32D7C}"/>
    <cellStyle name="Normal 9 2 4 6 4" xfId="14965" xr:uid="{E3B3D3DE-730E-4931-BF37-95EF40B9ED15}"/>
    <cellStyle name="Normal 9 2 4 6 5" xfId="24215" xr:uid="{779AFC03-3AEE-43EE-8C2D-6A6CBC7F6959}"/>
    <cellStyle name="Normal 9 2 4 6 6" xfId="10754" xr:uid="{EA80FB35-E3FB-4830-8CDD-4AF32C410D01}"/>
    <cellStyle name="Normal 9 2 4 7" xfId="2671" xr:uid="{00000000-0005-0000-0000-0000801F0000}"/>
    <cellStyle name="Normal 9 2 4 7 2" xfId="6956" xr:uid="{00000000-0005-0000-0000-0000811F0000}"/>
    <cellStyle name="Normal 9 2 4 7 2 2" xfId="19589" xr:uid="{F562A51B-7A8A-4C1F-BA6C-61660F018B91}"/>
    <cellStyle name="Normal 9 2 4 7 3" xfId="15378" xr:uid="{94C790CE-E669-4FBA-BD88-59BF4DC0604B}"/>
    <cellStyle name="Normal 9 2 4 7 4" xfId="24628" xr:uid="{5338F608-2666-4812-8769-8E3AECE734B0}"/>
    <cellStyle name="Normal 9 2 4 7 5" xfId="11167" xr:uid="{0B8B1D54-C53F-4B68-95DF-3C4DC0C69DD6}"/>
    <cellStyle name="Normal 9 2 4 8" xfId="4891" xr:uid="{00000000-0005-0000-0000-0000821F0000}"/>
    <cellStyle name="Normal 9 2 4 8 2" xfId="17524" xr:uid="{27247F4F-2885-421D-99C5-A58EF53E9C06}"/>
    <cellStyle name="Normal 9 2 4 9" xfId="21734" xr:uid="{32E2B020-546F-4ED3-AE00-BD4A2DA267D4}"/>
    <cellStyle name="Normal 9 2 5" xfId="526" xr:uid="{00000000-0005-0000-0000-0000831F0000}"/>
    <cellStyle name="Normal 9 2 5 10" xfId="22565" xr:uid="{7BEE42D2-83CF-4644-ACAC-5A9570D2D39C}"/>
    <cellStyle name="Normal 9 2 5 11" xfId="9104" xr:uid="{54676A8D-E82B-4859-AB98-68A1264BAA1F}"/>
    <cellStyle name="Normal 9 2 5 2" xfId="994" xr:uid="{00000000-0005-0000-0000-0000841F0000}"/>
    <cellStyle name="Normal 9 2 5 2 2" xfId="3227" xr:uid="{00000000-0005-0000-0000-0000851F0000}"/>
    <cellStyle name="Normal 9 2 5 2 2 2" xfId="7451" xr:uid="{00000000-0005-0000-0000-0000861F0000}"/>
    <cellStyle name="Normal 9 2 5 2 2 2 2" xfId="20084" xr:uid="{74C0CCD5-6313-45CA-9234-A702D7D95ECC}"/>
    <cellStyle name="Normal 9 2 5 2 2 3" xfId="15873" xr:uid="{638A0166-258F-48D6-9BDA-88276DA2B2CF}"/>
    <cellStyle name="Normal 9 2 5 2 2 4" xfId="25123" xr:uid="{45F4D006-94FA-4923-BDC3-4C83B1CCB954}"/>
    <cellStyle name="Normal 9 2 5 2 2 5" xfId="11662" xr:uid="{ACBAF4B3-0D89-44F3-951A-A029DEA3D607}"/>
    <cellStyle name="Normal 9 2 5 2 3" xfId="5306" xr:uid="{00000000-0005-0000-0000-0000871F0000}"/>
    <cellStyle name="Normal 9 2 5 2 3 2" xfId="17939" xr:uid="{A95EC24E-CE79-4E62-81C7-4FFD8E8D06EF}"/>
    <cellStyle name="Normal 9 2 5 2 4" xfId="22151" xr:uid="{64DE059B-1847-4539-9A39-760074454183}"/>
    <cellStyle name="Normal 9 2 5 2 5" xfId="13728" xr:uid="{7B3076D6-5F66-4A10-8980-34CF84A9865C}"/>
    <cellStyle name="Normal 9 2 5 2 6" xfId="22978" xr:uid="{00340378-DD8F-4CF9-88EC-0CED5F60ABEF}"/>
    <cellStyle name="Normal 9 2 5 2 7" xfId="9517" xr:uid="{4F5B5986-FA55-4761-B974-5BD7632B92B0}"/>
    <cellStyle name="Normal 9 2 5 3" xfId="1410" xr:uid="{00000000-0005-0000-0000-0000881F0000}"/>
    <cellStyle name="Normal 9 2 5 3 2" xfId="3640" xr:uid="{00000000-0005-0000-0000-0000891F0000}"/>
    <cellStyle name="Normal 9 2 5 3 2 2" xfId="7864" xr:uid="{00000000-0005-0000-0000-00008A1F0000}"/>
    <cellStyle name="Normal 9 2 5 3 2 2 2" xfId="20497" xr:uid="{F9998A58-6FB0-4CE7-9824-A3D2AA4CE8D1}"/>
    <cellStyle name="Normal 9 2 5 3 2 3" xfId="16286" xr:uid="{49BB0C50-1F90-48DC-A93E-028CE911DCEA}"/>
    <cellStyle name="Normal 9 2 5 3 2 4" xfId="25536" xr:uid="{53EECD69-5734-4595-9B77-19032F1C08DE}"/>
    <cellStyle name="Normal 9 2 5 3 2 5" xfId="12075" xr:uid="{EA9D8D83-5F13-487D-9655-829302CEBD3B}"/>
    <cellStyle name="Normal 9 2 5 3 3" xfId="5719" xr:uid="{00000000-0005-0000-0000-00008B1F0000}"/>
    <cellStyle name="Normal 9 2 5 3 3 2" xfId="18352" xr:uid="{7495F15F-3007-4592-85AE-D2059E9C0E99}"/>
    <cellStyle name="Normal 9 2 5 3 4" xfId="14141" xr:uid="{521CAD0A-9107-4C2B-A83E-85747E7878B2}"/>
    <cellStyle name="Normal 9 2 5 3 5" xfId="23391" xr:uid="{EB3B4B9D-2AD9-4E56-8B9F-6DE8A2872E21}"/>
    <cellStyle name="Normal 9 2 5 3 6" xfId="9930" xr:uid="{AF5A9F6C-40FE-426F-BB6E-B2BE664D3446}"/>
    <cellStyle name="Normal 9 2 5 4" xfId="1823" xr:uid="{00000000-0005-0000-0000-00008C1F0000}"/>
    <cellStyle name="Normal 9 2 5 4 2" xfId="4053" xr:uid="{00000000-0005-0000-0000-00008D1F0000}"/>
    <cellStyle name="Normal 9 2 5 4 2 2" xfId="8277" xr:uid="{00000000-0005-0000-0000-00008E1F0000}"/>
    <cellStyle name="Normal 9 2 5 4 2 2 2" xfId="20910" xr:uid="{B9F1F777-968D-4877-B5E3-BF1B0E2AB17A}"/>
    <cellStyle name="Normal 9 2 5 4 2 3" xfId="16699" xr:uid="{AF9A7A6B-35F9-461C-A9C3-03F6CD785BF9}"/>
    <cellStyle name="Normal 9 2 5 4 2 4" xfId="25949" xr:uid="{034BCFD8-4160-4BBC-8114-836B5BC55059}"/>
    <cellStyle name="Normal 9 2 5 4 2 5" xfId="12488" xr:uid="{CD0C71AA-1937-43FC-8C8B-BD8765131D24}"/>
    <cellStyle name="Normal 9 2 5 4 3" xfId="6132" xr:uid="{00000000-0005-0000-0000-00008F1F0000}"/>
    <cellStyle name="Normal 9 2 5 4 3 2" xfId="18765" xr:uid="{0D39AE09-13A4-4F9D-B388-06DD1E4DE707}"/>
    <cellStyle name="Normal 9 2 5 4 4" xfId="14554" xr:uid="{918CB071-5D2A-4A7F-AA6A-2EEFBEF62A5F}"/>
    <cellStyle name="Normal 9 2 5 4 5" xfId="23804" xr:uid="{A15FF1A4-551E-4333-A4B6-8C8DEFD03F7A}"/>
    <cellStyle name="Normal 9 2 5 4 6" xfId="10343" xr:uid="{1D44212A-75E1-4654-BCD2-BCCFF487FB91}"/>
    <cellStyle name="Normal 9 2 5 5" xfId="2237" xr:uid="{00000000-0005-0000-0000-0000901F0000}"/>
    <cellStyle name="Normal 9 2 5 5 2" xfId="4466" xr:uid="{00000000-0005-0000-0000-0000911F0000}"/>
    <cellStyle name="Normal 9 2 5 5 2 2" xfId="8690" xr:uid="{00000000-0005-0000-0000-0000921F0000}"/>
    <cellStyle name="Normal 9 2 5 5 2 2 2" xfId="21323" xr:uid="{C9578E1F-AD08-44D6-BE4E-2B20B07445A1}"/>
    <cellStyle name="Normal 9 2 5 5 2 3" xfId="17112" xr:uid="{291CD026-F9ED-4B31-A4D5-9CFCC83D411E}"/>
    <cellStyle name="Normal 9 2 5 5 2 4" xfId="26362" xr:uid="{15DE27CC-DF58-4760-ADC1-FB4DAFFFA089}"/>
    <cellStyle name="Normal 9 2 5 5 2 5" xfId="12901" xr:uid="{21CD68D5-076E-47CF-BD91-26766C30D758}"/>
    <cellStyle name="Normal 9 2 5 5 3" xfId="6545" xr:uid="{00000000-0005-0000-0000-0000931F0000}"/>
    <cellStyle name="Normal 9 2 5 5 3 2" xfId="19178" xr:uid="{4E8CE7EA-2C62-4BD5-ADA5-9E9607523B91}"/>
    <cellStyle name="Normal 9 2 5 5 4" xfId="14967" xr:uid="{907FA163-69C5-4887-897E-965D5DBC79D7}"/>
    <cellStyle name="Normal 9 2 5 5 5" xfId="24217" xr:uid="{EA0F2399-DE48-4916-AA8A-DE30A168AF6C}"/>
    <cellStyle name="Normal 9 2 5 5 6" xfId="10756" xr:uid="{266D0D70-3D15-44CB-96EB-D3BD8C9A462C}"/>
    <cellStyle name="Normal 9 2 5 6" xfId="2673" xr:uid="{00000000-0005-0000-0000-0000941F0000}"/>
    <cellStyle name="Normal 9 2 5 6 2" xfId="6958" xr:uid="{00000000-0005-0000-0000-0000951F0000}"/>
    <cellStyle name="Normal 9 2 5 6 2 2" xfId="19591" xr:uid="{25BA9203-6E7F-4C77-8968-72EEB9398F38}"/>
    <cellStyle name="Normal 9 2 5 6 3" xfId="15380" xr:uid="{9BBBB86A-8CF2-4D18-A4BB-871154DBD1E0}"/>
    <cellStyle name="Normal 9 2 5 6 4" xfId="24630" xr:uid="{0CA22A0C-3C7A-479C-A4AF-2DC6B841D084}"/>
    <cellStyle name="Normal 9 2 5 6 5" xfId="11169" xr:uid="{90D3CEAE-677E-4960-92F3-167522544A6E}"/>
    <cellStyle name="Normal 9 2 5 7" xfId="4893" xr:uid="{00000000-0005-0000-0000-0000961F0000}"/>
    <cellStyle name="Normal 9 2 5 7 2" xfId="17526" xr:uid="{2A5FC632-127D-4181-8D7F-A619FE359087}"/>
    <cellStyle name="Normal 9 2 5 8" xfId="21736" xr:uid="{2174780B-B21D-44C0-8144-445B77A506C0}"/>
    <cellStyle name="Normal 9 2 5 9" xfId="13315" xr:uid="{0ED4D691-55A4-413E-A834-284EF1062D11}"/>
    <cellStyle name="Normal 9 2 6" xfId="979" xr:uid="{00000000-0005-0000-0000-0000971F0000}"/>
    <cellStyle name="Normal 9 2 6 2" xfId="3212" xr:uid="{00000000-0005-0000-0000-0000981F0000}"/>
    <cellStyle name="Normal 9 2 6 2 2" xfId="7436" xr:uid="{00000000-0005-0000-0000-0000991F0000}"/>
    <cellStyle name="Normal 9 2 6 2 2 2" xfId="20069" xr:uid="{5ABA1D23-2C17-4A44-9B57-E64DBF857470}"/>
    <cellStyle name="Normal 9 2 6 2 3" xfId="15858" xr:uid="{E7AE3946-AC56-4592-9924-E9398F1FE1E9}"/>
    <cellStyle name="Normal 9 2 6 2 4" xfId="25108" xr:uid="{04337942-6DDF-4A38-83F8-2BAEE8FA85BE}"/>
    <cellStyle name="Normal 9 2 6 2 5" xfId="11647" xr:uid="{52DA1BF3-7E82-48D0-BEEE-8C2221BF0D28}"/>
    <cellStyle name="Normal 9 2 6 3" xfId="5291" xr:uid="{00000000-0005-0000-0000-00009A1F0000}"/>
    <cellStyle name="Normal 9 2 6 3 2" xfId="17924" xr:uid="{6E5863E5-B9FD-4A63-8445-8352504BB8A0}"/>
    <cellStyle name="Normal 9 2 6 4" xfId="22136" xr:uid="{51FA9578-3B30-40EA-945E-B2F479662A0B}"/>
    <cellStyle name="Normal 9 2 6 5" xfId="13713" xr:uid="{4C60634E-8FF5-41FC-8A15-7BA638626814}"/>
    <cellStyle name="Normal 9 2 6 6" xfId="22963" xr:uid="{D2BD0E89-09BA-4EC4-82F6-67259030260E}"/>
    <cellStyle name="Normal 9 2 6 7" xfId="9502" xr:uid="{46CE37E9-55A7-4D68-B238-792B12ECAA4F}"/>
    <cellStyle name="Normal 9 2 7" xfId="1395" xr:uid="{00000000-0005-0000-0000-00009B1F0000}"/>
    <cellStyle name="Normal 9 2 7 2" xfId="3625" xr:uid="{00000000-0005-0000-0000-00009C1F0000}"/>
    <cellStyle name="Normal 9 2 7 2 2" xfId="7849" xr:uid="{00000000-0005-0000-0000-00009D1F0000}"/>
    <cellStyle name="Normal 9 2 7 2 2 2" xfId="20482" xr:uid="{499CF22C-05B3-4341-839A-AB3BFA206EE8}"/>
    <cellStyle name="Normal 9 2 7 2 3" xfId="16271" xr:uid="{CE9F096C-48BE-4DEE-8E10-D86DB0421A23}"/>
    <cellStyle name="Normal 9 2 7 2 4" xfId="25521" xr:uid="{A765A00C-A8DB-441B-981D-C59012C52284}"/>
    <cellStyle name="Normal 9 2 7 2 5" xfId="12060" xr:uid="{38B264D6-B0D3-4EDC-8796-0CB34D92ACE5}"/>
    <cellStyle name="Normal 9 2 7 3" xfId="5704" xr:uid="{00000000-0005-0000-0000-00009E1F0000}"/>
    <cellStyle name="Normal 9 2 7 3 2" xfId="18337" xr:uid="{48501F7D-191A-4F37-B5A9-870968A7DF08}"/>
    <cellStyle name="Normal 9 2 7 4" xfId="14126" xr:uid="{2A5AE3B9-0B5B-4AD6-89F8-C44AEE64AE41}"/>
    <cellStyle name="Normal 9 2 7 5" xfId="23376" xr:uid="{30802651-D7D4-447B-921E-B04339370D69}"/>
    <cellStyle name="Normal 9 2 7 6" xfId="9915" xr:uid="{12BF6BDB-5723-41F8-A923-FE7EFA32A873}"/>
    <cellStyle name="Normal 9 2 8" xfId="1808" xr:uid="{00000000-0005-0000-0000-00009F1F0000}"/>
    <cellStyle name="Normal 9 2 8 2" xfId="4038" xr:uid="{00000000-0005-0000-0000-0000A01F0000}"/>
    <cellStyle name="Normal 9 2 8 2 2" xfId="8262" xr:uid="{00000000-0005-0000-0000-0000A11F0000}"/>
    <cellStyle name="Normal 9 2 8 2 2 2" xfId="20895" xr:uid="{3259F0EE-0FD4-4F18-B663-C5F9A4EF5410}"/>
    <cellStyle name="Normal 9 2 8 2 3" xfId="16684" xr:uid="{77B5A373-A1F9-4E75-874E-AB1B37AB76C5}"/>
    <cellStyle name="Normal 9 2 8 2 4" xfId="25934" xr:uid="{098205E3-A710-49FA-83C6-5197FCBAF4E6}"/>
    <cellStyle name="Normal 9 2 8 2 5" xfId="12473" xr:uid="{2C8FB4B6-B1AC-4CE8-9C28-3E831DBFBE38}"/>
    <cellStyle name="Normal 9 2 8 3" xfId="6117" xr:uid="{00000000-0005-0000-0000-0000A21F0000}"/>
    <cellStyle name="Normal 9 2 8 3 2" xfId="18750" xr:uid="{3DB99A12-4ECF-485C-94CF-236ADEC4C71B}"/>
    <cellStyle name="Normal 9 2 8 4" xfId="14539" xr:uid="{4670E1EE-14EE-4B3C-8BC3-213E805AADB1}"/>
    <cellStyle name="Normal 9 2 8 5" xfId="23789" xr:uid="{69008659-9218-44C4-8FA0-FFF0F01BD757}"/>
    <cellStyle name="Normal 9 2 8 6" xfId="10328" xr:uid="{4221A6CE-CBA7-4747-9634-130415A44246}"/>
    <cellStyle name="Normal 9 2 9" xfId="2222" xr:uid="{00000000-0005-0000-0000-0000A31F0000}"/>
    <cellStyle name="Normal 9 2 9 2" xfId="4451" xr:uid="{00000000-0005-0000-0000-0000A41F0000}"/>
    <cellStyle name="Normal 9 2 9 2 2" xfId="8675" xr:uid="{00000000-0005-0000-0000-0000A51F0000}"/>
    <cellStyle name="Normal 9 2 9 2 2 2" xfId="21308" xr:uid="{1765A278-03ED-4AA5-B35F-2C3F7FCCC4D4}"/>
    <cellStyle name="Normal 9 2 9 2 3" xfId="17097" xr:uid="{16EF4549-EB72-4CCC-9968-7DCC4B7C810E}"/>
    <cellStyle name="Normal 9 2 9 2 4" xfId="26347" xr:uid="{5F57C375-32B0-433B-88A0-CC2C8E4D53B3}"/>
    <cellStyle name="Normal 9 2 9 2 5" xfId="12886" xr:uid="{346D7DDE-5A8C-4558-82A9-47071220A8A1}"/>
    <cellStyle name="Normal 9 2 9 3" xfId="6530" xr:uid="{00000000-0005-0000-0000-0000A61F0000}"/>
    <cellStyle name="Normal 9 2 9 3 2" xfId="19163" xr:uid="{4ECE10AE-02FF-433A-A552-7369F3B98BE0}"/>
    <cellStyle name="Normal 9 2 9 4" xfId="14952" xr:uid="{336221BC-A08B-4224-9203-363E5AED6B3A}"/>
    <cellStyle name="Normal 9 2 9 5" xfId="24202" xr:uid="{3E297383-3AA2-406E-80F6-C293598E6E38}"/>
    <cellStyle name="Normal 9 2 9 6" xfId="10741" xr:uid="{4991FA6A-288F-41EC-8E49-998CA0006745}"/>
    <cellStyle name="Normal 9 3" xfId="527" xr:uid="{00000000-0005-0000-0000-0000A71F0000}"/>
    <cellStyle name="Normal 9 3 10" xfId="4894" xr:uid="{00000000-0005-0000-0000-0000A81F0000}"/>
    <cellStyle name="Normal 9 3 10 2" xfId="17527" xr:uid="{094C698E-4FA9-46D8-9E24-1FEDCB42C4F7}"/>
    <cellStyle name="Normal 9 3 11" xfId="21737" xr:uid="{6F5D1A69-4770-46C7-96EA-147784026265}"/>
    <cellStyle name="Normal 9 3 12" xfId="13316" xr:uid="{7A252F61-A9F1-42EC-9EC5-271998B75248}"/>
    <cellStyle name="Normal 9 3 13" xfId="22566" xr:uid="{00F0FBF0-81E8-4731-9030-6C8D3F2E6E37}"/>
    <cellStyle name="Normal 9 3 14" xfId="9105" xr:uid="{E7D98C05-35A0-4A9F-BA1C-C8E08BED2A41}"/>
    <cellStyle name="Normal 9 3 2" xfId="528" xr:uid="{00000000-0005-0000-0000-0000A91F0000}"/>
    <cellStyle name="Normal 9 3 2 10" xfId="21738" xr:uid="{39746E07-ACEA-4796-9A35-78A2C7E67142}"/>
    <cellStyle name="Normal 9 3 2 11" xfId="13317" xr:uid="{A9140EC9-9F92-4336-9F5A-7872FE6CCECF}"/>
    <cellStyle name="Normal 9 3 2 12" xfId="22567" xr:uid="{C3BE4093-FACA-4BB7-A54C-D5107DFF62EE}"/>
    <cellStyle name="Normal 9 3 2 13" xfId="9106" xr:uid="{A524F639-6187-4B99-BC9A-A1E4C929B396}"/>
    <cellStyle name="Normal 9 3 2 2" xfId="529" xr:uid="{00000000-0005-0000-0000-0000AA1F0000}"/>
    <cellStyle name="Normal 9 3 2 2 10" xfId="13318" xr:uid="{8FBC0230-1553-417C-8174-08B3A0A1A636}"/>
    <cellStyle name="Normal 9 3 2 2 11" xfId="22568" xr:uid="{59BF0232-F1BF-4442-A366-999F4BD7F511}"/>
    <cellStyle name="Normal 9 3 2 2 12" xfId="9107" xr:uid="{1ECA4727-FD15-4610-95B5-96E9D2E50877}"/>
    <cellStyle name="Normal 9 3 2 2 2" xfId="530" xr:uid="{00000000-0005-0000-0000-0000AB1F0000}"/>
    <cellStyle name="Normal 9 3 2 2 2 10" xfId="22569" xr:uid="{3AC41F17-7498-4EEA-9CD6-BD918B0404B5}"/>
    <cellStyle name="Normal 9 3 2 2 2 11" xfId="9108" xr:uid="{DCC6E4C8-9028-45F2-BDB1-D271C4FF734D}"/>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20088" xr:uid="{1F8A459C-72EE-4605-800F-26DDC7939583}"/>
    <cellStyle name="Normal 9 3 2 2 2 2 2 3" xfId="15877" xr:uid="{5CD62563-1713-41D9-927D-0B74DFF0ECAA}"/>
    <cellStyle name="Normal 9 3 2 2 2 2 2 4" xfId="25127" xr:uid="{A4D794B2-BF7A-47EE-BB7B-ACE00903B985}"/>
    <cellStyle name="Normal 9 3 2 2 2 2 2 5" xfId="11666" xr:uid="{519D6BD9-DA5A-4E36-B9CC-1000778AC8A6}"/>
    <cellStyle name="Normal 9 3 2 2 2 2 3" xfId="5310" xr:uid="{00000000-0005-0000-0000-0000AF1F0000}"/>
    <cellStyle name="Normal 9 3 2 2 2 2 3 2" xfId="17943" xr:uid="{8FEBF7D8-08D1-4FAA-B628-7ED6A43B6087}"/>
    <cellStyle name="Normal 9 3 2 2 2 2 4" xfId="22155" xr:uid="{4D77ACFF-2DBE-4C14-A783-83579516BC76}"/>
    <cellStyle name="Normal 9 3 2 2 2 2 5" xfId="13732" xr:uid="{EE911EB8-5D28-46CC-B132-0036CED2AB82}"/>
    <cellStyle name="Normal 9 3 2 2 2 2 6" xfId="22982" xr:uid="{E4AA4B90-E8A4-40C9-9711-02B17E4CBB41}"/>
    <cellStyle name="Normal 9 3 2 2 2 2 7" xfId="9521" xr:uid="{599C9665-6787-49D9-B4D1-509A8FA22F97}"/>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20501" xr:uid="{983ECF6D-DA5E-4507-ACA0-14C5A2223E44}"/>
    <cellStyle name="Normal 9 3 2 2 2 3 2 3" xfId="16290" xr:uid="{C93D4C1C-F2CC-4EEF-83B8-1DCF7EE04E56}"/>
    <cellStyle name="Normal 9 3 2 2 2 3 2 4" xfId="25540" xr:uid="{0B16EE5A-4D02-4EA6-8DE4-99137EACFEDE}"/>
    <cellStyle name="Normal 9 3 2 2 2 3 2 5" xfId="12079" xr:uid="{E04F0D78-A2F1-4177-9C68-3107DD3335FB}"/>
    <cellStyle name="Normal 9 3 2 2 2 3 3" xfId="5723" xr:uid="{00000000-0005-0000-0000-0000B31F0000}"/>
    <cellStyle name="Normal 9 3 2 2 2 3 3 2" xfId="18356" xr:uid="{3846817D-875A-45D0-93A8-61194E6347B4}"/>
    <cellStyle name="Normal 9 3 2 2 2 3 4" xfId="14145" xr:uid="{93278347-3243-4379-8EB5-A83873D357D1}"/>
    <cellStyle name="Normal 9 3 2 2 2 3 5" xfId="23395" xr:uid="{0E4208D9-50CF-46E1-B528-CE72AC987C62}"/>
    <cellStyle name="Normal 9 3 2 2 2 3 6" xfId="9934" xr:uid="{7E0DC5CE-4A35-44B2-977D-F0DFABEFB3B1}"/>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20914" xr:uid="{F401B767-C81B-439B-A5F4-7D390661C7E7}"/>
    <cellStyle name="Normal 9 3 2 2 2 4 2 3" xfId="16703" xr:uid="{C7D6BC07-9C6C-4ECD-9DE3-F9E3B52276E0}"/>
    <cellStyle name="Normal 9 3 2 2 2 4 2 4" xfId="25953" xr:uid="{FEE75DFD-BF2C-4DE1-AC12-9B8E747A5F33}"/>
    <cellStyle name="Normal 9 3 2 2 2 4 2 5" xfId="12492" xr:uid="{ED9244A9-4D88-4F27-96F3-800FF6CD0B97}"/>
    <cellStyle name="Normal 9 3 2 2 2 4 3" xfId="6136" xr:uid="{00000000-0005-0000-0000-0000B71F0000}"/>
    <cellStyle name="Normal 9 3 2 2 2 4 3 2" xfId="18769" xr:uid="{F3A2BA2A-8A30-4D2A-9DC9-B55B421DB7FA}"/>
    <cellStyle name="Normal 9 3 2 2 2 4 4" xfId="14558" xr:uid="{DD7702A5-4DD1-44EE-B55A-26BE4AE0629C}"/>
    <cellStyle name="Normal 9 3 2 2 2 4 5" xfId="23808" xr:uid="{A6003FB2-A92B-4133-9AF9-3512F66509D1}"/>
    <cellStyle name="Normal 9 3 2 2 2 4 6" xfId="10347" xr:uid="{9E521631-255B-4316-8046-E0BAF83BB4AB}"/>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21327" xr:uid="{5936448F-CCCC-4D95-B4E3-91FF74FB552A}"/>
    <cellStyle name="Normal 9 3 2 2 2 5 2 3" xfId="17116" xr:uid="{481D2080-9D7F-4990-9934-073B8C4C743C}"/>
    <cellStyle name="Normal 9 3 2 2 2 5 2 4" xfId="26366" xr:uid="{F0873BD9-C579-4433-9177-F3DFBBD23D25}"/>
    <cellStyle name="Normal 9 3 2 2 2 5 2 5" xfId="12905" xr:uid="{63E1561B-4881-4E37-B339-930C8EFA9C57}"/>
    <cellStyle name="Normal 9 3 2 2 2 5 3" xfId="6549" xr:uid="{00000000-0005-0000-0000-0000BB1F0000}"/>
    <cellStyle name="Normal 9 3 2 2 2 5 3 2" xfId="19182" xr:uid="{9846ABAA-8036-40C4-B687-E08B68259922}"/>
    <cellStyle name="Normal 9 3 2 2 2 5 4" xfId="14971" xr:uid="{95975E98-CEFF-4402-A02D-F0B3F06B60EF}"/>
    <cellStyle name="Normal 9 3 2 2 2 5 5" xfId="24221" xr:uid="{DB65AAEE-AEE1-4CBC-B83A-A9CED02ADE73}"/>
    <cellStyle name="Normal 9 3 2 2 2 5 6" xfId="10760" xr:uid="{9B3BA87F-F03A-4F1B-AF6C-4B16425436A8}"/>
    <cellStyle name="Normal 9 3 2 2 2 6" xfId="2677" xr:uid="{00000000-0005-0000-0000-0000BC1F0000}"/>
    <cellStyle name="Normal 9 3 2 2 2 6 2" xfId="6962" xr:uid="{00000000-0005-0000-0000-0000BD1F0000}"/>
    <cellStyle name="Normal 9 3 2 2 2 6 2 2" xfId="19595" xr:uid="{ABD89DB8-EFA2-4901-B1A8-3A6A1373691F}"/>
    <cellStyle name="Normal 9 3 2 2 2 6 3" xfId="15384" xr:uid="{9BE1084A-BF6B-4A75-9390-D3D450CCDE16}"/>
    <cellStyle name="Normal 9 3 2 2 2 6 4" xfId="24634" xr:uid="{FD317183-47B0-424D-9C5F-E4C4EC282400}"/>
    <cellStyle name="Normal 9 3 2 2 2 6 5" xfId="11173" xr:uid="{B89AC18B-D813-41A2-9121-FAB865616382}"/>
    <cellStyle name="Normal 9 3 2 2 2 7" xfId="4897" xr:uid="{00000000-0005-0000-0000-0000BE1F0000}"/>
    <cellStyle name="Normal 9 3 2 2 2 7 2" xfId="17530" xr:uid="{FD00A880-3770-4AC4-8DF9-B756D4F72317}"/>
    <cellStyle name="Normal 9 3 2 2 2 8" xfId="21740" xr:uid="{150FEA35-19B4-4426-8124-79EBF8E1BA29}"/>
    <cellStyle name="Normal 9 3 2 2 2 9" xfId="13319" xr:uid="{C5F08F85-52FB-492B-A7D4-11B47BA67B30}"/>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20087" xr:uid="{980CEE0A-A5D7-46FA-BD12-554467CAA8B2}"/>
    <cellStyle name="Normal 9 3 2 2 3 2 3" xfId="15876" xr:uid="{0F31EBED-C336-4465-B862-6A2D368189A5}"/>
    <cellStyle name="Normal 9 3 2 2 3 2 4" xfId="25126" xr:uid="{A9320A9D-4232-48DB-8327-21A0B2A1C89C}"/>
    <cellStyle name="Normal 9 3 2 2 3 2 5" xfId="11665" xr:uid="{87EDF432-F96C-4F93-AA09-9992FEA83F15}"/>
    <cellStyle name="Normal 9 3 2 2 3 3" xfId="5309" xr:uid="{00000000-0005-0000-0000-0000C21F0000}"/>
    <cellStyle name="Normal 9 3 2 2 3 3 2" xfId="17942" xr:uid="{4DE03112-0D2D-4401-8F39-E0B6729C2E40}"/>
    <cellStyle name="Normal 9 3 2 2 3 4" xfId="22154" xr:uid="{0F4396DE-BDCE-4A72-B096-1146DB6CD44B}"/>
    <cellStyle name="Normal 9 3 2 2 3 5" xfId="13731" xr:uid="{E94022A6-ED9F-45E3-9094-F616A9B8175C}"/>
    <cellStyle name="Normal 9 3 2 2 3 6" xfId="22981" xr:uid="{89F531CD-3F4E-4E94-8ED1-7F6F44D98704}"/>
    <cellStyle name="Normal 9 3 2 2 3 7" xfId="9520" xr:uid="{27E3DD56-9CAA-40D6-8D2E-84F85F7B997A}"/>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20500" xr:uid="{C1D4F1B2-BAF4-4B45-B332-22AF3BAEDD04}"/>
    <cellStyle name="Normal 9 3 2 2 4 2 3" xfId="16289" xr:uid="{3A4DE442-BAD0-4B99-AC84-4B3856315642}"/>
    <cellStyle name="Normal 9 3 2 2 4 2 4" xfId="25539" xr:uid="{7769F37F-FD24-4908-B9DB-88E8A9DB6067}"/>
    <cellStyle name="Normal 9 3 2 2 4 2 5" xfId="12078" xr:uid="{49E2CE89-883F-4282-BEB8-1CDAE7BB2CC7}"/>
    <cellStyle name="Normal 9 3 2 2 4 3" xfId="5722" xr:uid="{00000000-0005-0000-0000-0000C61F0000}"/>
    <cellStyle name="Normal 9 3 2 2 4 3 2" xfId="18355" xr:uid="{A1150EF2-112F-4B68-B380-46D6FEDB5F88}"/>
    <cellStyle name="Normal 9 3 2 2 4 4" xfId="14144" xr:uid="{3DD0A483-F8F9-4F4C-B6CA-41FF2C9D7169}"/>
    <cellStyle name="Normal 9 3 2 2 4 5" xfId="23394" xr:uid="{6223E711-FA3D-421E-AB69-2C8EB373FD0B}"/>
    <cellStyle name="Normal 9 3 2 2 4 6" xfId="9933" xr:uid="{00CE29A3-2E0A-4757-A985-23C3048DF002}"/>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20913" xr:uid="{A7CBFAB0-F084-478D-8934-D36D088A4435}"/>
    <cellStyle name="Normal 9 3 2 2 5 2 3" xfId="16702" xr:uid="{FBACFEDF-9E40-47C7-A51F-E37E684573FE}"/>
    <cellStyle name="Normal 9 3 2 2 5 2 4" xfId="25952" xr:uid="{1DB4EF37-287B-4DB0-A8B8-46D183EADEA4}"/>
    <cellStyle name="Normal 9 3 2 2 5 2 5" xfId="12491" xr:uid="{81E9B18E-143E-4F91-BFDC-3CD78AFBFF29}"/>
    <cellStyle name="Normal 9 3 2 2 5 3" xfId="6135" xr:uid="{00000000-0005-0000-0000-0000CA1F0000}"/>
    <cellStyle name="Normal 9 3 2 2 5 3 2" xfId="18768" xr:uid="{75C33AEE-D892-4D7A-8553-0A8444EE3640}"/>
    <cellStyle name="Normal 9 3 2 2 5 4" xfId="14557" xr:uid="{5C36F48B-0705-4287-B65D-753310F1E660}"/>
    <cellStyle name="Normal 9 3 2 2 5 5" xfId="23807" xr:uid="{F161225A-8277-46ED-9D35-533D2CF635EF}"/>
    <cellStyle name="Normal 9 3 2 2 5 6" xfId="10346" xr:uid="{396B1B51-B481-4E62-A844-B8029453FAA7}"/>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21326" xr:uid="{97BCB39A-7749-4098-832C-82C43E1C4BBD}"/>
    <cellStyle name="Normal 9 3 2 2 6 2 3" xfId="17115" xr:uid="{CA72B122-017A-4FAC-9DA8-A79394B6562A}"/>
    <cellStyle name="Normal 9 3 2 2 6 2 4" xfId="26365" xr:uid="{FBE62E17-7C43-46A1-86EF-12B4F0F3D5BA}"/>
    <cellStyle name="Normal 9 3 2 2 6 2 5" xfId="12904" xr:uid="{C89B1F09-36C2-4A32-B205-2629E6DA9E12}"/>
    <cellStyle name="Normal 9 3 2 2 6 3" xfId="6548" xr:uid="{00000000-0005-0000-0000-0000CE1F0000}"/>
    <cellStyle name="Normal 9 3 2 2 6 3 2" xfId="19181" xr:uid="{A7DEDC6D-43ED-4A1C-984B-AF9DD26E6335}"/>
    <cellStyle name="Normal 9 3 2 2 6 4" xfId="14970" xr:uid="{2855DE4C-7D94-4628-8D32-48F75453D663}"/>
    <cellStyle name="Normal 9 3 2 2 6 5" xfId="24220" xr:uid="{F3EC386E-E463-4893-AE8A-288F1DC15DDB}"/>
    <cellStyle name="Normal 9 3 2 2 6 6" xfId="10759" xr:uid="{14FECFE8-F4A4-4C8F-BFB0-4CFE74BD2EC6}"/>
    <cellStyle name="Normal 9 3 2 2 7" xfId="2676" xr:uid="{00000000-0005-0000-0000-0000CF1F0000}"/>
    <cellStyle name="Normal 9 3 2 2 7 2" xfId="6961" xr:uid="{00000000-0005-0000-0000-0000D01F0000}"/>
    <cellStyle name="Normal 9 3 2 2 7 2 2" xfId="19594" xr:uid="{6104CB9D-9283-463A-9328-6859EB59BEF6}"/>
    <cellStyle name="Normal 9 3 2 2 7 3" xfId="15383" xr:uid="{4C7889DA-1684-48EE-8690-C04459F8C426}"/>
    <cellStyle name="Normal 9 3 2 2 7 4" xfId="24633" xr:uid="{22DC9AC2-29CA-4517-B340-EC41864F16A7}"/>
    <cellStyle name="Normal 9 3 2 2 7 5" xfId="11172" xr:uid="{CA51409A-A7FF-44DA-9E75-2CECADF5E5E6}"/>
    <cellStyle name="Normal 9 3 2 2 8" xfId="4896" xr:uid="{00000000-0005-0000-0000-0000D11F0000}"/>
    <cellStyle name="Normal 9 3 2 2 8 2" xfId="17529" xr:uid="{7194BEEC-F128-439C-8301-B43261EDD144}"/>
    <cellStyle name="Normal 9 3 2 2 9" xfId="21739" xr:uid="{E4A8DF51-F9E0-45F9-AA36-018CAE467578}"/>
    <cellStyle name="Normal 9 3 2 3" xfId="531" xr:uid="{00000000-0005-0000-0000-0000D21F0000}"/>
    <cellStyle name="Normal 9 3 2 3 10" xfId="22570" xr:uid="{BDDA09AC-4A2F-4601-90FE-AA735860A1E8}"/>
    <cellStyle name="Normal 9 3 2 3 11" xfId="9109" xr:uid="{C81AFAFA-25D4-4FBA-93AD-90F15C2ADF1C}"/>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20089" xr:uid="{5634D395-B1EA-4A33-B001-80634484B05E}"/>
    <cellStyle name="Normal 9 3 2 3 2 2 3" xfId="15878" xr:uid="{8A1ED71F-7C6B-4798-AF49-48E45BC6BA3D}"/>
    <cellStyle name="Normal 9 3 2 3 2 2 4" xfId="25128" xr:uid="{A25C3296-9938-4B34-8E6F-865B4DD0DA7A}"/>
    <cellStyle name="Normal 9 3 2 3 2 2 5" xfId="11667" xr:uid="{43C0F934-70CC-421F-9C72-74D27F443AD9}"/>
    <cellStyle name="Normal 9 3 2 3 2 3" xfId="5311" xr:uid="{00000000-0005-0000-0000-0000D61F0000}"/>
    <cellStyle name="Normal 9 3 2 3 2 3 2" xfId="17944" xr:uid="{043BEA38-B0E9-44B2-847A-910D597C410E}"/>
    <cellStyle name="Normal 9 3 2 3 2 4" xfId="22156" xr:uid="{9844E122-0580-4B67-8422-EA266C499412}"/>
    <cellStyle name="Normal 9 3 2 3 2 5" xfId="13733" xr:uid="{74CDDCC2-038F-4A93-BAFF-5527A1B1C0C1}"/>
    <cellStyle name="Normal 9 3 2 3 2 6" xfId="22983" xr:uid="{C908C9C2-4118-4F8C-9B49-984270A8E9DC}"/>
    <cellStyle name="Normal 9 3 2 3 2 7" xfId="9522" xr:uid="{34284A09-F443-4B0B-BE05-BB315E38B81E}"/>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20502" xr:uid="{9A92FAF7-D310-4757-9E47-C92F093E3948}"/>
    <cellStyle name="Normal 9 3 2 3 3 2 3" xfId="16291" xr:uid="{9618123B-8527-4148-8274-378862A72B6A}"/>
    <cellStyle name="Normal 9 3 2 3 3 2 4" xfId="25541" xr:uid="{215F2E71-57C2-4647-9596-231DF0D00ED4}"/>
    <cellStyle name="Normal 9 3 2 3 3 2 5" xfId="12080" xr:uid="{D2B46FCF-599A-4BC0-8860-399A27B708BA}"/>
    <cellStyle name="Normal 9 3 2 3 3 3" xfId="5724" xr:uid="{00000000-0005-0000-0000-0000DA1F0000}"/>
    <cellStyle name="Normal 9 3 2 3 3 3 2" xfId="18357" xr:uid="{ED06CB96-D340-4704-BD47-DB25EBEED080}"/>
    <cellStyle name="Normal 9 3 2 3 3 4" xfId="14146" xr:uid="{43293A61-0329-410F-B43F-2F346A54DB93}"/>
    <cellStyle name="Normal 9 3 2 3 3 5" xfId="23396" xr:uid="{32167211-7DA0-4B59-8CED-DDC20D5CE026}"/>
    <cellStyle name="Normal 9 3 2 3 3 6" xfId="9935" xr:uid="{FEE0BBAF-FD43-4BF1-B833-E65FB0BBC8CE}"/>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20915" xr:uid="{04C30DD4-9AE6-4BF0-BDB6-0C2F19F9666C}"/>
    <cellStyle name="Normal 9 3 2 3 4 2 3" xfId="16704" xr:uid="{F688FDC1-ABB7-4DEA-BC19-D9CFB2DCDB90}"/>
    <cellStyle name="Normal 9 3 2 3 4 2 4" xfId="25954" xr:uid="{C4D12807-5376-4B87-AA7F-512E8A3B05E5}"/>
    <cellStyle name="Normal 9 3 2 3 4 2 5" xfId="12493" xr:uid="{CDA8CBD2-BB8A-4D30-B5F5-86731B2C1FA3}"/>
    <cellStyle name="Normal 9 3 2 3 4 3" xfId="6137" xr:uid="{00000000-0005-0000-0000-0000DE1F0000}"/>
    <cellStyle name="Normal 9 3 2 3 4 3 2" xfId="18770" xr:uid="{DDAC45CF-707B-4A6D-A101-4E39695737EA}"/>
    <cellStyle name="Normal 9 3 2 3 4 4" xfId="14559" xr:uid="{BF9E19FC-0F8A-469F-8541-9FC6B43353D6}"/>
    <cellStyle name="Normal 9 3 2 3 4 5" xfId="23809" xr:uid="{BDD00C0B-1FB4-4344-B0B4-A2C67E48954D}"/>
    <cellStyle name="Normal 9 3 2 3 4 6" xfId="10348" xr:uid="{B5B91933-7037-415F-8D37-3FE2899D4E0E}"/>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21328" xr:uid="{BC49B6BC-4143-4990-846A-FC184961FC19}"/>
    <cellStyle name="Normal 9 3 2 3 5 2 3" xfId="17117" xr:uid="{F45DB49F-6BEA-44ED-AB7A-D04B8EEDE4B4}"/>
    <cellStyle name="Normal 9 3 2 3 5 2 4" xfId="26367" xr:uid="{FA4A7EE1-A889-4436-AFB4-7422D010AA54}"/>
    <cellStyle name="Normal 9 3 2 3 5 2 5" xfId="12906" xr:uid="{44313A5F-2A53-4DF0-BAE1-7A1E98C7397C}"/>
    <cellStyle name="Normal 9 3 2 3 5 3" xfId="6550" xr:uid="{00000000-0005-0000-0000-0000E21F0000}"/>
    <cellStyle name="Normal 9 3 2 3 5 3 2" xfId="19183" xr:uid="{02646B15-253B-4860-9A11-5652C33A38C2}"/>
    <cellStyle name="Normal 9 3 2 3 5 4" xfId="14972" xr:uid="{01786420-A1ED-4E7C-8B88-B62B65E11FFF}"/>
    <cellStyle name="Normal 9 3 2 3 5 5" xfId="24222" xr:uid="{8A6C80C4-DD4B-4479-B4EC-22702F792C9C}"/>
    <cellStyle name="Normal 9 3 2 3 5 6" xfId="10761" xr:uid="{5A96CC3B-DB1B-4A03-A880-6ACCC09080D7}"/>
    <cellStyle name="Normal 9 3 2 3 6" xfId="2678" xr:uid="{00000000-0005-0000-0000-0000E31F0000}"/>
    <cellStyle name="Normal 9 3 2 3 6 2" xfId="6963" xr:uid="{00000000-0005-0000-0000-0000E41F0000}"/>
    <cellStyle name="Normal 9 3 2 3 6 2 2" xfId="19596" xr:uid="{63E07C13-A2D8-448C-85CE-6554CE372C93}"/>
    <cellStyle name="Normal 9 3 2 3 6 3" xfId="15385" xr:uid="{C2B4D329-2061-4ED2-9B83-8D6B2EE70072}"/>
    <cellStyle name="Normal 9 3 2 3 6 4" xfId="24635" xr:uid="{F8A1228D-014A-4F60-91B4-ACE217A2543A}"/>
    <cellStyle name="Normal 9 3 2 3 6 5" xfId="11174" xr:uid="{E6B1772A-5A3C-4C0B-AC05-716E47106418}"/>
    <cellStyle name="Normal 9 3 2 3 7" xfId="4898" xr:uid="{00000000-0005-0000-0000-0000E51F0000}"/>
    <cellStyle name="Normal 9 3 2 3 7 2" xfId="17531" xr:uid="{AE6D9E4D-2073-41C1-BAFE-DC35F6C8D39A}"/>
    <cellStyle name="Normal 9 3 2 3 8" xfId="21741" xr:uid="{64374E54-8D35-4536-8480-366DA7D1E187}"/>
    <cellStyle name="Normal 9 3 2 3 9" xfId="13320" xr:uid="{457C5A78-7477-4BF3-991B-66B2DE5FA5C2}"/>
    <cellStyle name="Normal 9 3 2 4" xfId="996" xr:uid="{00000000-0005-0000-0000-0000E61F0000}"/>
    <cellStyle name="Normal 9 3 2 4 2" xfId="3229" xr:uid="{00000000-0005-0000-0000-0000E71F0000}"/>
    <cellStyle name="Normal 9 3 2 4 2 2" xfId="7453" xr:uid="{00000000-0005-0000-0000-0000E81F0000}"/>
    <cellStyle name="Normal 9 3 2 4 2 2 2" xfId="20086" xr:uid="{BD774CB2-8FD9-47CD-BFDD-4FE90123D285}"/>
    <cellStyle name="Normal 9 3 2 4 2 3" xfId="15875" xr:uid="{061DFBC0-7376-449D-9A93-8EFE21A33F74}"/>
    <cellStyle name="Normal 9 3 2 4 2 4" xfId="25125" xr:uid="{6982D2B2-4DD7-4F88-8D47-46703ED2BCCC}"/>
    <cellStyle name="Normal 9 3 2 4 2 5" xfId="11664" xr:uid="{3A123517-BCD3-4BA7-A61F-22059D555E35}"/>
    <cellStyle name="Normal 9 3 2 4 3" xfId="5308" xr:uid="{00000000-0005-0000-0000-0000E91F0000}"/>
    <cellStyle name="Normal 9 3 2 4 3 2" xfId="17941" xr:uid="{DAB4FE66-5870-44DC-8ED8-7D680D7CCC17}"/>
    <cellStyle name="Normal 9 3 2 4 4" xfId="22153" xr:uid="{39642FC0-5D3B-40DE-8BDD-91CB398B6687}"/>
    <cellStyle name="Normal 9 3 2 4 5" xfId="13730" xr:uid="{49C574D1-81CF-4154-A6F7-CF8A1EA22B2E}"/>
    <cellStyle name="Normal 9 3 2 4 6" xfId="22980" xr:uid="{F8B78004-AEA9-4E97-876E-775AEE5F545C}"/>
    <cellStyle name="Normal 9 3 2 4 7" xfId="9519" xr:uid="{A8B60443-4E15-4226-A618-40AEE5BA1ACD}"/>
    <cellStyle name="Normal 9 3 2 5" xfId="1412" xr:uid="{00000000-0005-0000-0000-0000EA1F0000}"/>
    <cellStyle name="Normal 9 3 2 5 2" xfId="3642" xr:uid="{00000000-0005-0000-0000-0000EB1F0000}"/>
    <cellStyle name="Normal 9 3 2 5 2 2" xfId="7866" xr:uid="{00000000-0005-0000-0000-0000EC1F0000}"/>
    <cellStyle name="Normal 9 3 2 5 2 2 2" xfId="20499" xr:uid="{0C28AE8A-F31E-43A9-8088-0F4BB792B10B}"/>
    <cellStyle name="Normal 9 3 2 5 2 3" xfId="16288" xr:uid="{4AA861C4-1323-43E3-AC07-914387C83F55}"/>
    <cellStyle name="Normal 9 3 2 5 2 4" xfId="25538" xr:uid="{29A56A49-6BBE-46D5-98C1-581F578FBDDE}"/>
    <cellStyle name="Normal 9 3 2 5 2 5" xfId="12077" xr:uid="{275BE3A5-57EB-4844-8534-16F7EF3EA5F2}"/>
    <cellStyle name="Normal 9 3 2 5 3" xfId="5721" xr:uid="{00000000-0005-0000-0000-0000ED1F0000}"/>
    <cellStyle name="Normal 9 3 2 5 3 2" xfId="18354" xr:uid="{CCD1D9B0-3E41-48AE-85E0-14C2A6FBCD15}"/>
    <cellStyle name="Normal 9 3 2 5 4" xfId="14143" xr:uid="{AF41A89E-E718-4BC2-8CF6-223A1FED199F}"/>
    <cellStyle name="Normal 9 3 2 5 5" xfId="23393" xr:uid="{B9E90A70-9546-4996-899D-F6A34351AE38}"/>
    <cellStyle name="Normal 9 3 2 5 6" xfId="9932" xr:uid="{9B2B5DAC-B421-4F22-9A05-BDE8E0E02C65}"/>
    <cellStyle name="Normal 9 3 2 6" xfId="1825" xr:uid="{00000000-0005-0000-0000-0000EE1F0000}"/>
    <cellStyle name="Normal 9 3 2 6 2" xfId="4055" xr:uid="{00000000-0005-0000-0000-0000EF1F0000}"/>
    <cellStyle name="Normal 9 3 2 6 2 2" xfId="8279" xr:uid="{00000000-0005-0000-0000-0000F01F0000}"/>
    <cellStyle name="Normal 9 3 2 6 2 2 2" xfId="20912" xr:uid="{35AC28C7-E46C-4A6E-9A9C-7FA4A25C0C89}"/>
    <cellStyle name="Normal 9 3 2 6 2 3" xfId="16701" xr:uid="{1200F476-9E13-4913-98DD-EB5A22BD6E6F}"/>
    <cellStyle name="Normal 9 3 2 6 2 4" xfId="25951" xr:uid="{03EA9D8E-4A33-4B2E-B3ED-84CBBFF153B7}"/>
    <cellStyle name="Normal 9 3 2 6 2 5" xfId="12490" xr:uid="{672B2848-16EC-4B87-AD4E-A4791E82CC64}"/>
    <cellStyle name="Normal 9 3 2 6 3" xfId="6134" xr:uid="{00000000-0005-0000-0000-0000F11F0000}"/>
    <cellStyle name="Normal 9 3 2 6 3 2" xfId="18767" xr:uid="{94C0E306-99D0-4C32-A04C-42F0281B85D6}"/>
    <cellStyle name="Normal 9 3 2 6 4" xfId="14556" xr:uid="{974669A9-CA7B-4287-A61F-80C776AA7544}"/>
    <cellStyle name="Normal 9 3 2 6 5" xfId="23806" xr:uid="{8344071A-4EAB-4788-8C24-F351E3D7E686}"/>
    <cellStyle name="Normal 9 3 2 6 6" xfId="10345" xr:uid="{A4A6B539-4DF8-498D-A57C-AFB1F0BF6546}"/>
    <cellStyle name="Normal 9 3 2 7" xfId="2239" xr:uid="{00000000-0005-0000-0000-0000F21F0000}"/>
    <cellStyle name="Normal 9 3 2 7 2" xfId="4468" xr:uid="{00000000-0005-0000-0000-0000F31F0000}"/>
    <cellStyle name="Normal 9 3 2 7 2 2" xfId="8692" xr:uid="{00000000-0005-0000-0000-0000F41F0000}"/>
    <cellStyle name="Normal 9 3 2 7 2 2 2" xfId="21325" xr:uid="{DB9AB504-B7CA-4D3D-BAC3-4FB2E84193FD}"/>
    <cellStyle name="Normal 9 3 2 7 2 3" xfId="17114" xr:uid="{26DA18CA-37DD-4179-801A-A7A896F77180}"/>
    <cellStyle name="Normal 9 3 2 7 2 4" xfId="26364" xr:uid="{A9A65487-4E0C-4D51-80C3-EA10CE31DE93}"/>
    <cellStyle name="Normal 9 3 2 7 2 5" xfId="12903" xr:uid="{BF9C432A-FB7C-4FA7-9E64-639CB9A359DA}"/>
    <cellStyle name="Normal 9 3 2 7 3" xfId="6547" xr:uid="{00000000-0005-0000-0000-0000F51F0000}"/>
    <cellStyle name="Normal 9 3 2 7 3 2" xfId="19180" xr:uid="{B38A2B46-500C-4AED-8472-9046B8F2C81B}"/>
    <cellStyle name="Normal 9 3 2 7 4" xfId="14969" xr:uid="{673FDD74-0D73-4B48-8475-F902DF28D09C}"/>
    <cellStyle name="Normal 9 3 2 7 5" xfId="24219" xr:uid="{89EEBBD8-E6AA-444A-870C-E0A191A38163}"/>
    <cellStyle name="Normal 9 3 2 7 6" xfId="10758" xr:uid="{09F9BDFC-FD58-4DF6-90C0-C9905D7D1A83}"/>
    <cellStyle name="Normal 9 3 2 8" xfId="2675" xr:uid="{00000000-0005-0000-0000-0000F61F0000}"/>
    <cellStyle name="Normal 9 3 2 8 2" xfId="6960" xr:uid="{00000000-0005-0000-0000-0000F71F0000}"/>
    <cellStyle name="Normal 9 3 2 8 2 2" xfId="19593" xr:uid="{59FEBD45-1790-4A77-8D9A-335CBF94EFC4}"/>
    <cellStyle name="Normal 9 3 2 8 3" xfId="15382" xr:uid="{B18253AA-BD99-4CC7-8AEB-E1EE4388CE4A}"/>
    <cellStyle name="Normal 9 3 2 8 4" xfId="24632" xr:uid="{3CDB33B5-2156-477D-92D8-F936D726CD45}"/>
    <cellStyle name="Normal 9 3 2 8 5" xfId="11171" xr:uid="{B531D63D-3E9B-4DE4-A390-741A744D5143}"/>
    <cellStyle name="Normal 9 3 2 9" xfId="4895" xr:uid="{00000000-0005-0000-0000-0000F81F0000}"/>
    <cellStyle name="Normal 9 3 2 9 2" xfId="17528" xr:uid="{BDE1B42D-D411-44B7-AC20-BF747BEB02DB}"/>
    <cellStyle name="Normal 9 3 3" xfId="532" xr:uid="{00000000-0005-0000-0000-0000F91F0000}"/>
    <cellStyle name="Normal 9 3 3 10" xfId="13321" xr:uid="{D238ECF9-3730-4D14-B225-6E9D8431CA86}"/>
    <cellStyle name="Normal 9 3 3 11" xfId="22571" xr:uid="{965604C5-4C28-4FC2-9D84-F024EE5F6DA6}"/>
    <cellStyle name="Normal 9 3 3 12" xfId="9110" xr:uid="{A50A0208-22DC-485E-8BD5-D443550FBBFD}"/>
    <cellStyle name="Normal 9 3 3 2" xfId="533" xr:uid="{00000000-0005-0000-0000-0000FA1F0000}"/>
    <cellStyle name="Normal 9 3 3 2 10" xfId="22572" xr:uid="{E3FCC91A-A098-4899-A361-30D77EB35557}"/>
    <cellStyle name="Normal 9 3 3 2 11" xfId="9111" xr:uid="{7138A42C-0D6F-4A11-B898-6199DA9C294D}"/>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20091" xr:uid="{8AEE6456-AB70-4D98-8D59-CEDD91B60BE3}"/>
    <cellStyle name="Normal 9 3 3 2 2 2 3" xfId="15880" xr:uid="{3C75749A-5912-4D77-8195-3862D6AC055F}"/>
    <cellStyle name="Normal 9 3 3 2 2 2 4" xfId="25130" xr:uid="{8F3EA9AA-7021-44E4-8620-B19B667C7E23}"/>
    <cellStyle name="Normal 9 3 3 2 2 2 5" xfId="11669" xr:uid="{C83BC766-F90F-409F-B95C-0A0C68AB5136}"/>
    <cellStyle name="Normal 9 3 3 2 2 3" xfId="5313" xr:uid="{00000000-0005-0000-0000-0000FE1F0000}"/>
    <cellStyle name="Normal 9 3 3 2 2 3 2" xfId="17946" xr:uid="{44936BCC-0AA4-45CE-B2B9-6FDC6BDE74B7}"/>
    <cellStyle name="Normal 9 3 3 2 2 4" xfId="22158" xr:uid="{7DC0CBEB-AC65-4F94-B4FD-51687CD8895C}"/>
    <cellStyle name="Normal 9 3 3 2 2 5" xfId="13735" xr:uid="{FC479C6A-7E19-4C66-AC28-ADD6B372422C}"/>
    <cellStyle name="Normal 9 3 3 2 2 6" xfId="22985" xr:uid="{CC287E06-CFC3-45E1-857F-1161794C1CBF}"/>
    <cellStyle name="Normal 9 3 3 2 2 7" xfId="9524" xr:uid="{15798F43-0626-4FB8-AFD1-24E802F88F7B}"/>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20504" xr:uid="{0B7F14E8-7BB1-4E46-8882-BE3C940F79B4}"/>
    <cellStyle name="Normal 9 3 3 2 3 2 3" xfId="16293" xr:uid="{99F15388-5480-4E92-A0B3-7FB181715EDE}"/>
    <cellStyle name="Normal 9 3 3 2 3 2 4" xfId="25543" xr:uid="{AC755A80-B42E-4F0C-AA59-1EDFFB2A8C82}"/>
    <cellStyle name="Normal 9 3 3 2 3 2 5" xfId="12082" xr:uid="{9452C511-21C7-451E-BFB7-17CA34F9D44C}"/>
    <cellStyle name="Normal 9 3 3 2 3 3" xfId="5726" xr:uid="{00000000-0005-0000-0000-000002200000}"/>
    <cellStyle name="Normal 9 3 3 2 3 3 2" xfId="18359" xr:uid="{FF669A1E-6394-435A-9CCF-E1D20A0AEFAB}"/>
    <cellStyle name="Normal 9 3 3 2 3 4" xfId="14148" xr:uid="{E84D7167-2D28-495A-B017-A2B7BB110D82}"/>
    <cellStyle name="Normal 9 3 3 2 3 5" xfId="23398" xr:uid="{B3D113EE-D573-492E-9C17-79DB2315E0CF}"/>
    <cellStyle name="Normal 9 3 3 2 3 6" xfId="9937" xr:uid="{12D2AA27-10DB-4444-A602-A0B32EEFB9FF}"/>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20917" xr:uid="{BB5A27E8-C48A-44AE-BFED-E1BFDC2B37E0}"/>
    <cellStyle name="Normal 9 3 3 2 4 2 3" xfId="16706" xr:uid="{D3A0C9C8-8BD7-4942-8EB1-9A5401B2D3D8}"/>
    <cellStyle name="Normal 9 3 3 2 4 2 4" xfId="25956" xr:uid="{D1F9D151-30A2-45CE-8B90-C5A3D2125A18}"/>
    <cellStyle name="Normal 9 3 3 2 4 2 5" xfId="12495" xr:uid="{8154B612-E027-48F9-AE6D-1AACC0CCD16F}"/>
    <cellStyle name="Normal 9 3 3 2 4 3" xfId="6139" xr:uid="{00000000-0005-0000-0000-000006200000}"/>
    <cellStyle name="Normal 9 3 3 2 4 3 2" xfId="18772" xr:uid="{D192F6E7-E07E-4532-A9C3-DF22747C95E4}"/>
    <cellStyle name="Normal 9 3 3 2 4 4" xfId="14561" xr:uid="{C5083B8B-0863-4A22-B403-CC4BACB7C175}"/>
    <cellStyle name="Normal 9 3 3 2 4 5" xfId="23811" xr:uid="{2152DDCD-74FD-499F-9F2F-BAE0335D5956}"/>
    <cellStyle name="Normal 9 3 3 2 4 6" xfId="10350" xr:uid="{CA8327CD-2894-4625-8B8F-8BD17D6CACB1}"/>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21330" xr:uid="{A227FB26-DB8C-4B17-BBA3-B38353FB0D37}"/>
    <cellStyle name="Normal 9 3 3 2 5 2 3" xfId="17119" xr:uid="{5E3F189B-645A-471C-80A7-5BCEDF808E3D}"/>
    <cellStyle name="Normal 9 3 3 2 5 2 4" xfId="26369" xr:uid="{87DF112A-F70F-4FE5-99E3-11303E4ECE98}"/>
    <cellStyle name="Normal 9 3 3 2 5 2 5" xfId="12908" xr:uid="{DA0D6B3B-8F3E-4622-BB22-DBB52437338D}"/>
    <cellStyle name="Normal 9 3 3 2 5 3" xfId="6552" xr:uid="{00000000-0005-0000-0000-00000A200000}"/>
    <cellStyle name="Normal 9 3 3 2 5 3 2" xfId="19185" xr:uid="{BF73F295-BB8B-4BEA-9DE6-61338DC514E3}"/>
    <cellStyle name="Normal 9 3 3 2 5 4" xfId="14974" xr:uid="{E331004D-6916-415B-822E-9ABC03B5200E}"/>
    <cellStyle name="Normal 9 3 3 2 5 5" xfId="24224" xr:uid="{B4A8C5CD-9459-46E7-BCC8-02692B87C960}"/>
    <cellStyle name="Normal 9 3 3 2 5 6" xfId="10763" xr:uid="{69BC13C4-4B5B-458C-8C68-85E8039DFDFC}"/>
    <cellStyle name="Normal 9 3 3 2 6" xfId="2680" xr:uid="{00000000-0005-0000-0000-00000B200000}"/>
    <cellStyle name="Normal 9 3 3 2 6 2" xfId="6965" xr:uid="{00000000-0005-0000-0000-00000C200000}"/>
    <cellStyle name="Normal 9 3 3 2 6 2 2" xfId="19598" xr:uid="{8FE339A1-84E4-4C67-97B7-3AC0D4D37F28}"/>
    <cellStyle name="Normal 9 3 3 2 6 3" xfId="15387" xr:uid="{E0AA1CCB-68B5-49AC-BAC8-2EFC4830355F}"/>
    <cellStyle name="Normal 9 3 3 2 6 4" xfId="24637" xr:uid="{05417C63-B39C-474F-A55D-A90AF0B6E1A1}"/>
    <cellStyle name="Normal 9 3 3 2 6 5" xfId="11176" xr:uid="{57166C37-B48E-4363-A6D1-F7BEE89EB72B}"/>
    <cellStyle name="Normal 9 3 3 2 7" xfId="4900" xr:uid="{00000000-0005-0000-0000-00000D200000}"/>
    <cellStyle name="Normal 9 3 3 2 7 2" xfId="17533" xr:uid="{E4EA8C4D-CA96-46CD-9516-5E9F6BE4FDD8}"/>
    <cellStyle name="Normal 9 3 3 2 8" xfId="21743" xr:uid="{8A8D443D-C381-4CA0-9ED9-AF20A8504277}"/>
    <cellStyle name="Normal 9 3 3 2 9" xfId="13322" xr:uid="{932CEBE7-BAEF-4F2B-A91B-A6024032CBEC}"/>
    <cellStyle name="Normal 9 3 3 3" xfId="1000" xr:uid="{00000000-0005-0000-0000-00000E200000}"/>
    <cellStyle name="Normal 9 3 3 3 2" xfId="3233" xr:uid="{00000000-0005-0000-0000-00000F200000}"/>
    <cellStyle name="Normal 9 3 3 3 2 2" xfId="7457" xr:uid="{00000000-0005-0000-0000-000010200000}"/>
    <cellStyle name="Normal 9 3 3 3 2 2 2" xfId="20090" xr:uid="{61734977-FF19-4734-A181-F537E97BE5E6}"/>
    <cellStyle name="Normal 9 3 3 3 2 3" xfId="15879" xr:uid="{E3B789FA-D8C2-455C-9165-0C42F07B91D4}"/>
    <cellStyle name="Normal 9 3 3 3 2 4" xfId="25129" xr:uid="{8720B983-88AB-41A3-B4D6-42318DF67A38}"/>
    <cellStyle name="Normal 9 3 3 3 2 5" xfId="11668" xr:uid="{7836FD2C-E324-42C1-875C-1D1E2AE62783}"/>
    <cellStyle name="Normal 9 3 3 3 3" xfId="5312" xr:uid="{00000000-0005-0000-0000-000011200000}"/>
    <cellStyle name="Normal 9 3 3 3 3 2" xfId="17945" xr:uid="{8226663D-9D26-4D41-BA3A-BFA257BB4706}"/>
    <cellStyle name="Normal 9 3 3 3 4" xfId="22157" xr:uid="{5280670A-2040-42A8-8B1E-A23B3BFE44F3}"/>
    <cellStyle name="Normal 9 3 3 3 5" xfId="13734" xr:uid="{3A05C808-A497-4093-A1ED-FC88477D92ED}"/>
    <cellStyle name="Normal 9 3 3 3 6" xfId="22984" xr:uid="{42A266BE-24F2-48F6-9343-7AD3FE79F757}"/>
    <cellStyle name="Normal 9 3 3 3 7" xfId="9523" xr:uid="{A6D52072-BB3D-4CEB-A410-7D03889E8C72}"/>
    <cellStyle name="Normal 9 3 3 4" xfId="1416" xr:uid="{00000000-0005-0000-0000-000012200000}"/>
    <cellStyle name="Normal 9 3 3 4 2" xfId="3646" xr:uid="{00000000-0005-0000-0000-000013200000}"/>
    <cellStyle name="Normal 9 3 3 4 2 2" xfId="7870" xr:uid="{00000000-0005-0000-0000-000014200000}"/>
    <cellStyle name="Normal 9 3 3 4 2 2 2" xfId="20503" xr:uid="{2CB082DC-43CC-45A5-A3F2-062D344CF410}"/>
    <cellStyle name="Normal 9 3 3 4 2 3" xfId="16292" xr:uid="{79D1DEEA-4448-427E-8C80-99D4609946C5}"/>
    <cellStyle name="Normal 9 3 3 4 2 4" xfId="25542" xr:uid="{61D743BB-2749-4381-A765-509624E12594}"/>
    <cellStyle name="Normal 9 3 3 4 2 5" xfId="12081" xr:uid="{666362BE-F748-423A-AC56-47CBF41B5D80}"/>
    <cellStyle name="Normal 9 3 3 4 3" xfId="5725" xr:uid="{00000000-0005-0000-0000-000015200000}"/>
    <cellStyle name="Normal 9 3 3 4 3 2" xfId="18358" xr:uid="{E683D2EF-C150-4C3B-AC2B-514D49FAAED9}"/>
    <cellStyle name="Normal 9 3 3 4 4" xfId="14147" xr:uid="{9E7FBBB0-EFD0-46D2-999D-59B3465C14EE}"/>
    <cellStyle name="Normal 9 3 3 4 5" xfId="23397" xr:uid="{B48E34E0-BEA9-43A6-B0F6-AA534A4A792B}"/>
    <cellStyle name="Normal 9 3 3 4 6" xfId="9936" xr:uid="{989F2E1A-A572-4778-AD18-74340BEE9431}"/>
    <cellStyle name="Normal 9 3 3 5" xfId="1829" xr:uid="{00000000-0005-0000-0000-000016200000}"/>
    <cellStyle name="Normal 9 3 3 5 2" xfId="4059" xr:uid="{00000000-0005-0000-0000-000017200000}"/>
    <cellStyle name="Normal 9 3 3 5 2 2" xfId="8283" xr:uid="{00000000-0005-0000-0000-000018200000}"/>
    <cellStyle name="Normal 9 3 3 5 2 2 2" xfId="20916" xr:uid="{70C6F802-5127-4DA6-BA7D-05B0EE26BB9A}"/>
    <cellStyle name="Normal 9 3 3 5 2 3" xfId="16705" xr:uid="{A3911E41-D5F5-4FBB-BB57-608E50EF3560}"/>
    <cellStyle name="Normal 9 3 3 5 2 4" xfId="25955" xr:uid="{FD6649AE-1249-4A64-A56C-042969C360AE}"/>
    <cellStyle name="Normal 9 3 3 5 2 5" xfId="12494" xr:uid="{55A68FFB-1E99-4930-BAC5-E50BF5EDDBCD}"/>
    <cellStyle name="Normal 9 3 3 5 3" xfId="6138" xr:uid="{00000000-0005-0000-0000-000019200000}"/>
    <cellStyle name="Normal 9 3 3 5 3 2" xfId="18771" xr:uid="{231150C4-A039-4F1B-A941-AC15A63E3BC0}"/>
    <cellStyle name="Normal 9 3 3 5 4" xfId="14560" xr:uid="{5C3857C4-5B55-4274-B169-48C3A8500C73}"/>
    <cellStyle name="Normal 9 3 3 5 5" xfId="23810" xr:uid="{216B2D9A-0A27-490A-AC26-B2A0897119E0}"/>
    <cellStyle name="Normal 9 3 3 5 6" xfId="10349" xr:uid="{33A70B98-6A73-4E83-A2DA-FCDD389BD71E}"/>
    <cellStyle name="Normal 9 3 3 6" xfId="2243" xr:uid="{00000000-0005-0000-0000-00001A200000}"/>
    <cellStyle name="Normal 9 3 3 6 2" xfId="4472" xr:uid="{00000000-0005-0000-0000-00001B200000}"/>
    <cellStyle name="Normal 9 3 3 6 2 2" xfId="8696" xr:uid="{00000000-0005-0000-0000-00001C200000}"/>
    <cellStyle name="Normal 9 3 3 6 2 2 2" xfId="21329" xr:uid="{55416D16-860D-4412-8B7D-FBB28BB6F33B}"/>
    <cellStyle name="Normal 9 3 3 6 2 3" xfId="17118" xr:uid="{77517864-0DD5-4E1C-BD18-AB87A2CCA227}"/>
    <cellStyle name="Normal 9 3 3 6 2 4" xfId="26368" xr:uid="{96D563FB-E382-4AFA-A539-8F99E7E4FF33}"/>
    <cellStyle name="Normal 9 3 3 6 2 5" xfId="12907" xr:uid="{B32A649E-8E33-4518-8136-32D5B01A019D}"/>
    <cellStyle name="Normal 9 3 3 6 3" xfId="6551" xr:uid="{00000000-0005-0000-0000-00001D200000}"/>
    <cellStyle name="Normal 9 3 3 6 3 2" xfId="19184" xr:uid="{BD5320B6-4341-46C9-A679-1C58970D2582}"/>
    <cellStyle name="Normal 9 3 3 6 4" xfId="14973" xr:uid="{13C409F9-13A2-40E2-926A-E39FEED2682E}"/>
    <cellStyle name="Normal 9 3 3 6 5" xfId="24223" xr:uid="{33B93BD8-CC98-492F-BF75-B1E3516510BF}"/>
    <cellStyle name="Normal 9 3 3 6 6" xfId="10762" xr:uid="{B4BEEA5B-CC58-4C8B-8D6A-7A7C7EC4F49C}"/>
    <cellStyle name="Normal 9 3 3 7" xfId="2679" xr:uid="{00000000-0005-0000-0000-00001E200000}"/>
    <cellStyle name="Normal 9 3 3 7 2" xfId="6964" xr:uid="{00000000-0005-0000-0000-00001F200000}"/>
    <cellStyle name="Normal 9 3 3 7 2 2" xfId="19597" xr:uid="{B145BD4E-537E-4E50-8AC0-A1D4A29E6C2E}"/>
    <cellStyle name="Normal 9 3 3 7 3" xfId="15386" xr:uid="{986C6EE4-11B8-421F-B1D0-7D0E028D2A82}"/>
    <cellStyle name="Normal 9 3 3 7 4" xfId="24636" xr:uid="{95B4D623-585D-4EE8-9D79-1FBB973F0042}"/>
    <cellStyle name="Normal 9 3 3 7 5" xfId="11175" xr:uid="{58216036-BED3-4679-AD10-8C24051F057D}"/>
    <cellStyle name="Normal 9 3 3 8" xfId="4899" xr:uid="{00000000-0005-0000-0000-000020200000}"/>
    <cellStyle name="Normal 9 3 3 8 2" xfId="17532" xr:uid="{854DD696-47B2-4095-BC0D-4FDA01392274}"/>
    <cellStyle name="Normal 9 3 3 9" xfId="21742" xr:uid="{86498DC1-C8AB-4730-BE47-AEC8653188B2}"/>
    <cellStyle name="Normal 9 3 4" xfId="534" xr:uid="{00000000-0005-0000-0000-000021200000}"/>
    <cellStyle name="Normal 9 3 4 10" xfId="22573" xr:uid="{2149DF66-72CA-40F2-9593-0B6BB4147829}"/>
    <cellStyle name="Normal 9 3 4 11" xfId="9112" xr:uid="{BEE6C248-671D-422B-BC2C-EF54B0D37707}"/>
    <cellStyle name="Normal 9 3 4 2" xfId="1002" xr:uid="{00000000-0005-0000-0000-000022200000}"/>
    <cellStyle name="Normal 9 3 4 2 2" xfId="3235" xr:uid="{00000000-0005-0000-0000-000023200000}"/>
    <cellStyle name="Normal 9 3 4 2 2 2" xfId="7459" xr:uid="{00000000-0005-0000-0000-000024200000}"/>
    <cellStyle name="Normal 9 3 4 2 2 2 2" xfId="20092" xr:uid="{51932766-19C2-47DF-95DF-5EA842054380}"/>
    <cellStyle name="Normal 9 3 4 2 2 3" xfId="15881" xr:uid="{EE872F9A-4D02-49CF-BDE5-C23F3B5D64B2}"/>
    <cellStyle name="Normal 9 3 4 2 2 4" xfId="25131" xr:uid="{9C3A8EC1-9345-4585-8C5E-0FA9702A4876}"/>
    <cellStyle name="Normal 9 3 4 2 2 5" xfId="11670" xr:uid="{AC280214-9C7E-469F-8CB8-AACFFE7389AD}"/>
    <cellStyle name="Normal 9 3 4 2 3" xfId="5314" xr:uid="{00000000-0005-0000-0000-000025200000}"/>
    <cellStyle name="Normal 9 3 4 2 3 2" xfId="17947" xr:uid="{8B799705-0ACB-4D15-8DFC-CD36DFED8877}"/>
    <cellStyle name="Normal 9 3 4 2 4" xfId="22159" xr:uid="{97A0279D-2146-4D2D-AC7C-9C3B7A90E2B7}"/>
    <cellStyle name="Normal 9 3 4 2 5" xfId="13736" xr:uid="{1609B15E-2092-4C93-BEC0-4F99F7CD0737}"/>
    <cellStyle name="Normal 9 3 4 2 6" xfId="22986" xr:uid="{8EA11039-C964-41B3-894B-A9DEBA3BB4DC}"/>
    <cellStyle name="Normal 9 3 4 2 7" xfId="9525" xr:uid="{B8D40284-485E-4135-8F53-AD39F438BB7C}"/>
    <cellStyle name="Normal 9 3 4 3" xfId="1418" xr:uid="{00000000-0005-0000-0000-000026200000}"/>
    <cellStyle name="Normal 9 3 4 3 2" xfId="3648" xr:uid="{00000000-0005-0000-0000-000027200000}"/>
    <cellStyle name="Normal 9 3 4 3 2 2" xfId="7872" xr:uid="{00000000-0005-0000-0000-000028200000}"/>
    <cellStyle name="Normal 9 3 4 3 2 2 2" xfId="20505" xr:uid="{617D9020-F3AB-4E45-854F-D64E886BD317}"/>
    <cellStyle name="Normal 9 3 4 3 2 3" xfId="16294" xr:uid="{E575DD3E-BDE9-4F38-90A5-D139D71DA41F}"/>
    <cellStyle name="Normal 9 3 4 3 2 4" xfId="25544" xr:uid="{123BC132-D3A1-4A5E-8F09-F8753AC4ABF1}"/>
    <cellStyle name="Normal 9 3 4 3 2 5" xfId="12083" xr:uid="{7BBA0C2F-D56C-40BE-8F4E-658793187B35}"/>
    <cellStyle name="Normal 9 3 4 3 3" xfId="5727" xr:uid="{00000000-0005-0000-0000-000029200000}"/>
    <cellStyle name="Normal 9 3 4 3 3 2" xfId="18360" xr:uid="{1C1ABCC3-A962-4556-8B33-8D68A8D4F957}"/>
    <cellStyle name="Normal 9 3 4 3 4" xfId="14149" xr:uid="{CCE17FAF-0962-4EA1-B16F-F49A07D5F1A6}"/>
    <cellStyle name="Normal 9 3 4 3 5" xfId="23399" xr:uid="{94DB792C-BFEF-45D4-91AF-B07A2DA26F33}"/>
    <cellStyle name="Normal 9 3 4 3 6" xfId="9938" xr:uid="{899EC204-D91A-4E46-8B17-93DC5EE05E89}"/>
    <cellStyle name="Normal 9 3 4 4" xfId="1831" xr:uid="{00000000-0005-0000-0000-00002A200000}"/>
    <cellStyle name="Normal 9 3 4 4 2" xfId="4061" xr:uid="{00000000-0005-0000-0000-00002B200000}"/>
    <cellStyle name="Normal 9 3 4 4 2 2" xfId="8285" xr:uid="{00000000-0005-0000-0000-00002C200000}"/>
    <cellStyle name="Normal 9 3 4 4 2 2 2" xfId="20918" xr:uid="{E485BAAB-B7AC-4517-9017-6DA148329634}"/>
    <cellStyle name="Normal 9 3 4 4 2 3" xfId="16707" xr:uid="{04472C5B-158E-4EC5-8C84-CF7FB49FFCDF}"/>
    <cellStyle name="Normal 9 3 4 4 2 4" xfId="25957" xr:uid="{E9AF4722-E207-498F-8906-FC311201B0CD}"/>
    <cellStyle name="Normal 9 3 4 4 2 5" xfId="12496" xr:uid="{386E2C17-D9B8-4E45-8B1F-74FA43409334}"/>
    <cellStyle name="Normal 9 3 4 4 3" xfId="6140" xr:uid="{00000000-0005-0000-0000-00002D200000}"/>
    <cellStyle name="Normal 9 3 4 4 3 2" xfId="18773" xr:uid="{95F7B816-D728-40E2-BB87-F63366ECB83E}"/>
    <cellStyle name="Normal 9 3 4 4 4" xfId="14562" xr:uid="{82712BAF-F253-46CA-8245-1203CB52C07C}"/>
    <cellStyle name="Normal 9 3 4 4 5" xfId="23812" xr:uid="{3C056435-09D7-47A5-B2E1-AEF975DE6813}"/>
    <cellStyle name="Normal 9 3 4 4 6" xfId="10351" xr:uid="{EA350650-00E0-4566-81BA-603CDDE69E6C}"/>
    <cellStyle name="Normal 9 3 4 5" xfId="2245" xr:uid="{00000000-0005-0000-0000-00002E200000}"/>
    <cellStyle name="Normal 9 3 4 5 2" xfId="4474" xr:uid="{00000000-0005-0000-0000-00002F200000}"/>
    <cellStyle name="Normal 9 3 4 5 2 2" xfId="8698" xr:uid="{00000000-0005-0000-0000-000030200000}"/>
    <cellStyle name="Normal 9 3 4 5 2 2 2" xfId="21331" xr:uid="{3A7FEF94-4DE4-4620-AEB6-E660A2C52A89}"/>
    <cellStyle name="Normal 9 3 4 5 2 3" xfId="17120" xr:uid="{52876EB4-762C-4912-862E-EC2DE240616A}"/>
    <cellStyle name="Normal 9 3 4 5 2 4" xfId="26370" xr:uid="{6FACD8BC-DE63-4C76-BCF2-9A9108D4F887}"/>
    <cellStyle name="Normal 9 3 4 5 2 5" xfId="12909" xr:uid="{BD03913A-1B0C-4280-9530-E5B6465AE5B1}"/>
    <cellStyle name="Normal 9 3 4 5 3" xfId="6553" xr:uid="{00000000-0005-0000-0000-000031200000}"/>
    <cellStyle name="Normal 9 3 4 5 3 2" xfId="19186" xr:uid="{2F9A860A-F786-4B24-8B83-115DA04134D8}"/>
    <cellStyle name="Normal 9 3 4 5 4" xfId="14975" xr:uid="{636CA78F-F572-472F-87E2-FC13FDC13534}"/>
    <cellStyle name="Normal 9 3 4 5 5" xfId="24225" xr:uid="{74A0516B-0270-4FA7-83ED-D8DD55D9B9AA}"/>
    <cellStyle name="Normal 9 3 4 5 6" xfId="10764" xr:uid="{DE893D85-D2A1-46FD-9517-056A628F6E55}"/>
    <cellStyle name="Normal 9 3 4 6" xfId="2681" xr:uid="{00000000-0005-0000-0000-000032200000}"/>
    <cellStyle name="Normal 9 3 4 6 2" xfId="6966" xr:uid="{00000000-0005-0000-0000-000033200000}"/>
    <cellStyle name="Normal 9 3 4 6 2 2" xfId="19599" xr:uid="{43CB3BE5-8498-4F8C-9618-65CB4CB443E2}"/>
    <cellStyle name="Normal 9 3 4 6 3" xfId="15388" xr:uid="{1D98955B-04B8-4D7E-A000-4E842008343E}"/>
    <cellStyle name="Normal 9 3 4 6 4" xfId="24638" xr:uid="{C35AA00C-0042-4E8E-855D-7749F3BF5220}"/>
    <cellStyle name="Normal 9 3 4 6 5" xfId="11177" xr:uid="{7A4007F0-7B3E-41B9-A6BD-010DD13BA9CF}"/>
    <cellStyle name="Normal 9 3 4 7" xfId="4901" xr:uid="{00000000-0005-0000-0000-000034200000}"/>
    <cellStyle name="Normal 9 3 4 7 2" xfId="17534" xr:uid="{1175E388-238D-427F-A2EA-7BA2CCF04FC1}"/>
    <cellStyle name="Normal 9 3 4 8" xfId="21744" xr:uid="{D8CBAE11-39A9-4E89-BA94-285EA5EBEA71}"/>
    <cellStyle name="Normal 9 3 4 9" xfId="13323" xr:uid="{5C877688-0043-41CC-AEFB-C0CC2ED591B4}"/>
    <cellStyle name="Normal 9 3 5" xfId="995" xr:uid="{00000000-0005-0000-0000-000035200000}"/>
    <cellStyle name="Normal 9 3 5 2" xfId="3228" xr:uid="{00000000-0005-0000-0000-000036200000}"/>
    <cellStyle name="Normal 9 3 5 2 2" xfId="7452" xr:uid="{00000000-0005-0000-0000-000037200000}"/>
    <cellStyle name="Normal 9 3 5 2 2 2" xfId="20085" xr:uid="{085B419E-6F36-4E15-B855-47BF1852DBC0}"/>
    <cellStyle name="Normal 9 3 5 2 3" xfId="15874" xr:uid="{AA7A468C-9120-45C1-8C99-15C301D326C7}"/>
    <cellStyle name="Normal 9 3 5 2 4" xfId="25124" xr:uid="{F415013C-9A9C-4E65-A510-D03EB20C4F2E}"/>
    <cellStyle name="Normal 9 3 5 2 5" xfId="11663" xr:uid="{B002640E-A536-4277-BB82-1946C81E56AC}"/>
    <cellStyle name="Normal 9 3 5 3" xfId="5307" xr:uid="{00000000-0005-0000-0000-000038200000}"/>
    <cellStyle name="Normal 9 3 5 3 2" xfId="17940" xr:uid="{B6AEE004-2CC4-4251-8416-AD05D4ECB402}"/>
    <cellStyle name="Normal 9 3 5 4" xfId="22152" xr:uid="{E167C5EC-08C8-45D8-98B0-019C33B59A81}"/>
    <cellStyle name="Normal 9 3 5 5" xfId="13729" xr:uid="{E7CB3723-80BB-46A2-B505-5F2DB22F1FAD}"/>
    <cellStyle name="Normal 9 3 5 6" xfId="22979" xr:uid="{8A2C47F6-82BC-4EA1-A5D5-2C5BDC22C6F8}"/>
    <cellStyle name="Normal 9 3 5 7" xfId="9518" xr:uid="{0ECE5AAD-3A44-49BF-BCFE-C119305210B0}"/>
    <cellStyle name="Normal 9 3 6" xfId="1411" xr:uid="{00000000-0005-0000-0000-000039200000}"/>
    <cellStyle name="Normal 9 3 6 2" xfId="3641" xr:uid="{00000000-0005-0000-0000-00003A200000}"/>
    <cellStyle name="Normal 9 3 6 2 2" xfId="7865" xr:uid="{00000000-0005-0000-0000-00003B200000}"/>
    <cellStyle name="Normal 9 3 6 2 2 2" xfId="20498" xr:uid="{36C97A96-7130-4B79-9E5F-4E8FF5F1A1F9}"/>
    <cellStyle name="Normal 9 3 6 2 3" xfId="16287" xr:uid="{B2346629-1689-43F3-BFF5-D31B3593B52B}"/>
    <cellStyle name="Normal 9 3 6 2 4" xfId="25537" xr:uid="{84145AFC-9D21-4994-8C03-C7BDE9553541}"/>
    <cellStyle name="Normal 9 3 6 2 5" xfId="12076" xr:uid="{13279C72-61BC-4B60-B96D-06F083954B82}"/>
    <cellStyle name="Normal 9 3 6 3" xfId="5720" xr:uid="{00000000-0005-0000-0000-00003C200000}"/>
    <cellStyle name="Normal 9 3 6 3 2" xfId="18353" xr:uid="{8A50058E-2342-46F4-922F-873562F9E1B6}"/>
    <cellStyle name="Normal 9 3 6 4" xfId="14142" xr:uid="{CDC69A58-6571-4CFE-8812-C0486CBFB6D7}"/>
    <cellStyle name="Normal 9 3 6 5" xfId="23392" xr:uid="{E5029AB8-24A8-4296-8AE6-1CF299C53488}"/>
    <cellStyle name="Normal 9 3 6 6" xfId="9931" xr:uid="{F7161021-1FA0-4346-A621-8CB6ACBA6633}"/>
    <cellStyle name="Normal 9 3 7" xfId="1824" xr:uid="{00000000-0005-0000-0000-00003D200000}"/>
    <cellStyle name="Normal 9 3 7 2" xfId="4054" xr:uid="{00000000-0005-0000-0000-00003E200000}"/>
    <cellStyle name="Normal 9 3 7 2 2" xfId="8278" xr:uid="{00000000-0005-0000-0000-00003F200000}"/>
    <cellStyle name="Normal 9 3 7 2 2 2" xfId="20911" xr:uid="{8209644E-AC67-43F6-97A3-6C9061D0E355}"/>
    <cellStyle name="Normal 9 3 7 2 3" xfId="16700" xr:uid="{3EF6B6C7-4A75-46AA-BB99-29D8B01CA237}"/>
    <cellStyle name="Normal 9 3 7 2 4" xfId="25950" xr:uid="{1CD56348-ECF0-4F3A-82F7-95EA766C8B2C}"/>
    <cellStyle name="Normal 9 3 7 2 5" xfId="12489" xr:uid="{C65DBBA3-779E-42D8-A149-086BE31FC9BD}"/>
    <cellStyle name="Normal 9 3 7 3" xfId="6133" xr:uid="{00000000-0005-0000-0000-000040200000}"/>
    <cellStyle name="Normal 9 3 7 3 2" xfId="18766" xr:uid="{7AD26CC3-2B48-4192-81DA-9220726B9DF3}"/>
    <cellStyle name="Normal 9 3 7 4" xfId="14555" xr:uid="{D07ADC82-0D6B-4EC7-8104-B77E17098495}"/>
    <cellStyle name="Normal 9 3 7 5" xfId="23805" xr:uid="{EB0E631E-8CB0-4B7E-A7C3-105D613EAD97}"/>
    <cellStyle name="Normal 9 3 7 6" xfId="10344" xr:uid="{FB017C87-522B-42AA-8DBB-3BF6B8097E74}"/>
    <cellStyle name="Normal 9 3 8" xfId="2238" xr:uid="{00000000-0005-0000-0000-000041200000}"/>
    <cellStyle name="Normal 9 3 8 2" xfId="4467" xr:uid="{00000000-0005-0000-0000-000042200000}"/>
    <cellStyle name="Normal 9 3 8 2 2" xfId="8691" xr:uid="{00000000-0005-0000-0000-000043200000}"/>
    <cellStyle name="Normal 9 3 8 2 2 2" xfId="21324" xr:uid="{2E7FA08B-28FE-4A43-BE9B-CFEC53622926}"/>
    <cellStyle name="Normal 9 3 8 2 3" xfId="17113" xr:uid="{2318D0A5-1C32-4C14-9BCC-15137D33A041}"/>
    <cellStyle name="Normal 9 3 8 2 4" xfId="26363" xr:uid="{5C404F4A-0E9F-4BDC-91A4-D4F8528EDA2B}"/>
    <cellStyle name="Normal 9 3 8 2 5" xfId="12902" xr:uid="{7D77DEB3-50C6-498B-A9E6-6D4C8FE7F451}"/>
    <cellStyle name="Normal 9 3 8 3" xfId="6546" xr:uid="{00000000-0005-0000-0000-000044200000}"/>
    <cellStyle name="Normal 9 3 8 3 2" xfId="19179" xr:uid="{E669D75D-8FA7-4DBD-8D94-33F523C43D29}"/>
    <cellStyle name="Normal 9 3 8 4" xfId="14968" xr:uid="{E36858EF-0316-46F4-9383-D5B484DEC1CC}"/>
    <cellStyle name="Normal 9 3 8 5" xfId="24218" xr:uid="{9A26BE0C-6BB0-41E0-85BB-E43750B1CB18}"/>
    <cellStyle name="Normal 9 3 8 6" xfId="10757" xr:uid="{E123F995-EC86-4F7E-8183-E3B8DD8FC27C}"/>
    <cellStyle name="Normal 9 3 9" xfId="2674" xr:uid="{00000000-0005-0000-0000-000045200000}"/>
    <cellStyle name="Normal 9 3 9 2" xfId="6959" xr:uid="{00000000-0005-0000-0000-000046200000}"/>
    <cellStyle name="Normal 9 3 9 2 2" xfId="19592" xr:uid="{0237CF26-D275-40F8-BA30-EDC022900585}"/>
    <cellStyle name="Normal 9 3 9 3" xfId="15381" xr:uid="{3D7F3749-E3BF-4275-9CDB-03E55EE75FAC}"/>
    <cellStyle name="Normal 9 3 9 4" xfId="24631" xr:uid="{F47C7E44-653E-4C6E-BB7B-6163AB681AC2}"/>
    <cellStyle name="Normal 9 3 9 5" xfId="11170" xr:uid="{198AC362-5DDC-45FC-8209-205E65961C3A}"/>
    <cellStyle name="Normal 9 4" xfId="535" xr:uid="{00000000-0005-0000-0000-000047200000}"/>
    <cellStyle name="Normal 9 4 2" xfId="1003" xr:uid="{00000000-0005-0000-0000-000048200000}"/>
    <cellStyle name="Normal 9 5" xfId="536" xr:uid="{00000000-0005-0000-0000-000049200000}"/>
    <cellStyle name="Normal 9 5 10" xfId="13324" xr:uid="{FEC8DDE0-0A97-4A13-970B-5AA8C513BAC5}"/>
    <cellStyle name="Normal 9 5 11" xfId="22574" xr:uid="{13A6A750-56F7-4231-A47C-6F55F5C3C949}"/>
    <cellStyle name="Normal 9 5 12" xfId="9113" xr:uid="{E743C26C-2057-4818-80CA-33D9E1A10685}"/>
    <cellStyle name="Normal 9 5 2" xfId="537" xr:uid="{00000000-0005-0000-0000-00004A200000}"/>
    <cellStyle name="Normal 9 5 2 10" xfId="22575" xr:uid="{76948455-DA43-4718-889C-8FC303ED660A}"/>
    <cellStyle name="Normal 9 5 2 11" xfId="9114" xr:uid="{4895583D-DEB7-4F86-97F6-14D0DC940AF1}"/>
    <cellStyle name="Normal 9 5 2 2" xfId="1005" xr:uid="{00000000-0005-0000-0000-00004B200000}"/>
    <cellStyle name="Normal 9 5 2 2 2" xfId="3237" xr:uid="{00000000-0005-0000-0000-00004C200000}"/>
    <cellStyle name="Normal 9 5 2 2 2 2" xfId="7461" xr:uid="{00000000-0005-0000-0000-00004D200000}"/>
    <cellStyle name="Normal 9 5 2 2 2 2 2" xfId="20094" xr:uid="{4FD306E0-F038-410C-A722-C120E6FA5C03}"/>
    <cellStyle name="Normal 9 5 2 2 2 3" xfId="15883" xr:uid="{C24BBB54-058A-44E5-A222-C55F1EB78B92}"/>
    <cellStyle name="Normal 9 5 2 2 2 4" xfId="25133" xr:uid="{1D1F2E9A-0826-4CC8-B92B-DB2808538E5E}"/>
    <cellStyle name="Normal 9 5 2 2 2 5" xfId="11672" xr:uid="{6D97FAF9-4C89-468F-85EA-420DDD7257E5}"/>
    <cellStyle name="Normal 9 5 2 2 3" xfId="5316" xr:uid="{00000000-0005-0000-0000-00004E200000}"/>
    <cellStyle name="Normal 9 5 2 2 3 2" xfId="17949" xr:uid="{2EDFF266-2988-48D7-9F32-BE5E751730E6}"/>
    <cellStyle name="Normal 9 5 2 2 4" xfId="22161" xr:uid="{67DE5F21-819A-4695-ACCA-489F46AA5CBD}"/>
    <cellStyle name="Normal 9 5 2 2 5" xfId="13738" xr:uid="{18C4761A-1D7E-4220-80A9-BE6A762B3544}"/>
    <cellStyle name="Normal 9 5 2 2 6" xfId="22988" xr:uid="{20435A6E-A7ED-4E5A-952D-0DD3CDD2D1F6}"/>
    <cellStyle name="Normal 9 5 2 2 7" xfId="9527" xr:uid="{21963C9C-6B5A-4419-A2EF-BB18145750B1}"/>
    <cellStyle name="Normal 9 5 2 3" xfId="1420" xr:uid="{00000000-0005-0000-0000-00004F200000}"/>
    <cellStyle name="Normal 9 5 2 3 2" xfId="3650" xr:uid="{00000000-0005-0000-0000-000050200000}"/>
    <cellStyle name="Normal 9 5 2 3 2 2" xfId="7874" xr:uid="{00000000-0005-0000-0000-000051200000}"/>
    <cellStyle name="Normal 9 5 2 3 2 2 2" xfId="20507" xr:uid="{E794C030-F861-4C68-92C6-0CD907F8F922}"/>
    <cellStyle name="Normal 9 5 2 3 2 3" xfId="16296" xr:uid="{19FEB3E2-1245-428D-A3BF-69EB3A9F3B88}"/>
    <cellStyle name="Normal 9 5 2 3 2 4" xfId="25546" xr:uid="{422F4045-C352-47B1-94B6-B91F5AB5FD6D}"/>
    <cellStyle name="Normal 9 5 2 3 2 5" xfId="12085" xr:uid="{FD464AFB-6F73-419A-B138-4DE1965AB4F3}"/>
    <cellStyle name="Normal 9 5 2 3 3" xfId="5729" xr:uid="{00000000-0005-0000-0000-000052200000}"/>
    <cellStyle name="Normal 9 5 2 3 3 2" xfId="18362" xr:uid="{56E52A34-3A57-48CF-A074-DA8D0342C744}"/>
    <cellStyle name="Normal 9 5 2 3 4" xfId="14151" xr:uid="{09212A7C-9940-4901-A9C8-28922DF16DFF}"/>
    <cellStyle name="Normal 9 5 2 3 5" xfId="23401" xr:uid="{2361592C-A820-40B9-8880-B09BEFB7F855}"/>
    <cellStyle name="Normal 9 5 2 3 6" xfId="9940" xr:uid="{2B2D1E68-BA2A-4CF9-BA64-C820EDEFBDC0}"/>
    <cellStyle name="Normal 9 5 2 4" xfId="1833" xr:uid="{00000000-0005-0000-0000-000053200000}"/>
    <cellStyle name="Normal 9 5 2 4 2" xfId="4063" xr:uid="{00000000-0005-0000-0000-000054200000}"/>
    <cellStyle name="Normal 9 5 2 4 2 2" xfId="8287" xr:uid="{00000000-0005-0000-0000-000055200000}"/>
    <cellStyle name="Normal 9 5 2 4 2 2 2" xfId="20920" xr:uid="{088C527E-BBB1-462D-99C2-CD13B1F9F4B2}"/>
    <cellStyle name="Normal 9 5 2 4 2 3" xfId="16709" xr:uid="{FF04F46E-F1A0-44EF-8CF4-457046EF3064}"/>
    <cellStyle name="Normal 9 5 2 4 2 4" xfId="25959" xr:uid="{3A918632-1547-454E-AF8F-5FF5D927C634}"/>
    <cellStyle name="Normal 9 5 2 4 2 5" xfId="12498" xr:uid="{2F17A6FE-F7AF-4E76-A0EC-743B2C0CF156}"/>
    <cellStyle name="Normal 9 5 2 4 3" xfId="6142" xr:uid="{00000000-0005-0000-0000-000056200000}"/>
    <cellStyle name="Normal 9 5 2 4 3 2" xfId="18775" xr:uid="{52269949-12F7-40D4-8FF6-0628E51446F1}"/>
    <cellStyle name="Normal 9 5 2 4 4" xfId="14564" xr:uid="{EEC053E0-3068-4EEB-A9CE-75C8955F02F1}"/>
    <cellStyle name="Normal 9 5 2 4 5" xfId="23814" xr:uid="{D0D2851E-D07A-451B-BEE6-35F8A28A2251}"/>
    <cellStyle name="Normal 9 5 2 4 6" xfId="10353" xr:uid="{04C2B9FF-DADE-4122-BE55-BAA2CAE25BE0}"/>
    <cellStyle name="Normal 9 5 2 5" xfId="2247" xr:uid="{00000000-0005-0000-0000-000057200000}"/>
    <cellStyle name="Normal 9 5 2 5 2" xfId="4476" xr:uid="{00000000-0005-0000-0000-000058200000}"/>
    <cellStyle name="Normal 9 5 2 5 2 2" xfId="8700" xr:uid="{00000000-0005-0000-0000-000059200000}"/>
    <cellStyle name="Normal 9 5 2 5 2 2 2" xfId="21333" xr:uid="{C51E95C0-3124-40B7-BBB6-2A1FF9BE58C1}"/>
    <cellStyle name="Normal 9 5 2 5 2 3" xfId="17122" xr:uid="{69C9F9CE-DA7C-4888-9942-223B5B5DEC5C}"/>
    <cellStyle name="Normal 9 5 2 5 2 4" xfId="26372" xr:uid="{6C4552AB-8BFC-43BD-9532-73CCD812FD59}"/>
    <cellStyle name="Normal 9 5 2 5 2 5" xfId="12911" xr:uid="{3B91F2FF-9183-4A04-9D3C-5799A8502398}"/>
    <cellStyle name="Normal 9 5 2 5 3" xfId="6555" xr:uid="{00000000-0005-0000-0000-00005A200000}"/>
    <cellStyle name="Normal 9 5 2 5 3 2" xfId="19188" xr:uid="{3ECBD251-B68B-43CB-B52E-B3D8A2345615}"/>
    <cellStyle name="Normal 9 5 2 5 4" xfId="14977" xr:uid="{FC6648DF-4154-4AC6-A62D-5B50401778B2}"/>
    <cellStyle name="Normal 9 5 2 5 5" xfId="24227" xr:uid="{056B0DA9-E95B-40F5-9E5F-B730797A4DFD}"/>
    <cellStyle name="Normal 9 5 2 5 6" xfId="10766" xr:uid="{C732709E-5FB3-4C18-8708-3CFADD56362F}"/>
    <cellStyle name="Normal 9 5 2 6" xfId="2683" xr:uid="{00000000-0005-0000-0000-00005B200000}"/>
    <cellStyle name="Normal 9 5 2 6 2" xfId="6968" xr:uid="{00000000-0005-0000-0000-00005C200000}"/>
    <cellStyle name="Normal 9 5 2 6 2 2" xfId="19601" xr:uid="{5CCF947F-18B1-47FD-B350-A3687615D153}"/>
    <cellStyle name="Normal 9 5 2 6 3" xfId="15390" xr:uid="{5DE23BE6-F53C-4F58-B3EF-ECD83D11A266}"/>
    <cellStyle name="Normal 9 5 2 6 4" xfId="24640" xr:uid="{11CDD5E5-F095-412C-AA4D-063FE935510F}"/>
    <cellStyle name="Normal 9 5 2 6 5" xfId="11179" xr:uid="{09BFDAB1-770C-4C36-9ADD-F50693978D79}"/>
    <cellStyle name="Normal 9 5 2 7" xfId="4903" xr:uid="{00000000-0005-0000-0000-00005D200000}"/>
    <cellStyle name="Normal 9 5 2 7 2" xfId="17536" xr:uid="{5B9725A4-19AE-4810-A290-AB1408CB6AF9}"/>
    <cellStyle name="Normal 9 5 2 8" xfId="21746" xr:uid="{4384A917-ECA5-4906-85F9-405E5E713042}"/>
    <cellStyle name="Normal 9 5 2 9" xfId="13325" xr:uid="{C643AB4B-7C0B-4D74-8E96-E9E8D21DE6CD}"/>
    <cellStyle name="Normal 9 5 3" xfId="1004" xr:uid="{00000000-0005-0000-0000-00005E200000}"/>
    <cellStyle name="Normal 9 5 3 2" xfId="3236" xr:uid="{00000000-0005-0000-0000-00005F200000}"/>
    <cellStyle name="Normal 9 5 3 2 2" xfId="7460" xr:uid="{00000000-0005-0000-0000-000060200000}"/>
    <cellStyle name="Normal 9 5 3 2 2 2" xfId="20093" xr:uid="{6A4CF849-333E-4B4C-83E0-DF0F12AD5AEA}"/>
    <cellStyle name="Normal 9 5 3 2 3" xfId="15882" xr:uid="{E200FA37-0ABB-484A-BA8B-5A666C8BFB5D}"/>
    <cellStyle name="Normal 9 5 3 2 4" xfId="25132" xr:uid="{E24B5765-4AF5-4693-9369-AD6CFF6C58B2}"/>
    <cellStyle name="Normal 9 5 3 2 5" xfId="11671" xr:uid="{73FE1785-63F7-4AB4-8143-3E8CC26AAE88}"/>
    <cellStyle name="Normal 9 5 3 3" xfId="5315" xr:uid="{00000000-0005-0000-0000-000061200000}"/>
    <cellStyle name="Normal 9 5 3 3 2" xfId="17948" xr:uid="{37234BF3-3B56-45EB-9A34-5C790DC39EC5}"/>
    <cellStyle name="Normal 9 5 3 4" xfId="22160" xr:uid="{382D71B7-879B-47A5-9346-0305D319DDD1}"/>
    <cellStyle name="Normal 9 5 3 5" xfId="13737" xr:uid="{9D762FEC-BDDF-4A70-BD16-D46A367938F5}"/>
    <cellStyle name="Normal 9 5 3 6" xfId="22987" xr:uid="{B50340D0-F2FE-4C14-B38F-4E0670AE3171}"/>
    <cellStyle name="Normal 9 5 3 7" xfId="9526" xr:uid="{AD8B4FF7-4537-4AD5-9765-DDEF792F1711}"/>
    <cellStyle name="Normal 9 5 4" xfId="1419" xr:uid="{00000000-0005-0000-0000-000062200000}"/>
    <cellStyle name="Normal 9 5 4 2" xfId="3649" xr:uid="{00000000-0005-0000-0000-000063200000}"/>
    <cellStyle name="Normal 9 5 4 2 2" xfId="7873" xr:uid="{00000000-0005-0000-0000-000064200000}"/>
    <cellStyle name="Normal 9 5 4 2 2 2" xfId="20506" xr:uid="{FE0376A1-4295-4EF4-B57F-762E46230040}"/>
    <cellStyle name="Normal 9 5 4 2 3" xfId="16295" xr:uid="{9B055EC7-9C02-4B6A-A42E-C1D33B8088AF}"/>
    <cellStyle name="Normal 9 5 4 2 4" xfId="25545" xr:uid="{0F135445-C3CA-4574-BAAF-BEAE54C39A16}"/>
    <cellStyle name="Normal 9 5 4 2 5" xfId="12084" xr:uid="{F6562EFC-CB56-4A9B-B444-4DEB53A89F12}"/>
    <cellStyle name="Normal 9 5 4 3" xfId="5728" xr:uid="{00000000-0005-0000-0000-000065200000}"/>
    <cellStyle name="Normal 9 5 4 3 2" xfId="18361" xr:uid="{20BFBCB2-511D-4F14-B84C-73D6C90CD529}"/>
    <cellStyle name="Normal 9 5 4 4" xfId="14150" xr:uid="{D1D36731-7C9D-49EB-8E10-6F1125DBDE77}"/>
    <cellStyle name="Normal 9 5 4 5" xfId="23400" xr:uid="{BF3BF43A-2D0A-4AFF-97FD-32B9849E6796}"/>
    <cellStyle name="Normal 9 5 4 6" xfId="9939" xr:uid="{687D53D1-C405-4AA3-BD5D-C358EBE2D319}"/>
    <cellStyle name="Normal 9 5 5" xfId="1832" xr:uid="{00000000-0005-0000-0000-000066200000}"/>
    <cellStyle name="Normal 9 5 5 2" xfId="4062" xr:uid="{00000000-0005-0000-0000-000067200000}"/>
    <cellStyle name="Normal 9 5 5 2 2" xfId="8286" xr:uid="{00000000-0005-0000-0000-000068200000}"/>
    <cellStyle name="Normal 9 5 5 2 2 2" xfId="20919" xr:uid="{79622A38-C37F-42DF-B291-02F598B13014}"/>
    <cellStyle name="Normal 9 5 5 2 3" xfId="16708" xr:uid="{DCCDEC47-6882-4DFE-AFB9-460E82874259}"/>
    <cellStyle name="Normal 9 5 5 2 4" xfId="25958" xr:uid="{B98218C6-5BD1-4A5A-9A9B-23497DF1D1CA}"/>
    <cellStyle name="Normal 9 5 5 2 5" xfId="12497" xr:uid="{E0B08369-C42F-452D-AC54-6FA117EC6B60}"/>
    <cellStyle name="Normal 9 5 5 3" xfId="6141" xr:uid="{00000000-0005-0000-0000-000069200000}"/>
    <cellStyle name="Normal 9 5 5 3 2" xfId="18774" xr:uid="{0E8A8F25-24EF-42D4-8D27-689DE95E8764}"/>
    <cellStyle name="Normal 9 5 5 4" xfId="14563" xr:uid="{4236E807-EF87-4928-97E4-C989B54BC389}"/>
    <cellStyle name="Normal 9 5 5 5" xfId="23813" xr:uid="{3BDB960E-C4C9-4A8F-A855-2EFA942345B5}"/>
    <cellStyle name="Normal 9 5 5 6" xfId="10352" xr:uid="{72768D67-C742-4B3E-B4D3-6680C6198843}"/>
    <cellStyle name="Normal 9 5 6" xfId="2246" xr:uid="{00000000-0005-0000-0000-00006A200000}"/>
    <cellStyle name="Normal 9 5 6 2" xfId="4475" xr:uid="{00000000-0005-0000-0000-00006B200000}"/>
    <cellStyle name="Normal 9 5 6 2 2" xfId="8699" xr:uid="{00000000-0005-0000-0000-00006C200000}"/>
    <cellStyle name="Normal 9 5 6 2 2 2" xfId="21332" xr:uid="{03B180D5-C105-4088-854B-5C773BDFA5AC}"/>
    <cellStyle name="Normal 9 5 6 2 3" xfId="17121" xr:uid="{CC8B1EEE-BA14-43E8-A3C4-CC5748898D48}"/>
    <cellStyle name="Normal 9 5 6 2 4" xfId="26371" xr:uid="{E6540812-6350-4E32-9E72-F80F6497A264}"/>
    <cellStyle name="Normal 9 5 6 2 5" xfId="12910" xr:uid="{BAFD48AB-688F-436D-B388-265117E4E6BE}"/>
    <cellStyle name="Normal 9 5 6 3" xfId="6554" xr:uid="{00000000-0005-0000-0000-00006D200000}"/>
    <cellStyle name="Normal 9 5 6 3 2" xfId="19187" xr:uid="{63EB8E62-3FD6-4246-8DD9-291C3CFB3320}"/>
    <cellStyle name="Normal 9 5 6 4" xfId="14976" xr:uid="{FC994CE4-B1E4-45E6-9320-71EEB990F7EF}"/>
    <cellStyle name="Normal 9 5 6 5" xfId="24226" xr:uid="{E7EB676D-2B78-4511-969E-7606931E60DF}"/>
    <cellStyle name="Normal 9 5 6 6" xfId="10765" xr:uid="{377BCD61-3A24-4C83-B5F0-11C2453EE692}"/>
    <cellStyle name="Normal 9 5 7" xfId="2682" xr:uid="{00000000-0005-0000-0000-00006E200000}"/>
    <cellStyle name="Normal 9 5 7 2" xfId="6967" xr:uid="{00000000-0005-0000-0000-00006F200000}"/>
    <cellStyle name="Normal 9 5 7 2 2" xfId="19600" xr:uid="{E3F5BBE8-6F8C-4B4D-86D5-0D053178A85B}"/>
    <cellStyle name="Normal 9 5 7 3" xfId="15389" xr:uid="{616E8AB2-7454-4C0D-AAE0-1D39282D7414}"/>
    <cellStyle name="Normal 9 5 7 4" xfId="24639" xr:uid="{7408B5DC-D72D-4501-9488-B162BE14DCD3}"/>
    <cellStyle name="Normal 9 5 7 5" xfId="11178" xr:uid="{8C9374CE-4685-46CC-815B-774949FD7BB7}"/>
    <cellStyle name="Normal 9 5 8" xfId="4902" xr:uid="{00000000-0005-0000-0000-000070200000}"/>
    <cellStyle name="Normal 9 5 8 2" xfId="17535" xr:uid="{7FD19B95-3D5E-4ADA-A2C0-2CF06086F2C6}"/>
    <cellStyle name="Normal 9 5 9" xfId="21745" xr:uid="{7063817C-19A3-49E7-B955-55F8A53F008A}"/>
    <cellStyle name="Normal 9 6" xfId="538" xr:uid="{00000000-0005-0000-0000-000071200000}"/>
    <cellStyle name="Normal 9 6 10" xfId="22576" xr:uid="{77B52641-348E-497E-B5EB-6AE77E25D055}"/>
    <cellStyle name="Normal 9 6 11" xfId="9115" xr:uid="{54E38AC6-516D-4E25-A77D-ECAE12FD6621}"/>
    <cellStyle name="Normal 9 6 2" xfId="1006" xr:uid="{00000000-0005-0000-0000-000072200000}"/>
    <cellStyle name="Normal 9 6 2 2" xfId="3238" xr:uid="{00000000-0005-0000-0000-000073200000}"/>
    <cellStyle name="Normal 9 6 2 2 2" xfId="7462" xr:uid="{00000000-0005-0000-0000-000074200000}"/>
    <cellStyle name="Normal 9 6 2 2 2 2" xfId="20095" xr:uid="{C96171F5-69F3-4728-86D5-8B81AA20B1B3}"/>
    <cellStyle name="Normal 9 6 2 2 3" xfId="15884" xr:uid="{1976B318-C573-4256-AA6E-B03685674133}"/>
    <cellStyle name="Normal 9 6 2 2 4" xfId="25134" xr:uid="{AC8F3FB4-8AE3-4496-810A-3FDDD30C5788}"/>
    <cellStyle name="Normal 9 6 2 2 5" xfId="11673" xr:uid="{62A7EDCF-70A7-4926-B308-2B3D838E15CD}"/>
    <cellStyle name="Normal 9 6 2 3" xfId="5317" xr:uid="{00000000-0005-0000-0000-000075200000}"/>
    <cellStyle name="Normal 9 6 2 3 2" xfId="17950" xr:uid="{222BB691-8F41-4926-8DDC-661C5C9F82EC}"/>
    <cellStyle name="Normal 9 6 2 4" xfId="22162" xr:uid="{A816F53C-4190-4652-8163-03C34FFA5616}"/>
    <cellStyle name="Normal 9 6 2 5" xfId="13739" xr:uid="{97BA0136-D70B-4EFC-9A09-9E3E76A0732F}"/>
    <cellStyle name="Normal 9 6 2 6" xfId="22989" xr:uid="{DC20E3C8-3C6B-4203-90A2-2BCF91AFEC26}"/>
    <cellStyle name="Normal 9 6 2 7" xfId="9528" xr:uid="{C041ACF7-D044-4034-949B-8C83662675FF}"/>
    <cellStyle name="Normal 9 6 3" xfId="1421" xr:uid="{00000000-0005-0000-0000-000076200000}"/>
    <cellStyle name="Normal 9 6 3 2" xfId="3651" xr:uid="{00000000-0005-0000-0000-000077200000}"/>
    <cellStyle name="Normal 9 6 3 2 2" xfId="7875" xr:uid="{00000000-0005-0000-0000-000078200000}"/>
    <cellStyle name="Normal 9 6 3 2 2 2" xfId="20508" xr:uid="{9324E856-D597-46A2-A482-1BC58449B48E}"/>
    <cellStyle name="Normal 9 6 3 2 3" xfId="16297" xr:uid="{B6ACEC58-824C-42D1-8E7A-2B709CE8C469}"/>
    <cellStyle name="Normal 9 6 3 2 4" xfId="25547" xr:uid="{718B44E6-86EF-440D-8E0D-575C37AB8B65}"/>
    <cellStyle name="Normal 9 6 3 2 5" xfId="12086" xr:uid="{CEB07419-5859-4E40-99AD-28E10E0BDFDF}"/>
    <cellStyle name="Normal 9 6 3 3" xfId="5730" xr:uid="{00000000-0005-0000-0000-000079200000}"/>
    <cellStyle name="Normal 9 6 3 3 2" xfId="18363" xr:uid="{EF7463D4-945F-4E8D-8C05-D77AB8561168}"/>
    <cellStyle name="Normal 9 6 3 4" xfId="14152" xr:uid="{9EE5F272-1CCA-4495-AF97-B8FA654F42E9}"/>
    <cellStyle name="Normal 9 6 3 5" xfId="23402" xr:uid="{C0A3A11E-F30D-48AF-9FD8-72CB2BAD197A}"/>
    <cellStyle name="Normal 9 6 3 6" xfId="9941" xr:uid="{4EFF443B-76C8-4094-BB45-80DB575B63E5}"/>
    <cellStyle name="Normal 9 6 4" xfId="1834" xr:uid="{00000000-0005-0000-0000-00007A200000}"/>
    <cellStyle name="Normal 9 6 4 2" xfId="4064" xr:uid="{00000000-0005-0000-0000-00007B200000}"/>
    <cellStyle name="Normal 9 6 4 2 2" xfId="8288" xr:uid="{00000000-0005-0000-0000-00007C200000}"/>
    <cellStyle name="Normal 9 6 4 2 2 2" xfId="20921" xr:uid="{3AEDAB39-4CC1-49AC-A123-7342171C8D31}"/>
    <cellStyle name="Normal 9 6 4 2 3" xfId="16710" xr:uid="{B33962F8-9F69-476C-88DC-50740A88D5DC}"/>
    <cellStyle name="Normal 9 6 4 2 4" xfId="25960" xr:uid="{40AC495E-66EB-4F77-AEC2-43736AF8740A}"/>
    <cellStyle name="Normal 9 6 4 2 5" xfId="12499" xr:uid="{F2EC093B-070B-4375-BB4E-CA8A711E1FCB}"/>
    <cellStyle name="Normal 9 6 4 3" xfId="6143" xr:uid="{00000000-0005-0000-0000-00007D200000}"/>
    <cellStyle name="Normal 9 6 4 3 2" xfId="18776" xr:uid="{CC834240-3D33-4558-9D2A-D96FE5682DBA}"/>
    <cellStyle name="Normal 9 6 4 4" xfId="14565" xr:uid="{173E124F-E1C7-4D13-96AD-9C6E0433846E}"/>
    <cellStyle name="Normal 9 6 4 5" xfId="23815" xr:uid="{901D5F3D-86B1-4223-8F47-71F8B4EDE275}"/>
    <cellStyle name="Normal 9 6 4 6" xfId="10354" xr:uid="{4D3CD4D3-8ADE-43AD-88EC-CDDA46E99DA6}"/>
    <cellStyle name="Normal 9 6 5" xfId="2248" xr:uid="{00000000-0005-0000-0000-00007E200000}"/>
    <cellStyle name="Normal 9 6 5 2" xfId="4477" xr:uid="{00000000-0005-0000-0000-00007F200000}"/>
    <cellStyle name="Normal 9 6 5 2 2" xfId="8701" xr:uid="{00000000-0005-0000-0000-000080200000}"/>
    <cellStyle name="Normal 9 6 5 2 2 2" xfId="21334" xr:uid="{B432E810-7C1F-4B4E-8701-6132D63A817C}"/>
    <cellStyle name="Normal 9 6 5 2 3" xfId="17123" xr:uid="{9ED02F57-B829-4315-90BA-65F1CFA665C7}"/>
    <cellStyle name="Normal 9 6 5 2 4" xfId="26373" xr:uid="{7DE1FB0F-13F8-4460-B1CC-8210F4695671}"/>
    <cellStyle name="Normal 9 6 5 2 5" xfId="12912" xr:uid="{28FFEC31-4F7F-4107-8127-DC0CF481BAF6}"/>
    <cellStyle name="Normal 9 6 5 3" xfId="6556" xr:uid="{00000000-0005-0000-0000-000081200000}"/>
    <cellStyle name="Normal 9 6 5 3 2" xfId="19189" xr:uid="{74037411-C68C-40E2-A21D-36C2B0A7C19A}"/>
    <cellStyle name="Normal 9 6 5 4" xfId="14978" xr:uid="{9A5255F9-3B78-4FBD-A25C-F0B551E30684}"/>
    <cellStyle name="Normal 9 6 5 5" xfId="24228" xr:uid="{0E9CE392-22A7-4C2E-8F77-14C880A97E92}"/>
    <cellStyle name="Normal 9 6 5 6" xfId="10767" xr:uid="{96A3E58D-0971-4209-A54D-B127989DF0B1}"/>
    <cellStyle name="Normal 9 6 6" xfId="2684" xr:uid="{00000000-0005-0000-0000-000082200000}"/>
    <cellStyle name="Normal 9 6 6 2" xfId="6969" xr:uid="{00000000-0005-0000-0000-000083200000}"/>
    <cellStyle name="Normal 9 6 6 2 2" xfId="19602" xr:uid="{9170618A-C24C-4A06-90A9-AA257D464533}"/>
    <cellStyle name="Normal 9 6 6 3" xfId="15391" xr:uid="{137E63E0-8BA4-4C8B-89D5-2D591CC8190F}"/>
    <cellStyle name="Normal 9 6 6 4" xfId="24641" xr:uid="{85770EAC-90CF-4A99-A6F4-6560C62AABD5}"/>
    <cellStyle name="Normal 9 6 6 5" xfId="11180" xr:uid="{BE444637-18FC-4120-9508-D0EE09887DF6}"/>
    <cellStyle name="Normal 9 6 7" xfId="4904" xr:uid="{00000000-0005-0000-0000-000084200000}"/>
    <cellStyle name="Normal 9 6 7 2" xfId="17537" xr:uid="{A8EED674-4CFD-4224-9756-232D3BE9F592}"/>
    <cellStyle name="Normal 9 6 8" xfId="21747" xr:uid="{76719E19-9789-4456-BC20-969DBB10E2A9}"/>
    <cellStyle name="Normal 9 6 9" xfId="13326" xr:uid="{50923B33-D9AA-4956-AD8D-1985E72307E5}"/>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9683" xr:uid="{6193573B-EF9D-4B4A-A8F6-008D73F79373}"/>
    <cellStyle name="Note 2 2 10 3" xfId="15472" xr:uid="{44AB111F-DD34-49B6-8786-4902297808B3}"/>
    <cellStyle name="Note 2 2 10 4" xfId="24722" xr:uid="{0EE4F4FC-27A9-4BF6-A6B4-7B00C2634A0B}"/>
    <cellStyle name="Note 2 2 10 5" xfId="11261" xr:uid="{FA1413DD-A393-4D94-AFA4-686558B1FBEA}"/>
    <cellStyle name="Note 2 2 11" xfId="4905" xr:uid="{00000000-0005-0000-0000-000093200000}"/>
    <cellStyle name="Note 2 2 11 2" xfId="17538" xr:uid="{9509EDB1-DD56-470C-BFFB-DA0C587BD160}"/>
    <cellStyle name="Note 2 2 12" xfId="21748" xr:uid="{889FFA9F-BDCF-41DC-948E-C3484C850354}"/>
    <cellStyle name="Note 2 2 13" xfId="13327" xr:uid="{C32E4783-9AC0-44BE-B9AA-72D94B8D78F1}"/>
    <cellStyle name="Note 2 2 14" xfId="22577" xr:uid="{4B7B57D2-6FCA-4398-AB88-79530112C2CB}"/>
    <cellStyle name="Note 2 2 15" xfId="9116" xr:uid="{104D841B-C8AF-47E5-B042-41C23B9C42C7}"/>
    <cellStyle name="Note 2 2 2" xfId="547" xr:uid="{00000000-0005-0000-0000-000094200000}"/>
    <cellStyle name="Note 2 2 2 10" xfId="4906" xr:uid="{00000000-0005-0000-0000-000095200000}"/>
    <cellStyle name="Note 2 2 2 10 2" xfId="17539" xr:uid="{6561C429-27D7-4437-B999-5A5E163B9CC2}"/>
    <cellStyle name="Note 2 2 2 11" xfId="21749" xr:uid="{8AA58A9A-6716-4F73-A14C-90C9BB70BA12}"/>
    <cellStyle name="Note 2 2 2 12" xfId="13328" xr:uid="{F255DCC9-C209-44F8-9521-7A2401F5DED5}"/>
    <cellStyle name="Note 2 2 2 13" xfId="22578" xr:uid="{50E4F1B4-09D1-415D-94E5-D4F72A5720CC}"/>
    <cellStyle name="Note 2 2 2 14" xfId="9117" xr:uid="{CA927D61-AA73-47CB-96B2-15D5A797F981}"/>
    <cellStyle name="Note 2 2 2 2" xfId="548" xr:uid="{00000000-0005-0000-0000-000096200000}"/>
    <cellStyle name="Note 2 2 2 2 10" xfId="21750" xr:uid="{512ABDF9-AF66-4A55-A77A-D05AF7F2B188}"/>
    <cellStyle name="Note 2 2 2 2 11" xfId="13329" xr:uid="{1D0E989D-3D0C-4424-A863-247672201EBF}"/>
    <cellStyle name="Note 2 2 2 2 12" xfId="22579" xr:uid="{2409A48F-CEFE-40AD-B780-D09DFF147230}"/>
    <cellStyle name="Note 2 2 2 2 13" xfId="9118" xr:uid="{DAED7EBA-E11A-4B13-9280-CEF3A446EC10}"/>
    <cellStyle name="Note 2 2 2 2 2" xfId="1009" xr:uid="{00000000-0005-0000-0000-000097200000}"/>
    <cellStyle name="Note 2 2 2 2 2 2" xfId="3241" xr:uid="{00000000-0005-0000-0000-000098200000}"/>
    <cellStyle name="Note 2 2 2 2 2 2 2" xfId="7465" xr:uid="{00000000-0005-0000-0000-000099200000}"/>
    <cellStyle name="Note 2 2 2 2 2 2 2 2" xfId="20098" xr:uid="{751E175F-2C8A-43A3-B5AA-46BA5F2C5976}"/>
    <cellStyle name="Note 2 2 2 2 2 2 3" xfId="15887" xr:uid="{86EE937F-DABF-4966-ABF0-1C46ED6DF2EF}"/>
    <cellStyle name="Note 2 2 2 2 2 2 4" xfId="25137" xr:uid="{D2D7150B-7117-40F7-8FBE-6FC6FC1F7D69}"/>
    <cellStyle name="Note 2 2 2 2 2 2 5" xfId="11676" xr:uid="{28894030-6E4B-476F-B1E8-4B50A90241FB}"/>
    <cellStyle name="Note 2 2 2 2 2 3" xfId="5320" xr:uid="{00000000-0005-0000-0000-00009A200000}"/>
    <cellStyle name="Note 2 2 2 2 2 3 2" xfId="17953" xr:uid="{9E13368B-5B3C-45E0-9B07-A6619ED92FC0}"/>
    <cellStyle name="Note 2 2 2 2 2 4" xfId="22165" xr:uid="{08FD12E5-69AC-4773-B5D1-2E07669B7113}"/>
    <cellStyle name="Note 2 2 2 2 2 5" xfId="13742" xr:uid="{0437FA8E-CD46-46A3-A3A1-81DDFE468344}"/>
    <cellStyle name="Note 2 2 2 2 2 6" xfId="22992" xr:uid="{DA649BD6-8633-409D-B919-F7C1906352BF}"/>
    <cellStyle name="Note 2 2 2 2 2 7" xfId="9531" xr:uid="{986B807C-0E9A-4114-8062-085BCE539D22}"/>
    <cellStyle name="Note 2 2 2 2 3" xfId="1424" xr:uid="{00000000-0005-0000-0000-00009B200000}"/>
    <cellStyle name="Note 2 2 2 2 3 2" xfId="3654" xr:uid="{00000000-0005-0000-0000-00009C200000}"/>
    <cellStyle name="Note 2 2 2 2 3 2 2" xfId="7878" xr:uid="{00000000-0005-0000-0000-00009D200000}"/>
    <cellStyle name="Note 2 2 2 2 3 2 2 2" xfId="20511" xr:uid="{AC2D1A7D-1567-49E8-820E-D094CA0FE06B}"/>
    <cellStyle name="Note 2 2 2 2 3 2 3" xfId="16300" xr:uid="{09F2C31E-44C3-4B35-999A-1DEF59765B2C}"/>
    <cellStyle name="Note 2 2 2 2 3 2 4" xfId="25550" xr:uid="{3F8840A9-08AD-4CF9-8CB5-733A3B84FC8C}"/>
    <cellStyle name="Note 2 2 2 2 3 2 5" xfId="12089" xr:uid="{85B8915F-B335-4880-B779-6582AA97A86B}"/>
    <cellStyle name="Note 2 2 2 2 3 3" xfId="5733" xr:uid="{00000000-0005-0000-0000-00009E200000}"/>
    <cellStyle name="Note 2 2 2 2 3 3 2" xfId="18366" xr:uid="{1C5D257B-EF91-4DEF-97D9-45AA940F67C7}"/>
    <cellStyle name="Note 2 2 2 2 3 4" xfId="14155" xr:uid="{F3F04D02-B669-4706-A467-62144C750506}"/>
    <cellStyle name="Note 2 2 2 2 3 5" xfId="23405" xr:uid="{5B12AB18-7BF4-4DDA-83DE-5D9CFC397769}"/>
    <cellStyle name="Note 2 2 2 2 3 6" xfId="9944" xr:uid="{6E9F169F-41AB-48B8-A320-7AB35FD8E284}"/>
    <cellStyle name="Note 2 2 2 2 4" xfId="1838" xr:uid="{00000000-0005-0000-0000-00009F200000}"/>
    <cellStyle name="Note 2 2 2 2 4 2" xfId="4067" xr:uid="{00000000-0005-0000-0000-0000A0200000}"/>
    <cellStyle name="Note 2 2 2 2 4 2 2" xfId="8291" xr:uid="{00000000-0005-0000-0000-0000A1200000}"/>
    <cellStyle name="Note 2 2 2 2 4 2 2 2" xfId="20924" xr:uid="{D2C65910-4BCC-46CB-A9CD-297A06E694AD}"/>
    <cellStyle name="Note 2 2 2 2 4 2 3" xfId="16713" xr:uid="{D21EF0F0-7D44-47D6-B541-95FC4D8673BE}"/>
    <cellStyle name="Note 2 2 2 2 4 2 4" xfId="25963" xr:uid="{AC8F252F-1A47-4065-BEF7-696A1A3C4DCE}"/>
    <cellStyle name="Note 2 2 2 2 4 2 5" xfId="12502" xr:uid="{5E4B07AD-3FA8-4493-BAE1-2FF9E9929222}"/>
    <cellStyle name="Note 2 2 2 2 4 3" xfId="6146" xr:uid="{00000000-0005-0000-0000-0000A2200000}"/>
    <cellStyle name="Note 2 2 2 2 4 3 2" xfId="18779" xr:uid="{99F32154-733D-4C46-8CC4-69C8F29E1298}"/>
    <cellStyle name="Note 2 2 2 2 4 4" xfId="14568" xr:uid="{BA7BBB9E-11BB-4D93-B468-E5194E81DBBB}"/>
    <cellStyle name="Note 2 2 2 2 4 5" xfId="23818" xr:uid="{581E28F2-C6D9-4E68-9C48-29AF524CD500}"/>
    <cellStyle name="Note 2 2 2 2 4 6" xfId="10357" xr:uid="{9C90EA2E-ACDC-4418-9F81-06B47F8FDD6E}"/>
    <cellStyle name="Note 2 2 2 2 5" xfId="2251" xr:uid="{00000000-0005-0000-0000-0000A3200000}"/>
    <cellStyle name="Note 2 2 2 2 5 2" xfId="4480" xr:uid="{00000000-0005-0000-0000-0000A4200000}"/>
    <cellStyle name="Note 2 2 2 2 5 2 2" xfId="8704" xr:uid="{00000000-0005-0000-0000-0000A5200000}"/>
    <cellStyle name="Note 2 2 2 2 5 2 2 2" xfId="21337" xr:uid="{BB044ACB-8027-4B93-9847-5D48BC8B83A0}"/>
    <cellStyle name="Note 2 2 2 2 5 2 3" xfId="17126" xr:uid="{F8A58D1B-06AE-4D5B-ACDC-818FB6E0A8A5}"/>
    <cellStyle name="Note 2 2 2 2 5 2 4" xfId="26376" xr:uid="{781A690A-697E-4E97-8CE0-E70E21965C5A}"/>
    <cellStyle name="Note 2 2 2 2 5 2 5" xfId="12915" xr:uid="{3957C5D0-E992-4B62-8884-7C349EAC2118}"/>
    <cellStyle name="Note 2 2 2 2 5 3" xfId="6559" xr:uid="{00000000-0005-0000-0000-0000A6200000}"/>
    <cellStyle name="Note 2 2 2 2 5 3 2" xfId="19192" xr:uid="{43ED91FD-9013-4BE9-A2BE-8284FB81E02F}"/>
    <cellStyle name="Note 2 2 2 2 5 4" xfId="14981" xr:uid="{F01F8C78-1AB2-4DA6-B122-18B5942B44EB}"/>
    <cellStyle name="Note 2 2 2 2 5 5" xfId="24231" xr:uid="{F98C225F-55B6-4AD0-BE78-7EBFE7C0E861}"/>
    <cellStyle name="Note 2 2 2 2 5 6" xfId="10770" xr:uid="{C52963CD-DCA8-41C5-B017-A423388CB5DC}"/>
    <cellStyle name="Note 2 2 2 2 6" xfId="2687" xr:uid="{00000000-0005-0000-0000-0000A7200000}"/>
    <cellStyle name="Note 2 2 2 2 6 2" xfId="6972" xr:uid="{00000000-0005-0000-0000-0000A8200000}"/>
    <cellStyle name="Note 2 2 2 2 6 2 2" xfId="19605" xr:uid="{F4B73A86-3AB8-4F80-9546-E69674EC4048}"/>
    <cellStyle name="Note 2 2 2 2 6 3" xfId="15394" xr:uid="{31704250-709E-4675-9735-D3E414CF5D7E}"/>
    <cellStyle name="Note 2 2 2 2 6 4" xfId="24644" xr:uid="{7B4691ED-4F59-4C6C-9A13-345BA9DAF62C}"/>
    <cellStyle name="Note 2 2 2 2 6 5" xfId="11183" xr:uid="{2441B45E-72FF-4934-A128-BD59D6714B27}"/>
    <cellStyle name="Note 2 2 2 2 7" xfId="2746" xr:uid="{00000000-0005-0000-0000-0000A9200000}"/>
    <cellStyle name="Note 2 2 2 2 8" xfId="2827" xr:uid="{00000000-0005-0000-0000-0000AA200000}"/>
    <cellStyle name="Note 2 2 2 2 8 2" xfId="7052" xr:uid="{00000000-0005-0000-0000-0000AB200000}"/>
    <cellStyle name="Note 2 2 2 2 8 2 2" xfId="19685" xr:uid="{BA7F919B-B6B8-4E5C-AC69-90B8864460E5}"/>
    <cellStyle name="Note 2 2 2 2 8 3" xfId="15474" xr:uid="{98624EAE-4AE2-4F3C-9BCC-3448001FC4BE}"/>
    <cellStyle name="Note 2 2 2 2 8 4" xfId="24724" xr:uid="{790BE5BB-FC40-496E-A606-F8FFB056182A}"/>
    <cellStyle name="Note 2 2 2 2 8 5" xfId="11263" xr:uid="{EC5F7E6A-FAA3-477E-BFB8-EE93CED30FF9}"/>
    <cellStyle name="Note 2 2 2 2 9" xfId="4907" xr:uid="{00000000-0005-0000-0000-0000AC200000}"/>
    <cellStyle name="Note 2 2 2 2 9 2" xfId="17540" xr:uid="{D1D6E34B-F8C2-4ADD-9420-77E81A1A4F59}"/>
    <cellStyle name="Note 2 2 2 3" xfId="1008" xr:uid="{00000000-0005-0000-0000-0000AD200000}"/>
    <cellStyle name="Note 2 2 2 3 2" xfId="3240" xr:uid="{00000000-0005-0000-0000-0000AE200000}"/>
    <cellStyle name="Note 2 2 2 3 2 2" xfId="7464" xr:uid="{00000000-0005-0000-0000-0000AF200000}"/>
    <cellStyle name="Note 2 2 2 3 2 2 2" xfId="20097" xr:uid="{134BE98D-85DA-4A0A-A463-27BD9FBD6165}"/>
    <cellStyle name="Note 2 2 2 3 2 3" xfId="15886" xr:uid="{184B1B88-32DF-4B8F-9DF4-EC421461DD24}"/>
    <cellStyle name="Note 2 2 2 3 2 4" xfId="25136" xr:uid="{15D0E512-8536-4E6F-B5CC-A90920B1913E}"/>
    <cellStyle name="Note 2 2 2 3 2 5" xfId="11675" xr:uid="{B979818C-75AF-4AB8-A9B4-FE860316A64B}"/>
    <cellStyle name="Note 2 2 2 3 3" xfId="5319" xr:uid="{00000000-0005-0000-0000-0000B0200000}"/>
    <cellStyle name="Note 2 2 2 3 3 2" xfId="17952" xr:uid="{C1B6BC3D-F83A-4903-9D9E-7D6BA157270E}"/>
    <cellStyle name="Note 2 2 2 3 4" xfId="22164" xr:uid="{4012725F-A22B-46C6-A502-253FE53C3C6F}"/>
    <cellStyle name="Note 2 2 2 3 5" xfId="13741" xr:uid="{72818537-77EB-4599-9235-6BFEE6DBEE6C}"/>
    <cellStyle name="Note 2 2 2 3 6" xfId="22991" xr:uid="{B88D1442-814C-4853-B846-A710BCB1548A}"/>
    <cellStyle name="Note 2 2 2 3 7" xfId="9530" xr:uid="{1718BBFF-69B2-4897-903E-CF70A8277C62}"/>
    <cellStyle name="Note 2 2 2 4" xfId="1423" xr:uid="{00000000-0005-0000-0000-0000B1200000}"/>
    <cellStyle name="Note 2 2 2 4 2" xfId="3653" xr:uid="{00000000-0005-0000-0000-0000B2200000}"/>
    <cellStyle name="Note 2 2 2 4 2 2" xfId="7877" xr:uid="{00000000-0005-0000-0000-0000B3200000}"/>
    <cellStyle name="Note 2 2 2 4 2 2 2" xfId="20510" xr:uid="{046F0FD5-1924-4A9C-848E-8A751893DD99}"/>
    <cellStyle name="Note 2 2 2 4 2 3" xfId="16299" xr:uid="{426401D9-9F61-4607-A0CD-C5B61763CB3D}"/>
    <cellStyle name="Note 2 2 2 4 2 4" xfId="25549" xr:uid="{A3166214-F7A1-41A3-85E0-016A85B7A97F}"/>
    <cellStyle name="Note 2 2 2 4 2 5" xfId="12088" xr:uid="{22E5EF30-3E4A-4263-8EA5-B1B35F642ACA}"/>
    <cellStyle name="Note 2 2 2 4 3" xfId="5732" xr:uid="{00000000-0005-0000-0000-0000B4200000}"/>
    <cellStyle name="Note 2 2 2 4 3 2" xfId="18365" xr:uid="{01FF0385-34D2-4A46-9FC5-ED02B94D25CF}"/>
    <cellStyle name="Note 2 2 2 4 4" xfId="14154" xr:uid="{34FD3204-0880-47C6-B896-E3DED2086EEC}"/>
    <cellStyle name="Note 2 2 2 4 5" xfId="23404" xr:uid="{67C5D16C-D178-4EDD-B2A5-6BE290074D04}"/>
    <cellStyle name="Note 2 2 2 4 6" xfId="9943" xr:uid="{90768CD8-8FF0-4627-94E8-C4FA4912E7A8}"/>
    <cellStyle name="Note 2 2 2 5" xfId="1837" xr:uid="{00000000-0005-0000-0000-0000B5200000}"/>
    <cellStyle name="Note 2 2 2 5 2" xfId="4066" xr:uid="{00000000-0005-0000-0000-0000B6200000}"/>
    <cellStyle name="Note 2 2 2 5 2 2" xfId="8290" xr:uid="{00000000-0005-0000-0000-0000B7200000}"/>
    <cellStyle name="Note 2 2 2 5 2 2 2" xfId="20923" xr:uid="{C97ADE5C-30E1-4FAA-945A-3C5FD898D881}"/>
    <cellStyle name="Note 2 2 2 5 2 3" xfId="16712" xr:uid="{01F17FF1-6D9D-47A6-9D6D-68AD003ED960}"/>
    <cellStyle name="Note 2 2 2 5 2 4" xfId="25962" xr:uid="{10C39EE7-7A12-432D-8614-CA76BE2538C0}"/>
    <cellStyle name="Note 2 2 2 5 2 5" xfId="12501" xr:uid="{E5973A90-717C-46B3-8EDB-D40254F2155D}"/>
    <cellStyle name="Note 2 2 2 5 3" xfId="6145" xr:uid="{00000000-0005-0000-0000-0000B8200000}"/>
    <cellStyle name="Note 2 2 2 5 3 2" xfId="18778" xr:uid="{F139D7C6-5CA3-45B0-91E3-FAED4647977E}"/>
    <cellStyle name="Note 2 2 2 5 4" xfId="14567" xr:uid="{FC5C5363-1306-4200-A41A-1D4F90CA926E}"/>
    <cellStyle name="Note 2 2 2 5 5" xfId="23817" xr:uid="{88404A2D-EB87-47BC-A844-2B5126D3365B}"/>
    <cellStyle name="Note 2 2 2 5 6" xfId="10356" xr:uid="{9C568EBF-0F6A-42FB-8488-F3F77D813B0D}"/>
    <cellStyle name="Note 2 2 2 6" xfId="2250" xr:uid="{00000000-0005-0000-0000-0000B9200000}"/>
    <cellStyle name="Note 2 2 2 6 2" xfId="4479" xr:uid="{00000000-0005-0000-0000-0000BA200000}"/>
    <cellStyle name="Note 2 2 2 6 2 2" xfId="8703" xr:uid="{00000000-0005-0000-0000-0000BB200000}"/>
    <cellStyle name="Note 2 2 2 6 2 2 2" xfId="21336" xr:uid="{C8A1D90E-B129-481A-BB53-C04FDF7403CB}"/>
    <cellStyle name="Note 2 2 2 6 2 3" xfId="17125" xr:uid="{84DCEAAE-8499-4B76-AB4C-4C7DA775E431}"/>
    <cellStyle name="Note 2 2 2 6 2 4" xfId="26375" xr:uid="{302ED2B7-5D2A-4AF5-9CD9-AE3DFC64C0EE}"/>
    <cellStyle name="Note 2 2 2 6 2 5" xfId="12914" xr:uid="{C89BD4C2-127B-46A1-81F1-E646C8D4C432}"/>
    <cellStyle name="Note 2 2 2 6 3" xfId="6558" xr:uid="{00000000-0005-0000-0000-0000BC200000}"/>
    <cellStyle name="Note 2 2 2 6 3 2" xfId="19191" xr:uid="{7683CC15-132B-40AC-BF21-5B302D151D76}"/>
    <cellStyle name="Note 2 2 2 6 4" xfId="14980" xr:uid="{BB012BB8-E10A-414C-8687-B4B7B3A129E1}"/>
    <cellStyle name="Note 2 2 2 6 5" xfId="24230" xr:uid="{E360394C-499B-4C2E-9F01-0D26D5402989}"/>
    <cellStyle name="Note 2 2 2 6 6" xfId="10769" xr:uid="{9B7A9782-34F2-4E33-B476-5A2099C6E6D9}"/>
    <cellStyle name="Note 2 2 2 7" xfId="2686" xr:uid="{00000000-0005-0000-0000-0000BD200000}"/>
    <cellStyle name="Note 2 2 2 7 2" xfId="6971" xr:uid="{00000000-0005-0000-0000-0000BE200000}"/>
    <cellStyle name="Note 2 2 2 7 2 2" xfId="19604" xr:uid="{EA29E4CC-6222-4A18-909F-E5BA6837E4C3}"/>
    <cellStyle name="Note 2 2 2 7 3" xfId="15393" xr:uid="{0F56BC37-2DFD-475C-9F88-0D1AC58B4088}"/>
    <cellStyle name="Note 2 2 2 7 4" xfId="24643" xr:uid="{CC20020F-A088-4062-86BD-B38FC0D50BF5}"/>
    <cellStyle name="Note 2 2 2 7 5" xfId="11182" xr:uid="{D4EFEAFD-FF35-4D92-99F2-B3E8A654558D}"/>
    <cellStyle name="Note 2 2 2 8" xfId="2745" xr:uid="{00000000-0005-0000-0000-0000BF200000}"/>
    <cellStyle name="Note 2 2 2 9" xfId="2826" xr:uid="{00000000-0005-0000-0000-0000C0200000}"/>
    <cellStyle name="Note 2 2 2 9 2" xfId="7051" xr:uid="{00000000-0005-0000-0000-0000C1200000}"/>
    <cellStyle name="Note 2 2 2 9 2 2" xfId="19684" xr:uid="{E2134BDD-D2CF-4F1F-949A-590D2981ADD4}"/>
    <cellStyle name="Note 2 2 2 9 3" xfId="15473" xr:uid="{043844CC-BD89-4781-9038-364C23BF626C}"/>
    <cellStyle name="Note 2 2 2 9 4" xfId="24723" xr:uid="{1A42C38D-B68B-4768-8763-BD241D4D1824}"/>
    <cellStyle name="Note 2 2 2 9 5" xfId="11262" xr:uid="{BB06058E-1873-497C-8D21-0B7C1B7E54BB}"/>
    <cellStyle name="Note 2 2 3" xfId="549" xr:uid="{00000000-0005-0000-0000-0000C2200000}"/>
    <cellStyle name="Note 2 2 3 10" xfId="21751" xr:uid="{E731BF39-05FF-47E8-A25E-55F3D172D8DC}"/>
    <cellStyle name="Note 2 2 3 11" xfId="13330" xr:uid="{307701A6-391E-4046-9C39-420D77B27728}"/>
    <cellStyle name="Note 2 2 3 12" xfId="22580" xr:uid="{0C80D7BD-2212-4F20-824C-C7C79ADC71AD}"/>
    <cellStyle name="Note 2 2 3 13" xfId="9119" xr:uid="{DE620169-2AC7-4756-B7C0-1D714447E97D}"/>
    <cellStyle name="Note 2 2 3 2" xfId="1010" xr:uid="{00000000-0005-0000-0000-0000C3200000}"/>
    <cellStyle name="Note 2 2 3 2 2" xfId="3242" xr:uid="{00000000-0005-0000-0000-0000C4200000}"/>
    <cellStyle name="Note 2 2 3 2 2 2" xfId="7466" xr:uid="{00000000-0005-0000-0000-0000C5200000}"/>
    <cellStyle name="Note 2 2 3 2 2 2 2" xfId="20099" xr:uid="{5D3DD753-1653-42D3-A4F2-B5785917FEEE}"/>
    <cellStyle name="Note 2 2 3 2 2 3" xfId="15888" xr:uid="{4E309DDC-9C20-4A2C-A8BD-1D0CEE57D0F8}"/>
    <cellStyle name="Note 2 2 3 2 2 4" xfId="25138" xr:uid="{5FA6EE80-1AF0-4D96-9022-FEF2D8082897}"/>
    <cellStyle name="Note 2 2 3 2 2 5" xfId="11677" xr:uid="{DA918DEB-F4D5-4F8F-B43D-3E1BFB14A535}"/>
    <cellStyle name="Note 2 2 3 2 3" xfId="5321" xr:uid="{00000000-0005-0000-0000-0000C6200000}"/>
    <cellStyle name="Note 2 2 3 2 3 2" xfId="17954" xr:uid="{57E7AECF-29F3-4BC8-9CD3-4890407B3903}"/>
    <cellStyle name="Note 2 2 3 2 4" xfId="22166" xr:uid="{4D7A18FD-1C60-4775-99B6-B7CC94FB385B}"/>
    <cellStyle name="Note 2 2 3 2 5" xfId="13743" xr:uid="{74FE3864-8E18-4674-9185-62A260363A46}"/>
    <cellStyle name="Note 2 2 3 2 6" xfId="22993" xr:uid="{17C9395E-19A2-4997-BC44-54051225F8BB}"/>
    <cellStyle name="Note 2 2 3 2 7" xfId="9532" xr:uid="{DB0764B7-7705-41B6-8B1F-C7711C791F39}"/>
    <cellStyle name="Note 2 2 3 3" xfId="1425" xr:uid="{00000000-0005-0000-0000-0000C7200000}"/>
    <cellStyle name="Note 2 2 3 3 2" xfId="3655" xr:uid="{00000000-0005-0000-0000-0000C8200000}"/>
    <cellStyle name="Note 2 2 3 3 2 2" xfId="7879" xr:uid="{00000000-0005-0000-0000-0000C9200000}"/>
    <cellStyle name="Note 2 2 3 3 2 2 2" xfId="20512" xr:uid="{4A58B8AB-EF0A-4E39-B6EF-7D1179BC0BE6}"/>
    <cellStyle name="Note 2 2 3 3 2 3" xfId="16301" xr:uid="{670038AA-81C8-4247-98A8-161B806156ED}"/>
    <cellStyle name="Note 2 2 3 3 2 4" xfId="25551" xr:uid="{D6A6B6AA-7312-4996-9194-CAC1C0393DBA}"/>
    <cellStyle name="Note 2 2 3 3 2 5" xfId="12090" xr:uid="{0895A3D8-2237-4DBF-B9BA-956FB849500B}"/>
    <cellStyle name="Note 2 2 3 3 3" xfId="5734" xr:uid="{00000000-0005-0000-0000-0000CA200000}"/>
    <cellStyle name="Note 2 2 3 3 3 2" xfId="18367" xr:uid="{A6BA58A7-B31A-4A35-BAB8-714FBA3F38F3}"/>
    <cellStyle name="Note 2 2 3 3 4" xfId="14156" xr:uid="{8F8F2775-4CBC-4C4C-BFAD-CE4623ED0A8D}"/>
    <cellStyle name="Note 2 2 3 3 5" xfId="23406" xr:uid="{8AD08A23-33D9-47B2-8776-6EDA28F6B840}"/>
    <cellStyle name="Note 2 2 3 3 6" xfId="9945" xr:uid="{DC5990EA-A327-42A1-B9D7-DBB7553D0E75}"/>
    <cellStyle name="Note 2 2 3 4" xfId="1839" xr:uid="{00000000-0005-0000-0000-0000CB200000}"/>
    <cellStyle name="Note 2 2 3 4 2" xfId="4068" xr:uid="{00000000-0005-0000-0000-0000CC200000}"/>
    <cellStyle name="Note 2 2 3 4 2 2" xfId="8292" xr:uid="{00000000-0005-0000-0000-0000CD200000}"/>
    <cellStyle name="Note 2 2 3 4 2 2 2" xfId="20925" xr:uid="{D4923C67-0262-41B5-ABD5-343112463C68}"/>
    <cellStyle name="Note 2 2 3 4 2 3" xfId="16714" xr:uid="{7F073F8D-152F-49C5-8253-A48B44CF461F}"/>
    <cellStyle name="Note 2 2 3 4 2 4" xfId="25964" xr:uid="{D33C2AEB-1D8F-4E71-8090-980B8FBE6BEA}"/>
    <cellStyle name="Note 2 2 3 4 2 5" xfId="12503" xr:uid="{9E6EE07B-080E-4FDC-939F-B23E0B357CBB}"/>
    <cellStyle name="Note 2 2 3 4 3" xfId="6147" xr:uid="{00000000-0005-0000-0000-0000CE200000}"/>
    <cellStyle name="Note 2 2 3 4 3 2" xfId="18780" xr:uid="{35D1C846-A3C2-46BE-A5D3-F0C798A70C81}"/>
    <cellStyle name="Note 2 2 3 4 4" xfId="14569" xr:uid="{9BEBC1C3-1002-465C-BA8C-4DD2C7418395}"/>
    <cellStyle name="Note 2 2 3 4 5" xfId="23819" xr:uid="{75AC4C8B-8B6D-41C3-B4E3-9F216E630753}"/>
    <cellStyle name="Note 2 2 3 4 6" xfId="10358" xr:uid="{AFD69AB6-81FE-4B45-8A24-281253F9AC62}"/>
    <cellStyle name="Note 2 2 3 5" xfId="2252" xr:uid="{00000000-0005-0000-0000-0000CF200000}"/>
    <cellStyle name="Note 2 2 3 5 2" xfId="4481" xr:uid="{00000000-0005-0000-0000-0000D0200000}"/>
    <cellStyle name="Note 2 2 3 5 2 2" xfId="8705" xr:uid="{00000000-0005-0000-0000-0000D1200000}"/>
    <cellStyle name="Note 2 2 3 5 2 2 2" xfId="21338" xr:uid="{DC025ACC-A985-4066-B555-AB26F348C4E2}"/>
    <cellStyle name="Note 2 2 3 5 2 3" xfId="17127" xr:uid="{3241E46A-A606-4E1B-8981-86486F7DF1F6}"/>
    <cellStyle name="Note 2 2 3 5 2 4" xfId="26377" xr:uid="{97F38FEB-8645-4CEA-A7D2-B21DEAABAE03}"/>
    <cellStyle name="Note 2 2 3 5 2 5" xfId="12916" xr:uid="{8AC1485D-EF9F-47C3-B16C-DE48A5DCDDEC}"/>
    <cellStyle name="Note 2 2 3 5 3" xfId="6560" xr:uid="{00000000-0005-0000-0000-0000D2200000}"/>
    <cellStyle name="Note 2 2 3 5 3 2" xfId="19193" xr:uid="{7FB2FB06-C163-4D18-8B82-ACD446BBDD78}"/>
    <cellStyle name="Note 2 2 3 5 4" xfId="14982" xr:uid="{FB5BEDD1-0CDC-432A-9FB1-2ED79F3EAEE7}"/>
    <cellStyle name="Note 2 2 3 5 5" xfId="24232" xr:uid="{0BA6C9E7-0E6D-478C-AB05-32012760C161}"/>
    <cellStyle name="Note 2 2 3 5 6" xfId="10771" xr:uid="{A2731905-67A6-4B4A-A128-4AA6FF77C129}"/>
    <cellStyle name="Note 2 2 3 6" xfId="2688" xr:uid="{00000000-0005-0000-0000-0000D3200000}"/>
    <cellStyle name="Note 2 2 3 6 2" xfId="6973" xr:uid="{00000000-0005-0000-0000-0000D4200000}"/>
    <cellStyle name="Note 2 2 3 6 2 2" xfId="19606" xr:uid="{857E3169-6D74-4049-B42F-B42F3AD988B0}"/>
    <cellStyle name="Note 2 2 3 6 3" xfId="15395" xr:uid="{B1986442-BDB1-4F4B-A9E0-F06311C91D90}"/>
    <cellStyle name="Note 2 2 3 6 4" xfId="24645" xr:uid="{FB873E7D-3A26-41E0-A89A-E88633840AAE}"/>
    <cellStyle name="Note 2 2 3 6 5" xfId="11184" xr:uid="{3D6C01F7-C980-407D-8A9D-7BB9CE5DD394}"/>
    <cellStyle name="Note 2 2 3 7" xfId="2747" xr:uid="{00000000-0005-0000-0000-0000D5200000}"/>
    <cellStyle name="Note 2 2 3 8" xfId="2828" xr:uid="{00000000-0005-0000-0000-0000D6200000}"/>
    <cellStyle name="Note 2 2 3 8 2" xfId="7053" xr:uid="{00000000-0005-0000-0000-0000D7200000}"/>
    <cellStyle name="Note 2 2 3 8 2 2" xfId="19686" xr:uid="{35F78334-483D-4E00-BCBB-CE05907149C5}"/>
    <cellStyle name="Note 2 2 3 8 3" xfId="15475" xr:uid="{8D020B4A-33C5-441A-9342-771E8C358D60}"/>
    <cellStyle name="Note 2 2 3 8 4" xfId="24725" xr:uid="{1FDDEC00-9472-4170-8EBE-A658FD9F01FB}"/>
    <cellStyle name="Note 2 2 3 8 5" xfId="11264" xr:uid="{EAAAC9FC-A19C-4762-A57C-194D80FCADF9}"/>
    <cellStyle name="Note 2 2 3 9" xfId="4908" xr:uid="{00000000-0005-0000-0000-0000D8200000}"/>
    <cellStyle name="Note 2 2 3 9 2" xfId="17541" xr:uid="{072E34D9-B411-4982-B07F-95FCD8F9F4AF}"/>
    <cellStyle name="Note 2 2 4" xfId="1007" xr:uid="{00000000-0005-0000-0000-0000D9200000}"/>
    <cellStyle name="Note 2 2 4 2" xfId="3239" xr:uid="{00000000-0005-0000-0000-0000DA200000}"/>
    <cellStyle name="Note 2 2 4 2 2" xfId="7463" xr:uid="{00000000-0005-0000-0000-0000DB200000}"/>
    <cellStyle name="Note 2 2 4 2 2 2" xfId="20096" xr:uid="{CDF8B3AE-EEC4-4FBC-9594-2AFB4AA61F1D}"/>
    <cellStyle name="Note 2 2 4 2 3" xfId="15885" xr:uid="{BB722E34-AD24-41C9-A716-351413090634}"/>
    <cellStyle name="Note 2 2 4 2 4" xfId="25135" xr:uid="{20A016DF-6016-47DA-B7B3-6A7073083178}"/>
    <cellStyle name="Note 2 2 4 2 5" xfId="11674" xr:uid="{7829CABD-EB01-46F9-90A5-45A7EFE7C7E4}"/>
    <cellStyle name="Note 2 2 4 3" xfId="5318" xr:uid="{00000000-0005-0000-0000-0000DC200000}"/>
    <cellStyle name="Note 2 2 4 3 2" xfId="17951" xr:uid="{0C388E75-79CC-4E2C-BA07-939733FAB9AA}"/>
    <cellStyle name="Note 2 2 4 4" xfId="22163" xr:uid="{625573AF-ACA7-4358-857F-90C8240EACD9}"/>
    <cellStyle name="Note 2 2 4 5" xfId="13740" xr:uid="{EC428700-5A9E-4115-B6FC-7C8994A0A350}"/>
    <cellStyle name="Note 2 2 4 6" xfId="22990" xr:uid="{9D295CFC-3362-430A-9F87-3F9B20E0AFB8}"/>
    <cellStyle name="Note 2 2 4 7" xfId="9529" xr:uid="{A2F14DD3-85E7-417C-B8CC-5ECC990BEF00}"/>
    <cellStyle name="Note 2 2 5" xfId="1422" xr:uid="{00000000-0005-0000-0000-0000DD200000}"/>
    <cellStyle name="Note 2 2 5 2" xfId="3652" xr:uid="{00000000-0005-0000-0000-0000DE200000}"/>
    <cellStyle name="Note 2 2 5 2 2" xfId="7876" xr:uid="{00000000-0005-0000-0000-0000DF200000}"/>
    <cellStyle name="Note 2 2 5 2 2 2" xfId="20509" xr:uid="{785C906E-4D98-44C0-A2C1-56E643D2D4D5}"/>
    <cellStyle name="Note 2 2 5 2 3" xfId="16298" xr:uid="{50C51338-FEF8-4399-9B1A-A6D6A672B394}"/>
    <cellStyle name="Note 2 2 5 2 4" xfId="25548" xr:uid="{E9216E5A-E6EC-4ADB-8563-DBDEB21AB6A8}"/>
    <cellStyle name="Note 2 2 5 2 5" xfId="12087" xr:uid="{2E06BE3A-5705-4ADB-A456-CE32A7AB77C9}"/>
    <cellStyle name="Note 2 2 5 3" xfId="5731" xr:uid="{00000000-0005-0000-0000-0000E0200000}"/>
    <cellStyle name="Note 2 2 5 3 2" xfId="18364" xr:uid="{0E1C7759-1399-472C-BFD3-ED024D765BBE}"/>
    <cellStyle name="Note 2 2 5 4" xfId="14153" xr:uid="{84F2FFCA-A608-4846-9C2A-2D42D811CDA6}"/>
    <cellStyle name="Note 2 2 5 5" xfId="23403" xr:uid="{356DC193-E1DD-4FE5-B116-B26A0119490D}"/>
    <cellStyle name="Note 2 2 5 6" xfId="9942" xr:uid="{7BE9A064-1578-4E89-88E7-F8CF35A28472}"/>
    <cellStyle name="Note 2 2 6" xfId="1836" xr:uid="{00000000-0005-0000-0000-0000E1200000}"/>
    <cellStyle name="Note 2 2 6 2" xfId="4065" xr:uid="{00000000-0005-0000-0000-0000E2200000}"/>
    <cellStyle name="Note 2 2 6 2 2" xfId="8289" xr:uid="{00000000-0005-0000-0000-0000E3200000}"/>
    <cellStyle name="Note 2 2 6 2 2 2" xfId="20922" xr:uid="{3D43D3CB-CD40-49D2-A8CF-F8FBA0ABFD39}"/>
    <cellStyle name="Note 2 2 6 2 3" xfId="16711" xr:uid="{6E3E1F50-6E12-4CCE-8DC1-DB86B6F7ABE8}"/>
    <cellStyle name="Note 2 2 6 2 4" xfId="25961" xr:uid="{727EFD44-2660-4396-AD1F-AF330EA6EBC9}"/>
    <cellStyle name="Note 2 2 6 2 5" xfId="12500" xr:uid="{5B5409E6-F73F-4B0D-8DDD-281430EE998A}"/>
    <cellStyle name="Note 2 2 6 3" xfId="6144" xr:uid="{00000000-0005-0000-0000-0000E4200000}"/>
    <cellStyle name="Note 2 2 6 3 2" xfId="18777" xr:uid="{AB3EA77A-BC63-4EB6-99F3-54CD13EF563D}"/>
    <cellStyle name="Note 2 2 6 4" xfId="14566" xr:uid="{1481A389-288D-42E3-B24E-47D12A62595B}"/>
    <cellStyle name="Note 2 2 6 5" xfId="23816" xr:uid="{DE13D8CA-9892-4AC0-BEB3-BBA2A3821D45}"/>
    <cellStyle name="Note 2 2 6 6" xfId="10355" xr:uid="{1D85B49C-0757-4371-9508-2A3C3DAD7F99}"/>
    <cellStyle name="Note 2 2 7" xfId="2249" xr:uid="{00000000-0005-0000-0000-0000E5200000}"/>
    <cellStyle name="Note 2 2 7 2" xfId="4478" xr:uid="{00000000-0005-0000-0000-0000E6200000}"/>
    <cellStyle name="Note 2 2 7 2 2" xfId="8702" xr:uid="{00000000-0005-0000-0000-0000E7200000}"/>
    <cellStyle name="Note 2 2 7 2 2 2" xfId="21335" xr:uid="{E658E68A-BCBA-4769-A587-91228C6944E5}"/>
    <cellStyle name="Note 2 2 7 2 3" xfId="17124" xr:uid="{DC7CDB06-A62E-426F-A7DF-917A1B6B749F}"/>
    <cellStyle name="Note 2 2 7 2 4" xfId="26374" xr:uid="{8A7E3F90-7A4E-4C2E-8891-378B18211606}"/>
    <cellStyle name="Note 2 2 7 2 5" xfId="12913" xr:uid="{0CB077B4-ED10-42FB-A611-B28B4723DAC5}"/>
    <cellStyle name="Note 2 2 7 3" xfId="6557" xr:uid="{00000000-0005-0000-0000-0000E8200000}"/>
    <cellStyle name="Note 2 2 7 3 2" xfId="19190" xr:uid="{043D973D-369F-4B39-9864-5BBD8387BFA9}"/>
    <cellStyle name="Note 2 2 7 4" xfId="14979" xr:uid="{4B16583C-BC66-42F2-8F64-B9C52DAB3650}"/>
    <cellStyle name="Note 2 2 7 5" xfId="24229" xr:uid="{D770F415-81AE-461D-A68A-28D52FEE0B87}"/>
    <cellStyle name="Note 2 2 7 6" xfId="10768" xr:uid="{7A861A45-23C0-4600-A3BF-0B67D7ED0283}"/>
    <cellStyle name="Note 2 2 8" xfId="2685" xr:uid="{00000000-0005-0000-0000-0000E9200000}"/>
    <cellStyle name="Note 2 2 8 2" xfId="6970" xr:uid="{00000000-0005-0000-0000-0000EA200000}"/>
    <cellStyle name="Note 2 2 8 2 2" xfId="19603" xr:uid="{D469EFE1-C648-4F17-AEEE-F40317FEDC4A}"/>
    <cellStyle name="Note 2 2 8 3" xfId="15392" xr:uid="{44FC7AB9-0560-4344-BA3C-8F5759F87FA2}"/>
    <cellStyle name="Note 2 2 8 4" xfId="24642" xr:uid="{6A005764-B93E-4266-B6D5-24A850E32121}"/>
    <cellStyle name="Note 2 2 8 5" xfId="11181" xr:uid="{CCC71F08-FE7C-464D-B69D-2FD6BBB320EF}"/>
    <cellStyle name="Note 2 2 9" xfId="2744" xr:uid="{00000000-0005-0000-0000-0000EB200000}"/>
    <cellStyle name="Note 2 3" xfId="550" xr:uid="{00000000-0005-0000-0000-0000EC200000}"/>
    <cellStyle name="Note 2 3 10" xfId="4909" xr:uid="{00000000-0005-0000-0000-0000ED200000}"/>
    <cellStyle name="Note 2 3 10 2" xfId="17542" xr:uid="{1528A9AA-A14D-4831-8AD4-67DCBE779785}"/>
    <cellStyle name="Note 2 3 11" xfId="21752" xr:uid="{31A3331C-759B-468D-9C37-7C5E718C0B4D}"/>
    <cellStyle name="Note 2 3 12" xfId="13331" xr:uid="{4401B61D-DFE8-492B-A27F-280C47E92774}"/>
    <cellStyle name="Note 2 3 13" xfId="22581" xr:uid="{10E077C5-1C79-444C-A5FD-15B9A4860AEE}"/>
    <cellStyle name="Note 2 3 14" xfId="9120" xr:uid="{38383E00-11F2-4917-9D0A-F3D4801801F9}"/>
    <cellStyle name="Note 2 3 2" xfId="551" xr:uid="{00000000-0005-0000-0000-0000EE200000}"/>
    <cellStyle name="Note 2 3 2 10" xfId="21753" xr:uid="{8AA76D24-B6E4-4096-B88F-812E860C4B4F}"/>
    <cellStyle name="Note 2 3 2 11" xfId="13332" xr:uid="{6A321BA8-E420-4BCD-AED7-2AD562AE9FE2}"/>
    <cellStyle name="Note 2 3 2 12" xfId="22582" xr:uid="{D05AF795-AF32-45C6-95BA-4CBD869FCEF2}"/>
    <cellStyle name="Note 2 3 2 13" xfId="9121" xr:uid="{62D5B289-BF8A-433F-B40C-620F8AF36F38}"/>
    <cellStyle name="Note 2 3 2 2" xfId="1012" xr:uid="{00000000-0005-0000-0000-0000EF200000}"/>
    <cellStyle name="Note 2 3 2 2 2" xfId="3244" xr:uid="{00000000-0005-0000-0000-0000F0200000}"/>
    <cellStyle name="Note 2 3 2 2 2 2" xfId="7468" xr:uid="{00000000-0005-0000-0000-0000F1200000}"/>
    <cellStyle name="Note 2 3 2 2 2 2 2" xfId="20101" xr:uid="{7D851853-12B5-4DA3-A38D-38D43AA83F6B}"/>
    <cellStyle name="Note 2 3 2 2 2 3" xfId="15890" xr:uid="{11513365-3075-49D7-A91D-E91B5D364BB0}"/>
    <cellStyle name="Note 2 3 2 2 2 4" xfId="25140" xr:uid="{F8688113-3E59-45BA-A996-18A695020CEC}"/>
    <cellStyle name="Note 2 3 2 2 2 5" xfId="11679" xr:uid="{8A49CAB4-4D32-4761-A671-EB82C0376EA0}"/>
    <cellStyle name="Note 2 3 2 2 3" xfId="5323" xr:uid="{00000000-0005-0000-0000-0000F2200000}"/>
    <cellStyle name="Note 2 3 2 2 3 2" xfId="17956" xr:uid="{5747CA77-E2D9-430E-8A35-416DD20BE50A}"/>
    <cellStyle name="Note 2 3 2 2 4" xfId="22168" xr:uid="{F70421B6-5037-4DD4-8203-BF429AF92863}"/>
    <cellStyle name="Note 2 3 2 2 5" xfId="13745" xr:uid="{56B0779C-7918-4ABA-9D79-F3D5F04673B5}"/>
    <cellStyle name="Note 2 3 2 2 6" xfId="22995" xr:uid="{FA48B003-3183-487B-A726-390C3C2D13D9}"/>
    <cellStyle name="Note 2 3 2 2 7" xfId="9534" xr:uid="{A27BB7CB-F602-4619-8F8A-BFF4AE4EC970}"/>
    <cellStyle name="Note 2 3 2 3" xfId="1427" xr:uid="{00000000-0005-0000-0000-0000F3200000}"/>
    <cellStyle name="Note 2 3 2 3 2" xfId="3657" xr:uid="{00000000-0005-0000-0000-0000F4200000}"/>
    <cellStyle name="Note 2 3 2 3 2 2" xfId="7881" xr:uid="{00000000-0005-0000-0000-0000F5200000}"/>
    <cellStyle name="Note 2 3 2 3 2 2 2" xfId="20514" xr:uid="{9392E6FA-58ED-4D68-89CF-84284CE99EF7}"/>
    <cellStyle name="Note 2 3 2 3 2 3" xfId="16303" xr:uid="{B070C59B-B006-48B2-B939-ACC40C6B48BC}"/>
    <cellStyle name="Note 2 3 2 3 2 4" xfId="25553" xr:uid="{7EF0F93B-7BD3-4F25-91F0-E0F167FD9F01}"/>
    <cellStyle name="Note 2 3 2 3 2 5" xfId="12092" xr:uid="{8D040C6E-C47D-4C87-8B57-D668DB94F837}"/>
    <cellStyle name="Note 2 3 2 3 3" xfId="5736" xr:uid="{00000000-0005-0000-0000-0000F6200000}"/>
    <cellStyle name="Note 2 3 2 3 3 2" xfId="18369" xr:uid="{49CC7948-C509-4664-BE84-A50827F4A4EC}"/>
    <cellStyle name="Note 2 3 2 3 4" xfId="14158" xr:uid="{549794D5-8BF1-4ED2-ACC0-81425ADFC3F4}"/>
    <cellStyle name="Note 2 3 2 3 5" xfId="23408" xr:uid="{53DA8F08-39E0-4971-8B47-7B1484CD1D6F}"/>
    <cellStyle name="Note 2 3 2 3 6" xfId="9947" xr:uid="{A32DC66C-A71D-4565-A57A-17FD91573838}"/>
    <cellStyle name="Note 2 3 2 4" xfId="1841" xr:uid="{00000000-0005-0000-0000-0000F7200000}"/>
    <cellStyle name="Note 2 3 2 4 2" xfId="4070" xr:uid="{00000000-0005-0000-0000-0000F8200000}"/>
    <cellStyle name="Note 2 3 2 4 2 2" xfId="8294" xr:uid="{00000000-0005-0000-0000-0000F9200000}"/>
    <cellStyle name="Note 2 3 2 4 2 2 2" xfId="20927" xr:uid="{8FB97B91-4DB4-411F-903B-FA986377701F}"/>
    <cellStyle name="Note 2 3 2 4 2 3" xfId="16716" xr:uid="{68C87C0C-0402-48B7-AF43-54A4EE77673C}"/>
    <cellStyle name="Note 2 3 2 4 2 4" xfId="25966" xr:uid="{9A35E7E9-3F78-4F69-93E1-20B7807753AD}"/>
    <cellStyle name="Note 2 3 2 4 2 5" xfId="12505" xr:uid="{DEFBDF9D-B102-4C9E-A6EB-BC31E17AF853}"/>
    <cellStyle name="Note 2 3 2 4 3" xfId="6149" xr:uid="{00000000-0005-0000-0000-0000FA200000}"/>
    <cellStyle name="Note 2 3 2 4 3 2" xfId="18782" xr:uid="{810C191C-469C-4EF5-A9C9-88220B701D13}"/>
    <cellStyle name="Note 2 3 2 4 4" xfId="14571" xr:uid="{984DD8D7-2736-44FD-8B0D-8A651C99E89C}"/>
    <cellStyle name="Note 2 3 2 4 5" xfId="23821" xr:uid="{9EDAB084-978C-4F20-B617-61C2721AAF8A}"/>
    <cellStyle name="Note 2 3 2 4 6" xfId="10360" xr:uid="{53AB8EB0-4DC8-42E6-B081-50B97FADB033}"/>
    <cellStyle name="Note 2 3 2 5" xfId="2254" xr:uid="{00000000-0005-0000-0000-0000FB200000}"/>
    <cellStyle name="Note 2 3 2 5 2" xfId="4483" xr:uid="{00000000-0005-0000-0000-0000FC200000}"/>
    <cellStyle name="Note 2 3 2 5 2 2" xfId="8707" xr:uid="{00000000-0005-0000-0000-0000FD200000}"/>
    <cellStyle name="Note 2 3 2 5 2 2 2" xfId="21340" xr:uid="{C305EABA-77D7-4329-BF85-0C6760FC0CAB}"/>
    <cellStyle name="Note 2 3 2 5 2 3" xfId="17129" xr:uid="{71CCB92C-0E41-47F9-BBED-A0407F48A204}"/>
    <cellStyle name="Note 2 3 2 5 2 4" xfId="26379" xr:uid="{446DEE5A-3DBA-4FF3-B62C-D6E41EA867B0}"/>
    <cellStyle name="Note 2 3 2 5 2 5" xfId="12918" xr:uid="{F69E8568-6268-493A-8DA8-89AF58143B48}"/>
    <cellStyle name="Note 2 3 2 5 3" xfId="6562" xr:uid="{00000000-0005-0000-0000-0000FE200000}"/>
    <cellStyle name="Note 2 3 2 5 3 2" xfId="19195" xr:uid="{FEC7ACBF-B5B9-4407-89FF-8C0C61482E4F}"/>
    <cellStyle name="Note 2 3 2 5 4" xfId="14984" xr:uid="{4CDDF38B-FC2A-419F-985B-FEB2D6DC9BC6}"/>
    <cellStyle name="Note 2 3 2 5 5" xfId="24234" xr:uid="{71183633-3395-4BF8-B73C-9B976CEAA7EA}"/>
    <cellStyle name="Note 2 3 2 5 6" xfId="10773" xr:uid="{7FB85CAB-3C06-409D-B3A8-6566D197D9B4}"/>
    <cellStyle name="Note 2 3 2 6" xfId="2690" xr:uid="{00000000-0005-0000-0000-0000FF200000}"/>
    <cellStyle name="Note 2 3 2 6 2" xfId="6975" xr:uid="{00000000-0005-0000-0000-000000210000}"/>
    <cellStyle name="Note 2 3 2 6 2 2" xfId="19608" xr:uid="{E6EF8FCF-DC18-40A6-AB8A-42FA961644F2}"/>
    <cellStyle name="Note 2 3 2 6 3" xfId="15397" xr:uid="{A65650F0-A2A2-454E-910C-957BC6EDF2DA}"/>
    <cellStyle name="Note 2 3 2 6 4" xfId="24647" xr:uid="{7CFC0431-9CD1-408E-A706-45FADE3B41A1}"/>
    <cellStyle name="Note 2 3 2 6 5" xfId="11186" xr:uid="{F2AD90A1-4CD7-4AFC-8AF6-B24572E1E83B}"/>
    <cellStyle name="Note 2 3 2 7" xfId="2749" xr:uid="{00000000-0005-0000-0000-000001210000}"/>
    <cellStyle name="Note 2 3 2 8" xfId="2830" xr:uid="{00000000-0005-0000-0000-000002210000}"/>
    <cellStyle name="Note 2 3 2 8 2" xfId="7055" xr:uid="{00000000-0005-0000-0000-000003210000}"/>
    <cellStyle name="Note 2 3 2 8 2 2" xfId="19688" xr:uid="{79F72F55-0DF9-46FD-BEAC-562A72A22321}"/>
    <cellStyle name="Note 2 3 2 8 3" xfId="15477" xr:uid="{F4F3A1C4-4B6E-49F9-8346-8363681EACD6}"/>
    <cellStyle name="Note 2 3 2 8 4" xfId="24727" xr:uid="{C8CAF475-1CDC-4330-BA45-8C192DD3382B}"/>
    <cellStyle name="Note 2 3 2 8 5" xfId="11266" xr:uid="{9BD65C7B-9D61-40B6-BB0C-D31C98E14AC1}"/>
    <cellStyle name="Note 2 3 2 9" xfId="4910" xr:uid="{00000000-0005-0000-0000-000004210000}"/>
    <cellStyle name="Note 2 3 2 9 2" xfId="17543" xr:uid="{5CBE5610-41B4-409D-9456-A567CE30B145}"/>
    <cellStyle name="Note 2 3 3" xfId="1011" xr:uid="{00000000-0005-0000-0000-000005210000}"/>
    <cellStyle name="Note 2 3 3 2" xfId="3243" xr:uid="{00000000-0005-0000-0000-000006210000}"/>
    <cellStyle name="Note 2 3 3 2 2" xfId="7467" xr:uid="{00000000-0005-0000-0000-000007210000}"/>
    <cellStyle name="Note 2 3 3 2 2 2" xfId="20100" xr:uid="{8FC8D132-83A6-4D1E-9BFA-BD58F4F2B03A}"/>
    <cellStyle name="Note 2 3 3 2 3" xfId="15889" xr:uid="{01D02DFF-2C93-40C1-8DEF-40DF7152D96B}"/>
    <cellStyle name="Note 2 3 3 2 4" xfId="25139" xr:uid="{B1A9FDD2-9D3F-474E-A34F-8DA0013E1F69}"/>
    <cellStyle name="Note 2 3 3 2 5" xfId="11678" xr:uid="{0A2DFBB4-F981-4AE7-A5C9-9C220B212731}"/>
    <cellStyle name="Note 2 3 3 3" xfId="5322" xr:uid="{00000000-0005-0000-0000-000008210000}"/>
    <cellStyle name="Note 2 3 3 3 2" xfId="17955" xr:uid="{CB45F25E-0FB5-4274-A310-10C08903ABCC}"/>
    <cellStyle name="Note 2 3 3 4" xfId="22167" xr:uid="{EF7206BC-4DF3-44FF-8F4E-8AFB05C78342}"/>
    <cellStyle name="Note 2 3 3 5" xfId="13744" xr:uid="{0D47A08E-C15C-4DB7-BEDB-E79A9FEF2603}"/>
    <cellStyle name="Note 2 3 3 6" xfId="22994" xr:uid="{270811CD-940B-493D-A58E-FDBB5EF7659B}"/>
    <cellStyle name="Note 2 3 3 7" xfId="9533" xr:uid="{4900A01C-1243-457D-96CE-521461F255BC}"/>
    <cellStyle name="Note 2 3 4" xfId="1426" xr:uid="{00000000-0005-0000-0000-000009210000}"/>
    <cellStyle name="Note 2 3 4 2" xfId="3656" xr:uid="{00000000-0005-0000-0000-00000A210000}"/>
    <cellStyle name="Note 2 3 4 2 2" xfId="7880" xr:uid="{00000000-0005-0000-0000-00000B210000}"/>
    <cellStyle name="Note 2 3 4 2 2 2" xfId="20513" xr:uid="{EF450A58-FD32-4E1F-8F2E-8998B0D58773}"/>
    <cellStyle name="Note 2 3 4 2 3" xfId="16302" xr:uid="{CD2DA374-2223-444E-B3EE-8E18C0CA2DBB}"/>
    <cellStyle name="Note 2 3 4 2 4" xfId="25552" xr:uid="{67B8E426-0D7F-426D-A03E-8E1CDF8D13A7}"/>
    <cellStyle name="Note 2 3 4 2 5" xfId="12091" xr:uid="{376607F6-8488-41EC-9D65-1C2203696EFD}"/>
    <cellStyle name="Note 2 3 4 3" xfId="5735" xr:uid="{00000000-0005-0000-0000-00000C210000}"/>
    <cellStyle name="Note 2 3 4 3 2" xfId="18368" xr:uid="{6CA54513-4C94-4583-A0B8-2FCEFBC7A2F1}"/>
    <cellStyle name="Note 2 3 4 4" xfId="14157" xr:uid="{D286B3B0-C4A9-4AA4-BFC0-8B1B028C9DBC}"/>
    <cellStyle name="Note 2 3 4 5" xfId="23407" xr:uid="{4BEAF2F1-C5EB-4F14-983D-AB67B4ACE970}"/>
    <cellStyle name="Note 2 3 4 6" xfId="9946" xr:uid="{9981C5BA-2D55-4375-9F62-EC6440E1F475}"/>
    <cellStyle name="Note 2 3 5" xfId="1840" xr:uid="{00000000-0005-0000-0000-00000D210000}"/>
    <cellStyle name="Note 2 3 5 2" xfId="4069" xr:uid="{00000000-0005-0000-0000-00000E210000}"/>
    <cellStyle name="Note 2 3 5 2 2" xfId="8293" xr:uid="{00000000-0005-0000-0000-00000F210000}"/>
    <cellStyle name="Note 2 3 5 2 2 2" xfId="20926" xr:uid="{844A9CCA-E96C-4971-BD85-D3D8DC3CB560}"/>
    <cellStyle name="Note 2 3 5 2 3" xfId="16715" xr:uid="{42BD190A-AE43-450C-9CCB-3FE41D641D9F}"/>
    <cellStyle name="Note 2 3 5 2 4" xfId="25965" xr:uid="{97518800-B5D6-4EAB-8901-592B0FB38255}"/>
    <cellStyle name="Note 2 3 5 2 5" xfId="12504" xr:uid="{2913FDE7-FA8E-4102-8934-23062E3BFECD}"/>
    <cellStyle name="Note 2 3 5 3" xfId="6148" xr:uid="{00000000-0005-0000-0000-000010210000}"/>
    <cellStyle name="Note 2 3 5 3 2" xfId="18781" xr:uid="{60545F9D-38C0-4625-A1B6-F787D0EF3060}"/>
    <cellStyle name="Note 2 3 5 4" xfId="14570" xr:uid="{6CFB08BC-2F93-47EE-B332-7114C9990444}"/>
    <cellStyle name="Note 2 3 5 5" xfId="23820" xr:uid="{B633530A-895D-4018-ABE7-111365C3043E}"/>
    <cellStyle name="Note 2 3 5 6" xfId="10359" xr:uid="{C48EE72A-E7DC-46DD-BE23-455659AE1FCC}"/>
    <cellStyle name="Note 2 3 6" xfId="2253" xr:uid="{00000000-0005-0000-0000-000011210000}"/>
    <cellStyle name="Note 2 3 6 2" xfId="4482" xr:uid="{00000000-0005-0000-0000-000012210000}"/>
    <cellStyle name="Note 2 3 6 2 2" xfId="8706" xr:uid="{00000000-0005-0000-0000-000013210000}"/>
    <cellStyle name="Note 2 3 6 2 2 2" xfId="21339" xr:uid="{B6C4E909-2065-4813-AF83-2B49F6BEFF2B}"/>
    <cellStyle name="Note 2 3 6 2 3" xfId="17128" xr:uid="{62A1C00C-C447-4F93-B4CD-74FE5CE216DF}"/>
    <cellStyle name="Note 2 3 6 2 4" xfId="26378" xr:uid="{0A7E335E-23E3-4FA8-AB5F-114B90093470}"/>
    <cellStyle name="Note 2 3 6 2 5" xfId="12917" xr:uid="{C35DBC4D-480C-4BD9-8DE6-A852A13BC22B}"/>
    <cellStyle name="Note 2 3 6 3" xfId="6561" xr:uid="{00000000-0005-0000-0000-000014210000}"/>
    <cellStyle name="Note 2 3 6 3 2" xfId="19194" xr:uid="{C228CEF1-DEA5-4C52-B9A2-425BD0983B02}"/>
    <cellStyle name="Note 2 3 6 4" xfId="14983" xr:uid="{A161AD30-7442-49EA-A483-F28FA492AB8F}"/>
    <cellStyle name="Note 2 3 6 5" xfId="24233" xr:uid="{262939A3-A3B5-407C-BC7B-F5BF29CAB253}"/>
    <cellStyle name="Note 2 3 6 6" xfId="10772" xr:uid="{B591A4F5-F043-46D6-BDE1-E652EE3C3E1D}"/>
    <cellStyle name="Note 2 3 7" xfId="2689" xr:uid="{00000000-0005-0000-0000-000015210000}"/>
    <cellStyle name="Note 2 3 7 2" xfId="6974" xr:uid="{00000000-0005-0000-0000-000016210000}"/>
    <cellStyle name="Note 2 3 7 2 2" xfId="19607" xr:uid="{3549BB68-A986-4EA4-AA0C-7C286FCD39CF}"/>
    <cellStyle name="Note 2 3 7 3" xfId="15396" xr:uid="{6AF05CB3-0158-4339-91CA-A59A75CF5646}"/>
    <cellStyle name="Note 2 3 7 4" xfId="24646" xr:uid="{4B30C155-7980-44F5-8FB2-2718BCEF87B3}"/>
    <cellStyle name="Note 2 3 7 5" xfId="11185" xr:uid="{E63DC321-B509-4619-8DC1-B65756465BFD}"/>
    <cellStyle name="Note 2 3 8" xfId="2748" xr:uid="{00000000-0005-0000-0000-000017210000}"/>
    <cellStyle name="Note 2 3 9" xfId="2829" xr:uid="{00000000-0005-0000-0000-000018210000}"/>
    <cellStyle name="Note 2 3 9 2" xfId="7054" xr:uid="{00000000-0005-0000-0000-000019210000}"/>
    <cellStyle name="Note 2 3 9 2 2" xfId="19687" xr:uid="{F951304E-B089-4AAA-84E7-B51467A1494C}"/>
    <cellStyle name="Note 2 3 9 3" xfId="15476" xr:uid="{C0E8F9F5-17F6-4027-9405-67104878720C}"/>
    <cellStyle name="Note 2 3 9 4" xfId="24726" xr:uid="{4B170DCB-68F6-4B62-9AB9-C347B4B38E3A}"/>
    <cellStyle name="Note 2 3 9 5" xfId="11265" xr:uid="{5CD03A41-7C59-4491-9513-6CFEF2776E8D}"/>
    <cellStyle name="Note 2 4" xfId="552" xr:uid="{00000000-0005-0000-0000-00001A210000}"/>
    <cellStyle name="Note 2 4 10" xfId="21754" xr:uid="{DC4D984A-433D-4EB1-AEB7-CFFAE88A17DA}"/>
    <cellStyle name="Note 2 4 11" xfId="13333" xr:uid="{B1F90A71-E864-4231-8F86-9E6BDFBFAE7D}"/>
    <cellStyle name="Note 2 4 12" xfId="22583" xr:uid="{36E0834B-B7E9-4F2E-93BF-7A229EBCE9EB}"/>
    <cellStyle name="Note 2 4 13" xfId="9122" xr:uid="{11B0A6F5-8BE2-4F4C-9AA9-62970E36FC57}"/>
    <cellStyle name="Note 2 4 2" xfId="1013" xr:uid="{00000000-0005-0000-0000-00001B210000}"/>
    <cellStyle name="Note 2 4 2 2" xfId="3245" xr:uid="{00000000-0005-0000-0000-00001C210000}"/>
    <cellStyle name="Note 2 4 2 2 2" xfId="7469" xr:uid="{00000000-0005-0000-0000-00001D210000}"/>
    <cellStyle name="Note 2 4 2 2 2 2" xfId="20102" xr:uid="{EFE0736C-A5A7-4E1E-8689-FB792E5361C1}"/>
    <cellStyle name="Note 2 4 2 2 3" xfId="15891" xr:uid="{1C0C88D7-16DD-4FF5-8AD7-7538FAF9E8AB}"/>
    <cellStyle name="Note 2 4 2 2 4" xfId="25141" xr:uid="{209A63AF-1EA4-4A92-9FE1-B533F9381D2F}"/>
    <cellStyle name="Note 2 4 2 2 5" xfId="11680" xr:uid="{693AC0D7-37E5-4AFB-86C2-DF32927DFF5B}"/>
    <cellStyle name="Note 2 4 2 3" xfId="5324" xr:uid="{00000000-0005-0000-0000-00001E210000}"/>
    <cellStyle name="Note 2 4 2 3 2" xfId="17957" xr:uid="{773018A2-467E-4FBE-91B5-2E031C2B8704}"/>
    <cellStyle name="Note 2 4 2 4" xfId="22169" xr:uid="{7BBC7497-F1D9-41A7-B8CB-BC9E648AB581}"/>
    <cellStyle name="Note 2 4 2 5" xfId="13746" xr:uid="{D9D5D540-11BC-4469-9331-A12738355C57}"/>
    <cellStyle name="Note 2 4 2 6" xfId="22996" xr:uid="{DC9E7DE5-19FB-400C-8750-CD9F4AD1CB69}"/>
    <cellStyle name="Note 2 4 2 7" xfId="9535" xr:uid="{ED113114-6F5B-4A08-AE26-CF3FAD082134}"/>
    <cellStyle name="Note 2 4 3" xfId="1428" xr:uid="{00000000-0005-0000-0000-00001F210000}"/>
    <cellStyle name="Note 2 4 3 2" xfId="3658" xr:uid="{00000000-0005-0000-0000-000020210000}"/>
    <cellStyle name="Note 2 4 3 2 2" xfId="7882" xr:uid="{00000000-0005-0000-0000-000021210000}"/>
    <cellStyle name="Note 2 4 3 2 2 2" xfId="20515" xr:uid="{524CD9DF-5943-4648-A8B1-05141DCA854A}"/>
    <cellStyle name="Note 2 4 3 2 3" xfId="16304" xr:uid="{A774CE47-B61D-4A79-8BD0-27AA463349B8}"/>
    <cellStyle name="Note 2 4 3 2 4" xfId="25554" xr:uid="{7C2AC604-EFB9-474D-80F0-9BE5BC384B91}"/>
    <cellStyle name="Note 2 4 3 2 5" xfId="12093" xr:uid="{F18AA559-5ACB-4A98-84DC-E1999F9D86A9}"/>
    <cellStyle name="Note 2 4 3 3" xfId="5737" xr:uid="{00000000-0005-0000-0000-000022210000}"/>
    <cellStyle name="Note 2 4 3 3 2" xfId="18370" xr:uid="{D5C0509F-A94A-4E3D-BF6A-AEDB5F0BF6E2}"/>
    <cellStyle name="Note 2 4 3 4" xfId="14159" xr:uid="{66BC996F-21B4-4372-A0E8-85EE390531FD}"/>
    <cellStyle name="Note 2 4 3 5" xfId="23409" xr:uid="{B507F6BC-ECD1-4999-A52B-B7DEFA51BD25}"/>
    <cellStyle name="Note 2 4 3 6" xfId="9948" xr:uid="{6814B35C-0BD7-477D-8F68-01BEB6FAC99A}"/>
    <cellStyle name="Note 2 4 4" xfId="1842" xr:uid="{00000000-0005-0000-0000-000023210000}"/>
    <cellStyle name="Note 2 4 4 2" xfId="4071" xr:uid="{00000000-0005-0000-0000-000024210000}"/>
    <cellStyle name="Note 2 4 4 2 2" xfId="8295" xr:uid="{00000000-0005-0000-0000-000025210000}"/>
    <cellStyle name="Note 2 4 4 2 2 2" xfId="20928" xr:uid="{E3447755-EA70-4215-91D4-E0BCC342B04E}"/>
    <cellStyle name="Note 2 4 4 2 3" xfId="16717" xr:uid="{B8862AC1-F280-42AE-A14D-4EE4D841B03E}"/>
    <cellStyle name="Note 2 4 4 2 4" xfId="25967" xr:uid="{335189AB-1E72-4A7F-AB3C-D9D3A258FB0E}"/>
    <cellStyle name="Note 2 4 4 2 5" xfId="12506" xr:uid="{217CEBE4-7827-4BEA-A436-E9DDAFF17548}"/>
    <cellStyle name="Note 2 4 4 3" xfId="6150" xr:uid="{00000000-0005-0000-0000-000026210000}"/>
    <cellStyle name="Note 2 4 4 3 2" xfId="18783" xr:uid="{63073F2F-DDD3-48A2-B998-28F1D92E9EC8}"/>
    <cellStyle name="Note 2 4 4 4" xfId="14572" xr:uid="{F6C930E4-055D-4309-A5D7-3606D25654FD}"/>
    <cellStyle name="Note 2 4 4 5" xfId="23822" xr:uid="{8151CD31-D91E-4347-A624-FFA1B620C4D2}"/>
    <cellStyle name="Note 2 4 4 6" xfId="10361" xr:uid="{95A093D7-74F9-4D27-AA23-603C93BDA62D}"/>
    <cellStyle name="Note 2 4 5" xfId="2255" xr:uid="{00000000-0005-0000-0000-000027210000}"/>
    <cellStyle name="Note 2 4 5 2" xfId="4484" xr:uid="{00000000-0005-0000-0000-000028210000}"/>
    <cellStyle name="Note 2 4 5 2 2" xfId="8708" xr:uid="{00000000-0005-0000-0000-000029210000}"/>
    <cellStyle name="Note 2 4 5 2 2 2" xfId="21341" xr:uid="{5F67E097-5803-4D8B-9186-309531D622DB}"/>
    <cellStyle name="Note 2 4 5 2 3" xfId="17130" xr:uid="{4F22E40F-A71E-45AB-A803-8A173D818454}"/>
    <cellStyle name="Note 2 4 5 2 4" xfId="26380" xr:uid="{580428DA-A688-428A-9F6D-656CCA6A2F60}"/>
    <cellStyle name="Note 2 4 5 2 5" xfId="12919" xr:uid="{74F78C81-A178-4B67-84B3-A1F0C155D55E}"/>
    <cellStyle name="Note 2 4 5 3" xfId="6563" xr:uid="{00000000-0005-0000-0000-00002A210000}"/>
    <cellStyle name="Note 2 4 5 3 2" xfId="19196" xr:uid="{22CF41D5-365E-42C2-9794-F195311191BF}"/>
    <cellStyle name="Note 2 4 5 4" xfId="14985" xr:uid="{0F33B791-1740-4C12-8886-A774533558F2}"/>
    <cellStyle name="Note 2 4 5 5" xfId="24235" xr:uid="{EDC81235-7FBD-4E91-8222-D0EEF331701B}"/>
    <cellStyle name="Note 2 4 5 6" xfId="10774" xr:uid="{55FA831E-CCDE-44D5-A521-EED56FD5D17E}"/>
    <cellStyle name="Note 2 4 6" xfId="2691" xr:uid="{00000000-0005-0000-0000-00002B210000}"/>
    <cellStyle name="Note 2 4 6 2" xfId="6976" xr:uid="{00000000-0005-0000-0000-00002C210000}"/>
    <cellStyle name="Note 2 4 6 2 2" xfId="19609" xr:uid="{240ECCAC-0F1C-4B62-A1ED-986AA0769D3E}"/>
    <cellStyle name="Note 2 4 6 3" xfId="15398" xr:uid="{047A34AF-7A00-4B80-9AF2-F98C27258259}"/>
    <cellStyle name="Note 2 4 6 4" xfId="24648" xr:uid="{CEA8B46D-5716-4208-826C-A99573392437}"/>
    <cellStyle name="Note 2 4 6 5" xfId="11187" xr:uid="{06346147-F0FC-486A-9CE6-1F8BD521449B}"/>
    <cellStyle name="Note 2 4 7" xfId="2750" xr:uid="{00000000-0005-0000-0000-00002D210000}"/>
    <cellStyle name="Note 2 4 8" xfId="2831" xr:uid="{00000000-0005-0000-0000-00002E210000}"/>
    <cellStyle name="Note 2 4 8 2" xfId="7056" xr:uid="{00000000-0005-0000-0000-00002F210000}"/>
    <cellStyle name="Note 2 4 8 2 2" xfId="19689" xr:uid="{81314458-967C-490A-B825-F5DA1D726CD5}"/>
    <cellStyle name="Note 2 4 8 3" xfId="15478" xr:uid="{831086EA-E1E2-42E2-80AE-27400E825869}"/>
    <cellStyle name="Note 2 4 8 4" xfId="24728" xr:uid="{FC493790-B463-4B94-B778-513BAB3E375A}"/>
    <cellStyle name="Note 2 4 8 5" xfId="11267" xr:uid="{93E5130B-243A-450B-94EA-71FB38DCAAF5}"/>
    <cellStyle name="Note 2 4 9" xfId="4911" xr:uid="{00000000-0005-0000-0000-000030210000}"/>
    <cellStyle name="Note 2 4 9 2" xfId="17544" xr:uid="{979EF55F-8408-4992-9FA8-44378624D9A4}"/>
    <cellStyle name="Note 2 5" xfId="553" xr:uid="{00000000-0005-0000-0000-000031210000}"/>
    <cellStyle name="Note 2 5 10" xfId="21755" xr:uid="{ECE6B442-FF73-4D5E-B013-12D194BB483C}"/>
    <cellStyle name="Note 2 5 11" xfId="13334" xr:uid="{BFBA8564-B1C7-4694-922A-F3A1B98D43FC}"/>
    <cellStyle name="Note 2 5 12" xfId="22584" xr:uid="{1CD6672F-D1EF-459C-88A7-E0150E3DA4C9}"/>
    <cellStyle name="Note 2 5 13" xfId="9123" xr:uid="{BB72192A-509B-4F49-92D3-D0391FB1A202}"/>
    <cellStyle name="Note 2 5 2" xfId="1014" xr:uid="{00000000-0005-0000-0000-000032210000}"/>
    <cellStyle name="Note 2 5 2 2" xfId="3246" xr:uid="{00000000-0005-0000-0000-000033210000}"/>
    <cellStyle name="Note 2 5 2 2 2" xfId="7470" xr:uid="{00000000-0005-0000-0000-000034210000}"/>
    <cellStyle name="Note 2 5 2 2 2 2" xfId="20103" xr:uid="{A982DA5E-E92F-4CEC-AA65-E2BAE9B9D066}"/>
    <cellStyle name="Note 2 5 2 2 3" xfId="15892" xr:uid="{FBC82B45-E0A2-4990-A57D-1FD2AE275D1B}"/>
    <cellStyle name="Note 2 5 2 2 4" xfId="25142" xr:uid="{2B3B8895-4D14-4034-AC77-C3FD7D5ECD22}"/>
    <cellStyle name="Note 2 5 2 2 5" xfId="11681" xr:uid="{2F86F952-6AEC-448E-9102-089D183310C1}"/>
    <cellStyle name="Note 2 5 2 3" xfId="5325" xr:uid="{00000000-0005-0000-0000-000035210000}"/>
    <cellStyle name="Note 2 5 2 3 2" xfId="17958" xr:uid="{F129263E-6FF4-4337-BAE3-1703E6E4526D}"/>
    <cellStyle name="Note 2 5 2 4" xfId="22170" xr:uid="{7D9D3DAB-D802-4DBB-9C6D-06B9F787875A}"/>
    <cellStyle name="Note 2 5 2 5" xfId="13747" xr:uid="{D4A6ED56-A419-4C69-A81A-973B5A60506B}"/>
    <cellStyle name="Note 2 5 2 6" xfId="22997" xr:uid="{7B80A85B-FFB9-4C2C-815A-3BFEC3D014B8}"/>
    <cellStyle name="Note 2 5 2 7" xfId="9536" xr:uid="{E3B6F934-32CD-4139-BEA2-5561E3784A62}"/>
    <cellStyle name="Note 2 5 3" xfId="1429" xr:uid="{00000000-0005-0000-0000-000036210000}"/>
    <cellStyle name="Note 2 5 3 2" xfId="3659" xr:uid="{00000000-0005-0000-0000-000037210000}"/>
    <cellStyle name="Note 2 5 3 2 2" xfId="7883" xr:uid="{00000000-0005-0000-0000-000038210000}"/>
    <cellStyle name="Note 2 5 3 2 2 2" xfId="20516" xr:uid="{B4F85FE3-E372-481C-91F4-21B1097CF54B}"/>
    <cellStyle name="Note 2 5 3 2 3" xfId="16305" xr:uid="{E9AAB732-BC78-4496-ADF9-8CA573915899}"/>
    <cellStyle name="Note 2 5 3 2 4" xfId="25555" xr:uid="{A014E317-527A-4E89-A8E6-601531B00231}"/>
    <cellStyle name="Note 2 5 3 2 5" xfId="12094" xr:uid="{CECED71A-F6CE-412F-865C-179AB4156C2A}"/>
    <cellStyle name="Note 2 5 3 3" xfId="5738" xr:uid="{00000000-0005-0000-0000-000039210000}"/>
    <cellStyle name="Note 2 5 3 3 2" xfId="18371" xr:uid="{A6B9B2EF-5013-4F30-95AE-4F3E63701CEE}"/>
    <cellStyle name="Note 2 5 3 4" xfId="14160" xr:uid="{F17CBFC7-11A6-4760-A0EF-18CCAB8A220C}"/>
    <cellStyle name="Note 2 5 3 5" xfId="23410" xr:uid="{59FAFEC3-3B3E-451F-A357-8AF3023808D0}"/>
    <cellStyle name="Note 2 5 3 6" xfId="9949" xr:uid="{526D6F10-91A6-4DE9-8491-1B3659F7ECDC}"/>
    <cellStyle name="Note 2 5 4" xfId="1843" xr:uid="{00000000-0005-0000-0000-00003A210000}"/>
    <cellStyle name="Note 2 5 4 2" xfId="4072" xr:uid="{00000000-0005-0000-0000-00003B210000}"/>
    <cellStyle name="Note 2 5 4 2 2" xfId="8296" xr:uid="{00000000-0005-0000-0000-00003C210000}"/>
    <cellStyle name="Note 2 5 4 2 2 2" xfId="20929" xr:uid="{A7FBF346-C928-49CD-AECA-B1D82EAAEB0C}"/>
    <cellStyle name="Note 2 5 4 2 3" xfId="16718" xr:uid="{21299E83-7C6C-401B-A70E-00E735D4D69B}"/>
    <cellStyle name="Note 2 5 4 2 4" xfId="25968" xr:uid="{989A19E4-6346-4C4A-AF52-06AA79C82BA4}"/>
    <cellStyle name="Note 2 5 4 2 5" xfId="12507" xr:uid="{875D0FD7-2AC4-40E7-98E0-5A497783693D}"/>
    <cellStyle name="Note 2 5 4 3" xfId="6151" xr:uid="{00000000-0005-0000-0000-00003D210000}"/>
    <cellStyle name="Note 2 5 4 3 2" xfId="18784" xr:uid="{162E2D41-1391-4946-9363-AB2FD41892E9}"/>
    <cellStyle name="Note 2 5 4 4" xfId="14573" xr:uid="{F93A3E20-D05A-4F74-8FF0-5AD08A37D737}"/>
    <cellStyle name="Note 2 5 4 5" xfId="23823" xr:uid="{54483A9A-136A-41A0-AD7D-1A3EC4E343BB}"/>
    <cellStyle name="Note 2 5 4 6" xfId="10362" xr:uid="{103B748C-5163-483F-A8D8-37F25696B63B}"/>
    <cellStyle name="Note 2 5 5" xfId="2256" xr:uid="{00000000-0005-0000-0000-00003E210000}"/>
    <cellStyle name="Note 2 5 5 2" xfId="4485" xr:uid="{00000000-0005-0000-0000-00003F210000}"/>
    <cellStyle name="Note 2 5 5 2 2" xfId="8709" xr:uid="{00000000-0005-0000-0000-000040210000}"/>
    <cellStyle name="Note 2 5 5 2 2 2" xfId="21342" xr:uid="{1677F217-D26C-4A57-92A8-0356CC917D79}"/>
    <cellStyle name="Note 2 5 5 2 3" xfId="17131" xr:uid="{A2680C98-8A63-4437-82B7-2ADFB0695FE9}"/>
    <cellStyle name="Note 2 5 5 2 4" xfId="26381" xr:uid="{6A542D64-F4DB-431F-8E7E-6478F9122EC6}"/>
    <cellStyle name="Note 2 5 5 2 5" xfId="12920" xr:uid="{9AEEF239-EB28-4FD5-A289-C4209CB46347}"/>
    <cellStyle name="Note 2 5 5 3" xfId="6564" xr:uid="{00000000-0005-0000-0000-000041210000}"/>
    <cellStyle name="Note 2 5 5 3 2" xfId="19197" xr:uid="{4FEDA38C-CD39-4E1D-B487-0F2C2E6D49C5}"/>
    <cellStyle name="Note 2 5 5 4" xfId="14986" xr:uid="{CBC5059F-E63F-48D5-BE9F-0AE72B7CA409}"/>
    <cellStyle name="Note 2 5 5 5" xfId="24236" xr:uid="{3028FE6D-051F-4320-AE11-0507ABC55760}"/>
    <cellStyle name="Note 2 5 5 6" xfId="10775" xr:uid="{D776FAD6-D684-4537-9355-C5F3168FDE7A}"/>
    <cellStyle name="Note 2 5 6" xfId="2692" xr:uid="{00000000-0005-0000-0000-000042210000}"/>
    <cellStyle name="Note 2 5 6 2" xfId="6977" xr:uid="{00000000-0005-0000-0000-000043210000}"/>
    <cellStyle name="Note 2 5 6 2 2" xfId="19610" xr:uid="{883D1186-0A5E-45E4-946A-A01CE72B9D78}"/>
    <cellStyle name="Note 2 5 6 3" xfId="15399" xr:uid="{B90C46EC-04F9-48EA-BA01-A016DE35684A}"/>
    <cellStyle name="Note 2 5 6 4" xfId="24649" xr:uid="{3534D502-8C64-4DD5-9573-3363043C894C}"/>
    <cellStyle name="Note 2 5 6 5" xfId="11188" xr:uid="{FE44D2A6-F6AB-4CFE-A6F0-031FED2FDC50}"/>
    <cellStyle name="Note 2 5 7" xfId="2751" xr:uid="{00000000-0005-0000-0000-000044210000}"/>
    <cellStyle name="Note 2 5 8" xfId="2832" xr:uid="{00000000-0005-0000-0000-000045210000}"/>
    <cellStyle name="Note 2 5 8 2" xfId="7057" xr:uid="{00000000-0005-0000-0000-000046210000}"/>
    <cellStyle name="Note 2 5 8 2 2" xfId="19690" xr:uid="{3C719992-D297-4DCB-9FC0-8EFC69A154CD}"/>
    <cellStyle name="Note 2 5 8 3" xfId="15479" xr:uid="{27703DC1-A980-420C-86BD-CD84E585C4CB}"/>
    <cellStyle name="Note 2 5 8 4" xfId="24729" xr:uid="{41BA3766-5DE0-4FF0-B5B6-5BA6C5251D2A}"/>
    <cellStyle name="Note 2 5 8 5" xfId="11268" xr:uid="{A7EA5A97-CB07-433E-8EC6-1EADBE1B37DA}"/>
    <cellStyle name="Note 2 5 9" xfId="4912" xr:uid="{00000000-0005-0000-0000-000047210000}"/>
    <cellStyle name="Note 2 5 9 2" xfId="17545" xr:uid="{1A4AE180-09EC-4C00-B26C-D5D38229E18E}"/>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9691" xr:uid="{8FEDDA43-043C-4070-B089-2AA6AB45DC5C}"/>
    <cellStyle name="Note 3 2 10 3" xfId="15480" xr:uid="{F9E889F8-6909-46C5-8F78-42B127C2EA13}"/>
    <cellStyle name="Note 3 2 10 4" xfId="24730" xr:uid="{68451530-C744-46E8-B080-64DA6DCAED1C}"/>
    <cellStyle name="Note 3 2 10 5" xfId="11269" xr:uid="{2FE230F4-7C39-48A0-8562-A8554FCE50D0}"/>
    <cellStyle name="Note 3 2 11" xfId="4913" xr:uid="{00000000-0005-0000-0000-00004C210000}"/>
    <cellStyle name="Note 3 2 11 2" xfId="17546" xr:uid="{77D03EBD-9065-4741-BD51-A5209E84DBCA}"/>
    <cellStyle name="Note 3 2 12" xfId="21756" xr:uid="{BD3FF16D-F5D6-470C-951A-09A57C08DF26}"/>
    <cellStyle name="Note 3 2 13" xfId="13335" xr:uid="{F59F5197-16C7-4DEB-81AA-757A58179D8D}"/>
    <cellStyle name="Note 3 2 14" xfId="22585" xr:uid="{734AF365-1CC8-488C-895D-0E1AC5584D8A}"/>
    <cellStyle name="Note 3 2 15" xfId="9124" xr:uid="{6AD96AC1-CDC0-4E0A-A719-F8CBC2DE05C2}"/>
    <cellStyle name="Note 3 2 2" xfId="556" xr:uid="{00000000-0005-0000-0000-00004D210000}"/>
    <cellStyle name="Note 3 2 2 10" xfId="4914" xr:uid="{00000000-0005-0000-0000-00004E210000}"/>
    <cellStyle name="Note 3 2 2 10 2" xfId="17547" xr:uid="{69742C9E-6B56-4FD4-99B1-652A879330D6}"/>
    <cellStyle name="Note 3 2 2 11" xfId="21757" xr:uid="{3393750A-DA3E-4135-9F68-E63FE26B9545}"/>
    <cellStyle name="Note 3 2 2 12" xfId="13336" xr:uid="{860D0BC3-F53F-4A22-B7FE-46B298F14611}"/>
    <cellStyle name="Note 3 2 2 13" xfId="22586" xr:uid="{F8203F43-B074-4269-AC7B-03A7CA512AEF}"/>
    <cellStyle name="Note 3 2 2 14" xfId="9125" xr:uid="{E97553AD-98DD-456D-A874-57BE002B84A2}"/>
    <cellStyle name="Note 3 2 2 2" xfId="557" xr:uid="{00000000-0005-0000-0000-00004F210000}"/>
    <cellStyle name="Note 3 2 2 2 10" xfId="21758" xr:uid="{BC5B93CD-2391-4A7E-9FE3-0995752EB4FD}"/>
    <cellStyle name="Note 3 2 2 2 11" xfId="13337" xr:uid="{D60DDAE6-0370-48EB-ACB1-6A581A715969}"/>
    <cellStyle name="Note 3 2 2 2 12" xfId="22587" xr:uid="{FC2FBAB5-CAA7-4869-B79C-BA1279BB8B61}"/>
    <cellStyle name="Note 3 2 2 2 13" xfId="9126" xr:uid="{83935961-7B49-485F-8B2C-71A21937D83D}"/>
    <cellStyle name="Note 3 2 2 2 2" xfId="1017" xr:uid="{00000000-0005-0000-0000-000050210000}"/>
    <cellStyle name="Note 3 2 2 2 2 2" xfId="3249" xr:uid="{00000000-0005-0000-0000-000051210000}"/>
    <cellStyle name="Note 3 2 2 2 2 2 2" xfId="7473" xr:uid="{00000000-0005-0000-0000-000052210000}"/>
    <cellStyle name="Note 3 2 2 2 2 2 2 2" xfId="20106" xr:uid="{9998081D-81E8-4579-B76B-AD502B3E696F}"/>
    <cellStyle name="Note 3 2 2 2 2 2 3" xfId="15895" xr:uid="{49E7DC5A-69EC-415A-9680-B344EA56F844}"/>
    <cellStyle name="Note 3 2 2 2 2 2 4" xfId="25145" xr:uid="{D392C148-F9E1-45CE-B0B2-C24D9919E296}"/>
    <cellStyle name="Note 3 2 2 2 2 2 5" xfId="11684" xr:uid="{065A3F8A-933C-4CCD-9067-5E892094E8A6}"/>
    <cellStyle name="Note 3 2 2 2 2 3" xfId="5328" xr:uid="{00000000-0005-0000-0000-000053210000}"/>
    <cellStyle name="Note 3 2 2 2 2 3 2" xfId="17961" xr:uid="{4EC1D499-A353-49E1-99DB-79BC11ABF3B2}"/>
    <cellStyle name="Note 3 2 2 2 2 4" xfId="22173" xr:uid="{0E8F2DA3-A2A7-4A14-82CD-31CF13B14E05}"/>
    <cellStyle name="Note 3 2 2 2 2 5" xfId="13750" xr:uid="{E213F688-8902-4760-BBA7-EE3F3A8E9B5A}"/>
    <cellStyle name="Note 3 2 2 2 2 6" xfId="23000" xr:uid="{AE807320-2794-4F22-8032-EAE41B360BBF}"/>
    <cellStyle name="Note 3 2 2 2 2 7" xfId="9539" xr:uid="{ECCEA7FE-6FF2-4BF3-A4D0-C13CEBD332FC}"/>
    <cellStyle name="Note 3 2 2 2 3" xfId="1432" xr:uid="{00000000-0005-0000-0000-000054210000}"/>
    <cellStyle name="Note 3 2 2 2 3 2" xfId="3662" xr:uid="{00000000-0005-0000-0000-000055210000}"/>
    <cellStyle name="Note 3 2 2 2 3 2 2" xfId="7886" xr:uid="{00000000-0005-0000-0000-000056210000}"/>
    <cellStyle name="Note 3 2 2 2 3 2 2 2" xfId="20519" xr:uid="{C8CFA855-F77C-46DA-874D-03F93B8A1E6B}"/>
    <cellStyle name="Note 3 2 2 2 3 2 3" xfId="16308" xr:uid="{2EBCDE16-2B47-4664-99E5-AF5BA07D1FB9}"/>
    <cellStyle name="Note 3 2 2 2 3 2 4" xfId="25558" xr:uid="{6EA5AC27-8FFD-4E6B-95C7-E18BEBB80F03}"/>
    <cellStyle name="Note 3 2 2 2 3 2 5" xfId="12097" xr:uid="{1215FD82-9533-444A-8DA4-679B2F6C21D8}"/>
    <cellStyle name="Note 3 2 2 2 3 3" xfId="5741" xr:uid="{00000000-0005-0000-0000-000057210000}"/>
    <cellStyle name="Note 3 2 2 2 3 3 2" xfId="18374" xr:uid="{5DEED75C-7BC0-42EC-9DC1-60CD9609253F}"/>
    <cellStyle name="Note 3 2 2 2 3 4" xfId="14163" xr:uid="{21E1A1CB-5290-4BA7-829B-E7FCA28C58F5}"/>
    <cellStyle name="Note 3 2 2 2 3 5" xfId="23413" xr:uid="{2CC02F0B-9431-48E4-BF6E-F472F3E26A6B}"/>
    <cellStyle name="Note 3 2 2 2 3 6" xfId="9952" xr:uid="{F7C4543A-A418-4C36-B2AF-EBBC8D8AD191}"/>
    <cellStyle name="Note 3 2 2 2 4" xfId="1846" xr:uid="{00000000-0005-0000-0000-000058210000}"/>
    <cellStyle name="Note 3 2 2 2 4 2" xfId="4075" xr:uid="{00000000-0005-0000-0000-000059210000}"/>
    <cellStyle name="Note 3 2 2 2 4 2 2" xfId="8299" xr:uid="{00000000-0005-0000-0000-00005A210000}"/>
    <cellStyle name="Note 3 2 2 2 4 2 2 2" xfId="20932" xr:uid="{C1D0970B-CBD8-4063-A25E-19E5330E27AE}"/>
    <cellStyle name="Note 3 2 2 2 4 2 3" xfId="16721" xr:uid="{DA79D575-F850-4F07-AB80-48E9AF5131DD}"/>
    <cellStyle name="Note 3 2 2 2 4 2 4" xfId="25971" xr:uid="{D901AB0C-EB26-4425-9E4E-BD24847EA46C}"/>
    <cellStyle name="Note 3 2 2 2 4 2 5" xfId="12510" xr:uid="{E158BEC6-2F92-4B69-B2CE-D0E482FA4577}"/>
    <cellStyle name="Note 3 2 2 2 4 3" xfId="6154" xr:uid="{00000000-0005-0000-0000-00005B210000}"/>
    <cellStyle name="Note 3 2 2 2 4 3 2" xfId="18787" xr:uid="{9096CA30-D030-48E1-BD58-E0A5FF467726}"/>
    <cellStyle name="Note 3 2 2 2 4 4" xfId="14576" xr:uid="{64A4B287-3890-4D1A-A5FC-BB78DA0DEF17}"/>
    <cellStyle name="Note 3 2 2 2 4 5" xfId="23826" xr:uid="{5777816B-0404-46A1-8498-EBF1206DA892}"/>
    <cellStyle name="Note 3 2 2 2 4 6" xfId="10365" xr:uid="{7A816A7C-7BA6-4EB6-93D7-E434CC9CF47A}"/>
    <cellStyle name="Note 3 2 2 2 5" xfId="2259" xr:uid="{00000000-0005-0000-0000-00005C210000}"/>
    <cellStyle name="Note 3 2 2 2 5 2" xfId="4488" xr:uid="{00000000-0005-0000-0000-00005D210000}"/>
    <cellStyle name="Note 3 2 2 2 5 2 2" xfId="8712" xr:uid="{00000000-0005-0000-0000-00005E210000}"/>
    <cellStyle name="Note 3 2 2 2 5 2 2 2" xfId="21345" xr:uid="{9CD45C49-40F4-428A-ACA6-8EA4946A3298}"/>
    <cellStyle name="Note 3 2 2 2 5 2 3" xfId="17134" xr:uid="{372DB603-D4A6-4433-9952-FE717A6FB313}"/>
    <cellStyle name="Note 3 2 2 2 5 2 4" xfId="26384" xr:uid="{F9DE28F7-B1AB-4DA8-8214-2B7E0821D712}"/>
    <cellStyle name="Note 3 2 2 2 5 2 5" xfId="12923" xr:uid="{350F71E1-C84F-4785-B531-D7588DDF389F}"/>
    <cellStyle name="Note 3 2 2 2 5 3" xfId="6567" xr:uid="{00000000-0005-0000-0000-00005F210000}"/>
    <cellStyle name="Note 3 2 2 2 5 3 2" xfId="19200" xr:uid="{A2A07A47-1984-4EC5-8A53-7DAF384FEDF5}"/>
    <cellStyle name="Note 3 2 2 2 5 4" xfId="14989" xr:uid="{5AB074B1-2453-44FA-AE07-C0076FA272F3}"/>
    <cellStyle name="Note 3 2 2 2 5 5" xfId="24239" xr:uid="{62565512-47E2-4C0A-AE86-8E3A1E00E6FB}"/>
    <cellStyle name="Note 3 2 2 2 5 6" xfId="10778" xr:uid="{DFF77E79-E800-49A8-B7EF-DCE8AD4CC4CE}"/>
    <cellStyle name="Note 3 2 2 2 6" xfId="2695" xr:uid="{00000000-0005-0000-0000-000060210000}"/>
    <cellStyle name="Note 3 2 2 2 6 2" xfId="6980" xr:uid="{00000000-0005-0000-0000-000061210000}"/>
    <cellStyle name="Note 3 2 2 2 6 2 2" xfId="19613" xr:uid="{3DEC3A6D-C168-4D37-A90B-542EDED11C44}"/>
    <cellStyle name="Note 3 2 2 2 6 3" xfId="15402" xr:uid="{F94BF3EE-068F-4365-9044-850D5234086F}"/>
    <cellStyle name="Note 3 2 2 2 6 4" xfId="24652" xr:uid="{F6AE6213-AE55-4F1B-8A22-EFE5875D4177}"/>
    <cellStyle name="Note 3 2 2 2 6 5" xfId="11191" xr:uid="{84782173-E6BF-4213-B1C2-6D27516749B9}"/>
    <cellStyle name="Note 3 2 2 2 7" xfId="2754" xr:uid="{00000000-0005-0000-0000-000062210000}"/>
    <cellStyle name="Note 3 2 2 2 8" xfId="2835" xr:uid="{00000000-0005-0000-0000-000063210000}"/>
    <cellStyle name="Note 3 2 2 2 8 2" xfId="7060" xr:uid="{00000000-0005-0000-0000-000064210000}"/>
    <cellStyle name="Note 3 2 2 2 8 2 2" xfId="19693" xr:uid="{67D24103-DF0B-49AC-8D05-34C47F377074}"/>
    <cellStyle name="Note 3 2 2 2 8 3" xfId="15482" xr:uid="{AD203E00-D38A-4D9B-B235-77BE0042B0CD}"/>
    <cellStyle name="Note 3 2 2 2 8 4" xfId="24732" xr:uid="{BDA228FE-0018-4757-9DBD-333C70662E1B}"/>
    <cellStyle name="Note 3 2 2 2 8 5" xfId="11271" xr:uid="{E295262D-0E15-4392-B9B7-9AFE053067B9}"/>
    <cellStyle name="Note 3 2 2 2 9" xfId="4915" xr:uid="{00000000-0005-0000-0000-000065210000}"/>
    <cellStyle name="Note 3 2 2 2 9 2" xfId="17548" xr:uid="{2210A341-DCF2-44D3-91DB-16767B6C5482}"/>
    <cellStyle name="Note 3 2 2 3" xfId="1016" xr:uid="{00000000-0005-0000-0000-000066210000}"/>
    <cellStyle name="Note 3 2 2 3 2" xfId="3248" xr:uid="{00000000-0005-0000-0000-000067210000}"/>
    <cellStyle name="Note 3 2 2 3 2 2" xfId="7472" xr:uid="{00000000-0005-0000-0000-000068210000}"/>
    <cellStyle name="Note 3 2 2 3 2 2 2" xfId="20105" xr:uid="{540BC3B1-B567-4B62-96D7-F7AC49E93158}"/>
    <cellStyle name="Note 3 2 2 3 2 3" xfId="15894" xr:uid="{6C992BF7-89EF-42EF-B94D-CCED80993868}"/>
    <cellStyle name="Note 3 2 2 3 2 4" xfId="25144" xr:uid="{EAB5F27B-F529-405C-974B-F421D4C957AD}"/>
    <cellStyle name="Note 3 2 2 3 2 5" xfId="11683" xr:uid="{67F18807-D1AE-4BB3-B8E6-7ED6CF1406C2}"/>
    <cellStyle name="Note 3 2 2 3 3" xfId="5327" xr:uid="{00000000-0005-0000-0000-000069210000}"/>
    <cellStyle name="Note 3 2 2 3 3 2" xfId="17960" xr:uid="{94336F16-C47A-486C-BA96-A2810B8032CF}"/>
    <cellStyle name="Note 3 2 2 3 4" xfId="22172" xr:uid="{A094A1E3-8433-4004-8E07-F7764D8E1E79}"/>
    <cellStyle name="Note 3 2 2 3 5" xfId="13749" xr:uid="{B51ECA02-B5E0-47E6-BFDD-5BAB95827D0C}"/>
    <cellStyle name="Note 3 2 2 3 6" xfId="22999" xr:uid="{5C25C19A-9660-4786-9149-40B8D2756503}"/>
    <cellStyle name="Note 3 2 2 3 7" xfId="9538" xr:uid="{E245FB22-BEB8-4B04-BA79-6C81A9B38C58}"/>
    <cellStyle name="Note 3 2 2 4" xfId="1431" xr:uid="{00000000-0005-0000-0000-00006A210000}"/>
    <cellStyle name="Note 3 2 2 4 2" xfId="3661" xr:uid="{00000000-0005-0000-0000-00006B210000}"/>
    <cellStyle name="Note 3 2 2 4 2 2" xfId="7885" xr:uid="{00000000-0005-0000-0000-00006C210000}"/>
    <cellStyle name="Note 3 2 2 4 2 2 2" xfId="20518" xr:uid="{3E62F8AF-7EA2-4C04-8710-B520E6E2204E}"/>
    <cellStyle name="Note 3 2 2 4 2 3" xfId="16307" xr:uid="{55628B23-DF06-44B0-A17E-D4CD2BDD49F3}"/>
    <cellStyle name="Note 3 2 2 4 2 4" xfId="25557" xr:uid="{0A74106F-4D03-485E-9ACF-0EC30A60AE58}"/>
    <cellStyle name="Note 3 2 2 4 2 5" xfId="12096" xr:uid="{32C034D5-E63F-4E94-A875-7AF3A7AF30B1}"/>
    <cellStyle name="Note 3 2 2 4 3" xfId="5740" xr:uid="{00000000-0005-0000-0000-00006D210000}"/>
    <cellStyle name="Note 3 2 2 4 3 2" xfId="18373" xr:uid="{13206D97-3FD6-4313-826D-D88C22485FF0}"/>
    <cellStyle name="Note 3 2 2 4 4" xfId="14162" xr:uid="{0EABCBAB-CDBE-4A92-A2CF-A48426FDEC09}"/>
    <cellStyle name="Note 3 2 2 4 5" xfId="23412" xr:uid="{66185C85-34BF-440A-B7BC-CA86FBC22E1D}"/>
    <cellStyle name="Note 3 2 2 4 6" xfId="9951" xr:uid="{E3964CD0-AC21-4977-8CFC-01DCDD8767E0}"/>
    <cellStyle name="Note 3 2 2 5" xfId="1845" xr:uid="{00000000-0005-0000-0000-00006E210000}"/>
    <cellStyle name="Note 3 2 2 5 2" xfId="4074" xr:uid="{00000000-0005-0000-0000-00006F210000}"/>
    <cellStyle name="Note 3 2 2 5 2 2" xfId="8298" xr:uid="{00000000-0005-0000-0000-000070210000}"/>
    <cellStyle name="Note 3 2 2 5 2 2 2" xfId="20931" xr:uid="{4F7953C3-1CED-42C4-8ACD-F3FE9D07811A}"/>
    <cellStyle name="Note 3 2 2 5 2 3" xfId="16720" xr:uid="{6F6DA509-08A7-4FAB-95D2-39637B12B481}"/>
    <cellStyle name="Note 3 2 2 5 2 4" xfId="25970" xr:uid="{A877B355-F877-4091-A360-7D5CEC349862}"/>
    <cellStyle name="Note 3 2 2 5 2 5" xfId="12509" xr:uid="{881D2C9D-DF2B-4F3C-B975-FD2F02AEF0C5}"/>
    <cellStyle name="Note 3 2 2 5 3" xfId="6153" xr:uid="{00000000-0005-0000-0000-000071210000}"/>
    <cellStyle name="Note 3 2 2 5 3 2" xfId="18786" xr:uid="{2040721C-2974-4603-86F6-4D4816A70423}"/>
    <cellStyle name="Note 3 2 2 5 4" xfId="14575" xr:uid="{E22BEA94-4486-458C-B5E2-2CFD83D68796}"/>
    <cellStyle name="Note 3 2 2 5 5" xfId="23825" xr:uid="{770D3C75-1128-4705-8F93-3A3919D3196C}"/>
    <cellStyle name="Note 3 2 2 5 6" xfId="10364" xr:uid="{B9945B61-3B52-4FEA-9071-AEC9A3908E19}"/>
    <cellStyle name="Note 3 2 2 6" xfId="2258" xr:uid="{00000000-0005-0000-0000-000072210000}"/>
    <cellStyle name="Note 3 2 2 6 2" xfId="4487" xr:uid="{00000000-0005-0000-0000-000073210000}"/>
    <cellStyle name="Note 3 2 2 6 2 2" xfId="8711" xr:uid="{00000000-0005-0000-0000-000074210000}"/>
    <cellStyle name="Note 3 2 2 6 2 2 2" xfId="21344" xr:uid="{00DA0D99-708F-4C7C-A852-9AF28C8E6136}"/>
    <cellStyle name="Note 3 2 2 6 2 3" xfId="17133" xr:uid="{DBF93990-1271-49FB-8059-1D768604B797}"/>
    <cellStyle name="Note 3 2 2 6 2 4" xfId="26383" xr:uid="{8B39CACB-7E32-464D-A229-02F23771D9C9}"/>
    <cellStyle name="Note 3 2 2 6 2 5" xfId="12922" xr:uid="{79FB1033-9E4F-46D5-AF04-5F63D3216CE8}"/>
    <cellStyle name="Note 3 2 2 6 3" xfId="6566" xr:uid="{00000000-0005-0000-0000-000075210000}"/>
    <cellStyle name="Note 3 2 2 6 3 2" xfId="19199" xr:uid="{D37A1957-950D-4C07-97FC-294B674842C7}"/>
    <cellStyle name="Note 3 2 2 6 4" xfId="14988" xr:uid="{D68FD440-5112-4B2B-90A8-9B2DF7669F42}"/>
    <cellStyle name="Note 3 2 2 6 5" xfId="24238" xr:uid="{2EDC8152-5915-4EEA-8621-38839294C6BD}"/>
    <cellStyle name="Note 3 2 2 6 6" xfId="10777" xr:uid="{3D63839E-5314-4F59-A572-C41264644818}"/>
    <cellStyle name="Note 3 2 2 7" xfId="2694" xr:uid="{00000000-0005-0000-0000-000076210000}"/>
    <cellStyle name="Note 3 2 2 7 2" xfId="6979" xr:uid="{00000000-0005-0000-0000-000077210000}"/>
    <cellStyle name="Note 3 2 2 7 2 2" xfId="19612" xr:uid="{05E31E81-4B49-4747-9014-1BF49517582C}"/>
    <cellStyle name="Note 3 2 2 7 3" xfId="15401" xr:uid="{EFCEA0AB-F88E-447E-A773-9136A69311BE}"/>
    <cellStyle name="Note 3 2 2 7 4" xfId="24651" xr:uid="{F281F01C-D443-4764-96D1-93992B2E4BE4}"/>
    <cellStyle name="Note 3 2 2 7 5" xfId="11190" xr:uid="{6D7C2FEF-DFD4-42DE-A5CA-BDD92E47C92F}"/>
    <cellStyle name="Note 3 2 2 8" xfId="2753" xr:uid="{00000000-0005-0000-0000-000078210000}"/>
    <cellStyle name="Note 3 2 2 9" xfId="2834" xr:uid="{00000000-0005-0000-0000-000079210000}"/>
    <cellStyle name="Note 3 2 2 9 2" xfId="7059" xr:uid="{00000000-0005-0000-0000-00007A210000}"/>
    <cellStyle name="Note 3 2 2 9 2 2" xfId="19692" xr:uid="{9143C74B-D5A8-4462-AFF9-AB5422293D6B}"/>
    <cellStyle name="Note 3 2 2 9 3" xfId="15481" xr:uid="{5141FF80-FD6E-407D-92C0-870DE936E184}"/>
    <cellStyle name="Note 3 2 2 9 4" xfId="24731" xr:uid="{7E9A9AB2-FDF8-498D-B75E-FC62F9437F04}"/>
    <cellStyle name="Note 3 2 2 9 5" xfId="11270" xr:uid="{A7EF9352-85D2-40D3-AE7D-8E7279D0D114}"/>
    <cellStyle name="Note 3 2 3" xfId="558" xr:uid="{00000000-0005-0000-0000-00007B210000}"/>
    <cellStyle name="Note 3 2 3 10" xfId="21759" xr:uid="{68335169-3581-4CA0-8562-089968E2AD15}"/>
    <cellStyle name="Note 3 2 3 11" xfId="13338" xr:uid="{C1DDABCD-F753-4CF7-A863-A608CD745B2A}"/>
    <cellStyle name="Note 3 2 3 12" xfId="22588" xr:uid="{3A59A180-89E1-42AE-A975-2E3E719FA4BF}"/>
    <cellStyle name="Note 3 2 3 13" xfId="9127" xr:uid="{414D0893-A9BC-4BE9-B573-52C74BE1943C}"/>
    <cellStyle name="Note 3 2 3 2" xfId="1018" xr:uid="{00000000-0005-0000-0000-00007C210000}"/>
    <cellStyle name="Note 3 2 3 2 2" xfId="3250" xr:uid="{00000000-0005-0000-0000-00007D210000}"/>
    <cellStyle name="Note 3 2 3 2 2 2" xfId="7474" xr:uid="{00000000-0005-0000-0000-00007E210000}"/>
    <cellStyle name="Note 3 2 3 2 2 2 2" xfId="20107" xr:uid="{C3B7B1AD-1E43-4503-8E2A-7143BF740B83}"/>
    <cellStyle name="Note 3 2 3 2 2 3" xfId="15896" xr:uid="{656DB14C-539E-4EC8-92E4-8ADFD1A337D7}"/>
    <cellStyle name="Note 3 2 3 2 2 4" xfId="25146" xr:uid="{CAE227CE-BACF-4893-A132-3F8613E02828}"/>
    <cellStyle name="Note 3 2 3 2 2 5" xfId="11685" xr:uid="{5E6B1238-A9B7-4949-B00E-0F8832BCB1B3}"/>
    <cellStyle name="Note 3 2 3 2 3" xfId="5329" xr:uid="{00000000-0005-0000-0000-00007F210000}"/>
    <cellStyle name="Note 3 2 3 2 3 2" xfId="17962" xr:uid="{62B0FF8C-9F8D-4974-AC91-314B93410B4B}"/>
    <cellStyle name="Note 3 2 3 2 4" xfId="22174" xr:uid="{25EDA9A7-A178-4466-B75D-D84A05EF609C}"/>
    <cellStyle name="Note 3 2 3 2 5" xfId="13751" xr:uid="{28EA1EE8-2AC4-4460-AB6A-5F2A393DEB4F}"/>
    <cellStyle name="Note 3 2 3 2 6" xfId="23001" xr:uid="{1E4F5205-2F68-4DB2-B8A4-DD2F97659FBF}"/>
    <cellStyle name="Note 3 2 3 2 7" xfId="9540" xr:uid="{69CF9BD3-4C0F-42F7-B1E5-58D4735B29B3}"/>
    <cellStyle name="Note 3 2 3 3" xfId="1433" xr:uid="{00000000-0005-0000-0000-000080210000}"/>
    <cellStyle name="Note 3 2 3 3 2" xfId="3663" xr:uid="{00000000-0005-0000-0000-000081210000}"/>
    <cellStyle name="Note 3 2 3 3 2 2" xfId="7887" xr:uid="{00000000-0005-0000-0000-000082210000}"/>
    <cellStyle name="Note 3 2 3 3 2 2 2" xfId="20520" xr:uid="{0E6083FD-6C2C-407B-BB82-AC810E1FC17A}"/>
    <cellStyle name="Note 3 2 3 3 2 3" xfId="16309" xr:uid="{796A3677-75AD-4050-8A99-AAECC5A29B5B}"/>
    <cellStyle name="Note 3 2 3 3 2 4" xfId="25559" xr:uid="{50C240A7-2949-4746-B313-3DC75B011C3F}"/>
    <cellStyle name="Note 3 2 3 3 2 5" xfId="12098" xr:uid="{2DDAF82D-669C-4712-ADAA-752ED154DBC6}"/>
    <cellStyle name="Note 3 2 3 3 3" xfId="5742" xr:uid="{00000000-0005-0000-0000-000083210000}"/>
    <cellStyle name="Note 3 2 3 3 3 2" xfId="18375" xr:uid="{AF8E4B6D-7FE0-4F4E-922E-577D12A3FEFC}"/>
    <cellStyle name="Note 3 2 3 3 4" xfId="14164" xr:uid="{CE79A634-4C9D-4292-A588-F8BB0210299E}"/>
    <cellStyle name="Note 3 2 3 3 5" xfId="23414" xr:uid="{75563F48-B7DF-472F-984F-436AE30D93A0}"/>
    <cellStyle name="Note 3 2 3 3 6" xfId="9953" xr:uid="{4A59064B-00EF-4AA4-B3CC-C5D3B2C7D5FD}"/>
    <cellStyle name="Note 3 2 3 4" xfId="1847" xr:uid="{00000000-0005-0000-0000-000084210000}"/>
    <cellStyle name="Note 3 2 3 4 2" xfId="4076" xr:uid="{00000000-0005-0000-0000-000085210000}"/>
    <cellStyle name="Note 3 2 3 4 2 2" xfId="8300" xr:uid="{00000000-0005-0000-0000-000086210000}"/>
    <cellStyle name="Note 3 2 3 4 2 2 2" xfId="20933" xr:uid="{5C91DDA5-DF0E-4B7C-A53F-A89EFC2B100D}"/>
    <cellStyle name="Note 3 2 3 4 2 3" xfId="16722" xr:uid="{61B68B23-E803-4B72-9174-A9D20551CA04}"/>
    <cellStyle name="Note 3 2 3 4 2 4" xfId="25972" xr:uid="{E8DEAFFA-D667-4F1F-8ABA-5378496B8248}"/>
    <cellStyle name="Note 3 2 3 4 2 5" xfId="12511" xr:uid="{EE2A78AD-0EF0-45D1-90BD-C7FB9292C987}"/>
    <cellStyle name="Note 3 2 3 4 3" xfId="6155" xr:uid="{00000000-0005-0000-0000-000087210000}"/>
    <cellStyle name="Note 3 2 3 4 3 2" xfId="18788" xr:uid="{AAD00FA4-5862-47B4-A152-3B0FC3FCB9D8}"/>
    <cellStyle name="Note 3 2 3 4 4" xfId="14577" xr:uid="{F28A08F2-35E8-4288-AFC8-908BD1AC0C47}"/>
    <cellStyle name="Note 3 2 3 4 5" xfId="23827" xr:uid="{08DBA68D-75BA-4D99-AE0D-AD6727F61CF4}"/>
    <cellStyle name="Note 3 2 3 4 6" xfId="10366" xr:uid="{C65C57DA-50B1-4A2A-9E37-85DA891C7A9D}"/>
    <cellStyle name="Note 3 2 3 5" xfId="2260" xr:uid="{00000000-0005-0000-0000-000088210000}"/>
    <cellStyle name="Note 3 2 3 5 2" xfId="4489" xr:uid="{00000000-0005-0000-0000-000089210000}"/>
    <cellStyle name="Note 3 2 3 5 2 2" xfId="8713" xr:uid="{00000000-0005-0000-0000-00008A210000}"/>
    <cellStyle name="Note 3 2 3 5 2 2 2" xfId="21346" xr:uid="{AD7D6F8E-56FD-456B-BAF4-AA2705468AEB}"/>
    <cellStyle name="Note 3 2 3 5 2 3" xfId="17135" xr:uid="{EABD682B-50B8-4FBF-9DFA-1D654DC97EC1}"/>
    <cellStyle name="Note 3 2 3 5 2 4" xfId="26385" xr:uid="{5771A9B2-C51E-4256-B972-B50C7246CC81}"/>
    <cellStyle name="Note 3 2 3 5 2 5" xfId="12924" xr:uid="{3777EB3B-6E88-428D-B6E5-B918D8D6E962}"/>
    <cellStyle name="Note 3 2 3 5 3" xfId="6568" xr:uid="{00000000-0005-0000-0000-00008B210000}"/>
    <cellStyle name="Note 3 2 3 5 3 2" xfId="19201" xr:uid="{585EEA36-3DA8-4672-BC44-732DE0F2D660}"/>
    <cellStyle name="Note 3 2 3 5 4" xfId="14990" xr:uid="{1F7CABB0-C287-4D31-A4B7-773CD291462C}"/>
    <cellStyle name="Note 3 2 3 5 5" xfId="24240" xr:uid="{E88CB128-344F-4695-A38C-8F11CDF9F1E9}"/>
    <cellStyle name="Note 3 2 3 5 6" xfId="10779" xr:uid="{82288A45-CE35-4FE4-AEEF-51010158B6C3}"/>
    <cellStyle name="Note 3 2 3 6" xfId="2696" xr:uid="{00000000-0005-0000-0000-00008C210000}"/>
    <cellStyle name="Note 3 2 3 6 2" xfId="6981" xr:uid="{00000000-0005-0000-0000-00008D210000}"/>
    <cellStyle name="Note 3 2 3 6 2 2" xfId="19614" xr:uid="{DDD00766-A998-450D-80BE-F526A4AE8E2D}"/>
    <cellStyle name="Note 3 2 3 6 3" xfId="15403" xr:uid="{FE4C29EA-AF39-495A-BB16-519D4BA38E5D}"/>
    <cellStyle name="Note 3 2 3 6 4" xfId="24653" xr:uid="{99A92A9B-97B1-4D9D-9FA5-096DCF578B07}"/>
    <cellStyle name="Note 3 2 3 6 5" xfId="11192" xr:uid="{2B29520B-E1AD-45F3-B5B7-B885C833DEE9}"/>
    <cellStyle name="Note 3 2 3 7" xfId="2755" xr:uid="{00000000-0005-0000-0000-00008E210000}"/>
    <cellStyle name="Note 3 2 3 8" xfId="2836" xr:uid="{00000000-0005-0000-0000-00008F210000}"/>
    <cellStyle name="Note 3 2 3 8 2" xfId="7061" xr:uid="{00000000-0005-0000-0000-000090210000}"/>
    <cellStyle name="Note 3 2 3 8 2 2" xfId="19694" xr:uid="{C0D6586C-6D1E-4538-A476-A7FC0CB60CAE}"/>
    <cellStyle name="Note 3 2 3 8 3" xfId="15483" xr:uid="{521F5B29-0BB7-43F4-846D-D60CB6716567}"/>
    <cellStyle name="Note 3 2 3 8 4" xfId="24733" xr:uid="{EEAFCFBF-3186-4691-AC50-23438D96363A}"/>
    <cellStyle name="Note 3 2 3 8 5" xfId="11272" xr:uid="{AD690A48-FBED-4536-A41A-B4A7E582D4CF}"/>
    <cellStyle name="Note 3 2 3 9" xfId="4916" xr:uid="{00000000-0005-0000-0000-000091210000}"/>
    <cellStyle name="Note 3 2 3 9 2" xfId="17549" xr:uid="{41673490-0083-46F4-9991-360B143DC7FC}"/>
    <cellStyle name="Note 3 2 4" xfId="1015" xr:uid="{00000000-0005-0000-0000-000092210000}"/>
    <cellStyle name="Note 3 2 4 2" xfId="3247" xr:uid="{00000000-0005-0000-0000-000093210000}"/>
    <cellStyle name="Note 3 2 4 2 2" xfId="7471" xr:uid="{00000000-0005-0000-0000-000094210000}"/>
    <cellStyle name="Note 3 2 4 2 2 2" xfId="20104" xr:uid="{DAACC4A8-0544-4CF5-99B0-AD8EDBAABC91}"/>
    <cellStyle name="Note 3 2 4 2 3" xfId="15893" xr:uid="{838A4DE3-A7E2-4463-A0E3-210085FE426F}"/>
    <cellStyle name="Note 3 2 4 2 4" xfId="25143" xr:uid="{A6936049-E048-4B5F-A654-94AB144C2A35}"/>
    <cellStyle name="Note 3 2 4 2 5" xfId="11682" xr:uid="{FA900FE7-17DA-4DFA-B2BC-0D8D6399FA66}"/>
    <cellStyle name="Note 3 2 4 3" xfId="5326" xr:uid="{00000000-0005-0000-0000-000095210000}"/>
    <cellStyle name="Note 3 2 4 3 2" xfId="17959" xr:uid="{2899361C-72F2-418E-932B-257D057C5733}"/>
    <cellStyle name="Note 3 2 4 4" xfId="22171" xr:uid="{9CA59132-3034-470E-964E-906884AC7574}"/>
    <cellStyle name="Note 3 2 4 5" xfId="13748" xr:uid="{38324058-CC97-431A-B0EF-A92838C376DE}"/>
    <cellStyle name="Note 3 2 4 6" xfId="22998" xr:uid="{41A152EB-25D9-468F-B480-5B39471760DB}"/>
    <cellStyle name="Note 3 2 4 7" xfId="9537" xr:uid="{13C8EAD7-7A70-4AD2-A272-496365ADE807}"/>
    <cellStyle name="Note 3 2 5" xfId="1430" xr:uid="{00000000-0005-0000-0000-000096210000}"/>
    <cellStyle name="Note 3 2 5 2" xfId="3660" xr:uid="{00000000-0005-0000-0000-000097210000}"/>
    <cellStyle name="Note 3 2 5 2 2" xfId="7884" xr:uid="{00000000-0005-0000-0000-000098210000}"/>
    <cellStyle name="Note 3 2 5 2 2 2" xfId="20517" xr:uid="{87133873-A7D6-4C7E-9B48-97F730720883}"/>
    <cellStyle name="Note 3 2 5 2 3" xfId="16306" xr:uid="{3CC0E984-EF59-432A-98FD-61CF139B00E0}"/>
    <cellStyle name="Note 3 2 5 2 4" xfId="25556" xr:uid="{705ED921-D19E-4A49-8129-438631AC4B3C}"/>
    <cellStyle name="Note 3 2 5 2 5" xfId="12095" xr:uid="{238B3B92-E522-4483-9010-95FFB67E5351}"/>
    <cellStyle name="Note 3 2 5 3" xfId="5739" xr:uid="{00000000-0005-0000-0000-000099210000}"/>
    <cellStyle name="Note 3 2 5 3 2" xfId="18372" xr:uid="{CF679120-6428-4EBC-9EF0-8EF538FAB46E}"/>
    <cellStyle name="Note 3 2 5 4" xfId="14161" xr:uid="{789E6813-38C5-44F5-BF79-702C437217AA}"/>
    <cellStyle name="Note 3 2 5 5" xfId="23411" xr:uid="{032AE4B3-5558-4A5C-844F-19966E018799}"/>
    <cellStyle name="Note 3 2 5 6" xfId="9950" xr:uid="{BD0F2BAC-EB47-48EC-9118-5C3A4F847689}"/>
    <cellStyle name="Note 3 2 6" xfId="1844" xr:uid="{00000000-0005-0000-0000-00009A210000}"/>
    <cellStyle name="Note 3 2 6 2" xfId="4073" xr:uid="{00000000-0005-0000-0000-00009B210000}"/>
    <cellStyle name="Note 3 2 6 2 2" xfId="8297" xr:uid="{00000000-0005-0000-0000-00009C210000}"/>
    <cellStyle name="Note 3 2 6 2 2 2" xfId="20930" xr:uid="{01196A88-59EF-407E-A823-C2B95E47C5DA}"/>
    <cellStyle name="Note 3 2 6 2 3" xfId="16719" xr:uid="{18A6FBD7-9BA0-4EDD-8844-8392C1B1B72D}"/>
    <cellStyle name="Note 3 2 6 2 4" xfId="25969" xr:uid="{D66520C4-312D-4E7E-B74E-BC64451E5B7C}"/>
    <cellStyle name="Note 3 2 6 2 5" xfId="12508" xr:uid="{3430EB62-3E5F-4C3C-B3BB-5628B7421BD3}"/>
    <cellStyle name="Note 3 2 6 3" xfId="6152" xr:uid="{00000000-0005-0000-0000-00009D210000}"/>
    <cellStyle name="Note 3 2 6 3 2" xfId="18785" xr:uid="{F2EAD990-29C4-41F7-80C6-AC3152961A52}"/>
    <cellStyle name="Note 3 2 6 4" xfId="14574" xr:uid="{327A60B2-F11D-4242-983D-6BB353CDF72F}"/>
    <cellStyle name="Note 3 2 6 5" xfId="23824" xr:uid="{06A18CBC-9435-4C60-A1C8-DB9F51D31679}"/>
    <cellStyle name="Note 3 2 6 6" xfId="10363" xr:uid="{40753725-5029-4CB7-BF92-F8FBD1A413FF}"/>
    <cellStyle name="Note 3 2 7" xfId="2257" xr:uid="{00000000-0005-0000-0000-00009E210000}"/>
    <cellStyle name="Note 3 2 7 2" xfId="4486" xr:uid="{00000000-0005-0000-0000-00009F210000}"/>
    <cellStyle name="Note 3 2 7 2 2" xfId="8710" xr:uid="{00000000-0005-0000-0000-0000A0210000}"/>
    <cellStyle name="Note 3 2 7 2 2 2" xfId="21343" xr:uid="{F1B3DB16-81F6-4DFE-8CF1-8BF3AE0E7ECA}"/>
    <cellStyle name="Note 3 2 7 2 3" xfId="17132" xr:uid="{51B26ACA-E14A-4863-B8BE-E34C52E589C2}"/>
    <cellStyle name="Note 3 2 7 2 4" xfId="26382" xr:uid="{8DE027C6-AA53-412C-9201-C26444D86BDB}"/>
    <cellStyle name="Note 3 2 7 2 5" xfId="12921" xr:uid="{07FCF33E-463C-42F8-ADCF-5D1EFF0A5C31}"/>
    <cellStyle name="Note 3 2 7 3" xfId="6565" xr:uid="{00000000-0005-0000-0000-0000A1210000}"/>
    <cellStyle name="Note 3 2 7 3 2" xfId="19198" xr:uid="{8226B81E-8397-49EA-929D-871304881CE3}"/>
    <cellStyle name="Note 3 2 7 4" xfId="14987" xr:uid="{FB2AB45D-3E26-4BDC-BB13-685A731DB062}"/>
    <cellStyle name="Note 3 2 7 5" xfId="24237" xr:uid="{FF490363-A0B5-4FE2-93F1-C5AE8B98FB75}"/>
    <cellStyle name="Note 3 2 7 6" xfId="10776" xr:uid="{92DAC39F-A3FE-48FB-9B6D-9A4D845FAD78}"/>
    <cellStyle name="Note 3 2 8" xfId="2693" xr:uid="{00000000-0005-0000-0000-0000A2210000}"/>
    <cellStyle name="Note 3 2 8 2" xfId="6978" xr:uid="{00000000-0005-0000-0000-0000A3210000}"/>
    <cellStyle name="Note 3 2 8 2 2" xfId="19611" xr:uid="{B7D7B781-C668-4204-BBD0-E77F3AFB61D6}"/>
    <cellStyle name="Note 3 2 8 3" xfId="15400" xr:uid="{9156C592-C97E-409E-9ECD-FC880C3C4810}"/>
    <cellStyle name="Note 3 2 8 4" xfId="24650" xr:uid="{A86307B6-A680-43FA-92AD-001355332795}"/>
    <cellStyle name="Note 3 2 8 5" xfId="11189" xr:uid="{DFBB6818-A9ED-460C-856A-F68BFEB9DCF3}"/>
    <cellStyle name="Note 3 2 9" xfId="2752" xr:uid="{00000000-0005-0000-0000-0000A4210000}"/>
    <cellStyle name="Note 3 3" xfId="559" xr:uid="{00000000-0005-0000-0000-0000A5210000}"/>
    <cellStyle name="Note 3 3 10" xfId="4917" xr:uid="{00000000-0005-0000-0000-0000A6210000}"/>
    <cellStyle name="Note 3 3 10 2" xfId="17550" xr:uid="{C3EA6A77-7F1F-45EB-B675-2A3E2ABE5DDC}"/>
    <cellStyle name="Note 3 3 11" xfId="21760" xr:uid="{C8FA77AC-571A-4542-9AC7-1EF6AA2A93D5}"/>
    <cellStyle name="Note 3 3 12" xfId="13339" xr:uid="{8FF631D8-CE79-47F5-8ECE-912F439F6273}"/>
    <cellStyle name="Note 3 3 13" xfId="22589" xr:uid="{22FFB2F8-7917-42BE-98CD-4148E7308633}"/>
    <cellStyle name="Note 3 3 14" xfId="9128" xr:uid="{56DA0D31-F47C-4C22-BDF3-BD71E55153CD}"/>
    <cellStyle name="Note 3 3 2" xfId="560" xr:uid="{00000000-0005-0000-0000-0000A7210000}"/>
    <cellStyle name="Note 3 3 2 10" xfId="21761" xr:uid="{3AD1E662-E1A6-4FA5-A246-9AEB774472B0}"/>
    <cellStyle name="Note 3 3 2 11" xfId="13340" xr:uid="{86645FE3-B318-45D5-8517-6EE85DD49344}"/>
    <cellStyle name="Note 3 3 2 12" xfId="22590" xr:uid="{F5A378AF-76CE-4F1F-91C2-8353376F1647}"/>
    <cellStyle name="Note 3 3 2 13" xfId="9129" xr:uid="{355D0B86-1D54-4B8B-93A1-F265B1D86D73}"/>
    <cellStyle name="Note 3 3 2 2" xfId="1020" xr:uid="{00000000-0005-0000-0000-0000A8210000}"/>
    <cellStyle name="Note 3 3 2 2 2" xfId="3252" xr:uid="{00000000-0005-0000-0000-0000A9210000}"/>
    <cellStyle name="Note 3 3 2 2 2 2" xfId="7476" xr:uid="{00000000-0005-0000-0000-0000AA210000}"/>
    <cellStyle name="Note 3 3 2 2 2 2 2" xfId="20109" xr:uid="{4F1054E1-CB5B-42C4-9909-3D29E537E041}"/>
    <cellStyle name="Note 3 3 2 2 2 3" xfId="15898" xr:uid="{8A97FAD4-5265-4AE2-8BCA-A48841DDCFA9}"/>
    <cellStyle name="Note 3 3 2 2 2 4" xfId="25148" xr:uid="{B8B83296-9E58-4728-A995-27DD5B0A3CBE}"/>
    <cellStyle name="Note 3 3 2 2 2 5" xfId="11687" xr:uid="{3E1FAD66-FC80-4E25-B261-C7FBA4FAE83C}"/>
    <cellStyle name="Note 3 3 2 2 3" xfId="5331" xr:uid="{00000000-0005-0000-0000-0000AB210000}"/>
    <cellStyle name="Note 3 3 2 2 3 2" xfId="17964" xr:uid="{8D880040-30CD-42FC-BE55-F54EDA2A3115}"/>
    <cellStyle name="Note 3 3 2 2 4" xfId="22176" xr:uid="{E2D55D4B-9A7B-4838-97B7-84E3601970FA}"/>
    <cellStyle name="Note 3 3 2 2 5" xfId="13753" xr:uid="{E9FE25C8-E3D2-4252-A21B-8CA9D7F40360}"/>
    <cellStyle name="Note 3 3 2 2 6" xfId="23003" xr:uid="{7981EFCE-69A0-4648-A72C-C15577B83831}"/>
    <cellStyle name="Note 3 3 2 2 7" xfId="9542" xr:uid="{68A9B41F-D934-411B-BEE8-57C1B88696A2}"/>
    <cellStyle name="Note 3 3 2 3" xfId="1435" xr:uid="{00000000-0005-0000-0000-0000AC210000}"/>
    <cellStyle name="Note 3 3 2 3 2" xfId="3665" xr:uid="{00000000-0005-0000-0000-0000AD210000}"/>
    <cellStyle name="Note 3 3 2 3 2 2" xfId="7889" xr:uid="{00000000-0005-0000-0000-0000AE210000}"/>
    <cellStyle name="Note 3 3 2 3 2 2 2" xfId="20522" xr:uid="{9D5C8C01-9688-4792-9D8A-810BA3D4A591}"/>
    <cellStyle name="Note 3 3 2 3 2 3" xfId="16311" xr:uid="{DB7F5C4D-6C5A-4B74-A170-BBB66668B923}"/>
    <cellStyle name="Note 3 3 2 3 2 4" xfId="25561" xr:uid="{E573D3D3-287A-498D-A9AA-DBBACE9B69D9}"/>
    <cellStyle name="Note 3 3 2 3 2 5" xfId="12100" xr:uid="{B48F70C7-1BE1-496B-90D2-60095DC1C4DD}"/>
    <cellStyle name="Note 3 3 2 3 3" xfId="5744" xr:uid="{00000000-0005-0000-0000-0000AF210000}"/>
    <cellStyle name="Note 3 3 2 3 3 2" xfId="18377" xr:uid="{8DAC732D-1A07-4635-BAA0-6476F70BC0CF}"/>
    <cellStyle name="Note 3 3 2 3 4" xfId="14166" xr:uid="{5E791741-40B4-4E13-B548-757FFB760E8D}"/>
    <cellStyle name="Note 3 3 2 3 5" xfId="23416" xr:uid="{8A539D49-46E1-4D0B-BC08-500756C54F1B}"/>
    <cellStyle name="Note 3 3 2 3 6" xfId="9955" xr:uid="{ABDF4897-988D-41C6-9007-591B3CDD12F3}"/>
    <cellStyle name="Note 3 3 2 4" xfId="1849" xr:uid="{00000000-0005-0000-0000-0000B0210000}"/>
    <cellStyle name="Note 3 3 2 4 2" xfId="4078" xr:uid="{00000000-0005-0000-0000-0000B1210000}"/>
    <cellStyle name="Note 3 3 2 4 2 2" xfId="8302" xr:uid="{00000000-0005-0000-0000-0000B2210000}"/>
    <cellStyle name="Note 3 3 2 4 2 2 2" xfId="20935" xr:uid="{3183639C-C227-4462-9ABB-5FE27A19A566}"/>
    <cellStyle name="Note 3 3 2 4 2 3" xfId="16724" xr:uid="{047EAE3C-881C-4450-A088-14F345CDCDCC}"/>
    <cellStyle name="Note 3 3 2 4 2 4" xfId="25974" xr:uid="{53D8EEB5-D65F-4E89-A7F2-711EEE1D55EC}"/>
    <cellStyle name="Note 3 3 2 4 2 5" xfId="12513" xr:uid="{3D1BF612-A84C-4078-B104-6CA0EFFFF71A}"/>
    <cellStyle name="Note 3 3 2 4 3" xfId="6157" xr:uid="{00000000-0005-0000-0000-0000B3210000}"/>
    <cellStyle name="Note 3 3 2 4 3 2" xfId="18790" xr:uid="{D12121C1-E697-42AB-B469-664E76E922F1}"/>
    <cellStyle name="Note 3 3 2 4 4" xfId="14579" xr:uid="{C30DD1A2-399A-4306-B2B6-B8A106A72D63}"/>
    <cellStyle name="Note 3 3 2 4 5" xfId="23829" xr:uid="{6BEC623A-5A27-4777-8A9F-1C86F7FCCAB6}"/>
    <cellStyle name="Note 3 3 2 4 6" xfId="10368" xr:uid="{D3689928-82D1-4206-911C-5F3CBE5C2BB0}"/>
    <cellStyle name="Note 3 3 2 5" xfId="2262" xr:uid="{00000000-0005-0000-0000-0000B4210000}"/>
    <cellStyle name="Note 3 3 2 5 2" xfId="4491" xr:uid="{00000000-0005-0000-0000-0000B5210000}"/>
    <cellStyle name="Note 3 3 2 5 2 2" xfId="8715" xr:uid="{00000000-0005-0000-0000-0000B6210000}"/>
    <cellStyle name="Note 3 3 2 5 2 2 2" xfId="21348" xr:uid="{082F834A-3035-4A0E-A5CB-3F406DD451D7}"/>
    <cellStyle name="Note 3 3 2 5 2 3" xfId="17137" xr:uid="{C2D2C391-74F3-422E-AF02-2D1E30B05E28}"/>
    <cellStyle name="Note 3 3 2 5 2 4" xfId="26387" xr:uid="{B84B2A7F-0EB7-49D3-B64B-C8E2D56F8BC8}"/>
    <cellStyle name="Note 3 3 2 5 2 5" xfId="12926" xr:uid="{13CCBC4C-D336-41A4-9028-C54C6938F525}"/>
    <cellStyle name="Note 3 3 2 5 3" xfId="6570" xr:uid="{00000000-0005-0000-0000-0000B7210000}"/>
    <cellStyle name="Note 3 3 2 5 3 2" xfId="19203" xr:uid="{EB3B021C-B096-4F74-9611-4F8456CE2203}"/>
    <cellStyle name="Note 3 3 2 5 4" xfId="14992" xr:uid="{8390A172-2ED6-4CEF-B54D-1D374B94E95C}"/>
    <cellStyle name="Note 3 3 2 5 5" xfId="24242" xr:uid="{881CC18D-EA9B-4E64-A083-3D4E86C136B0}"/>
    <cellStyle name="Note 3 3 2 5 6" xfId="10781" xr:uid="{0C61536C-A6DA-43CE-9497-1BCD024227A3}"/>
    <cellStyle name="Note 3 3 2 6" xfId="2698" xr:uid="{00000000-0005-0000-0000-0000B8210000}"/>
    <cellStyle name="Note 3 3 2 6 2" xfId="6983" xr:uid="{00000000-0005-0000-0000-0000B9210000}"/>
    <cellStyle name="Note 3 3 2 6 2 2" xfId="19616" xr:uid="{E775D366-CB62-4D03-B935-0BB02A489A5A}"/>
    <cellStyle name="Note 3 3 2 6 3" xfId="15405" xr:uid="{38924A15-6AA4-4044-819B-AE153EBC745C}"/>
    <cellStyle name="Note 3 3 2 6 4" xfId="24655" xr:uid="{135BB1EA-B6C4-4D32-B391-410B4CF7F0C7}"/>
    <cellStyle name="Note 3 3 2 6 5" xfId="11194" xr:uid="{6033739F-CF88-4607-8232-A8C1F0F64A17}"/>
    <cellStyle name="Note 3 3 2 7" xfId="2757" xr:uid="{00000000-0005-0000-0000-0000BA210000}"/>
    <cellStyle name="Note 3 3 2 8" xfId="2838" xr:uid="{00000000-0005-0000-0000-0000BB210000}"/>
    <cellStyle name="Note 3 3 2 8 2" xfId="7063" xr:uid="{00000000-0005-0000-0000-0000BC210000}"/>
    <cellStyle name="Note 3 3 2 8 2 2" xfId="19696" xr:uid="{F08EF022-41AB-438C-851A-57AF7AFE0B22}"/>
    <cellStyle name="Note 3 3 2 8 3" xfId="15485" xr:uid="{2531760B-5D80-4E2C-9888-B63478C0BA47}"/>
    <cellStyle name="Note 3 3 2 8 4" xfId="24735" xr:uid="{A8D8A692-303D-418B-83B8-D6501D7D3EF4}"/>
    <cellStyle name="Note 3 3 2 8 5" xfId="11274" xr:uid="{ABB019F6-B2D2-4218-8050-199ECE34667B}"/>
    <cellStyle name="Note 3 3 2 9" xfId="4918" xr:uid="{00000000-0005-0000-0000-0000BD210000}"/>
    <cellStyle name="Note 3 3 2 9 2" xfId="17551" xr:uid="{0524141D-4415-425F-9B88-F3819E9000B2}"/>
    <cellStyle name="Note 3 3 3" xfId="1019" xr:uid="{00000000-0005-0000-0000-0000BE210000}"/>
    <cellStyle name="Note 3 3 3 2" xfId="3251" xr:uid="{00000000-0005-0000-0000-0000BF210000}"/>
    <cellStyle name="Note 3 3 3 2 2" xfId="7475" xr:uid="{00000000-0005-0000-0000-0000C0210000}"/>
    <cellStyle name="Note 3 3 3 2 2 2" xfId="20108" xr:uid="{5AC61331-8332-443B-A49F-E1D1C42699C6}"/>
    <cellStyle name="Note 3 3 3 2 3" xfId="15897" xr:uid="{83C43FFF-E648-4540-A769-96E8D2389164}"/>
    <cellStyle name="Note 3 3 3 2 4" xfId="25147" xr:uid="{BE337383-EBE2-4C33-B7D9-CF79A47DE598}"/>
    <cellStyle name="Note 3 3 3 2 5" xfId="11686" xr:uid="{4FA57D2C-7D09-4588-8DAB-CB370067D608}"/>
    <cellStyle name="Note 3 3 3 3" xfId="5330" xr:uid="{00000000-0005-0000-0000-0000C1210000}"/>
    <cellStyle name="Note 3 3 3 3 2" xfId="17963" xr:uid="{912F11CC-07B4-4FB3-931C-5501F8BEF47C}"/>
    <cellStyle name="Note 3 3 3 4" xfId="22175" xr:uid="{BA6EA795-5E5E-4601-A705-29915FB95E52}"/>
    <cellStyle name="Note 3 3 3 5" xfId="13752" xr:uid="{E164B9AA-4C9E-4F06-8D9D-4B147C05A997}"/>
    <cellStyle name="Note 3 3 3 6" xfId="23002" xr:uid="{B3E8C657-61E7-413D-BB51-46F79A04CFC2}"/>
    <cellStyle name="Note 3 3 3 7" xfId="9541" xr:uid="{D18F8948-66FB-47A1-87F7-E9E01A974DFE}"/>
    <cellStyle name="Note 3 3 4" xfId="1434" xr:uid="{00000000-0005-0000-0000-0000C2210000}"/>
    <cellStyle name="Note 3 3 4 2" xfId="3664" xr:uid="{00000000-0005-0000-0000-0000C3210000}"/>
    <cellStyle name="Note 3 3 4 2 2" xfId="7888" xr:uid="{00000000-0005-0000-0000-0000C4210000}"/>
    <cellStyle name="Note 3 3 4 2 2 2" xfId="20521" xr:uid="{9760A723-403E-4BA0-BDEF-9A20FE21EA86}"/>
    <cellStyle name="Note 3 3 4 2 3" xfId="16310" xr:uid="{8C4A6827-F217-466C-A501-AAB5C22B0178}"/>
    <cellStyle name="Note 3 3 4 2 4" xfId="25560" xr:uid="{8E678A78-0526-4E3A-9CA1-C63B8492BD87}"/>
    <cellStyle name="Note 3 3 4 2 5" xfId="12099" xr:uid="{3DA058AF-40A7-4BA1-8E2B-BD897A2836A0}"/>
    <cellStyle name="Note 3 3 4 3" xfId="5743" xr:uid="{00000000-0005-0000-0000-0000C5210000}"/>
    <cellStyle name="Note 3 3 4 3 2" xfId="18376" xr:uid="{813A3A2F-2164-455C-BA66-D654E01CA71A}"/>
    <cellStyle name="Note 3 3 4 4" xfId="14165" xr:uid="{0030E006-0634-4420-BD6B-8A5FD1F4A63A}"/>
    <cellStyle name="Note 3 3 4 5" xfId="23415" xr:uid="{2F5D9045-6F86-44BA-8370-4F3399AA9EEA}"/>
    <cellStyle name="Note 3 3 4 6" xfId="9954" xr:uid="{134269AA-4194-41AD-B960-BA7EFEBAD180}"/>
    <cellStyle name="Note 3 3 5" xfId="1848" xr:uid="{00000000-0005-0000-0000-0000C6210000}"/>
    <cellStyle name="Note 3 3 5 2" xfId="4077" xr:uid="{00000000-0005-0000-0000-0000C7210000}"/>
    <cellStyle name="Note 3 3 5 2 2" xfId="8301" xr:uid="{00000000-0005-0000-0000-0000C8210000}"/>
    <cellStyle name="Note 3 3 5 2 2 2" xfId="20934" xr:uid="{02C9208A-2BC1-4393-B0A1-DF8B62B67D0D}"/>
    <cellStyle name="Note 3 3 5 2 3" xfId="16723" xr:uid="{C2BA7735-159D-4D42-B0A8-7488BBE7A47A}"/>
    <cellStyle name="Note 3 3 5 2 4" xfId="25973" xr:uid="{F0872033-1CC4-4C73-8EBE-F238667C3748}"/>
    <cellStyle name="Note 3 3 5 2 5" xfId="12512" xr:uid="{DBED5D81-4567-4DB9-8867-3CEE355ED187}"/>
    <cellStyle name="Note 3 3 5 3" xfId="6156" xr:uid="{00000000-0005-0000-0000-0000C9210000}"/>
    <cellStyle name="Note 3 3 5 3 2" xfId="18789" xr:uid="{87A010E9-6426-4B18-867C-EA13EB16D165}"/>
    <cellStyle name="Note 3 3 5 4" xfId="14578" xr:uid="{CB22887C-6203-4339-83E9-1713A1DA7619}"/>
    <cellStyle name="Note 3 3 5 5" xfId="23828" xr:uid="{CAA641ED-81FD-40B0-9C17-CBB4DB26D15E}"/>
    <cellStyle name="Note 3 3 5 6" xfId="10367" xr:uid="{04950D9C-BC5C-42B8-B874-E1EA2520EB13}"/>
    <cellStyle name="Note 3 3 6" xfId="2261" xr:uid="{00000000-0005-0000-0000-0000CA210000}"/>
    <cellStyle name="Note 3 3 6 2" xfId="4490" xr:uid="{00000000-0005-0000-0000-0000CB210000}"/>
    <cellStyle name="Note 3 3 6 2 2" xfId="8714" xr:uid="{00000000-0005-0000-0000-0000CC210000}"/>
    <cellStyle name="Note 3 3 6 2 2 2" xfId="21347" xr:uid="{65214C04-D70D-4042-B661-52D16F7EE284}"/>
    <cellStyle name="Note 3 3 6 2 3" xfId="17136" xr:uid="{AB99E93D-CE9B-4E95-B6AF-FBAF6F019349}"/>
    <cellStyle name="Note 3 3 6 2 4" xfId="26386" xr:uid="{2A4DE365-E9BA-4625-817D-DD0ECE7F7EB8}"/>
    <cellStyle name="Note 3 3 6 2 5" xfId="12925" xr:uid="{4794E238-A471-4ECD-B513-E7E263018214}"/>
    <cellStyle name="Note 3 3 6 3" xfId="6569" xr:uid="{00000000-0005-0000-0000-0000CD210000}"/>
    <cellStyle name="Note 3 3 6 3 2" xfId="19202" xr:uid="{72F7B7D3-C804-4480-8A33-09FC41890005}"/>
    <cellStyle name="Note 3 3 6 4" xfId="14991" xr:uid="{C9578C30-4D1E-4BC0-8833-63E45C8F9832}"/>
    <cellStyle name="Note 3 3 6 5" xfId="24241" xr:uid="{312FC734-68DC-4EE0-90F9-D6E14E47FC54}"/>
    <cellStyle name="Note 3 3 6 6" xfId="10780" xr:uid="{69272C8D-797C-403F-A813-ED3A58526DCC}"/>
    <cellStyle name="Note 3 3 7" xfId="2697" xr:uid="{00000000-0005-0000-0000-0000CE210000}"/>
    <cellStyle name="Note 3 3 7 2" xfId="6982" xr:uid="{00000000-0005-0000-0000-0000CF210000}"/>
    <cellStyle name="Note 3 3 7 2 2" xfId="19615" xr:uid="{94F96BED-D2E0-4D1F-BC7E-83C8AA9A3FEE}"/>
    <cellStyle name="Note 3 3 7 3" xfId="15404" xr:uid="{92910D74-FF64-46B2-8EBB-3520EC887F2C}"/>
    <cellStyle name="Note 3 3 7 4" xfId="24654" xr:uid="{952FA9B5-0C90-46CB-95BB-281074ECEA42}"/>
    <cellStyle name="Note 3 3 7 5" xfId="11193" xr:uid="{7EC14C82-E7CD-4AA9-BC2F-D5489B598447}"/>
    <cellStyle name="Note 3 3 8" xfId="2756" xr:uid="{00000000-0005-0000-0000-0000D0210000}"/>
    <cellStyle name="Note 3 3 9" xfId="2837" xr:uid="{00000000-0005-0000-0000-0000D1210000}"/>
    <cellStyle name="Note 3 3 9 2" xfId="7062" xr:uid="{00000000-0005-0000-0000-0000D2210000}"/>
    <cellStyle name="Note 3 3 9 2 2" xfId="19695" xr:uid="{54315D04-3F3D-4443-9CA4-88F996ABAE41}"/>
    <cellStyle name="Note 3 3 9 3" xfId="15484" xr:uid="{09A85F11-9A87-411F-A12C-F316BEAFE79C}"/>
    <cellStyle name="Note 3 3 9 4" xfId="24734" xr:uid="{F1DFEB87-A6F9-431C-983F-6C0CFA81214E}"/>
    <cellStyle name="Note 3 3 9 5" xfId="11273" xr:uid="{19D6037B-9D77-43F7-8CF8-37F916DE664D}"/>
    <cellStyle name="Note 3 4" xfId="561" xr:uid="{00000000-0005-0000-0000-0000D3210000}"/>
    <cellStyle name="Note 3 4 10" xfId="21762" xr:uid="{AED5D9C5-DF2C-4EE5-8C7B-FFE53EE173FD}"/>
    <cellStyle name="Note 3 4 11" xfId="13341" xr:uid="{5B84D89A-DED8-4860-B997-3700D5629E28}"/>
    <cellStyle name="Note 3 4 12" xfId="22591" xr:uid="{FD97BF8C-8393-46AE-B7BB-8C1D722F71C9}"/>
    <cellStyle name="Note 3 4 13" xfId="9130" xr:uid="{E7FC5090-78C9-460C-9FAF-6B0D3BF4D360}"/>
    <cellStyle name="Note 3 4 2" xfId="1021" xr:uid="{00000000-0005-0000-0000-0000D4210000}"/>
    <cellStyle name="Note 3 4 2 2" xfId="3253" xr:uid="{00000000-0005-0000-0000-0000D5210000}"/>
    <cellStyle name="Note 3 4 2 2 2" xfId="7477" xr:uid="{00000000-0005-0000-0000-0000D6210000}"/>
    <cellStyle name="Note 3 4 2 2 2 2" xfId="20110" xr:uid="{76311405-5E82-427C-8A5D-338F232EA838}"/>
    <cellStyle name="Note 3 4 2 2 3" xfId="15899" xr:uid="{5749EE6C-76C4-43DD-909B-16313373618A}"/>
    <cellStyle name="Note 3 4 2 2 4" xfId="25149" xr:uid="{1C177C6D-2718-4B49-AB64-6893C776703B}"/>
    <cellStyle name="Note 3 4 2 2 5" xfId="11688" xr:uid="{BBCFCAD5-60AC-4876-A977-00A2E0166BDE}"/>
    <cellStyle name="Note 3 4 2 3" xfId="5332" xr:uid="{00000000-0005-0000-0000-0000D7210000}"/>
    <cellStyle name="Note 3 4 2 3 2" xfId="17965" xr:uid="{68547263-770B-4EFC-ACD4-2F3F1B9B4CB1}"/>
    <cellStyle name="Note 3 4 2 4" xfId="22177" xr:uid="{7353D1C2-424C-499E-A920-1B049931D9AE}"/>
    <cellStyle name="Note 3 4 2 5" xfId="13754" xr:uid="{D14AADE0-1474-42CE-B526-D3BB424C3AAF}"/>
    <cellStyle name="Note 3 4 2 6" xfId="23004" xr:uid="{30AB75B4-8276-4F25-9573-81BE3087A0DD}"/>
    <cellStyle name="Note 3 4 2 7" xfId="9543" xr:uid="{28F9415C-F739-4502-990E-1161AB182488}"/>
    <cellStyle name="Note 3 4 3" xfId="1436" xr:uid="{00000000-0005-0000-0000-0000D8210000}"/>
    <cellStyle name="Note 3 4 3 2" xfId="3666" xr:uid="{00000000-0005-0000-0000-0000D9210000}"/>
    <cellStyle name="Note 3 4 3 2 2" xfId="7890" xr:uid="{00000000-0005-0000-0000-0000DA210000}"/>
    <cellStyle name="Note 3 4 3 2 2 2" xfId="20523" xr:uid="{F0F3E983-6139-4E49-9573-9FF20020AEA8}"/>
    <cellStyle name="Note 3 4 3 2 3" xfId="16312" xr:uid="{48B1AC54-1146-464C-B1B5-30F466416D34}"/>
    <cellStyle name="Note 3 4 3 2 4" xfId="25562" xr:uid="{BD057A55-CDF6-4D44-A4A1-EA9A76AB1625}"/>
    <cellStyle name="Note 3 4 3 2 5" xfId="12101" xr:uid="{C9DBEF7A-3B4C-4FAE-B9C9-C53EA4E3517A}"/>
    <cellStyle name="Note 3 4 3 3" xfId="5745" xr:uid="{00000000-0005-0000-0000-0000DB210000}"/>
    <cellStyle name="Note 3 4 3 3 2" xfId="18378" xr:uid="{54DE79FF-BD56-4ED7-8948-B790432C49E3}"/>
    <cellStyle name="Note 3 4 3 4" xfId="14167" xr:uid="{ED0F12E9-F9EB-418B-9C87-512F2156CD61}"/>
    <cellStyle name="Note 3 4 3 5" xfId="23417" xr:uid="{3FC72F3A-A886-4C35-AA1D-BEB81BDFE8FB}"/>
    <cellStyle name="Note 3 4 3 6" xfId="9956" xr:uid="{1A2326F4-D3A9-49F9-BAF8-C030F011EDE8}"/>
    <cellStyle name="Note 3 4 4" xfId="1850" xr:uid="{00000000-0005-0000-0000-0000DC210000}"/>
    <cellStyle name="Note 3 4 4 2" xfId="4079" xr:uid="{00000000-0005-0000-0000-0000DD210000}"/>
    <cellStyle name="Note 3 4 4 2 2" xfId="8303" xr:uid="{00000000-0005-0000-0000-0000DE210000}"/>
    <cellStyle name="Note 3 4 4 2 2 2" xfId="20936" xr:uid="{D8D030AD-6EA2-4F55-ADE8-1C123D7FF48B}"/>
    <cellStyle name="Note 3 4 4 2 3" xfId="16725" xr:uid="{C9CC0191-BF7D-4377-86E0-59B27930BD80}"/>
    <cellStyle name="Note 3 4 4 2 4" xfId="25975" xr:uid="{901268B5-9DF3-4C85-8B42-45026B2734A6}"/>
    <cellStyle name="Note 3 4 4 2 5" xfId="12514" xr:uid="{20849B74-EC09-4533-AE26-2B2791F77864}"/>
    <cellStyle name="Note 3 4 4 3" xfId="6158" xr:uid="{00000000-0005-0000-0000-0000DF210000}"/>
    <cellStyle name="Note 3 4 4 3 2" xfId="18791" xr:uid="{FBBC9F9E-F337-467A-9FD2-2BC8FF3D574E}"/>
    <cellStyle name="Note 3 4 4 4" xfId="14580" xr:uid="{23D32CC9-F912-4EEC-A75F-3765C41AD865}"/>
    <cellStyle name="Note 3 4 4 5" xfId="23830" xr:uid="{5713F393-F208-40F5-B8D8-3BA909B2A678}"/>
    <cellStyle name="Note 3 4 4 6" xfId="10369" xr:uid="{4F1DD3CF-717A-410B-9367-6BE098A9DDFC}"/>
    <cellStyle name="Note 3 4 5" xfId="2263" xr:uid="{00000000-0005-0000-0000-0000E0210000}"/>
    <cellStyle name="Note 3 4 5 2" xfId="4492" xr:uid="{00000000-0005-0000-0000-0000E1210000}"/>
    <cellStyle name="Note 3 4 5 2 2" xfId="8716" xr:uid="{00000000-0005-0000-0000-0000E2210000}"/>
    <cellStyle name="Note 3 4 5 2 2 2" xfId="21349" xr:uid="{CC378CBD-C1EE-4C2D-ACCA-7A90E79A0DB5}"/>
    <cellStyle name="Note 3 4 5 2 3" xfId="17138" xr:uid="{8481EB9F-AE97-4F69-8D8D-A55A2129759F}"/>
    <cellStyle name="Note 3 4 5 2 4" xfId="26388" xr:uid="{2E27783E-1A59-43B6-B003-6B4C0686E3B6}"/>
    <cellStyle name="Note 3 4 5 2 5" xfId="12927" xr:uid="{0A507369-914F-40E7-B019-07776350BE4F}"/>
    <cellStyle name="Note 3 4 5 3" xfId="6571" xr:uid="{00000000-0005-0000-0000-0000E3210000}"/>
    <cellStyle name="Note 3 4 5 3 2" xfId="19204" xr:uid="{99244079-FBEC-4600-AB14-BE388116F96B}"/>
    <cellStyle name="Note 3 4 5 4" xfId="14993" xr:uid="{D6FC06BD-D27A-4861-98AB-584B5256D705}"/>
    <cellStyle name="Note 3 4 5 5" xfId="24243" xr:uid="{7236FCCB-F34E-41C6-AA71-DCA14800CCD8}"/>
    <cellStyle name="Note 3 4 5 6" xfId="10782" xr:uid="{2CB37A73-7DA1-4B4B-9C9E-9F41526C2E83}"/>
    <cellStyle name="Note 3 4 6" xfId="2699" xr:uid="{00000000-0005-0000-0000-0000E4210000}"/>
    <cellStyle name="Note 3 4 6 2" xfId="6984" xr:uid="{00000000-0005-0000-0000-0000E5210000}"/>
    <cellStyle name="Note 3 4 6 2 2" xfId="19617" xr:uid="{71C82126-29A8-437C-A525-9895D9B3BA28}"/>
    <cellStyle name="Note 3 4 6 3" xfId="15406" xr:uid="{218EEFE4-7D2B-46D0-A937-6C57F36B8509}"/>
    <cellStyle name="Note 3 4 6 4" xfId="24656" xr:uid="{E8FE8839-740F-4BE1-A42D-66C20722AE6C}"/>
    <cellStyle name="Note 3 4 6 5" xfId="11195" xr:uid="{5402D7B4-1887-4A3B-B592-9E111713217E}"/>
    <cellStyle name="Note 3 4 7" xfId="2758" xr:uid="{00000000-0005-0000-0000-0000E6210000}"/>
    <cellStyle name="Note 3 4 8" xfId="2839" xr:uid="{00000000-0005-0000-0000-0000E7210000}"/>
    <cellStyle name="Note 3 4 8 2" xfId="7064" xr:uid="{00000000-0005-0000-0000-0000E8210000}"/>
    <cellStyle name="Note 3 4 8 2 2" xfId="19697" xr:uid="{343B3FCC-6823-4C13-9BFF-6C423F218040}"/>
    <cellStyle name="Note 3 4 8 3" xfId="15486" xr:uid="{6976EE61-3DBE-49C4-8905-3D70EB63A2BE}"/>
    <cellStyle name="Note 3 4 8 4" xfId="24736" xr:uid="{8EB6B49D-4A7D-4197-9957-79180D2BD1CA}"/>
    <cellStyle name="Note 3 4 8 5" xfId="11275" xr:uid="{AD0DB5D3-2F12-45A7-A4A6-4D6DC1A84E93}"/>
    <cellStyle name="Note 3 4 9" xfId="4919" xr:uid="{00000000-0005-0000-0000-0000E9210000}"/>
    <cellStyle name="Note 3 4 9 2" xfId="17552" xr:uid="{499CCD67-B842-471F-816E-C3C066026C7B}"/>
    <cellStyle name="Note 3 5" xfId="562" xr:uid="{00000000-0005-0000-0000-0000EA210000}"/>
    <cellStyle name="Note 3 5 10" xfId="21763" xr:uid="{01AA076D-F847-4953-8346-E833EBD5C516}"/>
    <cellStyle name="Note 3 5 11" xfId="13342" xr:uid="{D3201BD1-8486-41E7-B27C-15F17D7D049F}"/>
    <cellStyle name="Note 3 5 12" xfId="22592" xr:uid="{F4D67C02-8F5E-40C5-9A07-51B20D34456B}"/>
    <cellStyle name="Note 3 5 13" xfId="9131" xr:uid="{024729EC-D3DA-4304-9999-548D56D71419}"/>
    <cellStyle name="Note 3 5 2" xfId="1022" xr:uid="{00000000-0005-0000-0000-0000EB210000}"/>
    <cellStyle name="Note 3 5 2 2" xfId="3254" xr:uid="{00000000-0005-0000-0000-0000EC210000}"/>
    <cellStyle name="Note 3 5 2 2 2" xfId="7478" xr:uid="{00000000-0005-0000-0000-0000ED210000}"/>
    <cellStyle name="Note 3 5 2 2 2 2" xfId="20111" xr:uid="{9D216F61-6674-4D00-81FF-4EEE1EBACA2B}"/>
    <cellStyle name="Note 3 5 2 2 3" xfId="15900" xr:uid="{877CBC98-C39B-4A7E-8E8C-48B8AA4D26E7}"/>
    <cellStyle name="Note 3 5 2 2 4" xfId="25150" xr:uid="{3F376B1F-DCE1-4A3B-B23D-B3672DB310FD}"/>
    <cellStyle name="Note 3 5 2 2 5" xfId="11689" xr:uid="{00E96A84-2E8F-4130-B86B-AFC1F2CDFAFE}"/>
    <cellStyle name="Note 3 5 2 3" xfId="5333" xr:uid="{00000000-0005-0000-0000-0000EE210000}"/>
    <cellStyle name="Note 3 5 2 3 2" xfId="17966" xr:uid="{92DDC473-C4E1-41EE-B089-7E0F42AC9502}"/>
    <cellStyle name="Note 3 5 2 4" xfId="22178" xr:uid="{DDC1763E-3EBB-410B-935D-6423E3964DD1}"/>
    <cellStyle name="Note 3 5 2 5" xfId="13755" xr:uid="{12ABECCB-7B3E-4D29-81EF-6CA5A64B8E44}"/>
    <cellStyle name="Note 3 5 2 6" xfId="23005" xr:uid="{4963CADF-DFBA-4E2D-89F2-21F37404F832}"/>
    <cellStyle name="Note 3 5 2 7" xfId="9544" xr:uid="{FD6EF231-2DCD-4F68-A78D-BC768BD9B243}"/>
    <cellStyle name="Note 3 5 3" xfId="1437" xr:uid="{00000000-0005-0000-0000-0000EF210000}"/>
    <cellStyle name="Note 3 5 3 2" xfId="3667" xr:uid="{00000000-0005-0000-0000-0000F0210000}"/>
    <cellStyle name="Note 3 5 3 2 2" xfId="7891" xr:uid="{00000000-0005-0000-0000-0000F1210000}"/>
    <cellStyle name="Note 3 5 3 2 2 2" xfId="20524" xr:uid="{29E66E9C-C32C-4B9C-9308-42A46C64B153}"/>
    <cellStyle name="Note 3 5 3 2 3" xfId="16313" xr:uid="{7685C44A-CDA5-4F98-B542-77FA8C36DF94}"/>
    <cellStyle name="Note 3 5 3 2 4" xfId="25563" xr:uid="{7AE22C75-8608-401F-9395-174D3574ADD7}"/>
    <cellStyle name="Note 3 5 3 2 5" xfId="12102" xr:uid="{59019747-9807-433D-9C1E-B284DACE6759}"/>
    <cellStyle name="Note 3 5 3 3" xfId="5746" xr:uid="{00000000-0005-0000-0000-0000F2210000}"/>
    <cellStyle name="Note 3 5 3 3 2" xfId="18379" xr:uid="{4F010EC6-F28A-40F0-8AB0-70464C7F9396}"/>
    <cellStyle name="Note 3 5 3 4" xfId="14168" xr:uid="{5C58EF41-43EE-4106-81FE-AC8DD5CF7A6E}"/>
    <cellStyle name="Note 3 5 3 5" xfId="23418" xr:uid="{4A1D6484-325D-405F-8432-BD69A9003F11}"/>
    <cellStyle name="Note 3 5 3 6" xfId="9957" xr:uid="{9D2D0C2C-B97D-49F5-8FB4-0B392A82AC3D}"/>
    <cellStyle name="Note 3 5 4" xfId="1851" xr:uid="{00000000-0005-0000-0000-0000F3210000}"/>
    <cellStyle name="Note 3 5 4 2" xfId="4080" xr:uid="{00000000-0005-0000-0000-0000F4210000}"/>
    <cellStyle name="Note 3 5 4 2 2" xfId="8304" xr:uid="{00000000-0005-0000-0000-0000F5210000}"/>
    <cellStyle name="Note 3 5 4 2 2 2" xfId="20937" xr:uid="{FB9D8784-A487-47C0-B97F-8FD25724A749}"/>
    <cellStyle name="Note 3 5 4 2 3" xfId="16726" xr:uid="{20B21C0A-B969-48EA-8CEC-892A6BAF9161}"/>
    <cellStyle name="Note 3 5 4 2 4" xfId="25976" xr:uid="{1300D577-CC1D-4D60-A69C-B44BA7C24712}"/>
    <cellStyle name="Note 3 5 4 2 5" xfId="12515" xr:uid="{3BE9A53A-D4F7-45B8-B272-202B83851CEF}"/>
    <cellStyle name="Note 3 5 4 3" xfId="6159" xr:uid="{00000000-0005-0000-0000-0000F6210000}"/>
    <cellStyle name="Note 3 5 4 3 2" xfId="18792" xr:uid="{D026C5F0-507A-4D32-9F96-0449C9D507C2}"/>
    <cellStyle name="Note 3 5 4 4" xfId="14581" xr:uid="{A1EF57B8-AFB1-4CF5-9EC9-6DABF33FC2D7}"/>
    <cellStyle name="Note 3 5 4 5" xfId="23831" xr:uid="{FF3ECD3F-3E27-448D-9D34-CA5FE9144EB2}"/>
    <cellStyle name="Note 3 5 4 6" xfId="10370" xr:uid="{2E47A869-6A18-4C0D-B82C-AD85AD570D87}"/>
    <cellStyle name="Note 3 5 5" xfId="2264" xr:uid="{00000000-0005-0000-0000-0000F7210000}"/>
    <cellStyle name="Note 3 5 5 2" xfId="4493" xr:uid="{00000000-0005-0000-0000-0000F8210000}"/>
    <cellStyle name="Note 3 5 5 2 2" xfId="8717" xr:uid="{00000000-0005-0000-0000-0000F9210000}"/>
    <cellStyle name="Note 3 5 5 2 2 2" xfId="21350" xr:uid="{CD9C1638-7479-4538-A145-062A0DC2BE4F}"/>
    <cellStyle name="Note 3 5 5 2 3" xfId="17139" xr:uid="{434F83CC-B536-4CBE-B10D-FA47A8E75EC6}"/>
    <cellStyle name="Note 3 5 5 2 4" xfId="26389" xr:uid="{8DB11E91-F662-4D82-8965-5966BDF6C236}"/>
    <cellStyle name="Note 3 5 5 2 5" xfId="12928" xr:uid="{8C13FECF-81F2-4C27-A94C-3F594CB3B3B9}"/>
    <cellStyle name="Note 3 5 5 3" xfId="6572" xr:uid="{00000000-0005-0000-0000-0000FA210000}"/>
    <cellStyle name="Note 3 5 5 3 2" xfId="19205" xr:uid="{B2D0E874-F1DE-4CA1-8ED4-6BA5D526E3BD}"/>
    <cellStyle name="Note 3 5 5 4" xfId="14994" xr:uid="{AB9EAF21-07EA-4C05-9D5B-C227D0ABB64E}"/>
    <cellStyle name="Note 3 5 5 5" xfId="24244" xr:uid="{8B2C61FC-5290-4684-9AA5-164D0D8F467A}"/>
    <cellStyle name="Note 3 5 5 6" xfId="10783" xr:uid="{D9E66B7B-CDBC-4DAC-86FF-EEEA3F1DA530}"/>
    <cellStyle name="Note 3 5 6" xfId="2700" xr:uid="{00000000-0005-0000-0000-0000FB210000}"/>
    <cellStyle name="Note 3 5 6 2" xfId="6985" xr:uid="{00000000-0005-0000-0000-0000FC210000}"/>
    <cellStyle name="Note 3 5 6 2 2" xfId="19618" xr:uid="{FC81BA32-5283-4451-97D7-E9BD004B087E}"/>
    <cellStyle name="Note 3 5 6 3" xfId="15407" xr:uid="{88BD11B2-C0E8-4B70-95D3-4F8684447774}"/>
    <cellStyle name="Note 3 5 6 4" xfId="24657" xr:uid="{30D7561F-ED30-4326-9547-83B10A3B5629}"/>
    <cellStyle name="Note 3 5 6 5" xfId="11196" xr:uid="{E2D849AA-DD5B-4722-AB4B-561E7C3491DB}"/>
    <cellStyle name="Note 3 5 7" xfId="2759" xr:uid="{00000000-0005-0000-0000-0000FD210000}"/>
    <cellStyle name="Note 3 5 8" xfId="2840" xr:uid="{00000000-0005-0000-0000-0000FE210000}"/>
    <cellStyle name="Note 3 5 8 2" xfId="7065" xr:uid="{00000000-0005-0000-0000-0000FF210000}"/>
    <cellStyle name="Note 3 5 8 2 2" xfId="19698" xr:uid="{F16EE612-4CEB-495E-8876-17EA4185AC04}"/>
    <cellStyle name="Note 3 5 8 3" xfId="15487" xr:uid="{831EE74F-300D-401F-989D-0DA6695F9C4A}"/>
    <cellStyle name="Note 3 5 8 4" xfId="24737" xr:uid="{ABF421BB-D892-44E2-A7DA-566920E8D4B0}"/>
    <cellStyle name="Note 3 5 8 5" xfId="11276" xr:uid="{1CF0F978-9203-4124-84CE-B501EDDCAA48}"/>
    <cellStyle name="Note 3 5 9" xfId="4920" xr:uid="{00000000-0005-0000-0000-000000220000}"/>
    <cellStyle name="Note 3 5 9 2" xfId="17553" xr:uid="{FDCE3E7A-B9D6-42FE-9B70-F488360A97BF}"/>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A160" sqref="A1:XFD104857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3" t="s">
        <v>584</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5" t="s">
        <v>1393</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7"/>
    </row>
    <row r="8" spans="1:38">
      <c r="A8" s="328"/>
      <c r="B8" s="326"/>
      <c r="C8" s="327"/>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7"/>
    </row>
    <row r="9" spans="1:38">
      <c r="A9" s="328"/>
      <c r="B9" s="326"/>
      <c r="C9" s="327"/>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5" t="s">
        <v>1400</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7"/>
    </row>
    <row r="12" spans="1:38">
      <c r="A12" s="328"/>
      <c r="B12" s="326"/>
      <c r="C12" s="327"/>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7"/>
    </row>
    <row r="13" spans="1:38" s="718" customFormat="1">
      <c r="A13" s="328"/>
      <c r="B13" s="326"/>
      <c r="C13" s="327"/>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7"/>
    </row>
    <row r="14" spans="1:38" s="718" customFormat="1" ht="13.35" customHeight="1">
      <c r="A14" s="328"/>
      <c r="B14" s="326"/>
      <c r="C14" s="327"/>
      <c r="E14" s="1851" t="s">
        <v>2184</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3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1" t="s">
        <v>1530</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3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35" customHeight="1">
      <c r="A28" s="328"/>
      <c r="B28" s="326"/>
      <c r="C28" s="327"/>
      <c r="E28" s="1851" t="s">
        <v>2185</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3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3" t="s">
        <v>1401</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2" t="s">
        <v>1460</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66" t="s">
        <v>1388</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59" t="s">
        <v>1096</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1399</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35" customHeight="1">
      <c r="A42" s="149"/>
      <c r="B42"/>
      <c r="C42" s="5"/>
      <c r="D42" s="149"/>
      <c r="E42" s="149" t="s">
        <v>691</v>
      </c>
      <c r="F42" s="1851" t="s">
        <v>1362</v>
      </c>
    </row>
    <row r="43" spans="1:38" s="1851"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8" t="s">
        <v>1482</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row>
    <row r="46" spans="1:38" s="771" customFormat="1">
      <c r="A46" s="149"/>
      <c r="B46" s="718"/>
      <c r="C46" s="5"/>
      <c r="D46" s="149"/>
      <c r="E46" s="149"/>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row>
    <row r="47" spans="1:38" s="771" customFormat="1" ht="13.35" customHeight="1">
      <c r="A47" s="149"/>
      <c r="B47" s="718"/>
      <c r="C47" s="5"/>
      <c r="D47" s="149"/>
      <c r="E47" s="149"/>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611</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7" t="s">
        <v>1484</v>
      </c>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row>
    <row r="60" spans="1:38" s="2" customFormat="1">
      <c r="A60" s="328"/>
      <c r="B60" s="326"/>
      <c r="C60" s="327"/>
      <c r="D60" s="327"/>
      <c r="E60" s="328"/>
      <c r="F60" s="332"/>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35" customHeight="1">
      <c r="A69" s="149"/>
      <c r="C69" s="5"/>
      <c r="D69" s="149"/>
      <c r="E69" s="149"/>
      <c r="F69" s="9" t="s">
        <v>543</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4" t="s">
        <v>1370</v>
      </c>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row>
    <row r="91" spans="1:37" s="718" customFormat="1">
      <c r="A91" s="149"/>
      <c r="C91" s="5"/>
      <c r="D91" s="149"/>
      <c r="E91" s="149"/>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row>
    <row r="92" spans="1:37">
      <c r="A92" s="149"/>
      <c r="C92" s="5"/>
      <c r="D92" s="149"/>
      <c r="E92" s="149"/>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55" t="s">
        <v>1373</v>
      </c>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2"/>
    </row>
    <row r="101" spans="1:38">
      <c r="A101" s="149"/>
      <c r="D101" s="153"/>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35"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0" t="s">
        <v>1447</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1498</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1510</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6" t="s">
        <v>1891</v>
      </c>
      <c r="B1" s="3266"/>
      <c r="C1" s="3266"/>
      <c r="D1" s="3266"/>
      <c r="E1" s="3266"/>
      <c r="F1" s="3266"/>
      <c r="G1" s="3266"/>
      <c r="H1" s="3266"/>
      <c r="I1" s="3266"/>
    </row>
    <row r="2" spans="1:11" ht="15">
      <c r="A2" s="1338"/>
      <c r="B2" s="1338"/>
      <c r="E2" s="1339"/>
      <c r="I2" s="1341"/>
      <c r="K2" s="1342"/>
    </row>
    <row r="3" spans="1:11">
      <c r="A3" s="1343" t="s">
        <v>1598</v>
      </c>
      <c r="B3" s="1343"/>
      <c r="C3" s="1336" t="s">
        <v>2196</v>
      </c>
      <c r="E3" s="1844">
        <f>ROUND(Application!AM564+'Basis &amp; Credits'!AB77,0)</f>
        <v>12735866</v>
      </c>
      <c r="F3" s="1344"/>
      <c r="K3" s="1415"/>
    </row>
    <row r="4" spans="1:11" s="1345" customFormat="1" ht="15" customHeight="1">
      <c r="C4" s="1345" t="s">
        <v>1892</v>
      </c>
      <c r="E4" s="1421">
        <f>Application!AD1037</f>
        <v>0</v>
      </c>
      <c r="F4" s="1346"/>
      <c r="H4" s="1347"/>
      <c r="K4" s="1634"/>
    </row>
    <row r="5" spans="1:11" s="1348" customFormat="1" ht="15" customHeight="1">
      <c r="A5" s="3267"/>
      <c r="B5" s="3267"/>
      <c r="D5" s="1348" t="s">
        <v>2197</v>
      </c>
      <c r="E5" s="1349">
        <f>IF('CDLAC Points System'!C274="Yes",0.2,0)</f>
        <v>0.2</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E3-(E3*(E4+(MAX(E5,E6))))</f>
        <v>10188692.800000001</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0</v>
      </c>
      <c r="G12" s="1363">
        <v>1</v>
      </c>
      <c r="H12" s="1364"/>
      <c r="I12" s="1365">
        <f>E12*G12</f>
        <v>0</v>
      </c>
      <c r="J12" s="1356"/>
    </row>
    <row r="13" spans="1:11" ht="15">
      <c r="A13" s="1338"/>
      <c r="B13" s="1338"/>
      <c r="C13" s="1356" t="s">
        <v>1901</v>
      </c>
      <c r="D13" s="1356"/>
      <c r="E13" s="1416">
        <f>Application!BX635+Application!BX644+Application!DC658</f>
        <v>24</v>
      </c>
      <c r="G13" s="1363">
        <v>1.25</v>
      </c>
      <c r="H13" s="1364"/>
      <c r="I13" s="1365">
        <f>E13*G13</f>
        <v>30</v>
      </c>
      <c r="J13" s="1356"/>
    </row>
    <row r="14" spans="1:11" ht="15">
      <c r="A14" s="1338"/>
      <c r="B14" s="1338"/>
      <c r="C14" s="1356" t="s">
        <v>1902</v>
      </c>
      <c r="D14" s="1356"/>
      <c r="E14" s="1416">
        <f>Application!CC635+Application!CC644+Application!DH658</f>
        <v>24</v>
      </c>
      <c r="G14" s="1363">
        <f>1.5+0.25*0</f>
        <v>1.5</v>
      </c>
      <c r="H14" s="1364"/>
      <c r="I14" s="1365">
        <f>IF(E14/E16&lt;=30%,E14*G14,TRUNC(0.3*E16)*G14+(E14-TRUNC(0.3*E16))*G13)</f>
        <v>33.5</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48</v>
      </c>
      <c r="G16" s="1339"/>
      <c r="I16" s="1420">
        <f>SUM(I11:I15)</f>
        <v>63.5</v>
      </c>
    </row>
    <row r="17" spans="1:9" ht="15">
      <c r="A17" s="1338"/>
      <c r="B17" s="1338"/>
      <c r="E17" s="1339"/>
      <c r="I17" s="1367"/>
    </row>
    <row r="18" spans="1:9" ht="15">
      <c r="A18" s="1343" t="s">
        <v>1603</v>
      </c>
      <c r="B18" s="1343"/>
      <c r="C18" s="1368" t="s">
        <v>1904</v>
      </c>
      <c r="D18" s="1340"/>
      <c r="E18" s="1369">
        <f>E7/I16</f>
        <v>160451.85511811025</v>
      </c>
      <c r="F18" s="1370"/>
      <c r="G18" s="1371"/>
      <c r="H18" s="1372"/>
      <c r="I18" s="1367"/>
    </row>
    <row r="21" spans="1:9" ht="14.25" customHeight="1">
      <c r="A21" s="3268" t="s">
        <v>2195</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3" zoomScaleNormal="100" zoomScaleSheetLayoutView="100" workbookViewId="0">
      <selection activeCell="AF51" sqref="AF51"/>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11" t="s">
        <v>1532</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13" t="str">
        <f xml:space="preserve"> IF(T25=100%,'Sources and Basis Breakdown'!G2,'Sources and Basis Breakdown'!F2)</f>
        <v>30% PVC for New Const/
Rehabilitation
NON-DDA/
NON-QCT Building(s)</v>
      </c>
      <c r="U7" s="3313"/>
      <c r="V7" s="3313"/>
      <c r="W7" s="3313"/>
      <c r="X7" s="3313"/>
      <c r="Y7" s="3313" t="str">
        <f>IF(T25=100%," ",'Sources and Basis Breakdown'!G2)</f>
        <v xml:space="preserve"> </v>
      </c>
      <c r="Z7" s="3313"/>
      <c r="AA7" s="3313"/>
      <c r="AB7" s="3313"/>
      <c r="AC7" s="3313"/>
      <c r="AD7" s="3313" t="str">
        <f xml:space="preserve"> IF(T25=100%, 'Sources and Basis Breakdown'!J2,'Sources and Basis Breakdown'!I2)</f>
        <v>30% PVC for Acquisition
NON-DDA/
NON-QCT Building(s)</v>
      </c>
      <c r="AE7" s="3313"/>
      <c r="AF7" s="3313"/>
      <c r="AG7" s="3313"/>
      <c r="AH7" s="3313"/>
      <c r="AI7" s="3313" t="str">
        <f>IF(T25=100%," ",'Sources and Basis Breakdown'!J2)</f>
        <v xml:space="preserve"> </v>
      </c>
      <c r="AJ7" s="3313"/>
      <c r="AK7" s="3313"/>
      <c r="AL7" s="3313"/>
      <c r="AM7" s="331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3"/>
      <c r="U8" s="3313"/>
      <c r="V8" s="3313"/>
      <c r="W8" s="3313"/>
      <c r="X8" s="3313"/>
      <c r="Y8" s="3313"/>
      <c r="Z8" s="3313"/>
      <c r="AA8" s="3313"/>
      <c r="AB8" s="3313"/>
      <c r="AC8" s="3313"/>
      <c r="AD8" s="3313"/>
      <c r="AE8" s="3313"/>
      <c r="AF8" s="3313"/>
      <c r="AG8" s="3313"/>
      <c r="AH8" s="3313"/>
      <c r="AI8" s="3313"/>
      <c r="AJ8" s="3313"/>
      <c r="AK8" s="3313"/>
      <c r="AL8" s="3313"/>
      <c r="AM8" s="331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3"/>
      <c r="U9" s="3313"/>
      <c r="V9" s="3313"/>
      <c r="W9" s="3313"/>
      <c r="X9" s="3313"/>
      <c r="Y9" s="3313"/>
      <c r="Z9" s="3313"/>
      <c r="AA9" s="3313"/>
      <c r="AB9" s="3313"/>
      <c r="AC9" s="3313"/>
      <c r="AD9" s="3313"/>
      <c r="AE9" s="3313"/>
      <c r="AF9" s="3313"/>
      <c r="AG9" s="3313"/>
      <c r="AH9" s="3313"/>
      <c r="AI9" s="3313"/>
      <c r="AJ9" s="3313"/>
      <c r="AK9" s="3313"/>
      <c r="AL9" s="3313"/>
      <c r="AM9" s="331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1" t="s">
        <v>394</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22737732</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0</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6" t="s">
        <v>531</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9" t="s">
        <v>532</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9" t="s">
        <v>533</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9" t="s">
        <v>534</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9" t="s">
        <v>867</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9" t="s">
        <v>535</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4" t="s">
        <v>1042</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4" t="s">
        <v>1042</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1" t="s">
        <v>536</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1" t="s">
        <v>1503</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1" t="s">
        <v>537</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4" t="s">
        <v>538</v>
      </c>
      <c r="C23" s="3285"/>
      <c r="D23" s="3285"/>
      <c r="E23" s="3285"/>
      <c r="F23" s="3285"/>
      <c r="G23" s="3285"/>
      <c r="H23" s="3285"/>
      <c r="I23" s="3285"/>
      <c r="J23" s="3285"/>
      <c r="K23" s="3285"/>
      <c r="L23" s="3285"/>
      <c r="M23" s="3285"/>
      <c r="N23" s="3285"/>
      <c r="O23" s="3285"/>
      <c r="P23" s="3285"/>
      <c r="Q23" s="3285"/>
      <c r="R23" s="3285"/>
      <c r="S23" s="3286"/>
      <c r="T23" s="3274">
        <f>T11+T22</f>
        <v>22737732</v>
      </c>
      <c r="U23" s="3275"/>
      <c r="V23" s="3275"/>
      <c r="W23" s="3275"/>
      <c r="X23" s="3275"/>
      <c r="Y23" s="3274">
        <f>Y11+Y22</f>
        <v>0</v>
      </c>
      <c r="Z23" s="3275"/>
      <c r="AA23" s="3275"/>
      <c r="AB23" s="3275"/>
      <c r="AC23" s="3275"/>
      <c r="AD23" s="3274">
        <f>AD11+AD22</f>
        <v>0</v>
      </c>
      <c r="AE23" s="3275"/>
      <c r="AF23" s="3275"/>
      <c r="AG23" s="3275"/>
      <c r="AH23" s="3275"/>
      <c r="AI23" s="3274">
        <f>AI11+AI22</f>
        <v>0</v>
      </c>
      <c r="AJ23" s="3275"/>
      <c r="AK23" s="3275"/>
      <c r="AL23" s="3275"/>
      <c r="AM23" s="327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1" t="s">
        <v>1043</v>
      </c>
      <c r="C24" s="3282"/>
      <c r="D24" s="3282"/>
      <c r="E24" s="3282"/>
      <c r="F24" s="3282"/>
      <c r="G24" s="3282"/>
      <c r="H24" s="3282"/>
      <c r="I24" s="3282"/>
      <c r="J24" s="3282"/>
      <c r="K24" s="3282"/>
      <c r="L24" s="3282"/>
      <c r="M24" s="3282"/>
      <c r="N24" s="3282"/>
      <c r="O24" s="3282"/>
      <c r="P24" s="3282"/>
      <c r="Q24" s="3282"/>
      <c r="R24" s="3282"/>
      <c r="S24" s="3283"/>
      <c r="T24" s="3276">
        <f>Application!AJ1032</f>
        <v>59028914</v>
      </c>
      <c r="U24" s="3277"/>
      <c r="V24" s="3277"/>
      <c r="W24" s="3277"/>
      <c r="X24" s="3277"/>
      <c r="Y24" s="3277"/>
      <c r="Z24" s="3277"/>
      <c r="AA24" s="3277"/>
      <c r="AB24" s="3277"/>
      <c r="AC24" s="3277"/>
      <c r="AD24" s="3277"/>
      <c r="AE24" s="3277"/>
      <c r="AF24" s="3277"/>
      <c r="AG24" s="3277"/>
      <c r="AH24" s="3277"/>
      <c r="AI24" s="3277"/>
      <c r="AJ24" s="3277"/>
      <c r="AK24" s="3277"/>
      <c r="AL24" s="3277"/>
      <c r="AM24" s="327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8" t="s">
        <v>1504</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1" t="s">
        <v>539</v>
      </c>
      <c r="C26" s="3282"/>
      <c r="D26" s="3282"/>
      <c r="E26" s="3282"/>
      <c r="F26" s="3282"/>
      <c r="G26" s="3282"/>
      <c r="H26" s="3282"/>
      <c r="I26" s="3282"/>
      <c r="J26" s="3282"/>
      <c r="K26" s="3282"/>
      <c r="L26" s="3282"/>
      <c r="M26" s="3282"/>
      <c r="N26" s="3282"/>
      <c r="O26" s="3282"/>
      <c r="P26" s="3282"/>
      <c r="Q26" s="3282"/>
      <c r="R26" s="3282"/>
      <c r="S26" s="3283"/>
      <c r="T26" s="3325">
        <f>T23*T25</f>
        <v>22737732</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91" t="s">
        <v>448</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1" t="s">
        <v>540</v>
      </c>
      <c r="C28" s="3282"/>
      <c r="D28" s="3282"/>
      <c r="E28" s="3282"/>
      <c r="F28" s="3282"/>
      <c r="G28" s="3282"/>
      <c r="H28" s="3282"/>
      <c r="I28" s="3282"/>
      <c r="J28" s="3282"/>
      <c r="K28" s="3282"/>
      <c r="L28" s="3282"/>
      <c r="M28" s="3282"/>
      <c r="N28" s="3282"/>
      <c r="O28" s="3282"/>
      <c r="P28" s="3282"/>
      <c r="Q28" s="3282"/>
      <c r="R28" s="3282"/>
      <c r="S28" s="3283"/>
      <c r="T28" s="3294">
        <f>IF(ISERROR((T26*T27)),0,(T26*T27))</f>
        <v>22737732</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1" t="s">
        <v>557</v>
      </c>
      <c r="C29" s="3282"/>
      <c r="D29" s="3282"/>
      <c r="E29" s="3282"/>
      <c r="F29" s="3282"/>
      <c r="G29" s="3282"/>
      <c r="H29" s="3282"/>
      <c r="I29" s="3282"/>
      <c r="J29" s="3282"/>
      <c r="K29" s="3282"/>
      <c r="L29" s="3282"/>
      <c r="M29" s="3282"/>
      <c r="N29" s="3282"/>
      <c r="O29" s="3282"/>
      <c r="P29" s="3282"/>
      <c r="Q29" s="3282"/>
      <c r="R29" s="3282"/>
      <c r="S29" s="3283"/>
      <c r="T29" s="3276">
        <f>T28+Y28+AD28+AI28</f>
        <v>22737732</v>
      </c>
      <c r="U29" s="3277"/>
      <c r="V29" s="3277"/>
      <c r="W29" s="3277"/>
      <c r="X29" s="3277"/>
      <c r="Y29" s="3277"/>
      <c r="Z29" s="3277"/>
      <c r="AA29" s="3277"/>
      <c r="AB29" s="3277"/>
      <c r="AC29" s="3277"/>
      <c r="AD29" s="3277"/>
      <c r="AE29" s="3277"/>
      <c r="AF29" s="3277"/>
      <c r="AG29" s="3277"/>
      <c r="AH29" s="3277"/>
      <c r="AI29" s="3277"/>
      <c r="AJ29" s="3277"/>
      <c r="AK29" s="3277"/>
      <c r="AL29" s="3277"/>
      <c r="AM29" s="327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7" t="s">
        <v>1506</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7" t="s">
        <v>1505</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3" t="s">
        <v>1348</v>
      </c>
      <c r="Z35" s="3313"/>
      <c r="AA35" s="3313"/>
      <c r="AB35" s="3313"/>
      <c r="AC35" s="3313"/>
      <c r="AD35" s="3339" t="s">
        <v>381</v>
      </c>
      <c r="AE35" s="3339"/>
      <c r="AF35" s="3339"/>
      <c r="AG35" s="3339"/>
      <c r="AH35" s="333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3"/>
      <c r="Z36" s="3313"/>
      <c r="AA36" s="3313"/>
      <c r="AB36" s="3313"/>
      <c r="AC36" s="3313"/>
      <c r="AD36" s="3339"/>
      <c r="AE36" s="3339"/>
      <c r="AF36" s="3339"/>
      <c r="AG36" s="3339"/>
      <c r="AH36" s="333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3"/>
      <c r="Z37" s="3313"/>
      <c r="AA37" s="3313"/>
      <c r="AB37" s="3313"/>
      <c r="AC37" s="3313"/>
      <c r="AD37" s="3339"/>
      <c r="AE37" s="3339"/>
      <c r="AF37" s="3339"/>
      <c r="AG37" s="3339"/>
      <c r="AH37" s="333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1" t="s">
        <v>540</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22737732</v>
      </c>
      <c r="Z38" s="3275"/>
      <c r="AA38" s="3275"/>
      <c r="AB38" s="3275"/>
      <c r="AC38" s="3275"/>
      <c r="AD38" s="3275">
        <f>IF(T24&gt;=(T23+Y23+AD23+AI23),AD28+AI28,0)</f>
        <v>0</v>
      </c>
      <c r="AE38" s="3275"/>
      <c r="AF38" s="3275"/>
      <c r="AG38" s="3275"/>
      <c r="AH38" s="327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1" t="s">
        <v>2194</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1" t="s">
        <v>678</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909509</v>
      </c>
      <c r="Z40" s="3275"/>
      <c r="AA40" s="3275"/>
      <c r="AB40" s="3275"/>
      <c r="AC40" s="3275"/>
      <c r="AD40" s="3274">
        <f>ROUND(AD38*AD39,0)</f>
        <v>0</v>
      </c>
      <c r="AE40" s="3275"/>
      <c r="AF40" s="3275"/>
      <c r="AG40" s="3275"/>
      <c r="AH40" s="327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1" t="s">
        <v>679</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909509</v>
      </c>
      <c r="Z41" s="3297"/>
      <c r="AA41" s="3297"/>
      <c r="AB41" s="3297"/>
      <c r="AC41" s="3297"/>
      <c r="AD41" s="3297"/>
      <c r="AE41" s="3297"/>
      <c r="AF41" s="3297"/>
      <c r="AG41" s="3297"/>
      <c r="AH41" s="329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9" t="s">
        <v>1520</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9">
        <f>'Sources and Uses Budget'!B105-'Sources and Uses Budget'!B15</f>
        <v>24925953</v>
      </c>
      <c r="AC47" s="3300"/>
      <c r="AD47" s="3300"/>
      <c r="AE47" s="3300"/>
      <c r="AF47" s="330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9">
        <f>Application!AO649-MIN('Sources and Uses Budget'!B15,Application!AG394)</f>
        <v>17257492</v>
      </c>
      <c r="AC48" s="3300"/>
      <c r="AD48" s="3300"/>
      <c r="AE48" s="3300"/>
      <c r="AF48" s="330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9">
        <f>AB47-AB48</f>
        <v>7668461</v>
      </c>
      <c r="AC49" s="3300"/>
      <c r="AD49" s="3300"/>
      <c r="AE49" s="3300"/>
      <c r="AF49" s="330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2">
        <f>AB49/(Y41*10)</f>
        <v>0.84314294855795824</v>
      </c>
      <c r="AC50" s="3333"/>
      <c r="AD50" s="3333"/>
      <c r="AE50" s="3333"/>
      <c r="AF50" s="333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5" t="s">
        <v>2441</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9">
        <f>ROUND(IF(ISERROR((AB49/AB50)),0,(AB49/AB50)),0)</f>
        <v>9095090</v>
      </c>
      <c r="AC54" s="3300"/>
      <c r="AD54" s="3300"/>
      <c r="AE54" s="3300"/>
      <c r="AF54" s="330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9">
        <f>(AB54/10)</f>
        <v>909509</v>
      </c>
      <c r="AC55" s="3300"/>
      <c r="AD55" s="3300"/>
      <c r="AE55" s="3300"/>
      <c r="AF55" s="330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6">
        <f>(IF((Y41&lt;AB55),Y41,AB55))</f>
        <v>909509</v>
      </c>
      <c r="AC56" s="3337"/>
      <c r="AD56" s="3337"/>
      <c r="AE56" s="3337"/>
      <c r="AF56" s="333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9">
        <f>ROUND((10*AB56*AB50),0)</f>
        <v>7668461</v>
      </c>
      <c r="AC57" s="3300"/>
      <c r="AD57" s="3300"/>
      <c r="AE57" s="3300"/>
      <c r="AF57" s="330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7">
        <f>AB49-AB57</f>
        <v>0</v>
      </c>
      <c r="AC59" s="3327"/>
      <c r="AD59" s="3327"/>
      <c r="AE59" s="3327"/>
      <c r="AF59" s="332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28" t="s">
        <v>1070</v>
      </c>
      <c r="Z63" s="3328"/>
      <c r="AA63" s="3328"/>
      <c r="AB63" s="3328"/>
      <c r="AC63" s="3328"/>
      <c r="AD63" s="3328" t="s">
        <v>381</v>
      </c>
      <c r="AE63" s="3328"/>
      <c r="AF63" s="3328"/>
      <c r="AG63" s="3328"/>
      <c r="AH63" s="332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9">
        <f>IF(Application!Z204="(select)",0,((T23*T27)+Y28))</f>
        <v>22737732</v>
      </c>
      <c r="Z64" s="3330"/>
      <c r="AA64" s="3330"/>
      <c r="AB64" s="3330"/>
      <c r="AC64" s="3331"/>
      <c r="AD64" s="3329">
        <f>IF(AND(Application!AP204="yes",Application!M357="yes"),AD28+AI28,0)</f>
        <v>0</v>
      </c>
      <c r="AE64" s="3330"/>
      <c r="AF64" s="3330"/>
      <c r="AG64" s="3330"/>
      <c r="AH64" s="333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47">
        <f>ROUND(Y64*Y67,0)</f>
        <v>6821320</v>
      </c>
      <c r="Z68" s="3348"/>
      <c r="AA68" s="3348"/>
      <c r="AB68" s="3348"/>
      <c r="AC68" s="3348"/>
      <c r="AD68" s="3347" t="str">
        <f>IF(Application!D210="At-Risk",AD64*AD67,"$0")</f>
        <v>$0</v>
      </c>
      <c r="AE68" s="3348"/>
      <c r="AF68" s="3348"/>
      <c r="AG68" s="3348"/>
      <c r="AH68" s="334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2"/>
      <c r="AC71" s="3333"/>
      <c r="AD71" s="3333"/>
      <c r="AE71" s="3333"/>
      <c r="AF71" s="333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9" t="s">
        <v>1491</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41">
        <f>ROUND(IF(ISERROR((AB59/AB71)),0,(AB59/AB71)),0)</f>
        <v>0</v>
      </c>
      <c r="AC76" s="3341"/>
      <c r="AD76" s="3341"/>
      <c r="AE76" s="3341"/>
      <c r="AF76" s="334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2">
        <f>IF((Y68+AD68&lt;AB76),Y68+AD68,AB76)</f>
        <v>0</v>
      </c>
      <c r="AC77" s="3343"/>
      <c r="AD77" s="3343"/>
      <c r="AE77" s="3343"/>
      <c r="AF77" s="334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5">
        <f>AB77*AB71</f>
        <v>0</v>
      </c>
      <c r="AC78" s="3345"/>
      <c r="AD78" s="3345"/>
      <c r="AE78" s="3345"/>
      <c r="AF78" s="334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7">
        <f>AB49-(AB57+AB78)</f>
        <v>0</v>
      </c>
      <c r="AC80" s="3327"/>
      <c r="AD80" s="3327"/>
      <c r="AE80" s="3327"/>
      <c r="AF80" s="332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5"/>
      <c r="C85" s="335"/>
      <c r="Z85" s="620"/>
      <c r="AA85" s="620"/>
      <c r="AB85" s="620"/>
      <c r="AC85" s="620"/>
      <c r="AD85" s="620"/>
      <c r="AE85" s="620"/>
      <c r="AF85" s="620"/>
      <c r="AG85" s="620"/>
      <c r="AH85" s="620"/>
    </row>
    <row r="86" spans="1:98" ht="12.75">
      <c r="D86" s="335"/>
      <c r="Z86" s="620"/>
      <c r="AA86" s="620"/>
      <c r="AB86" s="3280"/>
      <c r="AC86" s="3280"/>
      <c r="AD86" s="3280"/>
      <c r="AE86" s="3280"/>
      <c r="AF86" s="3280"/>
      <c r="AG86" s="620"/>
      <c r="AH86" s="620"/>
    </row>
    <row r="87" spans="1:98" ht="13.5" thickBot="1">
      <c r="D87" s="335"/>
      <c r="Z87" s="620"/>
      <c r="AA87" s="620"/>
      <c r="AB87" s="3278"/>
      <c r="AC87" s="3278"/>
      <c r="AD87" s="3278"/>
      <c r="AE87" s="3278"/>
      <c r="AF87" s="327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4" zoomScaleNormal="100" zoomScaleSheetLayoutView="100" workbookViewId="0">
      <selection activeCell="G20" sqref="G20"/>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272592</v>
      </c>
      <c r="G4" s="355">
        <f>E4*$C$4</f>
        <v>279406.8</v>
      </c>
      <c r="I4" s="355">
        <f>G4*$C$4</f>
        <v>286391.96999999997</v>
      </c>
      <c r="K4" s="355">
        <f>I4*$C$4</f>
        <v>293551.76924999995</v>
      </c>
      <c r="M4" s="355">
        <f>K4*$C$4</f>
        <v>300890.5634812499</v>
      </c>
      <c r="O4" s="355">
        <f>M4*$C$4</f>
        <v>308412.82756828115</v>
      </c>
      <c r="Q4" s="355">
        <f>O4*$C$4</f>
        <v>316123.14825748815</v>
      </c>
      <c r="S4" s="355">
        <f>Q4*$C$4</f>
        <v>324026.22696392535</v>
      </c>
      <c r="U4" s="355">
        <f>S4*$C$4</f>
        <v>332126.88263802347</v>
      </c>
      <c r="W4" s="355">
        <f>U4*$C$4</f>
        <v>340430.05470397405</v>
      </c>
      <c r="Y4" s="355">
        <f>W4*$C$4</f>
        <v>348940.80607157334</v>
      </c>
      <c r="AA4" s="355">
        <f>Y4*$C$4</f>
        <v>357664.32622336264</v>
      </c>
      <c r="AC4" s="355">
        <f>AA4*$C$4</f>
        <v>366605.93437894667</v>
      </c>
      <c r="AE4" s="355">
        <f>AC4*$C$4</f>
        <v>375771.08273842029</v>
      </c>
      <c r="AG4" s="355">
        <f>AE4*$C$4</f>
        <v>385165.35980688076</v>
      </c>
    </row>
    <row r="5" spans="1:34" s="340" customFormat="1" ht="14.25">
      <c r="B5" s="340" t="s">
        <v>904</v>
      </c>
      <c r="C5" s="376">
        <f>IF(Application!$D$210="Special Needs",0.1,0.05)</f>
        <v>0.05</v>
      </c>
      <c r="E5" s="357">
        <f>-E4*$C$5</f>
        <v>-13629.6</v>
      </c>
      <c r="F5" s="357"/>
      <c r="G5" s="357">
        <f>-G4*$C$5</f>
        <v>-13970.34</v>
      </c>
      <c r="H5" s="357"/>
      <c r="I5" s="357">
        <f>-I4*$C$5</f>
        <v>-14319.5985</v>
      </c>
      <c r="J5" s="357"/>
      <c r="K5" s="357">
        <f>-K4*$C$5</f>
        <v>-14677.588462499998</v>
      </c>
      <c r="L5" s="357"/>
      <c r="M5" s="357">
        <f>-M4*$C$5</f>
        <v>-15044.528174062496</v>
      </c>
      <c r="N5" s="357"/>
      <c r="O5" s="357">
        <f>-O4*$C$5</f>
        <v>-15420.641378414059</v>
      </c>
      <c r="P5" s="357"/>
      <c r="Q5" s="357">
        <f>-Q4*$C$5</f>
        <v>-15806.157412874409</v>
      </c>
      <c r="R5" s="357"/>
      <c r="S5" s="357">
        <f>-S4*$C$5</f>
        <v>-16201.311348196268</v>
      </c>
      <c r="T5" s="357"/>
      <c r="U5" s="357">
        <f>-U4*$C$5</f>
        <v>-16606.344131901173</v>
      </c>
      <c r="V5" s="357"/>
      <c r="W5" s="357">
        <f>-W4*$C$5</f>
        <v>-17021.502735198705</v>
      </c>
      <c r="X5" s="357"/>
      <c r="Y5" s="357">
        <f>-Y4*$C$5</f>
        <v>-17447.040303578669</v>
      </c>
      <c r="Z5" s="357"/>
      <c r="AA5" s="357">
        <f>-AA4*$C$5</f>
        <v>-17883.216311168133</v>
      </c>
      <c r="AB5" s="357"/>
      <c r="AC5" s="357">
        <f>-AC4*$C$5</f>
        <v>-18330.296718947335</v>
      </c>
      <c r="AD5" s="357"/>
      <c r="AE5" s="357">
        <f>-AE4*$C$5</f>
        <v>-18788.554136921015</v>
      </c>
      <c r="AF5" s="357"/>
      <c r="AG5" s="357">
        <f>-AG4*$C$5</f>
        <v>-19258.26799034404</v>
      </c>
    </row>
    <row r="6" spans="1:34" s="340" customFormat="1" ht="14.25">
      <c r="A6" s="340" t="s">
        <v>902</v>
      </c>
      <c r="C6" s="375">
        <v>1.0249999999999999</v>
      </c>
      <c r="E6" s="358">
        <f>Application!Z807</f>
        <v>619164</v>
      </c>
      <c r="F6" s="358"/>
      <c r="G6" s="358">
        <f>E6*$C$6</f>
        <v>634643.1</v>
      </c>
      <c r="H6" s="358"/>
      <c r="I6" s="358">
        <f>G6*$C$6</f>
        <v>650509.17749999987</v>
      </c>
      <c r="J6" s="358"/>
      <c r="K6" s="358">
        <f>I6*$C$6</f>
        <v>666771.90693749976</v>
      </c>
      <c r="L6" s="358"/>
      <c r="M6" s="358">
        <f>K6*$C$6</f>
        <v>683441.20461093716</v>
      </c>
      <c r="N6" s="358"/>
      <c r="O6" s="358">
        <f>M6*$C$6</f>
        <v>700527.23472621047</v>
      </c>
      <c r="P6" s="358"/>
      <c r="Q6" s="358">
        <f>O6*$C$6</f>
        <v>718040.41559436568</v>
      </c>
      <c r="R6" s="358"/>
      <c r="S6" s="358">
        <f>Q6*$C$6</f>
        <v>735991.42598422477</v>
      </c>
      <c r="T6" s="358"/>
      <c r="U6" s="358">
        <f>S6*$C$6</f>
        <v>754391.21163383033</v>
      </c>
      <c r="V6" s="358"/>
      <c r="W6" s="358">
        <f>U6*$C$6</f>
        <v>773250.991924676</v>
      </c>
      <c r="X6" s="358"/>
      <c r="Y6" s="358">
        <f>W6*$C$6</f>
        <v>792582.26672279288</v>
      </c>
      <c r="Z6" s="358"/>
      <c r="AA6" s="358">
        <f>Y6*$C$6</f>
        <v>812396.82339086267</v>
      </c>
      <c r="AB6" s="358"/>
      <c r="AC6" s="358">
        <f>AA6*$C$6</f>
        <v>832706.74397563422</v>
      </c>
      <c r="AD6" s="358"/>
      <c r="AE6" s="358">
        <f>AC6*$C$6</f>
        <v>853524.412575025</v>
      </c>
      <c r="AF6" s="358"/>
      <c r="AG6" s="358">
        <f>AE6*$C$6</f>
        <v>874862.5228894006</v>
      </c>
    </row>
    <row r="7" spans="1:34" s="340" customFormat="1" ht="14.25">
      <c r="B7" s="340" t="s">
        <v>904</v>
      </c>
      <c r="C7" s="376">
        <f>IF(Application!$D$210="Special Needs",0.1,0.05)</f>
        <v>0.05</v>
      </c>
      <c r="E7" s="357">
        <f>-E6*$C$7</f>
        <v>-30958.2</v>
      </c>
      <c r="F7" s="357"/>
      <c r="G7" s="357">
        <f>-G6*$C$7</f>
        <v>-31732.154999999999</v>
      </c>
      <c r="H7" s="357"/>
      <c r="I7" s="357">
        <f>-I6*$C$7</f>
        <v>-32525.458874999997</v>
      </c>
      <c r="J7" s="357"/>
      <c r="K7" s="357">
        <f>-K6*$C$7</f>
        <v>-33338.595346874987</v>
      </c>
      <c r="L7" s="357"/>
      <c r="M7" s="357">
        <f>-M6*$C$7</f>
        <v>-34172.060230546856</v>
      </c>
      <c r="N7" s="357"/>
      <c r="O7" s="357">
        <f>-O6*$C$7</f>
        <v>-35026.361736310522</v>
      </c>
      <c r="P7" s="357"/>
      <c r="Q7" s="357">
        <f>-Q6*$C$7</f>
        <v>-35902.020779718288</v>
      </c>
      <c r="R7" s="357"/>
      <c r="S7" s="357">
        <f>-S6*$C$7</f>
        <v>-36799.571299211239</v>
      </c>
      <c r="T7" s="357"/>
      <c r="U7" s="357">
        <f>-U6*$C$7</f>
        <v>-37719.560581691519</v>
      </c>
      <c r="V7" s="357"/>
      <c r="W7" s="357">
        <f>-W6*$C$7</f>
        <v>-38662.549596233803</v>
      </c>
      <c r="X7" s="357"/>
      <c r="Y7" s="357">
        <f>-Y6*$C$7</f>
        <v>-39629.11333613965</v>
      </c>
      <c r="Z7" s="357"/>
      <c r="AA7" s="357">
        <f>-AA6*$C$7</f>
        <v>-40619.841169543135</v>
      </c>
      <c r="AB7" s="357"/>
      <c r="AC7" s="357">
        <f>-AC6*$C$7</f>
        <v>-41635.337198781715</v>
      </c>
      <c r="AD7" s="357"/>
      <c r="AE7" s="357">
        <f>-AE6*$C$7</f>
        <v>-42676.220628751253</v>
      </c>
      <c r="AF7" s="357"/>
      <c r="AG7" s="357">
        <f>-AG6*$C$7</f>
        <v>-43743.126144470036</v>
      </c>
    </row>
    <row r="8" spans="1:34" s="340" customFormat="1" ht="14.25">
      <c r="A8" s="340" t="s">
        <v>297</v>
      </c>
      <c r="C8" s="375">
        <v>1.0249999999999999</v>
      </c>
      <c r="E8" s="358">
        <f>Application!Z815</f>
        <v>2880</v>
      </c>
      <c r="F8" s="358"/>
      <c r="G8" s="358">
        <f>E8*$C$8</f>
        <v>2951.9999999999995</v>
      </c>
      <c r="H8" s="358"/>
      <c r="I8" s="358">
        <f>G8*$C$8</f>
        <v>3025.7999999999993</v>
      </c>
      <c r="J8" s="358"/>
      <c r="K8" s="358">
        <f>I8*$C$8</f>
        <v>3101.4449999999988</v>
      </c>
      <c r="L8" s="358"/>
      <c r="M8" s="358">
        <f>K8*$C$8</f>
        <v>3178.9811249999984</v>
      </c>
      <c r="N8" s="358"/>
      <c r="O8" s="358">
        <f>M8*$C$8</f>
        <v>3258.4556531249982</v>
      </c>
      <c r="P8" s="358"/>
      <c r="Q8" s="358">
        <f>O8*$C$8</f>
        <v>3339.9170444531228</v>
      </c>
      <c r="R8" s="358"/>
      <c r="S8" s="358">
        <f>Q8*$C$8</f>
        <v>3423.4149705644504</v>
      </c>
      <c r="T8" s="358"/>
      <c r="U8" s="358">
        <f>S8*$C$8</f>
        <v>3509.0003448285615</v>
      </c>
      <c r="V8" s="358"/>
      <c r="W8" s="358">
        <f>U8*$C$8</f>
        <v>3596.7253534492752</v>
      </c>
      <c r="X8" s="358"/>
      <c r="Y8" s="358">
        <f>W8*$C$8</f>
        <v>3686.6434872855066</v>
      </c>
      <c r="Z8" s="358"/>
      <c r="AA8" s="358">
        <f>Y8*$C$8</f>
        <v>3778.8095744676439</v>
      </c>
      <c r="AB8" s="358"/>
      <c r="AC8" s="358">
        <f>AA8*$C$8</f>
        <v>3873.2798138293347</v>
      </c>
      <c r="AD8" s="358"/>
      <c r="AE8" s="358">
        <f>AC8*$C$8</f>
        <v>3970.1118091750677</v>
      </c>
      <c r="AF8" s="358"/>
      <c r="AG8" s="358">
        <f>AE8*$C$8</f>
        <v>4069.364604404444</v>
      </c>
    </row>
    <row r="9" spans="1:34" s="340" customFormat="1" ht="14.25">
      <c r="B9" s="340" t="s">
        <v>904</v>
      </c>
      <c r="C9" s="376">
        <f>IF(Application!$D$210="Special Needs",0.1,0.05)</f>
        <v>0.05</v>
      </c>
      <c r="E9" s="374">
        <f>-E8*$C$9</f>
        <v>-144</v>
      </c>
      <c r="F9" s="357"/>
      <c r="G9" s="374">
        <f>-G8*$C$9</f>
        <v>-147.6</v>
      </c>
      <c r="H9" s="357"/>
      <c r="I9" s="374">
        <f>-I8*$C$9</f>
        <v>-151.28999999999996</v>
      </c>
      <c r="J9" s="357"/>
      <c r="K9" s="374">
        <f>-K8*$C$9</f>
        <v>-155.07224999999994</v>
      </c>
      <c r="L9" s="357"/>
      <c r="M9" s="374">
        <f>-M8*$C$9</f>
        <v>-158.94905624999993</v>
      </c>
      <c r="N9" s="357"/>
      <c r="O9" s="374">
        <f>-O8*$C$9</f>
        <v>-162.92278265624992</v>
      </c>
      <c r="P9" s="357"/>
      <c r="Q9" s="374">
        <f>-Q8*$C$9</f>
        <v>-166.99585222265614</v>
      </c>
      <c r="R9" s="357"/>
      <c r="S9" s="374">
        <f>-S8*$C$9</f>
        <v>-171.17074852822253</v>
      </c>
      <c r="T9" s="357"/>
      <c r="U9" s="374">
        <f>-U8*$C$9</f>
        <v>-175.4500172414281</v>
      </c>
      <c r="V9" s="357"/>
      <c r="W9" s="374">
        <f>-W8*$C$9</f>
        <v>-179.83626767246378</v>
      </c>
      <c r="X9" s="357"/>
      <c r="Y9" s="374">
        <f>-Y8*$C$9</f>
        <v>-184.33217436427535</v>
      </c>
      <c r="Z9" s="357"/>
      <c r="AA9" s="374">
        <f>-AA8*$C$9</f>
        <v>-188.9404787233822</v>
      </c>
      <c r="AB9" s="357"/>
      <c r="AC9" s="374">
        <f>-AC8*$C$9</f>
        <v>-193.66399069146675</v>
      </c>
      <c r="AD9" s="357"/>
      <c r="AE9" s="374">
        <f>-AE8*$C$9</f>
        <v>-198.5055904587534</v>
      </c>
      <c r="AF9" s="357"/>
      <c r="AG9" s="374">
        <f>-AG8*$C$9</f>
        <v>-203.46823022022221</v>
      </c>
    </row>
    <row r="10" spans="1:34" s="359" customFormat="1" ht="15">
      <c r="A10" s="359" t="s">
        <v>925</v>
      </c>
      <c r="C10" s="350"/>
      <c r="E10" s="359">
        <f>SUM(E4:E9)</f>
        <v>849904.20000000007</v>
      </c>
      <c r="G10" s="359">
        <f>SUM(G4:G9)</f>
        <v>871151.80499999993</v>
      </c>
      <c r="I10" s="359">
        <f>SUM(I4:I9)</f>
        <v>892930.60012499988</v>
      </c>
      <c r="K10" s="359">
        <f>SUM(K4:K9)</f>
        <v>915253.86512812471</v>
      </c>
      <c r="M10" s="359">
        <f>SUM(M4:M9)</f>
        <v>938135.21175632777</v>
      </c>
      <c r="O10" s="359">
        <f>SUM(O4:O9)</f>
        <v>961588.59205023572</v>
      </c>
      <c r="Q10" s="359">
        <f>SUM(Q4:Q9)</f>
        <v>985628.30685149156</v>
      </c>
      <c r="S10" s="359">
        <f>SUM(S4:S9)</f>
        <v>1010269.0145227788</v>
      </c>
      <c r="U10" s="359">
        <f>SUM(U4:U9)</f>
        <v>1035525.7398858482</v>
      </c>
      <c r="W10" s="359">
        <f>SUM(W4:W9)</f>
        <v>1061413.8833829944</v>
      </c>
      <c r="Y10" s="359">
        <f>SUM(Y4:Y9)</f>
        <v>1087949.2304675693</v>
      </c>
      <c r="AA10" s="359">
        <f>SUM(AA4:AA9)</f>
        <v>1115147.9612292582</v>
      </c>
      <c r="AC10" s="359">
        <f>SUM(AC4:AC9)</f>
        <v>1143026.6602599896</v>
      </c>
      <c r="AE10" s="359">
        <f>SUM(AE4:AE9)</f>
        <v>1171602.3267664893</v>
      </c>
      <c r="AG10" s="359">
        <f>SUM(AG4:AG9)</f>
        <v>1200892.3849356517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25440</v>
      </c>
      <c r="G14" s="355">
        <f>E14*$C$13</f>
        <v>26330.399999999998</v>
      </c>
      <c r="I14" s="355">
        <f>G14*$C$13</f>
        <v>27251.963999999996</v>
      </c>
      <c r="K14" s="355">
        <f>I14*$C$13</f>
        <v>28205.782739999995</v>
      </c>
      <c r="M14" s="355">
        <f>K14*$C$13</f>
        <v>29192.985135899991</v>
      </c>
      <c r="O14" s="355">
        <f>M14*$C$13</f>
        <v>30214.73961565649</v>
      </c>
      <c r="Q14" s="355">
        <f>O14*$C$13</f>
        <v>31272.255502204465</v>
      </c>
      <c r="S14" s="355">
        <f>Q14*$C$13</f>
        <v>32366.784444781621</v>
      </c>
      <c r="U14" s="355">
        <f>S14*$C$13</f>
        <v>33499.621900348975</v>
      </c>
      <c r="W14" s="355">
        <f>U14*$C$13</f>
        <v>34672.10866686119</v>
      </c>
      <c r="Y14" s="355">
        <f>W14*$C$13</f>
        <v>35885.63247020133</v>
      </c>
      <c r="AA14" s="355">
        <f>Y14*$C$13</f>
        <v>37141.629606658375</v>
      </c>
      <c r="AC14" s="355">
        <f>AA14*$C$13</f>
        <v>38441.586642891416</v>
      </c>
      <c r="AE14" s="355">
        <f>AC14*$C$13</f>
        <v>39787.042175392613</v>
      </c>
      <c r="AG14" s="355">
        <f>AE14*$C$13</f>
        <v>41179.588651531354</v>
      </c>
    </row>
    <row r="15" spans="1:34" s="340" customFormat="1" ht="14.25">
      <c r="A15" s="340" t="s">
        <v>355</v>
      </c>
      <c r="C15" s="369"/>
      <c r="E15" s="358">
        <f>Application!W847</f>
        <v>34560</v>
      </c>
      <c r="F15" s="358"/>
      <c r="G15" s="358">
        <f t="shared" ref="G15:AG20" si="0">E15*$C$13</f>
        <v>35769.599999999999</v>
      </c>
      <c r="H15" s="358"/>
      <c r="I15" s="358">
        <f t="shared" si="0"/>
        <v>37021.535999999993</v>
      </c>
      <c r="J15" s="358"/>
      <c r="K15" s="358">
        <f t="shared" si="0"/>
        <v>38317.289759999992</v>
      </c>
      <c r="L15" s="358"/>
      <c r="M15" s="358">
        <f t="shared" si="0"/>
        <v>39658.39490159999</v>
      </c>
      <c r="N15" s="358"/>
      <c r="O15" s="358">
        <f t="shared" si="0"/>
        <v>41046.438723155989</v>
      </c>
      <c r="P15" s="358"/>
      <c r="Q15" s="358">
        <f t="shared" si="0"/>
        <v>42483.064078466443</v>
      </c>
      <c r="R15" s="358"/>
      <c r="S15" s="358">
        <f t="shared" si="0"/>
        <v>43969.971321212768</v>
      </c>
      <c r="T15" s="358"/>
      <c r="U15" s="358">
        <f t="shared" si="0"/>
        <v>45508.920317455209</v>
      </c>
      <c r="V15" s="358"/>
      <c r="W15" s="358">
        <f t="shared" si="0"/>
        <v>47101.732528566135</v>
      </c>
      <c r="X15" s="358"/>
      <c r="Y15" s="358">
        <f t="shared" si="0"/>
        <v>48750.293167065945</v>
      </c>
      <c r="Z15" s="358"/>
      <c r="AA15" s="358">
        <f t="shared" si="0"/>
        <v>50456.553427913248</v>
      </c>
      <c r="AB15" s="358"/>
      <c r="AC15" s="358">
        <f t="shared" si="0"/>
        <v>52222.532797890206</v>
      </c>
      <c r="AD15" s="358"/>
      <c r="AE15" s="358">
        <f t="shared" si="0"/>
        <v>54050.321445816357</v>
      </c>
      <c r="AF15" s="358"/>
      <c r="AG15" s="358">
        <f t="shared" si="0"/>
        <v>55942.082696419922</v>
      </c>
    </row>
    <row r="16" spans="1:34" s="340" customFormat="1" ht="14.25">
      <c r="A16" s="340" t="s">
        <v>595</v>
      </c>
      <c r="C16" s="369"/>
      <c r="E16" s="358">
        <f>Application!W853</f>
        <v>43200</v>
      </c>
      <c r="F16" s="358"/>
      <c r="G16" s="358">
        <f t="shared" si="0"/>
        <v>44712</v>
      </c>
      <c r="H16" s="358"/>
      <c r="I16" s="358">
        <f t="shared" si="0"/>
        <v>46276.92</v>
      </c>
      <c r="J16" s="358"/>
      <c r="K16" s="358">
        <f t="shared" si="0"/>
        <v>47896.612199999996</v>
      </c>
      <c r="L16" s="358"/>
      <c r="M16" s="358">
        <f t="shared" si="0"/>
        <v>49572.993626999989</v>
      </c>
      <c r="N16" s="358"/>
      <c r="O16" s="358">
        <f t="shared" si="0"/>
        <v>51308.048403944988</v>
      </c>
      <c r="P16" s="358"/>
      <c r="Q16" s="358">
        <f t="shared" si="0"/>
        <v>53103.830098083061</v>
      </c>
      <c r="R16" s="358"/>
      <c r="S16" s="358">
        <f t="shared" si="0"/>
        <v>54962.464151515967</v>
      </c>
      <c r="T16" s="358"/>
      <c r="U16" s="358">
        <f t="shared" si="0"/>
        <v>56886.150396819023</v>
      </c>
      <c r="V16" s="358"/>
      <c r="W16" s="358">
        <f t="shared" si="0"/>
        <v>58877.165660707687</v>
      </c>
      <c r="X16" s="358"/>
      <c r="Y16" s="358">
        <f t="shared" si="0"/>
        <v>60937.866458832454</v>
      </c>
      <c r="Z16" s="358"/>
      <c r="AA16" s="358">
        <f t="shared" si="0"/>
        <v>63070.691784891584</v>
      </c>
      <c r="AB16" s="358"/>
      <c r="AC16" s="358">
        <f t="shared" si="0"/>
        <v>65278.165997362783</v>
      </c>
      <c r="AD16" s="358"/>
      <c r="AE16" s="358">
        <f t="shared" si="0"/>
        <v>67562.901807270478</v>
      </c>
      <c r="AF16" s="358"/>
      <c r="AG16" s="358">
        <f t="shared" si="0"/>
        <v>69927.603370524943</v>
      </c>
    </row>
    <row r="17" spans="1:33" s="340" customFormat="1" ht="14.25">
      <c r="A17" s="340" t="s">
        <v>908</v>
      </c>
      <c r="C17" s="369"/>
      <c r="E17" s="358">
        <f>Application!W860</f>
        <v>75198</v>
      </c>
      <c r="F17" s="358"/>
      <c r="G17" s="358">
        <f t="shared" si="0"/>
        <v>77829.929999999993</v>
      </c>
      <c r="H17" s="358"/>
      <c r="I17" s="358">
        <f t="shared" si="0"/>
        <v>80553.977549999981</v>
      </c>
      <c r="J17" s="358"/>
      <c r="K17" s="358">
        <f t="shared" si="0"/>
        <v>83373.366764249979</v>
      </c>
      <c r="L17" s="358"/>
      <c r="M17" s="358">
        <f t="shared" si="0"/>
        <v>86291.43460099872</v>
      </c>
      <c r="N17" s="358"/>
      <c r="O17" s="358">
        <f t="shared" si="0"/>
        <v>89311.634812033662</v>
      </c>
      <c r="P17" s="358"/>
      <c r="Q17" s="358">
        <f t="shared" si="0"/>
        <v>92437.542030454832</v>
      </c>
      <c r="R17" s="358"/>
      <c r="S17" s="358">
        <f t="shared" si="0"/>
        <v>95672.856001520748</v>
      </c>
      <c r="T17" s="358"/>
      <c r="U17" s="358">
        <f t="shared" si="0"/>
        <v>99021.405961573968</v>
      </c>
      <c r="V17" s="358"/>
      <c r="W17" s="358">
        <f t="shared" si="0"/>
        <v>102487.15517022905</v>
      </c>
      <c r="X17" s="358"/>
      <c r="Y17" s="358">
        <f t="shared" si="0"/>
        <v>106074.20560118706</v>
      </c>
      <c r="Z17" s="358"/>
      <c r="AA17" s="358">
        <f t="shared" si="0"/>
        <v>109786.80279722859</v>
      </c>
      <c r="AB17" s="358"/>
      <c r="AC17" s="358">
        <f t="shared" si="0"/>
        <v>113629.34089513158</v>
      </c>
      <c r="AD17" s="358"/>
      <c r="AE17" s="358">
        <f t="shared" si="0"/>
        <v>117606.36782646118</v>
      </c>
      <c r="AF17" s="358"/>
      <c r="AG17" s="358">
        <f t="shared" si="0"/>
        <v>121722.59070038731</v>
      </c>
    </row>
    <row r="18" spans="1:33" s="340" customFormat="1" ht="14.25">
      <c r="A18" s="340" t="s">
        <v>160</v>
      </c>
      <c r="C18" s="369"/>
      <c r="E18" s="358">
        <f>Application!W861</f>
        <v>12480</v>
      </c>
      <c r="F18" s="358"/>
      <c r="G18" s="358">
        <f t="shared" si="0"/>
        <v>12916.8</v>
      </c>
      <c r="H18" s="358"/>
      <c r="I18" s="358">
        <f t="shared" si="0"/>
        <v>13368.887999999999</v>
      </c>
      <c r="J18" s="358"/>
      <c r="K18" s="358">
        <f t="shared" si="0"/>
        <v>13836.799079999997</v>
      </c>
      <c r="L18" s="358"/>
      <c r="M18" s="358">
        <f t="shared" si="0"/>
        <v>14321.087047799996</v>
      </c>
      <c r="N18" s="358"/>
      <c r="O18" s="358">
        <f t="shared" si="0"/>
        <v>14822.325094472995</v>
      </c>
      <c r="P18" s="358"/>
      <c r="Q18" s="358">
        <f t="shared" si="0"/>
        <v>15341.106472779549</v>
      </c>
      <c r="R18" s="358"/>
      <c r="S18" s="358">
        <f t="shared" si="0"/>
        <v>15878.045199326833</v>
      </c>
      <c r="T18" s="358"/>
      <c r="U18" s="358">
        <f t="shared" si="0"/>
        <v>16433.77678130327</v>
      </c>
      <c r="V18" s="358"/>
      <c r="W18" s="358">
        <f t="shared" si="0"/>
        <v>17008.958968648883</v>
      </c>
      <c r="X18" s="358"/>
      <c r="Y18" s="358">
        <f t="shared" si="0"/>
        <v>17604.272532551593</v>
      </c>
      <c r="Z18" s="358"/>
      <c r="AA18" s="358">
        <f t="shared" si="0"/>
        <v>18220.422071190897</v>
      </c>
      <c r="AB18" s="358"/>
      <c r="AC18" s="358">
        <f t="shared" si="0"/>
        <v>18858.136843682576</v>
      </c>
      <c r="AD18" s="358"/>
      <c r="AE18" s="358">
        <f t="shared" si="0"/>
        <v>19518.171633211463</v>
      </c>
      <c r="AF18" s="358"/>
      <c r="AG18" s="358">
        <f t="shared" si="0"/>
        <v>20201.307640373863</v>
      </c>
    </row>
    <row r="19" spans="1:33" s="340" customFormat="1" ht="14.25">
      <c r="A19" s="340" t="s">
        <v>410</v>
      </c>
      <c r="C19" s="369"/>
      <c r="E19" s="358">
        <f>Application!W870</f>
        <v>67874</v>
      </c>
      <c r="F19" s="358"/>
      <c r="G19" s="358">
        <f t="shared" si="0"/>
        <v>70249.59</v>
      </c>
      <c r="H19" s="358"/>
      <c r="I19" s="358">
        <f t="shared" si="0"/>
        <v>72708.325649999984</v>
      </c>
      <c r="J19" s="358"/>
      <c r="K19" s="358">
        <f t="shared" si="0"/>
        <v>75253.117047749984</v>
      </c>
      <c r="L19" s="358"/>
      <c r="M19" s="358">
        <f t="shared" si="0"/>
        <v>77886.97614442122</v>
      </c>
      <c r="N19" s="358"/>
      <c r="O19" s="358">
        <f t="shared" si="0"/>
        <v>80613.020309475964</v>
      </c>
      <c r="P19" s="358"/>
      <c r="Q19" s="358">
        <f t="shared" si="0"/>
        <v>83434.476020307615</v>
      </c>
      <c r="R19" s="358"/>
      <c r="S19" s="358">
        <f t="shared" si="0"/>
        <v>86354.68268101837</v>
      </c>
      <c r="T19" s="358"/>
      <c r="U19" s="358">
        <f t="shared" si="0"/>
        <v>89377.096574854004</v>
      </c>
      <c r="V19" s="358"/>
      <c r="W19" s="358">
        <f t="shared" si="0"/>
        <v>92505.294954973884</v>
      </c>
      <c r="X19" s="358"/>
      <c r="Y19" s="358">
        <f t="shared" si="0"/>
        <v>95742.980278397969</v>
      </c>
      <c r="Z19" s="358"/>
      <c r="AA19" s="358">
        <f t="shared" si="0"/>
        <v>99093.984588141888</v>
      </c>
      <c r="AB19" s="358"/>
      <c r="AC19" s="358">
        <f t="shared" si="0"/>
        <v>102562.27404872685</v>
      </c>
      <c r="AD19" s="358"/>
      <c r="AE19" s="358">
        <f t="shared" si="0"/>
        <v>106151.95364043227</v>
      </c>
      <c r="AF19" s="358"/>
      <c r="AG19" s="358">
        <f t="shared" si="0"/>
        <v>109867.2720178474</v>
      </c>
    </row>
    <row r="20" spans="1:33" s="340" customFormat="1" ht="14.25">
      <c r="A20" s="362" t="s">
        <v>2627</v>
      </c>
      <c r="B20" s="362"/>
      <c r="C20" s="369"/>
      <c r="E20" s="368">
        <f>Application!W877</f>
        <v>4600</v>
      </c>
      <c r="F20" s="358"/>
      <c r="G20" s="368">
        <f t="shared" si="0"/>
        <v>4761</v>
      </c>
      <c r="H20" s="358"/>
      <c r="I20" s="368">
        <f t="shared" si="0"/>
        <v>4927.6349999999993</v>
      </c>
      <c r="J20" s="358"/>
      <c r="K20" s="368">
        <f t="shared" si="0"/>
        <v>5100.1022249999987</v>
      </c>
      <c r="L20" s="358"/>
      <c r="M20" s="368">
        <f t="shared" si="0"/>
        <v>5278.6058028749985</v>
      </c>
      <c r="N20" s="358"/>
      <c r="O20" s="368">
        <f t="shared" si="0"/>
        <v>5463.357005975623</v>
      </c>
      <c r="P20" s="358"/>
      <c r="Q20" s="368">
        <f t="shared" si="0"/>
        <v>5654.5745011847694</v>
      </c>
      <c r="R20" s="358"/>
      <c r="S20" s="368">
        <f t="shared" si="0"/>
        <v>5852.4846087262358</v>
      </c>
      <c r="T20" s="358"/>
      <c r="U20" s="368">
        <f t="shared" si="0"/>
        <v>6057.3215700316532</v>
      </c>
      <c r="V20" s="358"/>
      <c r="W20" s="368">
        <f t="shared" si="0"/>
        <v>6269.3278249827608</v>
      </c>
      <c r="X20" s="358"/>
      <c r="Y20" s="368">
        <f t="shared" si="0"/>
        <v>6488.7542988571568</v>
      </c>
      <c r="Z20" s="358"/>
      <c r="AA20" s="368">
        <f t="shared" si="0"/>
        <v>6715.860699317157</v>
      </c>
      <c r="AB20" s="358"/>
      <c r="AC20" s="368">
        <f t="shared" si="0"/>
        <v>6950.915823793257</v>
      </c>
      <c r="AD20" s="358"/>
      <c r="AE20" s="368">
        <f t="shared" si="0"/>
        <v>7194.1978776260203</v>
      </c>
      <c r="AF20" s="358"/>
      <c r="AG20" s="368">
        <f t="shared" si="0"/>
        <v>7445.99480334293</v>
      </c>
    </row>
    <row r="21" spans="1:33" s="359" customFormat="1" ht="15">
      <c r="A21" s="359" t="s">
        <v>909</v>
      </c>
      <c r="C21" s="369"/>
      <c r="E21" s="359">
        <f>SUM(E14:E20)</f>
        <v>263352</v>
      </c>
      <c r="G21" s="359">
        <f>SUM(G14:G20)</f>
        <v>272569.31999999995</v>
      </c>
      <c r="I21" s="359">
        <f>SUM(I14:I20)</f>
        <v>282109.24619999994</v>
      </c>
      <c r="K21" s="359">
        <f>SUM(K14:K20)</f>
        <v>291983.06981699989</v>
      </c>
      <c r="M21" s="359">
        <f>SUM(M14:M20)</f>
        <v>302202.4772605949</v>
      </c>
      <c r="O21" s="359">
        <f>SUM(O14:O20)</f>
        <v>312779.56396471569</v>
      </c>
      <c r="Q21" s="359">
        <f>SUM(Q14:Q20)</f>
        <v>323726.84870348073</v>
      </c>
      <c r="S21" s="359">
        <f>SUM(S14:S20)</f>
        <v>335057.28840810253</v>
      </c>
      <c r="U21" s="359">
        <f>SUM(U14:U20)</f>
        <v>346784.29350238608</v>
      </c>
      <c r="W21" s="359">
        <f>SUM(W14:W20)</f>
        <v>358921.7437749696</v>
      </c>
      <c r="Y21" s="359">
        <f>SUM(Y14:Y20)</f>
        <v>371484.00480709353</v>
      </c>
      <c r="AA21" s="359">
        <f>SUM(AA14:AA20)</f>
        <v>384485.94497534179</v>
      </c>
      <c r="AC21" s="359">
        <f>SUM(AC14:AC20)</f>
        <v>397942.95304947864</v>
      </c>
      <c r="AE21" s="359">
        <f>SUM(AE14:AE20)</f>
        <v>411870.95640621037</v>
      </c>
      <c r="AG21" s="359">
        <f>SUM(AG14:AG20)</f>
        <v>426286.43988042773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54520</v>
      </c>
      <c r="F26" s="358"/>
      <c r="G26" s="358">
        <f>E26*$C$26</f>
        <v>56428.2</v>
      </c>
      <c r="H26" s="358"/>
      <c r="I26" s="358">
        <f>G26*$C$26</f>
        <v>58403.186999999991</v>
      </c>
      <c r="J26" s="358"/>
      <c r="K26" s="358">
        <f>I26*$C$26</f>
        <v>60447.298544999983</v>
      </c>
      <c r="L26" s="358"/>
      <c r="M26" s="358">
        <f>K26*$C$26</f>
        <v>62562.953994074975</v>
      </c>
      <c r="N26" s="358"/>
      <c r="O26" s="358">
        <f>M26*$C$26</f>
        <v>64752.65738386759</v>
      </c>
      <c r="P26" s="358"/>
      <c r="Q26" s="358">
        <f>O26*$C$26</f>
        <v>67019.000392302958</v>
      </c>
      <c r="R26" s="358"/>
      <c r="S26" s="358">
        <f>Q26*$C$26</f>
        <v>69364.665406033557</v>
      </c>
      <c r="T26" s="358"/>
      <c r="U26" s="358">
        <f>S26*$C$26</f>
        <v>71792.428695244729</v>
      </c>
      <c r="V26" s="358"/>
      <c r="W26" s="358">
        <f>U26*$C$26</f>
        <v>74305.16369957829</v>
      </c>
      <c r="X26" s="358"/>
      <c r="Y26" s="358">
        <f>W26*$C$26</f>
        <v>76905.844429063523</v>
      </c>
      <c r="Z26" s="358"/>
      <c r="AA26" s="358">
        <f>Y26*$C$26</f>
        <v>79597.548984080742</v>
      </c>
      <c r="AB26" s="358"/>
      <c r="AC26" s="358">
        <f>AA26*$C$26</f>
        <v>82383.463198523561</v>
      </c>
      <c r="AD26" s="358"/>
      <c r="AE26" s="358">
        <f>AC26*$C$26</f>
        <v>85266.884410471874</v>
      </c>
      <c r="AF26" s="358"/>
      <c r="AG26" s="358">
        <f>AE26*$C$26</f>
        <v>88251.225364838378</v>
      </c>
    </row>
    <row r="27" spans="1:33" s="340" customFormat="1" ht="14.25">
      <c r="A27" s="340" t="s">
        <v>912</v>
      </c>
      <c r="C27" s="377"/>
      <c r="E27" s="358">
        <f>Application!AC887</f>
        <v>24000</v>
      </c>
      <c r="F27" s="358"/>
      <c r="G27" s="358">
        <f>$E$27</f>
        <v>24000</v>
      </c>
      <c r="H27" s="358"/>
      <c r="I27" s="358">
        <f>$E$27</f>
        <v>24000</v>
      </c>
      <c r="J27" s="358"/>
      <c r="K27" s="358">
        <f>$E$27</f>
        <v>24000</v>
      </c>
      <c r="L27" s="358"/>
      <c r="M27" s="358">
        <f>$E$27</f>
        <v>24000</v>
      </c>
      <c r="N27" s="358"/>
      <c r="O27" s="358">
        <f>$E$27</f>
        <v>24000</v>
      </c>
      <c r="P27" s="358"/>
      <c r="Q27" s="358">
        <f>$E$27</f>
        <v>24000</v>
      </c>
      <c r="R27" s="358"/>
      <c r="S27" s="358">
        <f>$E$27</f>
        <v>24000</v>
      </c>
      <c r="T27" s="358"/>
      <c r="U27" s="358">
        <f>$E$27</f>
        <v>24000</v>
      </c>
      <c r="V27" s="358"/>
      <c r="W27" s="358">
        <f>$E$27</f>
        <v>24000</v>
      </c>
      <c r="X27" s="358"/>
      <c r="Y27" s="358">
        <f>$E$27</f>
        <v>24000</v>
      </c>
      <c r="Z27" s="358"/>
      <c r="AA27" s="358">
        <f>$E$27</f>
        <v>24000</v>
      </c>
      <c r="AB27" s="358"/>
      <c r="AC27" s="358">
        <f>$E$27</f>
        <v>24000</v>
      </c>
      <c r="AD27" s="358"/>
      <c r="AE27" s="358">
        <f>$E$27</f>
        <v>24000</v>
      </c>
      <c r="AF27" s="358"/>
      <c r="AG27" s="358">
        <f>$E$27</f>
        <v>24000</v>
      </c>
    </row>
    <row r="28" spans="1:33" s="340" customFormat="1" ht="14.25">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7680</v>
      </c>
      <c r="F29" s="358"/>
      <c r="G29" s="358">
        <f>E29*$C$29</f>
        <v>7833.6</v>
      </c>
      <c r="H29" s="358"/>
      <c r="I29" s="358">
        <f>G29*$C$29</f>
        <v>7990.2720000000008</v>
      </c>
      <c r="J29" s="358"/>
      <c r="K29" s="358">
        <f>I29*$C$29</f>
        <v>8150.0774400000009</v>
      </c>
      <c r="L29" s="358"/>
      <c r="M29" s="358">
        <f>K29*$C$29</f>
        <v>8313.0789888000018</v>
      </c>
      <c r="N29" s="358"/>
      <c r="O29" s="358">
        <f>M29*$C$29</f>
        <v>8479.3405685760026</v>
      </c>
      <c r="P29" s="358"/>
      <c r="Q29" s="358">
        <f>O29*$C$29</f>
        <v>8648.9273799475231</v>
      </c>
      <c r="R29" s="358"/>
      <c r="S29" s="358">
        <f>Q29*$C$29</f>
        <v>8821.9059275464733</v>
      </c>
      <c r="T29" s="358"/>
      <c r="U29" s="358">
        <f>S29*$C$29</f>
        <v>8998.3440460974034</v>
      </c>
      <c r="V29" s="358"/>
      <c r="W29" s="358">
        <f>U29*$C$29</f>
        <v>9178.3109270193509</v>
      </c>
      <c r="X29" s="358"/>
      <c r="Y29" s="358">
        <f>W29*$C$29</f>
        <v>9361.877145559738</v>
      </c>
      <c r="Z29" s="358"/>
      <c r="AA29" s="358">
        <f>Y29*$C$29</f>
        <v>9549.1146884709324</v>
      </c>
      <c r="AB29" s="358"/>
      <c r="AC29" s="358">
        <f>AA29*$C$29</f>
        <v>9740.0969822403513</v>
      </c>
      <c r="AD29" s="358"/>
      <c r="AE29" s="358">
        <f>AC29*$C$29</f>
        <v>9934.8989218851584</v>
      </c>
      <c r="AF29" s="358"/>
      <c r="AG29" s="358">
        <f>AE29*$C$29</f>
        <v>10133.596900322862</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2608</v>
      </c>
      <c r="B31" s="362"/>
      <c r="C31" s="493">
        <v>1</v>
      </c>
      <c r="E31" s="358">
        <f>Application!AC891</f>
        <v>9750</v>
      </c>
      <c r="F31" s="358"/>
      <c r="G31" s="358">
        <f>E31*$C$31</f>
        <v>9750</v>
      </c>
      <c r="H31" s="358"/>
      <c r="I31" s="358">
        <f>G31*$C$31</f>
        <v>9750</v>
      </c>
      <c r="J31" s="358"/>
      <c r="K31" s="358">
        <f>I31*$C$31</f>
        <v>9750</v>
      </c>
      <c r="L31" s="358"/>
      <c r="M31" s="358">
        <f>K31*$C$31</f>
        <v>9750</v>
      </c>
      <c r="N31" s="358"/>
      <c r="O31" s="358">
        <f>M31*$C$31</f>
        <v>9750</v>
      </c>
      <c r="P31" s="358"/>
      <c r="Q31" s="358">
        <f>O31*$C$31</f>
        <v>9750</v>
      </c>
      <c r="R31" s="358"/>
      <c r="S31" s="358">
        <f>Q31*$C$31</f>
        <v>9750</v>
      </c>
      <c r="T31" s="358"/>
      <c r="U31" s="358">
        <f>S31*$C$31</f>
        <v>9750</v>
      </c>
      <c r="V31" s="358"/>
      <c r="W31" s="358">
        <f>U31*$C$31</f>
        <v>9750</v>
      </c>
      <c r="X31" s="358"/>
      <c r="Y31" s="358">
        <f>W31*$C$31</f>
        <v>9750</v>
      </c>
      <c r="Z31" s="358"/>
      <c r="AA31" s="358">
        <f>Y31*$C$31</f>
        <v>9750</v>
      </c>
      <c r="AB31" s="358"/>
      <c r="AC31" s="358">
        <f>AA31*$C$31</f>
        <v>9750</v>
      </c>
      <c r="AD31" s="358"/>
      <c r="AE31" s="358">
        <f>AC31*$C$31</f>
        <v>9750</v>
      </c>
      <c r="AF31" s="358"/>
      <c r="AG31" s="358">
        <f>AE31*$C$31</f>
        <v>9750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359302</v>
      </c>
      <c r="G34" s="359">
        <f>SUM(G21:G32)</f>
        <v>370581.11999999994</v>
      </c>
      <c r="I34" s="359">
        <f>SUM(I21:I32)</f>
        <v>382252.70519999991</v>
      </c>
      <c r="K34" s="359">
        <f>SUM(K21:K32)</f>
        <v>394330.44580199989</v>
      </c>
      <c r="M34" s="359">
        <f>SUM(M21:M32)</f>
        <v>406828.51024346985</v>
      </c>
      <c r="O34" s="359">
        <f>SUM(O21:O32)</f>
        <v>419761.5619171593</v>
      </c>
      <c r="Q34" s="359">
        <f>SUM(Q21:Q32)</f>
        <v>433144.77647573117</v>
      </c>
      <c r="S34" s="359">
        <f>SUM(S21:S32)</f>
        <v>446993.85974168259</v>
      </c>
      <c r="U34" s="359">
        <f>SUM(U21:U32)</f>
        <v>461325.06624372822</v>
      </c>
      <c r="W34" s="359">
        <f>SUM(W21:W32)</f>
        <v>476155.2184015672</v>
      </c>
      <c r="Y34" s="359">
        <f>SUM(Y21:Y32)</f>
        <v>491501.72638171678</v>
      </c>
      <c r="AA34" s="359">
        <f>SUM(AA21:AA32)</f>
        <v>507382.60864789347</v>
      </c>
      <c r="AC34" s="359">
        <f>SUM(AC21:AC32)</f>
        <v>523816.51323024253</v>
      </c>
      <c r="AE34" s="359">
        <f>SUM(AE21:AE32)</f>
        <v>540822.73973856738</v>
      </c>
      <c r="AG34" s="359">
        <f>SUM(AG21:AG32)</f>
        <v>558421.26214558899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490602.20000000007</v>
      </c>
      <c r="G36" s="359">
        <f>G10-G34</f>
        <v>500570.685</v>
      </c>
      <c r="I36" s="359">
        <f>I10-I34</f>
        <v>510677.89492499997</v>
      </c>
      <c r="K36" s="359">
        <f>K10-K34</f>
        <v>520923.41932612483</v>
      </c>
      <c r="M36" s="359">
        <f>M10-M34</f>
        <v>531306.70151285792</v>
      </c>
      <c r="O36" s="359">
        <f>O10-O34</f>
        <v>541827.03013307648</v>
      </c>
      <c r="Q36" s="359">
        <f>Q10-Q34</f>
        <v>552483.5303757604</v>
      </c>
      <c r="S36" s="359">
        <f>S10-S34</f>
        <v>563275.15478109615</v>
      </c>
      <c r="U36" s="359">
        <f>U10-U34</f>
        <v>574200.67364212009</v>
      </c>
      <c r="W36" s="359">
        <f>W10-W34</f>
        <v>585258.66498142725</v>
      </c>
      <c r="Y36" s="359">
        <f>Y10-Y34</f>
        <v>596447.50408585253</v>
      </c>
      <c r="AA36" s="359">
        <f>AA10-AA34</f>
        <v>607765.3525813648</v>
      </c>
      <c r="AC36" s="359">
        <f>AC10-AC34</f>
        <v>619210.14702974702</v>
      </c>
      <c r="AE36" s="359">
        <f>AE10-AE34</f>
        <v>630779.58702792192</v>
      </c>
      <c r="AG36" s="359">
        <f>AG10-AG34</f>
        <v>642471.12279006268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Conventional Perm Loan (BBVA)</v>
      </c>
      <c r="B39" s="362"/>
      <c r="C39" s="356"/>
      <c r="E39" s="358">
        <f>Application!AF637</f>
        <v>376335</v>
      </c>
      <c r="F39" s="358"/>
      <c r="G39" s="358">
        <f>$E$39</f>
        <v>376335</v>
      </c>
      <c r="H39" s="358"/>
      <c r="I39" s="358">
        <f>$E$39</f>
        <v>376335</v>
      </c>
      <c r="J39" s="358"/>
      <c r="K39" s="358">
        <f>$E$39</f>
        <v>376335</v>
      </c>
      <c r="L39" s="358"/>
      <c r="M39" s="358">
        <f>$E$39</f>
        <v>376335</v>
      </c>
      <c r="N39" s="358"/>
      <c r="O39" s="358">
        <f>$E$39</f>
        <v>376335</v>
      </c>
      <c r="P39" s="358"/>
      <c r="Q39" s="358">
        <f>$E$39</f>
        <v>376335</v>
      </c>
      <c r="R39" s="358"/>
      <c r="S39" s="358">
        <f>$E$39</f>
        <v>376335</v>
      </c>
      <c r="T39" s="358"/>
      <c r="U39" s="358">
        <f>$E$39</f>
        <v>376335</v>
      </c>
      <c r="V39" s="358"/>
      <c r="W39" s="358">
        <f>$E$39</f>
        <v>376335</v>
      </c>
      <c r="X39" s="358"/>
      <c r="Y39" s="358">
        <f>$E$39</f>
        <v>376335</v>
      </c>
      <c r="Z39" s="358"/>
      <c r="AA39" s="358">
        <f>$E$39</f>
        <v>376335</v>
      </c>
      <c r="AB39" s="358"/>
      <c r="AC39" s="358">
        <f>$E$39</f>
        <v>376335</v>
      </c>
      <c r="AD39" s="358"/>
      <c r="AE39" s="358">
        <f>$E$39</f>
        <v>376335</v>
      </c>
      <c r="AF39" s="358"/>
      <c r="AG39" s="358">
        <f>$E$39</f>
        <v>376335</v>
      </c>
    </row>
    <row r="40" spans="1:33" s="340" customFormat="1" ht="14.25">
      <c r="A40" s="361" t="str">
        <f>Application!C638</f>
        <v>MHP</v>
      </c>
      <c r="B40" s="362"/>
      <c r="C40" s="356"/>
      <c r="E40" s="358">
        <f>Application!AF638</f>
        <v>50274</v>
      </c>
      <c r="F40" s="358"/>
      <c r="G40" s="358">
        <f>$E$40</f>
        <v>50274</v>
      </c>
      <c r="H40" s="358"/>
      <c r="I40" s="358">
        <f>$E$40</f>
        <v>50274</v>
      </c>
      <c r="J40" s="358"/>
      <c r="K40" s="358">
        <f>$E$40</f>
        <v>50274</v>
      </c>
      <c r="L40" s="358"/>
      <c r="M40" s="358">
        <f>$E$40</f>
        <v>50274</v>
      </c>
      <c r="N40" s="358"/>
      <c r="O40" s="358">
        <f>$E$40</f>
        <v>50274</v>
      </c>
      <c r="P40" s="358"/>
      <c r="Q40" s="358">
        <f>$E$40</f>
        <v>50274</v>
      </c>
      <c r="R40" s="358"/>
      <c r="S40" s="358">
        <f>$E$40</f>
        <v>50274</v>
      </c>
      <c r="T40" s="358"/>
      <c r="U40" s="358">
        <f>$E$40</f>
        <v>50274</v>
      </c>
      <c r="V40" s="358"/>
      <c r="W40" s="358">
        <f>$E$40</f>
        <v>50274</v>
      </c>
      <c r="X40" s="358"/>
      <c r="Y40" s="358">
        <f>$E$40</f>
        <v>50274</v>
      </c>
      <c r="Z40" s="358"/>
      <c r="AA40" s="358">
        <f>$E$40</f>
        <v>50274</v>
      </c>
      <c r="AB40" s="358"/>
      <c r="AC40" s="358">
        <f>$E$40</f>
        <v>50274</v>
      </c>
      <c r="AD40" s="358"/>
      <c r="AE40" s="358">
        <f>$E$40</f>
        <v>50274</v>
      </c>
      <c r="AF40" s="358"/>
      <c r="AG40" s="358">
        <f>$E$40</f>
        <v>50274</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426609</v>
      </c>
      <c r="G42" s="359">
        <f>SUM(G39:G41)</f>
        <v>426609</v>
      </c>
      <c r="I42" s="359">
        <f>SUM(I39:I41)</f>
        <v>426609</v>
      </c>
      <c r="K42" s="359">
        <f>SUM(K39:K41)</f>
        <v>426609</v>
      </c>
      <c r="M42" s="359">
        <f>SUM(M39:M41)</f>
        <v>426609</v>
      </c>
      <c r="O42" s="359">
        <f>SUM(O39:O41)</f>
        <v>426609</v>
      </c>
      <c r="Q42" s="359">
        <f>SUM(Q39:Q41)</f>
        <v>426609</v>
      </c>
      <c r="S42" s="359">
        <f>SUM(S39:S41)</f>
        <v>426609</v>
      </c>
      <c r="U42" s="359">
        <f>SUM(U39:U41)</f>
        <v>426609</v>
      </c>
      <c r="W42" s="359">
        <f>SUM(W39:W41)</f>
        <v>426609</v>
      </c>
      <c r="Y42" s="359">
        <f>SUM(Y39:Y41)</f>
        <v>426609</v>
      </c>
      <c r="AA42" s="359">
        <f>SUM(AA39:AA41)</f>
        <v>426609</v>
      </c>
      <c r="AC42" s="359">
        <f>SUM(AC39:AC41)</f>
        <v>426609</v>
      </c>
      <c r="AE42" s="359">
        <f>SUM(AE39:AE41)</f>
        <v>426609</v>
      </c>
      <c r="AG42" s="359">
        <f>SUM(AG39:AG41)</f>
        <v>426609</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63993.20000000007</v>
      </c>
      <c r="G44" s="359">
        <f>G36-G42</f>
        <v>73961.684999999998</v>
      </c>
      <c r="I44" s="359">
        <f>I36-I42</f>
        <v>84068.894924999971</v>
      </c>
      <c r="K44" s="359">
        <f>K36-K42</f>
        <v>94314.419326124829</v>
      </c>
      <c r="M44" s="359">
        <f>M36-M42</f>
        <v>104697.70151285792</v>
      </c>
      <c r="O44" s="359">
        <f>O36-O42</f>
        <v>115218.03013307648</v>
      </c>
      <c r="Q44" s="359">
        <f>Q36-Q42</f>
        <v>125874.5303757604</v>
      </c>
      <c r="S44" s="359">
        <f>S36-S42</f>
        <v>136666.15478109615</v>
      </c>
      <c r="U44" s="359">
        <f>U36-U42</f>
        <v>147591.67364212009</v>
      </c>
      <c r="W44" s="359">
        <f>W36-W42</f>
        <v>158649.66498142725</v>
      </c>
      <c r="Y44" s="359">
        <f>Y36-Y42</f>
        <v>169838.50408585253</v>
      </c>
      <c r="AA44" s="359">
        <f>AA36-AA42</f>
        <v>181156.3525813648</v>
      </c>
      <c r="AC44" s="359">
        <f>AC36-AC42</f>
        <v>192601.14702974702</v>
      </c>
      <c r="AE44" s="359">
        <f>AE36-AE42</f>
        <v>204170.58702792192</v>
      </c>
      <c r="AG44" s="359">
        <f>AG36-AG42</f>
        <v>215862.12279006268</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7.1529873602224889E-2</v>
      </c>
      <c r="G46" s="363">
        <f>G44/(G4+G6+G8)</f>
        <v>8.065597792109265E-2</v>
      </c>
      <c r="I46" s="363">
        <f>I44/(I4+I6+I8)</f>
        <v>8.9441945619928062E-2</v>
      </c>
      <c r="K46" s="363">
        <f>K44/(K4+K6+K8)</f>
        <v>9.7894913939834433E-2</v>
      </c>
      <c r="M46" s="363">
        <f>M44/(M4+M6+M8)</f>
        <v>0.10602183479608011</v>
      </c>
      <c r="O46" s="363">
        <f>O44/(O4+O6+O8)</f>
        <v>0.113829479188231</v>
      </c>
      <c r="Q46" s="363">
        <f>Q44/(Q4+Q6+Q8)</f>
        <v>0.12132444150164823</v>
      </c>
      <c r="S46" s="363">
        <f>S44/(S4+S6+S8)</f>
        <v>0.12851314370298739</v>
      </c>
      <c r="U46" s="363">
        <f>U44/(U4+U6+U8)</f>
        <v>0.13540183943227763</v>
      </c>
      <c r="W46" s="363">
        <f>W44/(W4+W6+W8)</f>
        <v>0.14199661799408739</v>
      </c>
      <c r="Y46" s="363">
        <f>Y44/(Y4+Y6+Y8)</f>
        <v>0.14830340825023408</v>
      </c>
      <c r="AA46" s="363">
        <f>AA44/(AA4+AA6+AA8)</f>
        <v>0.15432798241642087</v>
      </c>
      <c r="AC46" s="363">
        <f>AC44/(AC4+AC6+AC8)</f>
        <v>0.1600759597651393</v>
      </c>
      <c r="AE46" s="363">
        <f>AE44/(AE4+AE6+AE8)</f>
        <v>0.16555281023710716</v>
      </c>
      <c r="AG46" s="363">
        <f>AG44/(AG4+AG6+AG8)</f>
        <v>0.17076385796346602</v>
      </c>
    </row>
    <row r="47" spans="1:33" s="363" customFormat="1" ht="14.25">
      <c r="A47" s="363" t="s">
        <v>918</v>
      </c>
      <c r="C47" s="356"/>
      <c r="E47" s="363">
        <f>E44/E42</f>
        <v>0.15000433652360842</v>
      </c>
      <c r="G47" s="363">
        <f>G44/G42</f>
        <v>0.17337113141072974</v>
      </c>
      <c r="I47" s="363">
        <f>I44/I42</f>
        <v>0.1970631067909959</v>
      </c>
      <c r="K47" s="363">
        <f>K44/K42</f>
        <v>0.22107930054481933</v>
      </c>
      <c r="M47" s="363">
        <f>M44/M42</f>
        <v>0.24541840775243354</v>
      </c>
      <c r="O47" s="363">
        <f>O44/O42</f>
        <v>0.27007876095693356</v>
      </c>
      <c r="Q47" s="363">
        <f>Q44/Q42</f>
        <v>0.29505830954283757</v>
      </c>
      <c r="S47" s="363">
        <f>S44/S42</f>
        <v>0.3203545981943563</v>
      </c>
      <c r="U47" s="363">
        <f>U44/U42</f>
        <v>0.34596474439620378</v>
      </c>
      <c r="W47" s="363">
        <f>W44/W42</f>
        <v>0.37188541493833288</v>
      </c>
      <c r="Y47" s="363">
        <f>Y44/Y42</f>
        <v>0.39811280138452898</v>
      </c>
      <c r="AA47" s="363">
        <f>AA44/AA42</f>
        <v>0.42464259446323166</v>
      </c>
      <c r="AC47" s="363">
        <f>AC44/AC42</f>
        <v>0.45146995733739098</v>
      </c>
      <c r="AE47" s="363">
        <f>AE44/AE42</f>
        <v>0.47858949770849168</v>
      </c>
      <c r="AG47" s="363">
        <f>AG44/AG42</f>
        <v>0.50599523870819108</v>
      </c>
    </row>
    <row r="48" spans="1:33" s="364" customFormat="1" ht="14.25">
      <c r="A48" s="364" t="s">
        <v>916</v>
      </c>
      <c r="C48" s="365"/>
      <c r="E48" s="364">
        <f>E36/E42</f>
        <v>1.1500043365236083</v>
      </c>
      <c r="G48" s="364">
        <f>G36/G42</f>
        <v>1.1733711314107298</v>
      </c>
      <c r="I48" s="364">
        <f>I36/I42</f>
        <v>1.1970631067909958</v>
      </c>
      <c r="K48" s="364">
        <f>K36/K42</f>
        <v>1.2210793005448193</v>
      </c>
      <c r="M48" s="364">
        <f>M36/M42</f>
        <v>1.2454184077524335</v>
      </c>
      <c r="O48" s="364">
        <f>O36/O42</f>
        <v>1.2700787609569335</v>
      </c>
      <c r="Q48" s="364">
        <f>Q36/Q42</f>
        <v>1.2950583095428376</v>
      </c>
      <c r="S48" s="364">
        <f>S36/S42</f>
        <v>1.3203545981943563</v>
      </c>
      <c r="U48" s="364">
        <f>U36/U42</f>
        <v>1.3459647443962037</v>
      </c>
      <c r="W48" s="364">
        <f>W36/W42</f>
        <v>1.3718854149383328</v>
      </c>
      <c r="Y48" s="364">
        <f>Y36/Y42</f>
        <v>1.398112801384529</v>
      </c>
      <c r="AA48" s="364">
        <f>AA36/AA42</f>
        <v>1.4246425944632317</v>
      </c>
      <c r="AC48" s="364">
        <f>AC36/AC42</f>
        <v>1.451469957337391</v>
      </c>
      <c r="AE48" s="364">
        <f>AE36/AE42</f>
        <v>1.4785894977084917</v>
      </c>
      <c r="AG48" s="364">
        <f>AG36/AG42</f>
        <v>1.505995238708191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2" t="s">
        <v>2623</v>
      </c>
      <c r="B51" s="3352"/>
      <c r="C51" s="335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v>12000</v>
      </c>
      <c r="G52" s="1678">
        <f>E52</f>
        <v>12000</v>
      </c>
      <c r="I52" s="1678">
        <f>G52</f>
        <v>12000</v>
      </c>
      <c r="K52" s="1678">
        <f>I52</f>
        <v>12000</v>
      </c>
      <c r="M52" s="1678">
        <f>K52</f>
        <v>12000</v>
      </c>
      <c r="O52" s="1678">
        <f>M52</f>
        <v>12000</v>
      </c>
      <c r="Q52" s="1678">
        <f>O52</f>
        <v>12000</v>
      </c>
      <c r="S52" s="1678">
        <f>Q52</f>
        <v>12000</v>
      </c>
      <c r="U52" s="1678">
        <f>S52</f>
        <v>12000</v>
      </c>
      <c r="W52" s="1678">
        <f>U52</f>
        <v>12000</v>
      </c>
      <c r="Y52" s="1678">
        <f>W52</f>
        <v>12000</v>
      </c>
      <c r="AA52" s="1678">
        <f>Y52</f>
        <v>12000</v>
      </c>
      <c r="AC52" s="1678">
        <f>AA52</f>
        <v>12000</v>
      </c>
      <c r="AE52" s="1678">
        <f>AC52</f>
        <v>12000</v>
      </c>
      <c r="AG52" s="1678">
        <f>AE52</f>
        <v>12000</v>
      </c>
    </row>
    <row r="53" spans="1:35" s="6" customFormat="1">
      <c r="A53" s="6" t="s">
        <v>921</v>
      </c>
      <c r="C53" s="1676"/>
      <c r="E53" s="1683">
        <v>3000</v>
      </c>
      <c r="F53" s="1678"/>
      <c r="G53" s="1678">
        <f>E53</f>
        <v>3000</v>
      </c>
      <c r="H53" s="1678"/>
      <c r="I53" s="1678">
        <f>G53</f>
        <v>3000</v>
      </c>
      <c r="J53" s="1678"/>
      <c r="K53" s="1678">
        <f>I53</f>
        <v>3000</v>
      </c>
      <c r="L53" s="1678"/>
      <c r="M53" s="1678">
        <f>K53</f>
        <v>3000</v>
      </c>
      <c r="N53" s="1678"/>
      <c r="O53" s="1678">
        <f>M53</f>
        <v>3000</v>
      </c>
      <c r="P53" s="1678"/>
      <c r="Q53" s="1678">
        <f>O53</f>
        <v>3000</v>
      </c>
      <c r="R53" s="1678"/>
      <c r="S53" s="1678">
        <f>Q53</f>
        <v>3000</v>
      </c>
      <c r="T53" s="1678"/>
      <c r="U53" s="1678">
        <f>S53</f>
        <v>3000</v>
      </c>
      <c r="V53" s="1678"/>
      <c r="W53" s="1678">
        <f>U53</f>
        <v>3000</v>
      </c>
      <c r="X53" s="1678"/>
      <c r="Y53" s="1678">
        <f>W53</f>
        <v>3000</v>
      </c>
      <c r="Z53" s="1678"/>
      <c r="AA53" s="1678">
        <f>Y53</f>
        <v>3000</v>
      </c>
      <c r="AB53" s="1678"/>
      <c r="AC53" s="1678">
        <f>AA53</f>
        <v>3000</v>
      </c>
      <c r="AD53" s="1678"/>
      <c r="AE53" s="1678">
        <f>AC53</f>
        <v>3000</v>
      </c>
      <c r="AF53" s="1678"/>
      <c r="AG53" s="1678">
        <f>AE53</f>
        <v>3000</v>
      </c>
      <c r="AH53" s="1678"/>
      <c r="AI53" s="1678"/>
    </row>
    <row r="54" spans="1:35" s="6" customFormat="1">
      <c r="A54" s="6" t="s">
        <v>922</v>
      </c>
      <c r="C54" s="1676"/>
      <c r="E54" s="1683"/>
      <c r="F54" s="1678"/>
      <c r="G54" s="1678">
        <f t="shared" ref="G53: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15000</v>
      </c>
      <c r="F57" s="1678"/>
      <c r="G57" s="1678">
        <f>SUM(G52:G56)</f>
        <v>15000</v>
      </c>
      <c r="H57" s="1678"/>
      <c r="I57" s="1678">
        <f>SUM(I52:I56)</f>
        <v>15000</v>
      </c>
      <c r="J57" s="1678"/>
      <c r="K57" s="1678">
        <f>SUM(K52:K56)</f>
        <v>15000</v>
      </c>
      <c r="L57" s="1678"/>
      <c r="M57" s="1678">
        <f>SUM(M52:M56)</f>
        <v>15000</v>
      </c>
      <c r="N57" s="1678"/>
      <c r="O57" s="1678">
        <f>SUM(O52:O56)</f>
        <v>15000</v>
      </c>
      <c r="P57" s="1678"/>
      <c r="Q57" s="1678">
        <f>SUM(Q52:Q56)</f>
        <v>15000</v>
      </c>
      <c r="R57" s="1678"/>
      <c r="S57" s="1678">
        <f>SUM(S52:S56)</f>
        <v>15000</v>
      </c>
      <c r="T57" s="1678"/>
      <c r="U57" s="1678">
        <f>SUM(U52:U56)</f>
        <v>15000</v>
      </c>
      <c r="V57" s="1678"/>
      <c r="W57" s="1678">
        <f>SUM(W52:W56)</f>
        <v>15000</v>
      </c>
      <c r="X57" s="1678"/>
      <c r="Y57" s="1678">
        <f>SUM(Y52:Y56)</f>
        <v>15000</v>
      </c>
      <c r="Z57" s="1678"/>
      <c r="AA57" s="1678">
        <f>SUM(AA52:AA56)</f>
        <v>15000</v>
      </c>
      <c r="AB57" s="1678"/>
      <c r="AC57" s="1678">
        <f>SUM(AC52:AC56)</f>
        <v>15000</v>
      </c>
      <c r="AD57" s="1678"/>
      <c r="AE57" s="1678">
        <f>SUM(AE52:AE56)</f>
        <v>15000</v>
      </c>
      <c r="AF57" s="1678"/>
      <c r="AG57" s="1678">
        <f>SUM(AG52:AG56)</f>
        <v>15000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48993.20000000007</v>
      </c>
      <c r="G59" s="1680">
        <f>G44-G57</f>
        <v>58961.684999999998</v>
      </c>
      <c r="I59" s="1680">
        <f>I44-I57</f>
        <v>69068.894924999971</v>
      </c>
      <c r="K59" s="1680">
        <f>K44-K57</f>
        <v>79314.419326124829</v>
      </c>
      <c r="M59" s="1680">
        <f>M44-M57</f>
        <v>89697.701512857922</v>
      </c>
      <c r="O59" s="1680">
        <f>O44-O57</f>
        <v>100218.03013307648</v>
      </c>
      <c r="Q59" s="1680">
        <f>Q44-Q57</f>
        <v>110874.5303757604</v>
      </c>
      <c r="S59" s="1680">
        <f>S44-S57</f>
        <v>121666.15478109615</v>
      </c>
      <c r="U59" s="1680">
        <f>U44-U57</f>
        <v>132591.67364212009</v>
      </c>
      <c r="W59" s="1680">
        <f>W44-W57</f>
        <v>143649.66498142725</v>
      </c>
      <c r="Y59" s="1680">
        <f>Y44-Y57</f>
        <v>154838.50408585253</v>
      </c>
      <c r="AA59" s="1680">
        <f>AA44-AA57</f>
        <v>166156.3525813648</v>
      </c>
      <c r="AC59" s="1680">
        <f>AC44-AC57</f>
        <v>177601.14702974702</v>
      </c>
      <c r="AE59" s="1680">
        <f>AE44-AE57</f>
        <v>189170.58702792192</v>
      </c>
      <c r="AG59" s="1680">
        <f>AG44-AG57</f>
        <v>200862.12279006268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f>'Sources and Uses Budget'!H105</f>
        <v>434462</v>
      </c>
      <c r="E61" s="1682">
        <f>E59</f>
        <v>48993.20000000007</v>
      </c>
      <c r="G61" s="1688">
        <f>G59</f>
        <v>58961.684999999998</v>
      </c>
      <c r="H61" s="1688"/>
      <c r="I61" s="1688">
        <f>IF($C$61-SUM($E$61:G61)&gt;0,MIN(I59,$C$61-SUM($E$61:G61)),0)</f>
        <v>69068.894924999971</v>
      </c>
      <c r="J61" s="1688"/>
      <c r="K61" s="1688">
        <f>IF($C$61-SUM($E$61:I61)&gt;0,MIN(K59,$C$61-SUM($E$61:I61)),0)</f>
        <v>79314.419326124829</v>
      </c>
      <c r="L61" s="1688"/>
      <c r="M61" s="1688">
        <f>IF($C$61-SUM($E$61:K61)&gt;0,MIN(M59,$C$61-SUM($E$61:K61)),0)</f>
        <v>89697.701512857922</v>
      </c>
      <c r="N61" s="1688"/>
      <c r="O61" s="1688">
        <f>IF($C$61-SUM($E$61:M61)&gt;0,MIN(O59,$C$61-SUM($E$61:M61)),0)</f>
        <v>88426.099236017209</v>
      </c>
      <c r="P61" s="1688"/>
      <c r="Q61" s="1688">
        <f>IF($C$61-SUM($E$61:O61)&gt;0,MIN(Q59,$C$61-SUM($E$61:O61)),0)</f>
        <v>0</v>
      </c>
      <c r="R61" s="1688"/>
      <c r="S61" s="1688">
        <f>IF($C$61-SUM($E$61:Q61)&gt;0,MIN(S59,$C$61-SUM($E$61:Q61)),0)</f>
        <v>0</v>
      </c>
      <c r="T61" s="1688"/>
      <c r="U61" s="1688">
        <f>IF($C$61-SUM($E$61:S61)&gt;0,MIN(U59,$C$61-SUM($E$61:S61)),0)</f>
        <v>0</v>
      </c>
      <c r="V61" s="1688"/>
      <c r="W61" s="1688">
        <f>IF($C$61-SUM($E$61:U61)&gt;0,MIN(W59,$C$61-SUM($E$61:U61)),0)</f>
        <v>0</v>
      </c>
      <c r="X61" s="1688"/>
      <c r="Y61" s="1688">
        <f>IF($C$61-SUM($E$61:W61)&gt;0,MIN(Y59,$C$61-SUM($E$61:W61)),0)</f>
        <v>0</v>
      </c>
      <c r="Z61" s="1688"/>
      <c r="AA61" s="1688">
        <f>IF($C$61-SUM($E$61:Y61)&gt;0,MIN(AA59,$C$61-SUM($E$61:Y61)),0)</f>
        <v>0</v>
      </c>
      <c r="AB61" s="1688"/>
      <c r="AC61" s="1688">
        <f>IF($C$61-SUM($E$61:AA61)&gt;0,MIN(AC59,$C$61-SUM($E$61:AA61)),0)</f>
        <v>0</v>
      </c>
      <c r="AD61" s="1688"/>
      <c r="AE61" s="1688">
        <f>IF($C$61-SUM($E$61:AC61)&gt;0,MIN(AE59,$C$61-SUM($E$61:AC61)),0)</f>
        <v>0</v>
      </c>
      <c r="AF61" s="1688"/>
      <c r="AG61" s="1688">
        <f>IF($C$61-SUM($E$61:AE61)&gt;0,MIN(AG59,$C$61-SUM($E$61:AE61)),0)</f>
        <v>0</v>
      </c>
      <c r="AH61" s="1688"/>
    </row>
    <row r="62" spans="1:35" s="1688" customFormat="1">
      <c r="A62" s="3352" t="s">
        <v>2623</v>
      </c>
      <c r="B62" s="3352"/>
      <c r="C62" s="335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5" s="1680" customFormat="1">
      <c r="A65" s="1682" t="s">
        <v>864</v>
      </c>
      <c r="B65" s="1682"/>
      <c r="C65" s="3369">
        <v>0.5</v>
      </c>
      <c r="E65" s="1682">
        <f>$C65*(E$59-E$61)</f>
        <v>0</v>
      </c>
      <c r="G65" s="1678">
        <f>$C65*(G$59-G$61)</f>
        <v>0</v>
      </c>
      <c r="I65" s="1678">
        <f>$C65*(I$59-I$61)</f>
        <v>0</v>
      </c>
      <c r="K65" s="1678">
        <f t="shared" ref="K65:V66" si="2">$C65*(K$59-K$61)</f>
        <v>0</v>
      </c>
      <c r="M65" s="1678">
        <f t="shared" ref="M65:V66" si="3">$C65*(M$59-M$61)</f>
        <v>0</v>
      </c>
      <c r="O65" s="1678">
        <f t="shared" ref="O65:V66" si="4">$C65*(O$59-O$61)</f>
        <v>5895.9654485296342</v>
      </c>
      <c r="Q65" s="1678">
        <f t="shared" ref="Q65:V66" si="5">$C65*(Q$59-Q$61)</f>
        <v>55437.265187880199</v>
      </c>
      <c r="S65" s="1678">
        <f t="shared" ref="S65:V66" si="6">$C65*(S$59-S$61)</f>
        <v>60833.077390548075</v>
      </c>
      <c r="U65" s="1678">
        <f t="shared" ref="U65:V66" si="7">$C65*(U$59-U$61)</f>
        <v>66295.836821060046</v>
      </c>
      <c r="W65" s="1678">
        <f>$C65*(W$59-W$61)</f>
        <v>71824.832490713627</v>
      </c>
      <c r="Y65" s="1678">
        <f t="shared" ref="Y65:AJ66" si="8">$C65*(Y$59-Y$61)</f>
        <v>77419.252042926266</v>
      </c>
      <c r="AA65" s="1678">
        <f t="shared" ref="AA65:AJ66" si="9">$C65*(AA$59-AA$61)</f>
        <v>83078.176290682401</v>
      </c>
      <c r="AC65" s="1678">
        <f t="shared" ref="AC65:AJ66" si="10">$C65*(AC$59-AC$61)</f>
        <v>88800.573514873511</v>
      </c>
      <c r="AE65" s="1678">
        <f t="shared" ref="AE65:AJ66" si="11">$C65*(AE$59-AE$61)</f>
        <v>94585.293513960962</v>
      </c>
      <c r="AG65" s="1678">
        <f t="shared" ref="AG65:AJ66" si="12">$C65*(AG$59-AG$61)</f>
        <v>100431.06139503134</v>
      </c>
      <c r="AI65" s="1678">
        <f t="shared" ref="AI65:AJ66" si="13">$C65*(AI$59-AI$61)</f>
        <v>0</v>
      </c>
    </row>
    <row r="66" spans="1:35" s="1678" customFormat="1">
      <c r="A66" s="1683" t="s">
        <v>2626</v>
      </c>
      <c r="B66" s="1683"/>
      <c r="C66" s="3369">
        <v>0.5</v>
      </c>
      <c r="E66" s="1682">
        <f>$C66*(E$59-E$61)</f>
        <v>0</v>
      </c>
      <c r="G66" s="1678">
        <f>$C66*(G$59-G$61)</f>
        <v>0</v>
      </c>
      <c r="I66" s="1678">
        <f>$C66*(I$59-I$61)</f>
        <v>0</v>
      </c>
      <c r="K66" s="1678">
        <f t="shared" si="2"/>
        <v>0</v>
      </c>
      <c r="M66" s="1678">
        <f t="shared" si="3"/>
        <v>0</v>
      </c>
      <c r="O66" s="1678">
        <f t="shared" si="4"/>
        <v>5895.9654485296342</v>
      </c>
      <c r="Q66" s="1678">
        <f t="shared" si="5"/>
        <v>55437.265187880199</v>
      </c>
      <c r="S66" s="1678">
        <f t="shared" si="6"/>
        <v>60833.077390548075</v>
      </c>
      <c r="U66" s="1678">
        <f t="shared" si="7"/>
        <v>66295.836821060046</v>
      </c>
      <c r="W66" s="1678">
        <f>$C66*(W$59-W$61)</f>
        <v>71824.832490713627</v>
      </c>
      <c r="Y66" s="1678">
        <f t="shared" si="8"/>
        <v>77419.252042926266</v>
      </c>
      <c r="AA66" s="1678">
        <f t="shared" si="9"/>
        <v>83078.176290682401</v>
      </c>
      <c r="AC66" s="1678">
        <f t="shared" si="10"/>
        <v>88800.573514873511</v>
      </c>
      <c r="AE66" s="1678">
        <f t="shared" si="11"/>
        <v>94585.293513960962</v>
      </c>
      <c r="AG66" s="1678">
        <f t="shared" si="12"/>
        <v>100431.06139503134</v>
      </c>
      <c r="AI66" s="1678">
        <f t="shared" si="13"/>
        <v>0</v>
      </c>
    </row>
    <row r="67" spans="1:35" s="1678" customFormat="1">
      <c r="A67" s="1683"/>
      <c r="B67" s="1683"/>
      <c r="C67" s="1689"/>
      <c r="E67" s="1683"/>
      <c r="G67" s="1678">
        <f t="shared" ref="G67:AG68" si="14">E67*$C$65</f>
        <v>0</v>
      </c>
      <c r="I67" s="1678">
        <f t="shared" si="14"/>
        <v>0</v>
      </c>
      <c r="K67" s="1678">
        <f t="shared" si="14"/>
        <v>0</v>
      </c>
      <c r="M67" s="1678">
        <f t="shared" si="14"/>
        <v>0</v>
      </c>
      <c r="O67" s="1678">
        <f t="shared" si="14"/>
        <v>0</v>
      </c>
      <c r="Q67" s="1678">
        <f t="shared" si="14"/>
        <v>0</v>
      </c>
      <c r="S67" s="1678">
        <f t="shared" si="14"/>
        <v>0</v>
      </c>
      <c r="U67" s="1678">
        <f t="shared" si="14"/>
        <v>0</v>
      </c>
      <c r="W67" s="1678">
        <f t="shared" si="14"/>
        <v>0</v>
      </c>
      <c r="Y67" s="1678">
        <f t="shared" si="14"/>
        <v>0</v>
      </c>
      <c r="AA67" s="1678">
        <f t="shared" si="14"/>
        <v>0</v>
      </c>
      <c r="AC67" s="1678">
        <f t="shared" si="14"/>
        <v>0</v>
      </c>
      <c r="AE67" s="1678">
        <f t="shared" si="14"/>
        <v>0</v>
      </c>
      <c r="AG67" s="1678">
        <f t="shared" si="14"/>
        <v>0</v>
      </c>
    </row>
    <row r="68" spans="1:35" s="1678" customFormat="1">
      <c r="A68" s="1683"/>
      <c r="B68" s="1683"/>
      <c r="C68" s="1689"/>
      <c r="E68" s="1685"/>
      <c r="G68" s="1686">
        <f t="shared" si="14"/>
        <v>0</v>
      </c>
      <c r="I68" s="1686">
        <f t="shared" si="14"/>
        <v>0</v>
      </c>
      <c r="K68" s="1686">
        <f t="shared" si="14"/>
        <v>0</v>
      </c>
      <c r="M68" s="1686">
        <f t="shared" si="14"/>
        <v>0</v>
      </c>
      <c r="O68" s="1686">
        <f t="shared" si="14"/>
        <v>0</v>
      </c>
      <c r="Q68" s="1686">
        <f t="shared" si="14"/>
        <v>0</v>
      </c>
      <c r="S68" s="1686">
        <f t="shared" si="14"/>
        <v>0</v>
      </c>
      <c r="U68" s="1686">
        <f t="shared" si="14"/>
        <v>0</v>
      </c>
      <c r="W68" s="1686">
        <f t="shared" si="14"/>
        <v>0</v>
      </c>
      <c r="Y68" s="1686">
        <f t="shared" si="14"/>
        <v>0</v>
      </c>
      <c r="AA68" s="1686">
        <f t="shared" si="14"/>
        <v>0</v>
      </c>
      <c r="AC68" s="1686">
        <f t="shared" si="14"/>
        <v>0</v>
      </c>
      <c r="AE68" s="1686">
        <f t="shared" si="14"/>
        <v>0</v>
      </c>
      <c r="AG68" s="1686">
        <f t="shared" si="14"/>
        <v>0</v>
      </c>
    </row>
    <row r="69" spans="1:35" s="1690" customFormat="1">
      <c r="A69" s="1680" t="s">
        <v>919</v>
      </c>
      <c r="C69" s="1689"/>
      <c r="E69" s="1690">
        <f>SUM(E65:E68)</f>
        <v>0</v>
      </c>
      <c r="G69" s="1690">
        <f>SUM(G65:G68)</f>
        <v>0</v>
      </c>
      <c r="I69" s="1690">
        <f>SUM(I65:I68)</f>
        <v>0</v>
      </c>
      <c r="K69" s="1690">
        <f>SUM(K65:K68)</f>
        <v>0</v>
      </c>
      <c r="M69" s="1690">
        <f>SUM(M65:M68)</f>
        <v>0</v>
      </c>
      <c r="O69" s="1690">
        <f>SUM(O65:O68)</f>
        <v>11791.930897059268</v>
      </c>
      <c r="Q69" s="1690">
        <f>SUM(Q65:Q68)</f>
        <v>110874.5303757604</v>
      </c>
      <c r="S69" s="1690">
        <f>SUM(S65:S68)</f>
        <v>121666.15478109615</v>
      </c>
      <c r="U69" s="1690">
        <f>SUM(U65:U68)</f>
        <v>132591.67364212009</v>
      </c>
      <c r="W69" s="1690">
        <f>SUM(W65:W68)</f>
        <v>143649.66498142725</v>
      </c>
      <c r="Y69" s="1690">
        <f>SUM(Y65:Y68)</f>
        <v>154838.50408585253</v>
      </c>
      <c r="AA69" s="1690">
        <f>SUM(AA65:AA68)</f>
        <v>166156.3525813648</v>
      </c>
      <c r="AC69" s="1690">
        <f>SUM(AC65:AC68)</f>
        <v>177601.14702974702</v>
      </c>
      <c r="AE69" s="1690">
        <f>SUM(AE65:AE68)</f>
        <v>189170.58702792192</v>
      </c>
      <c r="AG69" s="1690">
        <f>SUM(AG65:AG68)</f>
        <v>200862.12279006268</v>
      </c>
    </row>
    <row r="70" spans="1:35" s="1690" customFormat="1">
      <c r="A70" s="1680"/>
      <c r="C70" s="1689"/>
    </row>
    <row r="71" spans="1:35"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5" s="1678" customFormat="1">
      <c r="A72" s="917"/>
      <c r="C72" s="1691"/>
    </row>
    <row r="73" spans="1:35" s="352" customFormat="1">
      <c r="A73" s="917"/>
      <c r="C73" s="353"/>
    </row>
    <row r="74" spans="1:35" s="352" customFormat="1">
      <c r="A74" s="1678" t="s">
        <v>2236</v>
      </c>
      <c r="C74" s="353"/>
    </row>
    <row r="75" spans="1:35" s="352" customFormat="1">
      <c r="C75" s="353"/>
    </row>
    <row r="76" spans="1:35" s="371" customFormat="1" ht="30" customHeight="1">
      <c r="A76" s="3350" t="s">
        <v>2235</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5" s="349" customFormat="1" hidden="1">
      <c r="C77" s="351"/>
    </row>
    <row r="78" spans="1:35" s="349" customFormat="1" hidden="1">
      <c r="C78" s="351"/>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3" zoomScale="70" zoomScaleNormal="70" zoomScaleSheetLayoutView="80" workbookViewId="0">
      <selection activeCell="F17" sqref="F17"/>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55" t="s">
        <v>1949</v>
      </c>
      <c r="B1" s="3355"/>
      <c r="C1" s="3355"/>
      <c r="D1" s="3355"/>
      <c r="E1" s="3355"/>
      <c r="F1" s="3355"/>
      <c r="G1" s="3355"/>
      <c r="H1" s="3355"/>
      <c r="I1" s="3355"/>
      <c r="J1" s="3355"/>
      <c r="K1" s="335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55"/>
      <c r="B2" s="3355"/>
      <c r="C2" s="3355"/>
      <c r="D2" s="3355"/>
      <c r="E2" s="3355"/>
      <c r="F2" s="3355"/>
      <c r="G2" s="3355"/>
      <c r="H2" s="3355"/>
      <c r="I2" s="3355"/>
      <c r="J2" s="3355"/>
      <c r="K2" s="335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6" t="s">
        <v>1950</v>
      </c>
      <c r="D4" s="3356"/>
      <c r="E4" s="3356"/>
      <c r="F4" s="3356"/>
      <c r="G4" s="3356"/>
      <c r="H4" s="3356"/>
      <c r="I4" s="3356"/>
      <c r="J4" s="3356"/>
    </row>
    <row r="5" spans="1:33">
      <c r="C5" s="3356"/>
      <c r="D5" s="3356"/>
      <c r="E5" s="3356"/>
      <c r="F5" s="3356"/>
      <c r="G5" s="3356"/>
      <c r="H5" s="3356"/>
      <c r="I5" s="3356"/>
      <c r="J5" s="3356"/>
    </row>
    <row r="6" spans="1:33">
      <c r="C6" s="1428"/>
      <c r="D6" s="1428"/>
      <c r="E6" s="1428"/>
      <c r="F6" s="1428"/>
      <c r="G6" s="1428"/>
      <c r="H6" s="1428"/>
      <c r="I6" s="1428"/>
      <c r="J6" s="1428"/>
    </row>
    <row r="7" spans="1:33">
      <c r="C7" s="1429" t="s">
        <v>1951</v>
      </c>
      <c r="D7" s="1428"/>
      <c r="E7" s="3357" t="str">
        <f>Application!H16</f>
        <v>LINC-Beaumont 2 APTS, LLC</v>
      </c>
      <c r="F7" s="3357"/>
      <c r="G7" s="3357"/>
      <c r="H7" s="1428"/>
      <c r="I7" s="1429" t="s">
        <v>1952</v>
      </c>
      <c r="J7" s="1430">
        <f>Application!AG437+Application!AG439</f>
        <v>47</v>
      </c>
    </row>
    <row r="8" spans="1:33">
      <c r="C8" s="1429" t="s">
        <v>1953</v>
      </c>
      <c r="D8" s="1428"/>
      <c r="E8" s="3357" t="str">
        <f>Application!H18</f>
        <v>Allegheny Apartments (FKA Beaumont 2)</v>
      </c>
      <c r="F8" s="3357"/>
      <c r="G8" s="3357"/>
      <c r="H8" s="1428"/>
      <c r="I8" s="1429" t="s">
        <v>1954</v>
      </c>
      <c r="J8" s="1431">
        <f>Application!CS663</f>
        <v>117</v>
      </c>
    </row>
    <row r="9" spans="1:33" ht="14.25" customHeight="1">
      <c r="C9" s="1429" t="s">
        <v>1955</v>
      </c>
      <c r="D9" s="1428"/>
      <c r="E9" s="3358" t="str">
        <f>Application!D210</f>
        <v>Large Family</v>
      </c>
      <c r="F9" s="3358"/>
      <c r="G9" s="3358"/>
      <c r="H9" s="1428"/>
      <c r="I9" s="1429" t="s">
        <v>1956</v>
      </c>
      <c r="J9" s="1432"/>
      <c r="N9" s="1433"/>
    </row>
    <row r="10" spans="1:33" ht="26.85" customHeight="1">
      <c r="C10" s="3356" t="s">
        <v>1957</v>
      </c>
      <c r="D10" s="3356"/>
      <c r="E10" s="3359" t="str">
        <f>Application!D213</f>
        <v>N/A</v>
      </c>
      <c r="F10" s="3359"/>
      <c r="G10" s="3359"/>
      <c r="H10" s="1428"/>
      <c r="I10" s="1434" t="s">
        <v>1958</v>
      </c>
      <c r="J10" s="1435">
        <f>IF(J9&gt;0,J8-J9,J8)</f>
        <v>117</v>
      </c>
      <c r="N10" s="1433"/>
    </row>
    <row r="11" spans="1:33">
      <c r="C11" s="1436"/>
      <c r="N11" s="1433"/>
    </row>
    <row r="12" spans="1:33" ht="15" customHeight="1">
      <c r="C12" s="3360" t="s">
        <v>1959</v>
      </c>
      <c r="D12" s="3361"/>
      <c r="E12" s="3362"/>
      <c r="F12" s="3353" t="s">
        <v>1960</v>
      </c>
      <c r="G12" s="3353" t="s">
        <v>1961</v>
      </c>
      <c r="H12" s="3366" t="s">
        <v>2176</v>
      </c>
      <c r="I12" s="3353" t="s">
        <v>2175</v>
      </c>
      <c r="J12" s="3353" t="s">
        <v>1962</v>
      </c>
      <c r="N12" s="1433"/>
    </row>
    <row r="13" spans="1:33" ht="68.25" customHeight="1">
      <c r="C13" s="3363"/>
      <c r="D13" s="3364"/>
      <c r="E13" s="3365"/>
      <c r="F13" s="3354"/>
      <c r="G13" s="3354"/>
      <c r="H13" s="3367"/>
      <c r="I13" s="3354"/>
      <c r="J13" s="3354"/>
    </row>
    <row r="14" spans="1:33" ht="15" customHeight="1">
      <c r="C14" s="1437" t="s">
        <v>1963</v>
      </c>
      <c r="D14" s="1438"/>
      <c r="E14" s="1438"/>
      <c r="F14" s="1439"/>
      <c r="G14" s="1439"/>
      <c r="H14" s="1440"/>
      <c r="I14" s="1440"/>
      <c r="J14" s="1440"/>
    </row>
    <row r="15" spans="1:33">
      <c r="C15" s="1441" t="s">
        <v>1964</v>
      </c>
      <c r="D15" s="1426" t="s">
        <v>1965</v>
      </c>
      <c r="F15" s="1442" t="s">
        <v>2555</v>
      </c>
      <c r="G15" s="1443">
        <v>46520</v>
      </c>
      <c r="H15" s="1444" t="s">
        <v>2237</v>
      </c>
      <c r="I15" s="1444" t="s">
        <v>2585</v>
      </c>
      <c r="J15" s="1444" t="s">
        <v>2586</v>
      </c>
    </row>
    <row r="16" spans="1:33">
      <c r="C16" s="1441" t="s">
        <v>1966</v>
      </c>
      <c r="D16" s="1426" t="s">
        <v>1967</v>
      </c>
      <c r="F16" s="1442"/>
      <c r="G16" s="1445"/>
      <c r="H16" s="1444"/>
      <c r="I16" s="1444"/>
      <c r="J16" s="1444"/>
    </row>
    <row r="17" spans="3:10">
      <c r="C17" s="1441" t="s">
        <v>1849</v>
      </c>
      <c r="D17" s="1426" t="s">
        <v>1968</v>
      </c>
      <c r="F17" s="1442" t="s">
        <v>2587</v>
      </c>
      <c r="G17" s="1445">
        <v>8000</v>
      </c>
      <c r="H17" s="1444" t="s">
        <v>2237</v>
      </c>
      <c r="I17" s="1444" t="s">
        <v>2585</v>
      </c>
      <c r="J17" s="1444" t="s">
        <v>2586</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54520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C31" sqref="C31"/>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8" t="s">
        <v>982</v>
      </c>
      <c r="B1" s="3368"/>
      <c r="C1" s="3368"/>
      <c r="D1" s="3368"/>
      <c r="E1" s="3368"/>
      <c r="F1" s="3368"/>
      <c r="G1" s="3368"/>
      <c r="H1" s="3368"/>
      <c r="I1" s="3368"/>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2 Bedrooms</v>
      </c>
      <c r="B4" s="668">
        <f>Application!G728</f>
        <v>24</v>
      </c>
      <c r="C4" s="659">
        <f>Application!O728</f>
        <v>452</v>
      </c>
      <c r="D4" s="660"/>
      <c r="E4" s="477">
        <f>1390-56</f>
        <v>1334</v>
      </c>
      <c r="F4" s="661">
        <f>E4*B4</f>
        <v>32016</v>
      </c>
      <c r="G4" s="662"/>
      <c r="H4" s="659">
        <f>IF(E4=0," ",(E4-C4))</f>
        <v>882</v>
      </c>
      <c r="I4" s="661">
        <f>IF(E4=0," ",(H4*B4))</f>
        <v>21168</v>
      </c>
      <c r="J4" s="326"/>
      <c r="K4" s="474"/>
    </row>
    <row r="5" spans="1:11">
      <c r="A5" s="659" t="str">
        <f>Application!B729</f>
        <v>3 Bedrooms</v>
      </c>
      <c r="B5" s="668">
        <f>Application!G729</f>
        <v>23</v>
      </c>
      <c r="C5" s="659">
        <f>Application!O729</f>
        <v>516</v>
      </c>
      <c r="D5" s="660"/>
      <c r="E5" s="477">
        <f>1910-71</f>
        <v>1839</v>
      </c>
      <c r="F5" s="661">
        <f t="shared" ref="F5:F28" si="0">E5*B5</f>
        <v>42297</v>
      </c>
      <c r="G5" s="662"/>
      <c r="H5" s="659">
        <f t="shared" ref="H5:H28" si="1">IF(E5=0," ",(E5-C5))</f>
        <v>1323</v>
      </c>
      <c r="I5" s="661">
        <f t="shared" ref="I5:I28" si="2">IF(E5=0," ",(H5*B5))</f>
        <v>30429</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Application!T753*12</f>
        <v>272592</v>
      </c>
      <c r="D30" s="660"/>
      <c r="E30" s="660"/>
      <c r="F30" s="665">
        <f>SUM(F4:F28)*12</f>
        <v>891756</v>
      </c>
      <c r="G30" s="666"/>
      <c r="H30" s="664"/>
      <c r="I30" s="665">
        <f>SUM(I4:I28)*12</f>
        <v>619164</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420000</v>
      </c>
      <c r="C5" s="422">
        <f>'Sources and Uses Budget'!$C4</f>
        <v>420000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35000</v>
      </c>
      <c r="C7" s="422">
        <f>'Sources and Uses Budget'!$C6</f>
        <v>35000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455000</v>
      </c>
      <c r="C9" s="426">
        <f>SUM(C5:C8)</f>
        <v>455000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195676</v>
      </c>
      <c r="C11" s="422">
        <f>'Sources and Uses Budget'!$C10</f>
        <v>195676</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195676</v>
      </c>
      <c r="C12" s="426">
        <f>SUM(C10:C11)</f>
        <v>195676</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650676</v>
      </c>
      <c r="C13" s="426">
        <f>SUM(C9+C12)</f>
        <v>650676</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30000</v>
      </c>
      <c r="C14" s="422">
        <f>'Sources and Uses Budget'!$C13</f>
        <v>30000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1177190</v>
      </c>
      <c r="C30" s="422">
        <f>'Sources and Uses Budget'!$C29</f>
        <v>1177190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8622996</v>
      </c>
      <c r="C31" s="422">
        <f>'Sources and Uses Budget'!$C30</f>
        <v>8622996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850612</v>
      </c>
      <c r="C32" s="422">
        <f>'Sources and Uses Budget'!$C31</f>
        <v>850612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425306</v>
      </c>
      <c r="C33" s="422">
        <f>'Sources and Uses Budget'!$C32</f>
        <v>425306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425306</v>
      </c>
      <c r="C34" s="422">
        <f>'Sources and Uses Budget'!$C33</f>
        <v>425306</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2155749</v>
      </c>
      <c r="C35" s="422">
        <f>'Sources and Uses Budget'!$C34</f>
        <v>2155749</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215051</v>
      </c>
      <c r="C36" s="422">
        <f>'Sources and Uses Budget'!$C35</f>
        <v>215051</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13872210</v>
      </c>
      <c r="C39" s="426">
        <f>SUM(C30:C38)</f>
        <v>13872210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965000</v>
      </c>
      <c r="C41" s="422">
        <f>'Sources and Uses Budget'!$C40</f>
        <v>965000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250000</v>
      </c>
      <c r="C42" s="422">
        <f>'Sources and Uses Budget'!$C41</f>
        <v>250000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1215000</v>
      </c>
      <c r="C43" s="426">
        <f>SUM(C41:C42)</f>
        <v>1215000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1247609</v>
      </c>
      <c r="C46" s="422">
        <f>'Sources and Uses Budget'!$C45</f>
        <v>1247609</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220719</v>
      </c>
      <c r="C47" s="422">
        <f>'Sources and Uses Budget'!$C46</f>
        <v>220719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130962</v>
      </c>
      <c r="C49" s="422">
        <f>'Sources and Uses Budget'!$C48</f>
        <v>130962</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259869</v>
      </c>
      <c r="C50" s="422">
        <f>'Sources and Uses Budget'!$C49</f>
        <v>259869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5250</v>
      </c>
      <c r="C52" s="422">
        <f>'Sources and Uses Budget'!$C51</f>
        <v>5250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80000</v>
      </c>
      <c r="C53" s="422">
        <f>'Sources and Uses Budget'!$C52</f>
        <v>80000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Legal</v>
      </c>
      <c r="B54" s="422">
        <f>'Sources and Uses Budget'!$C53</f>
        <v>35000</v>
      </c>
      <c r="C54" s="422">
        <f>'Sources and Uses Budget'!$C53</f>
        <v>35000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2059409</v>
      </c>
      <c r="C55" s="429">
        <f>SUM(C46:C54)</f>
        <v>2059409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24265</v>
      </c>
      <c r="C57" s="422">
        <f>'Sources and Uses Budget'!$C56</f>
        <v>24265</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v>
      </c>
      <c r="C59" s="422">
        <f>'Sources and Uses Budget'!$C58</f>
        <v>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Perm Legal</v>
      </c>
      <c r="B62" s="422">
        <f>'Sources and Uses Budget'!$C61</f>
        <v>10000</v>
      </c>
      <c r="C62" s="422">
        <f>'Sources and Uses Budget'!$C61</f>
        <v>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39265</v>
      </c>
      <c r="C63" s="426">
        <f>SUM(C57:C62)</f>
        <v>39265</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17866560</v>
      </c>
      <c r="C64" s="426">
        <f>SUM(C9+C12+C14+C15+C17+C26+C28+C39+C43+C44+C55+C63)</f>
        <v>17866560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70483</v>
      </c>
      <c r="C66" s="422">
        <f>'Sources and Uses Budget'!$C65</f>
        <v>70483</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70483</v>
      </c>
      <c r="C71" s="426">
        <f>SUM(C66:C70)</f>
        <v>70483</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201549</v>
      </c>
      <c r="C74" s="422">
        <f>'Sources and Uses Budget'!$C73</f>
        <v>201549</v>
      </c>
      <c r="D74" s="426">
        <f t="shared" si="0"/>
        <v>0</v>
      </c>
      <c r="E74" s="424"/>
      <c r="F74" s="423"/>
      <c r="G74" s="554"/>
    </row>
    <row r="75" spans="1:253" s="548" customFormat="1">
      <c r="A75" s="509" t="s">
        <v>1088</v>
      </c>
      <c r="B75" s="422">
        <f>'Sources and Uses Budget'!$C74</f>
        <v>508190</v>
      </c>
      <c r="C75" s="422">
        <f>'Sources and Uses Budget'!$C74</f>
        <v>508190</v>
      </c>
      <c r="D75" s="426">
        <f t="shared" si="0"/>
        <v>0</v>
      </c>
      <c r="E75" s="424"/>
      <c r="F75" s="423"/>
      <c r="G75" s="554"/>
    </row>
    <row r="76" spans="1:253" s="548" customFormat="1">
      <c r="A76" s="425" t="s">
        <v>641</v>
      </c>
      <c r="B76" s="422">
        <f>'Sources and Uses Budget'!$C75</f>
        <v>0</v>
      </c>
      <c r="C76" s="422">
        <f>'Sources and Uses Budget'!$C75</f>
        <v>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709739</v>
      </c>
      <c r="C78" s="426">
        <f>SUM(C73:C77)</f>
        <v>709739</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709942</v>
      </c>
      <c r="C80" s="422">
        <f>'Sources and Uses Budget'!$C79</f>
        <v>709942</v>
      </c>
      <c r="D80" s="426">
        <f t="shared" si="1"/>
        <v>0</v>
      </c>
      <c r="E80" s="424"/>
      <c r="F80" s="423"/>
      <c r="G80" s="554"/>
    </row>
    <row r="81" spans="1:7" s="548" customFormat="1">
      <c r="A81" s="863" t="s">
        <v>61</v>
      </c>
      <c r="B81" s="422">
        <f>'Sources and Uses Budget'!$C80</f>
        <v>277001</v>
      </c>
      <c r="C81" s="422">
        <f>'Sources and Uses Budget'!$C80</f>
        <v>277001</v>
      </c>
      <c r="D81" s="426">
        <f>C81-B81</f>
        <v>0</v>
      </c>
      <c r="E81" s="424"/>
      <c r="F81" s="423"/>
      <c r="G81" s="554"/>
    </row>
    <row r="82" spans="1:7" s="548" customFormat="1">
      <c r="A82" s="427" t="s">
        <v>1425</v>
      </c>
      <c r="B82" s="426">
        <f>SUM(B80:B81)</f>
        <v>986943</v>
      </c>
      <c r="C82" s="426">
        <f>SUM(C80:C81)</f>
        <v>986943</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56767</v>
      </c>
      <c r="C84" s="422">
        <f>'Sources and Uses Budget'!$C83</f>
        <v>56767</v>
      </c>
      <c r="D84" s="426">
        <f t="shared" si="1"/>
        <v>0</v>
      </c>
      <c r="E84" s="424"/>
      <c r="F84" s="423"/>
      <c r="G84" s="554"/>
    </row>
    <row r="85" spans="1:7" s="548" customFormat="1">
      <c r="A85" s="425" t="s">
        <v>828</v>
      </c>
      <c r="B85" s="422">
        <f>'Sources and Uses Budget'!$C84</f>
        <v>85000</v>
      </c>
      <c r="C85" s="422">
        <f>'Sources and Uses Budget'!$C84</f>
        <v>85000</v>
      </c>
      <c r="D85" s="426">
        <f t="shared" si="1"/>
        <v>0</v>
      </c>
      <c r="E85" s="424"/>
      <c r="F85" s="423"/>
      <c r="G85" s="554"/>
    </row>
    <row r="86" spans="1:7" s="548" customFormat="1">
      <c r="A86" s="425" t="s">
        <v>829</v>
      </c>
      <c r="B86" s="422">
        <f>'Sources and Uses Budget'!$C85</f>
        <v>1533515</v>
      </c>
      <c r="C86" s="422">
        <f>'Sources and Uses Budget'!$C85</f>
        <v>1533515</v>
      </c>
      <c r="D86" s="426">
        <f t="shared" si="1"/>
        <v>0</v>
      </c>
      <c r="E86" s="424"/>
      <c r="F86" s="423"/>
      <c r="G86" s="554"/>
    </row>
    <row r="87" spans="1:7" s="548" customFormat="1">
      <c r="A87" s="425" t="s">
        <v>830</v>
      </c>
      <c r="B87" s="422">
        <f>'Sources and Uses Budget'!$C86</f>
        <v>168000</v>
      </c>
      <c r="C87" s="422">
        <f>'Sources and Uses Budget'!$C86</f>
        <v>168000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63373</v>
      </c>
      <c r="C89" s="422">
        <f>'Sources and Uses Budget'!$C88</f>
        <v>63373</v>
      </c>
      <c r="D89" s="426">
        <f t="shared" si="1"/>
        <v>0</v>
      </c>
      <c r="E89" s="424"/>
      <c r="F89" s="423"/>
      <c r="G89" s="554"/>
    </row>
    <row r="90" spans="1:7" s="548" customFormat="1">
      <c r="A90" s="425" t="s">
        <v>833</v>
      </c>
      <c r="B90" s="422">
        <f>'Sources and Uses Budget'!$C89</f>
        <v>32400</v>
      </c>
      <c r="C90" s="422">
        <f>'Sources and Uses Budget'!$C89</f>
        <v>32400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15000</v>
      </c>
      <c r="C93" s="422">
        <f>'Sources and Uses Budget'!$C92</f>
        <v>15000</v>
      </c>
      <c r="D93" s="426">
        <f t="shared" si="1"/>
        <v>0</v>
      </c>
      <c r="E93" s="424"/>
      <c r="F93" s="423"/>
      <c r="G93" s="554"/>
    </row>
    <row r="94" spans="1:7" s="548" customFormat="1">
      <c r="A94" s="428" t="s">
        <v>35</v>
      </c>
      <c r="B94" s="422">
        <f>'Sources and Uses Budget'!$C93</f>
        <v>251384</v>
      </c>
      <c r="C94" s="422">
        <f>'Sources and Uses Budget'!$C93</f>
        <v>251384</v>
      </c>
      <c r="D94" s="426">
        <f t="shared" si="1"/>
        <v>0</v>
      </c>
      <c r="E94" s="424"/>
      <c r="F94" s="423"/>
      <c r="G94" s="554"/>
    </row>
    <row r="95" spans="1:7" s="548" customFormat="1">
      <c r="A95" s="428" t="s">
        <v>35</v>
      </c>
      <c r="B95" s="422">
        <f>'Sources and Uses Budget'!$C94</f>
        <v>137327</v>
      </c>
      <c r="C95" s="422">
        <f>'Sources and Uses Budget'!$C94</f>
        <v>137327</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2357766</v>
      </c>
      <c r="C97" s="426">
        <f>SUM(C84:C96)</f>
        <v>2357766</v>
      </c>
      <c r="D97" s="426">
        <f t="shared" si="1"/>
        <v>0</v>
      </c>
      <c r="E97" s="424"/>
      <c r="F97" s="423"/>
      <c r="G97" s="554"/>
    </row>
    <row r="98" spans="1:7" s="548" customFormat="1">
      <c r="A98" s="427" t="s">
        <v>836</v>
      </c>
      <c r="B98" s="426">
        <f>SUM(B64+B71+B78+B82+B97)</f>
        <v>21991491</v>
      </c>
      <c r="C98" s="426">
        <f>SUM(C64+C71+C78+C82+C97)</f>
        <v>21991491</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2934462</v>
      </c>
      <c r="C100" s="422">
        <f>'Sources and Uses Budget'!$C99</f>
        <v>2934462</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2934462</v>
      </c>
      <c r="C105" s="426">
        <f>SUM(C100:C104)</f>
        <v>2934462</v>
      </c>
      <c r="D105" s="426">
        <f t="shared" si="1"/>
        <v>0</v>
      </c>
      <c r="E105" s="424"/>
      <c r="F105" s="423"/>
      <c r="G105" s="552"/>
    </row>
    <row r="106" spans="1:7" s="547" customFormat="1">
      <c r="A106" s="427" t="s">
        <v>841</v>
      </c>
      <c r="B106" s="429">
        <f>SUM(B98+B105)</f>
        <v>24925953</v>
      </c>
      <c r="C106" s="429">
        <f>SUM(C98+C105)</f>
        <v>24925953</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8" t="s">
        <v>317</v>
      </c>
    </row>
    <row r="4" spans="1:9">
      <c r="I4" s="679" t="s">
        <v>1161</v>
      </c>
    </row>
    <row r="5" spans="1:9" s="39" customFormat="1">
      <c r="A5" s="1905" t="s">
        <v>1091</v>
      </c>
      <c r="B5" s="1905"/>
      <c r="C5" s="1906"/>
      <c r="D5" s="1906"/>
      <c r="E5" s="1906"/>
      <c r="F5" s="1906"/>
      <c r="G5" s="1906"/>
      <c r="I5" s="679" t="s">
        <v>1162</v>
      </c>
    </row>
    <row r="6" spans="1:9" s="39" customFormat="1">
      <c r="A6" s="1905" t="s">
        <v>883</v>
      </c>
      <c r="B6" s="1905"/>
      <c r="C6" s="1906"/>
      <c r="D6" s="1906"/>
      <c r="E6" s="1906"/>
      <c r="F6" s="1906"/>
      <c r="G6" s="1906"/>
      <c r="I6" s="678" t="s">
        <v>627</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4"/>
      <c r="E12" s="50"/>
    </row>
    <row r="13" spans="1:9" ht="13.35" customHeight="1">
      <c r="C13" s="255"/>
      <c r="D13" s="1879" t="s">
        <v>1259</v>
      </c>
      <c r="E13" s="1879"/>
      <c r="F13" s="1879"/>
    </row>
    <row r="14" spans="1:9">
      <c r="C14" s="255"/>
      <c r="D14" s="1879"/>
      <c r="E14" s="1879"/>
      <c r="F14" s="1879"/>
    </row>
    <row r="15" spans="1:9">
      <c r="A15" s="260"/>
      <c r="B15" s="260"/>
      <c r="C15" s="260"/>
      <c r="D15" s="1876" t="s">
        <v>1242</v>
      </c>
      <c r="E15" s="1876"/>
      <c r="F15" s="1876"/>
    </row>
    <row r="16" spans="1:9">
      <c r="A16" s="260"/>
      <c r="B16" s="260"/>
      <c r="C16" s="260"/>
      <c r="D16" s="328"/>
    </row>
    <row r="17" spans="1:7" ht="14.25">
      <c r="A17" s="261"/>
      <c r="B17" s="680" t="s">
        <v>317</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317</v>
      </c>
      <c r="D21" s="1880" t="s">
        <v>1244</v>
      </c>
      <c r="E21" s="1880"/>
      <c r="F21" s="1880"/>
    </row>
    <row r="22" spans="1:7" ht="14.25">
      <c r="A22" s="261"/>
      <c r="B22" s="261"/>
      <c r="D22" s="135"/>
    </row>
    <row r="23" spans="1:7" ht="14.25">
      <c r="A23" s="261"/>
      <c r="B23" s="680" t="s">
        <v>317</v>
      </c>
      <c r="D23" s="1851" t="s">
        <v>1245</v>
      </c>
      <c r="E23" s="1851"/>
      <c r="F23" s="1851"/>
    </row>
    <row r="24" spans="1:7" ht="14.25">
      <c r="A24" s="261"/>
      <c r="B24" s="261"/>
      <c r="D24" s="1851"/>
      <c r="E24" s="1851"/>
      <c r="F24" s="1851"/>
    </row>
    <row r="25" spans="1:7"/>
    <row r="26" spans="1:7" ht="14.25">
      <c r="A26" s="261"/>
      <c r="B26" s="680" t="s">
        <v>317</v>
      </c>
      <c r="D26" s="1874" t="s">
        <v>1246</v>
      </c>
      <c r="E26" s="1874"/>
      <c r="F26" s="1874"/>
    </row>
    <row r="27" spans="1:7">
      <c r="D27" s="1874"/>
      <c r="E27" s="1874"/>
      <c r="F27" s="1874"/>
    </row>
    <row r="28" spans="1:7">
      <c r="D28" s="1874"/>
      <c r="E28" s="1874"/>
      <c r="F28" s="1874"/>
    </row>
    <row r="29" spans="1:7">
      <c r="A29" s="559"/>
      <c r="C29" s="559"/>
      <c r="D29" s="1874"/>
      <c r="E29" s="1874"/>
      <c r="F29" s="1874"/>
    </row>
    <row r="30" spans="1:7">
      <c r="A30" s="559"/>
      <c r="C30" s="559"/>
      <c r="D30" s="1874"/>
      <c r="E30" s="1874"/>
      <c r="F30" s="1874"/>
    </row>
    <row r="31" spans="1:7" s="39" customFormat="1">
      <c r="A31" s="273"/>
      <c r="B31" s="273"/>
      <c r="C31" s="273"/>
      <c r="D31" s="444"/>
      <c r="E31" s="130"/>
      <c r="F31" s="130"/>
      <c r="G31" s="130"/>
    </row>
    <row r="32" spans="1:7" s="39" customFormat="1">
      <c r="A32" s="273"/>
      <c r="B32" s="680" t="s">
        <v>317</v>
      </c>
      <c r="C32" s="273"/>
      <c r="D32" s="1853" t="s">
        <v>1247</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317</v>
      </c>
      <c r="C35" s="555"/>
      <c r="D35" s="1853" t="s">
        <v>1248</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317</v>
      </c>
      <c r="C39" s="700"/>
      <c r="D39" s="1853" t="s">
        <v>1249</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317</v>
      </c>
      <c r="C45" s="555"/>
      <c r="D45" s="1853" t="s">
        <v>1250</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317</v>
      </c>
      <c r="D50" s="1853" t="s">
        <v>1251</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317</v>
      </c>
      <c r="C54" s="558"/>
      <c r="D54" s="1853" t="s">
        <v>1252</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317</v>
      </c>
      <c r="D57" s="1853" t="s">
        <v>1253</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317</v>
      </c>
      <c r="D61" s="1853" t="s">
        <v>1254</v>
      </c>
      <c r="E61" s="1853"/>
      <c r="F61" s="1853"/>
    </row>
    <row r="62" spans="1:7">
      <c r="D62" s="1853"/>
      <c r="E62" s="1853"/>
      <c r="F62" s="1853"/>
    </row>
    <row r="63" spans="1:7"/>
    <row r="64" spans="1:7" ht="14.25">
      <c r="A64" s="261"/>
      <c r="B64" s="680" t="s">
        <v>317</v>
      </c>
      <c r="D64" s="1853" t="s">
        <v>1255</v>
      </c>
      <c r="E64" s="1853"/>
      <c r="F64" s="1853"/>
    </row>
    <row r="65" spans="1:7">
      <c r="D65" s="1853"/>
      <c r="E65" s="1853"/>
      <c r="F65" s="1853"/>
    </row>
    <row r="66" spans="1:7">
      <c r="A66" s="556"/>
      <c r="C66" s="556"/>
      <c r="D66" s="1853"/>
      <c r="E66" s="1853"/>
      <c r="F66" s="1853"/>
    </row>
    <row r="67" spans="1:7">
      <c r="D67" s="12"/>
    </row>
    <row r="68" spans="1:7" ht="14.25">
      <c r="A68" s="261"/>
      <c r="B68" s="680" t="s">
        <v>317</v>
      </c>
      <c r="D68" s="1851" t="s">
        <v>1256</v>
      </c>
      <c r="E68" s="1851"/>
      <c r="F68" s="1851"/>
    </row>
    <row r="69" spans="1:7">
      <c r="D69" s="1851"/>
      <c r="E69" s="1851"/>
      <c r="F69" s="1851"/>
    </row>
    <row r="70" spans="1:7" ht="14.25">
      <c r="A70" s="261"/>
      <c r="B70" s="261"/>
      <c r="D70" s="135"/>
    </row>
    <row r="71" spans="1:7">
      <c r="A71" s="1877" t="s">
        <v>1163</v>
      </c>
      <c r="B71" s="1877"/>
      <c r="C71" s="1877"/>
      <c r="D71" s="1877"/>
      <c r="E71" s="1877"/>
      <c r="F71" s="1877"/>
      <c r="G71" s="1877"/>
    </row>
    <row r="72" spans="1:7"/>
    <row r="73" spans="1:7">
      <c r="C73" s="262"/>
      <c r="D73" s="1893" t="s">
        <v>1261</v>
      </c>
      <c r="E73" s="1893"/>
      <c r="F73" s="1893"/>
    </row>
    <row r="74" spans="1:7">
      <c r="A74" s="135"/>
      <c r="B74" s="135"/>
      <c r="D74" s="1851" t="s">
        <v>1288</v>
      </c>
      <c r="E74" s="1851"/>
      <c r="F74" s="1851"/>
    </row>
    <row r="75" spans="1:7">
      <c r="A75" s="135"/>
      <c r="B75" s="135"/>
    </row>
    <row r="76" spans="1:7" ht="14.25">
      <c r="A76" s="261"/>
      <c r="B76" s="680" t="s">
        <v>317</v>
      </c>
      <c r="D76" s="1851" t="s">
        <v>1262</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317</v>
      </c>
      <c r="C83" s="706"/>
      <c r="D83" s="1908" t="s">
        <v>1361</v>
      </c>
      <c r="E83" s="1908"/>
      <c r="F83" s="1908"/>
      <c r="G83" s="7"/>
    </row>
    <row r="84" spans="1:7" s="707" customFormat="1" ht="14.25">
      <c r="A84" s="708"/>
      <c r="B84" s="708"/>
      <c r="C84" s="706"/>
      <c r="D84" s="1908"/>
      <c r="E84" s="1908"/>
      <c r="F84" s="1908"/>
      <c r="G84" s="7"/>
    </row>
    <row r="85" spans="1:7" s="707" customFormat="1" ht="14.25">
      <c r="A85" s="708"/>
      <c r="B85" s="708"/>
      <c r="C85" s="706"/>
      <c r="D85" s="1908"/>
      <c r="E85" s="1908"/>
      <c r="F85" s="1908"/>
      <c r="G85" s="7"/>
    </row>
    <row r="86" spans="1:7" s="707" customFormat="1" ht="14.25">
      <c r="A86" s="708"/>
      <c r="B86" s="708"/>
      <c r="C86" s="706"/>
      <c r="D86" s="1908"/>
      <c r="E86" s="1908"/>
      <c r="F86" s="1908"/>
      <c r="G86" s="7"/>
    </row>
    <row r="87" spans="1:7" s="707" customFormat="1" ht="14.25">
      <c r="A87" s="708"/>
      <c r="B87" s="708"/>
      <c r="C87" s="706"/>
      <c r="D87" s="1908"/>
      <c r="E87" s="1908"/>
      <c r="F87" s="1908"/>
      <c r="G87" s="7"/>
    </row>
    <row r="88" spans="1:7" s="720" customFormat="1" ht="14.25">
      <c r="A88" s="715"/>
      <c r="B88" s="715"/>
      <c r="C88" s="746"/>
      <c r="D88" s="1908"/>
      <c r="E88" s="1908"/>
      <c r="F88" s="1908"/>
      <c r="G88" s="7"/>
    </row>
    <row r="89" spans="1:7" s="720" customFormat="1" ht="14.25">
      <c r="A89" s="715"/>
      <c r="B89" s="715"/>
      <c r="C89" s="746"/>
      <c r="D89" s="1908"/>
      <c r="E89" s="1908"/>
      <c r="F89" s="1908"/>
      <c r="G89" s="7"/>
    </row>
    <row r="90" spans="1:7" s="720" customFormat="1" ht="14.25">
      <c r="A90" s="715"/>
      <c r="B90" s="715"/>
      <c r="C90" s="746"/>
      <c r="D90" s="1908"/>
      <c r="E90" s="1908"/>
      <c r="F90" s="1908"/>
      <c r="G90" s="7"/>
    </row>
    <row r="91" spans="1:7" ht="14.25">
      <c r="A91" s="261"/>
      <c r="B91" s="261"/>
      <c r="D91" s="1908"/>
      <c r="E91" s="1908"/>
      <c r="F91" s="1908"/>
    </row>
    <row r="92" spans="1:7" ht="14.25">
      <c r="A92" s="261"/>
      <c r="B92" s="261"/>
      <c r="D92" s="1908"/>
      <c r="E92" s="1908"/>
      <c r="F92" s="1908"/>
    </row>
    <row r="93" spans="1:7" ht="14.25">
      <c r="A93" s="261"/>
      <c r="B93" s="261"/>
      <c r="D93" s="1908"/>
      <c r="E93" s="1908"/>
      <c r="F93" s="1908"/>
    </row>
    <row r="94" spans="1:7" ht="14.25">
      <c r="A94" s="261"/>
      <c r="B94" s="261"/>
      <c r="D94" s="1908"/>
      <c r="E94" s="1908"/>
      <c r="F94" s="1908"/>
    </row>
    <row r="95" spans="1:7" ht="14.25">
      <c r="A95" s="261"/>
      <c r="B95" s="261"/>
      <c r="D95" s="1908"/>
      <c r="E95" s="1908"/>
      <c r="F95" s="1908"/>
    </row>
    <row r="96" spans="1:7" ht="14.25">
      <c r="A96" s="261"/>
      <c r="B96" s="261"/>
      <c r="D96" s="1908"/>
      <c r="E96" s="1908"/>
      <c r="F96" s="1908"/>
    </row>
    <row r="97" spans="1:11" s="711" customFormat="1" ht="14.25">
      <c r="A97" s="712"/>
      <c r="B97" s="716" t="s">
        <v>317</v>
      </c>
      <c r="C97" s="706"/>
      <c r="D97" s="1851" t="s">
        <v>1263</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317</v>
      </c>
      <c r="C106" s="470"/>
      <c r="D106" s="1909" t="s">
        <v>1264</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317</v>
      </c>
      <c r="C114"/>
      <c r="D114" s="1910" t="s">
        <v>1265</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317</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317</v>
      </c>
      <c r="C123" s="10"/>
      <c r="D123" s="1853" t="s">
        <v>1267</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1" t="s">
        <v>1375</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11" t="s">
        <v>1268</v>
      </c>
      <c r="E156" s="1911"/>
      <c r="F156" s="1911"/>
      <c r="G156" s="445"/>
    </row>
    <row r="157" spans="1:7" customFormat="1" ht="13.7" customHeight="1">
      <c r="A157" s="379"/>
      <c r="B157" s="379"/>
      <c r="C157" s="326"/>
      <c r="D157" s="1911"/>
      <c r="E157" s="1911"/>
      <c r="F157" s="1911"/>
      <c r="G157" s="445"/>
    </row>
    <row r="158" spans="1:7" customFormat="1" ht="13.7" customHeight="1">
      <c r="A158" s="379"/>
      <c r="B158" s="379"/>
      <c r="C158" s="326"/>
      <c r="D158" s="328"/>
      <c r="E158" s="326"/>
      <c r="F158" s="326"/>
      <c r="G158" s="445"/>
    </row>
    <row r="159" spans="1:7" customFormat="1" ht="13.7" customHeight="1">
      <c r="A159" s="379"/>
      <c r="B159" s="680" t="s">
        <v>317</v>
      </c>
      <c r="C159" s="326"/>
      <c r="D159" s="1854" t="s">
        <v>1269</v>
      </c>
      <c r="E159" s="1854"/>
      <c r="F159" s="1854"/>
      <c r="G159" s="445"/>
    </row>
    <row r="160" spans="1:7" customFormat="1" ht="13.7" customHeight="1">
      <c r="A160" s="379"/>
      <c r="B160" s="379"/>
      <c r="C160" s="326"/>
      <c r="D160" s="1854"/>
      <c r="E160" s="1854"/>
      <c r="F160" s="1854"/>
      <c r="G160" s="445"/>
    </row>
    <row r="161" spans="1:7" customFormat="1" ht="13.7" customHeight="1">
      <c r="A161" s="379"/>
      <c r="B161" s="379"/>
      <c r="C161" s="326"/>
      <c r="D161" s="1854"/>
      <c r="E161" s="1854"/>
      <c r="F161" s="1854"/>
      <c r="G161" s="445"/>
    </row>
    <row r="162" spans="1:7" customFormat="1" ht="13.7" customHeight="1">
      <c r="A162" s="379"/>
      <c r="B162" s="379"/>
      <c r="C162" s="326"/>
      <c r="D162" s="1854"/>
      <c r="E162" s="1854"/>
      <c r="F162" s="1854"/>
      <c r="G162" s="445"/>
    </row>
    <row r="163" spans="1:7" customFormat="1" ht="13.7" customHeight="1">
      <c r="A163" s="132"/>
      <c r="B163" s="677"/>
      <c r="C163" s="10"/>
      <c r="D163" s="151"/>
      <c r="E163" s="151"/>
      <c r="F163" s="151"/>
      <c r="G163" s="149"/>
    </row>
    <row r="164" spans="1:7" customFormat="1" ht="13.7" customHeight="1">
      <c r="A164" s="132"/>
      <c r="B164" s="680" t="s">
        <v>317</v>
      </c>
      <c r="C164" s="10"/>
      <c r="D164" s="1899" t="s">
        <v>1270</v>
      </c>
      <c r="E164" s="1899"/>
      <c r="F164" s="1899"/>
      <c r="G164" s="149"/>
    </row>
    <row r="165" spans="1:7" customFormat="1" ht="13.7" customHeight="1">
      <c r="A165" s="132"/>
      <c r="B165" s="677"/>
      <c r="C165" s="10"/>
      <c r="D165" s="1899"/>
      <c r="E165" s="1899"/>
      <c r="F165" s="1899"/>
      <c r="G165" s="149"/>
    </row>
    <row r="166" spans="1:7" customFormat="1" ht="13.7" customHeight="1">
      <c r="A166" s="132"/>
      <c r="B166" s="677"/>
      <c r="C166" s="10"/>
      <c r="D166" s="1899"/>
      <c r="E166" s="1899"/>
      <c r="F166" s="1899"/>
      <c r="G166" s="149"/>
    </row>
    <row r="167" spans="1:7" customFormat="1" ht="13.7" customHeight="1">
      <c r="A167" s="23"/>
      <c r="B167" s="676"/>
      <c r="C167" s="10"/>
      <c r="D167" s="7"/>
      <c r="E167" s="151"/>
      <c r="F167" s="151"/>
      <c r="G167" s="149"/>
    </row>
    <row r="168" spans="1:7">
      <c r="A168" s="1877" t="s">
        <v>1164</v>
      </c>
      <c r="B168" s="1877"/>
      <c r="C168" s="1877"/>
      <c r="D168" s="1877"/>
      <c r="E168" s="1877"/>
      <c r="F168" s="1877"/>
      <c r="G168" s="1877"/>
    </row>
    <row r="169" spans="1:7" ht="12" customHeight="1">
      <c r="D169" s="135"/>
      <c r="E169" s="135"/>
      <c r="F169" s="135"/>
    </row>
    <row r="170" spans="1:7">
      <c r="B170" s="1873" t="s">
        <v>471</v>
      </c>
      <c r="C170" s="1873"/>
      <c r="D170" s="1873"/>
      <c r="E170" s="1873"/>
      <c r="F170" s="1873"/>
    </row>
    <row r="171" spans="1:7" ht="12" customHeight="1">
      <c r="A171" s="255"/>
      <c r="B171" s="674"/>
      <c r="C171" s="255"/>
    </row>
    <row r="172" spans="1:7">
      <c r="A172" s="1877" t="s">
        <v>1165</v>
      </c>
      <c r="B172" s="1877"/>
      <c r="C172" s="1877"/>
      <c r="D172" s="1877"/>
      <c r="E172" s="1877"/>
      <c r="F172" s="1877"/>
      <c r="G172" s="1877"/>
    </row>
    <row r="173" spans="1:7" ht="12" customHeight="1">
      <c r="A173" s="264"/>
      <c r="B173" s="264"/>
      <c r="C173" s="265"/>
      <c r="D173" s="57"/>
      <c r="E173" s="49"/>
      <c r="F173" s="57"/>
      <c r="G173" s="57"/>
    </row>
    <row r="174" spans="1:7" ht="13.35" customHeight="1">
      <c r="A174" s="264"/>
      <c r="B174" s="264"/>
      <c r="C174" s="265"/>
      <c r="D174" s="1913" t="s">
        <v>1273</v>
      </c>
      <c r="E174" s="1913"/>
      <c r="F174" s="1913"/>
      <c r="G174" s="57"/>
    </row>
    <row r="175" spans="1:7">
      <c r="A175" s="264"/>
      <c r="B175" s="264"/>
      <c r="C175" s="265"/>
      <c r="D175" s="1913"/>
      <c r="E175" s="1913"/>
      <c r="F175" s="1913"/>
      <c r="G175" s="57"/>
    </row>
    <row r="176" spans="1:7" s="720" customFormat="1">
      <c r="A176" s="722"/>
      <c r="B176" s="722"/>
      <c r="C176" s="265"/>
      <c r="D176" s="1914" t="s">
        <v>1274</v>
      </c>
      <c r="E176" s="1914"/>
      <c r="F176" s="1914"/>
      <c r="G176" s="57"/>
    </row>
    <row r="177" spans="1:7" ht="12" customHeight="1">
      <c r="A177" s="264"/>
      <c r="B177" s="264"/>
      <c r="C177" s="265"/>
      <c r="D177" s="57"/>
      <c r="E177" s="49"/>
      <c r="F177" s="57"/>
      <c r="G177" s="57"/>
    </row>
    <row r="178" spans="1:7" ht="14.25">
      <c r="A178" s="261"/>
      <c r="B178" s="680" t="s">
        <v>317</v>
      </c>
      <c r="C178" s="265"/>
      <c r="D178" s="1912" t="s">
        <v>1272</v>
      </c>
      <c r="E178" s="1912"/>
      <c r="F178" s="1912"/>
      <c r="G178" s="57"/>
    </row>
    <row r="179" spans="1:7" ht="14.25">
      <c r="A179" s="261"/>
      <c r="B179" s="261"/>
      <c r="C179" s="265"/>
      <c r="D179" s="1912"/>
      <c r="E179" s="1912"/>
      <c r="F179" s="1912"/>
      <c r="G179" s="57"/>
    </row>
    <row r="180" spans="1:7" ht="14.25">
      <c r="A180" s="261"/>
      <c r="B180" s="261"/>
      <c r="C180" s="265"/>
      <c r="D180" s="1912"/>
      <c r="E180" s="1912"/>
      <c r="F180" s="1912"/>
      <c r="G180" s="57"/>
    </row>
    <row r="181" spans="1:7">
      <c r="A181" s="265"/>
      <c r="B181" s="265"/>
      <c r="C181" s="265"/>
      <c r="D181" s="1912"/>
      <c r="E181" s="1912"/>
      <c r="F181" s="1912"/>
    </row>
    <row r="182" spans="1:7">
      <c r="A182" s="265"/>
      <c r="B182" s="265"/>
      <c r="C182" s="265"/>
      <c r="D182" s="405"/>
      <c r="E182" s="57"/>
      <c r="F182" s="57"/>
    </row>
    <row r="183" spans="1:7">
      <c r="A183" s="265"/>
      <c r="B183" s="265"/>
      <c r="C183" s="265"/>
      <c r="D183" s="1916" t="s">
        <v>1181</v>
      </c>
      <c r="E183" s="1916"/>
      <c r="F183" s="1916"/>
    </row>
    <row r="184" spans="1:7">
      <c r="A184" s="265"/>
      <c r="B184" s="265"/>
      <c r="C184" s="265"/>
      <c r="D184" s="1916"/>
      <c r="E184" s="1916"/>
      <c r="F184" s="1916"/>
    </row>
    <row r="185" spans="1:7" s="683" customFormat="1">
      <c r="A185" s="265"/>
      <c r="B185" s="265"/>
      <c r="C185" s="265"/>
      <c r="D185" s="697"/>
      <c r="E185" s="697"/>
      <c r="F185" s="697"/>
      <c r="G185" s="7"/>
    </row>
    <row r="186" spans="1:7" s="678" customFormat="1" ht="14.25">
      <c r="A186" s="261"/>
      <c r="B186" s="680" t="s">
        <v>317</v>
      </c>
      <c r="C186" s="558"/>
      <c r="D186" s="1851" t="s">
        <v>1271</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7" t="s">
        <v>1166</v>
      </c>
      <c r="B191" s="1877"/>
      <c r="C191" s="1877"/>
      <c r="D191" s="1877"/>
      <c r="E191" s="1877"/>
      <c r="F191" s="1877"/>
      <c r="G191" s="1877"/>
    </row>
    <row r="192" spans="1:7" ht="12" customHeight="1">
      <c r="D192" s="135"/>
      <c r="E192" s="135"/>
      <c r="F192" s="135"/>
    </row>
    <row r="193" spans="1:6">
      <c r="C193" s="262"/>
      <c r="D193" s="1915" t="s">
        <v>213</v>
      </c>
      <c r="E193" s="1915"/>
      <c r="F193" s="1915"/>
    </row>
    <row r="194" spans="1:6">
      <c r="A194" s="255"/>
      <c r="B194" s="674"/>
      <c r="C194" s="255"/>
      <c r="D194" s="1883" t="s">
        <v>1295</v>
      </c>
      <c r="E194" s="1884"/>
      <c r="F194" s="1884"/>
    </row>
    <row r="195" spans="1:6" ht="12" customHeight="1">
      <c r="A195" s="23"/>
      <c r="B195" s="676"/>
      <c r="C195" s="23"/>
    </row>
    <row r="196" spans="1:6" ht="13.35" customHeight="1">
      <c r="A196" s="23"/>
      <c r="C196" s="23"/>
      <c r="D196" s="1875" t="s">
        <v>580</v>
      </c>
      <c r="E196" s="1875"/>
      <c r="F196" s="1875"/>
    </row>
    <row r="197" spans="1:6" ht="14.25">
      <c r="A197" s="261"/>
      <c r="B197" s="680" t="s">
        <v>317</v>
      </c>
      <c r="D197" s="1851" t="s">
        <v>1289</v>
      </c>
      <c r="E197" s="1851"/>
      <c r="F197" s="1851"/>
    </row>
    <row r="198" spans="1:6" ht="14.25">
      <c r="A198" s="261"/>
      <c r="B198" s="261"/>
      <c r="D198" s="1851"/>
      <c r="E198" s="1851"/>
      <c r="F198" s="1851"/>
    </row>
    <row r="199" spans="1:6"/>
    <row r="200" spans="1:6" ht="14.25">
      <c r="A200" s="261"/>
      <c r="B200" s="680" t="s">
        <v>317</v>
      </c>
      <c r="D200" s="1851" t="s">
        <v>1290</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1291</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317</v>
      </c>
      <c r="D210" s="1872" t="s">
        <v>1292</v>
      </c>
      <c r="E210" s="1872"/>
      <c r="F210" s="1872"/>
    </row>
    <row r="211" spans="1:7" ht="14.25">
      <c r="A211" s="261"/>
      <c r="B211" s="261"/>
      <c r="D211" s="1872"/>
      <c r="E211" s="1872"/>
      <c r="F211" s="1872"/>
    </row>
    <row r="212" spans="1:7" ht="14.25">
      <c r="A212" s="261"/>
      <c r="B212" s="261"/>
      <c r="D212" s="1873" t="s">
        <v>966</v>
      </c>
      <c r="E212" s="1873"/>
      <c r="F212" s="1873"/>
    </row>
    <row r="213" spans="1:7" ht="14.25">
      <c r="A213" s="261"/>
      <c r="B213" s="261"/>
      <c r="D213" s="135"/>
      <c r="E213" s="135"/>
      <c r="F213" s="135"/>
    </row>
    <row r="214" spans="1:7" ht="14.45" customHeight="1">
      <c r="A214" s="261"/>
      <c r="B214" s="680" t="s">
        <v>317</v>
      </c>
      <c r="D214" s="1872" t="s">
        <v>1294</v>
      </c>
      <c r="E214" s="1872"/>
      <c r="F214" s="1872"/>
    </row>
    <row r="215" spans="1:7" ht="14.25">
      <c r="A215" s="261"/>
      <c r="B215" s="261"/>
      <c r="D215" s="1872"/>
      <c r="E215" s="1872"/>
      <c r="F215" s="1872"/>
    </row>
    <row r="216" spans="1:7" ht="14.25">
      <c r="A216" s="261"/>
      <c r="B216" s="261"/>
      <c r="D216" s="1872"/>
      <c r="E216" s="1872"/>
      <c r="F216" s="1872"/>
    </row>
    <row r="217" spans="1:7" ht="14.25">
      <c r="A217" s="261"/>
      <c r="B217" s="261"/>
      <c r="D217" s="1872"/>
      <c r="E217" s="1872"/>
      <c r="F217" s="1872"/>
    </row>
    <row r="218" spans="1:7" ht="14.25">
      <c r="A218" s="261"/>
      <c r="B218" s="261"/>
      <c r="D218" s="1872"/>
      <c r="E218" s="1872"/>
      <c r="F218" s="1872"/>
    </row>
    <row r="219" spans="1:7">
      <c r="D219" s="135"/>
      <c r="E219" s="135"/>
      <c r="F219" s="135"/>
    </row>
    <row r="220" spans="1:7" ht="14.25">
      <c r="A220" s="261"/>
      <c r="B220" s="680" t="s">
        <v>317</v>
      </c>
      <c r="D220" s="1851" t="s">
        <v>1293</v>
      </c>
      <c r="E220" s="1851"/>
      <c r="F220" s="1851"/>
    </row>
    <row r="221" spans="1:7" ht="14.25">
      <c r="A221" s="261"/>
      <c r="B221" s="261"/>
      <c r="D221" s="1851"/>
      <c r="E221" s="1851"/>
      <c r="F221" s="1851"/>
    </row>
    <row r="222" spans="1:7">
      <c r="D222" s="29"/>
    </row>
    <row r="223" spans="1:7">
      <c r="A223" s="1877" t="s">
        <v>1167</v>
      </c>
      <c r="B223" s="1877"/>
      <c r="C223" s="1877"/>
      <c r="D223" s="1877"/>
      <c r="E223" s="1877"/>
      <c r="F223" s="1877"/>
      <c r="G223" s="1877"/>
    </row>
    <row r="224" spans="1:7">
      <c r="D224" s="29"/>
    </row>
    <row r="225" spans="1:6">
      <c r="C225" s="262"/>
      <c r="D225" s="1875" t="s">
        <v>1296</v>
      </c>
      <c r="E225" s="1875"/>
      <c r="F225" s="1875"/>
    </row>
    <row r="226" spans="1:6">
      <c r="A226" s="255"/>
      <c r="B226" s="674"/>
      <c r="C226" s="255"/>
      <c r="D226" s="135"/>
      <c r="E226" s="135"/>
      <c r="F226" s="135"/>
    </row>
    <row r="227" spans="1:6">
      <c r="A227" s="260"/>
      <c r="B227" s="260"/>
      <c r="C227" s="260"/>
      <c r="D227" s="1875" t="s">
        <v>276</v>
      </c>
      <c r="E227" s="1875"/>
      <c r="F227" s="1875"/>
    </row>
    <row r="228" spans="1:6" ht="14.25">
      <c r="A228" s="261"/>
      <c r="B228" s="680" t="s">
        <v>317</v>
      </c>
      <c r="D228" s="1925" t="s">
        <v>1297</v>
      </c>
      <c r="E228" s="1925"/>
      <c r="F228" s="1925"/>
    </row>
    <row r="229" spans="1:6" ht="14.25">
      <c r="A229" s="261"/>
      <c r="B229" s="261"/>
      <c r="D229" s="1925"/>
      <c r="E229" s="1925"/>
      <c r="F229" s="1925"/>
    </row>
    <row r="230" spans="1:6">
      <c r="D230" s="135"/>
      <c r="E230" s="135"/>
      <c r="F230" s="135"/>
    </row>
    <row r="231" spans="1:6" ht="14.45" customHeight="1">
      <c r="A231" s="261"/>
      <c r="B231" s="680" t="s">
        <v>317</v>
      </c>
      <c r="D231" s="1872" t="s">
        <v>1298</v>
      </c>
      <c r="E231" s="1872"/>
      <c r="F231" s="1872"/>
    </row>
    <row r="232" spans="1:6">
      <c r="D232" s="1872"/>
      <c r="E232" s="1872"/>
      <c r="F232" s="1872"/>
    </row>
    <row r="233" spans="1:6">
      <c r="D233" s="1884" t="s">
        <v>957</v>
      </c>
      <c r="E233" s="1884"/>
      <c r="F233" s="1884"/>
    </row>
    <row r="234" spans="1:6">
      <c r="D234" s="135"/>
      <c r="E234" s="135"/>
      <c r="F234" s="135"/>
    </row>
    <row r="235" spans="1:6" ht="14.45" customHeight="1">
      <c r="A235" s="261"/>
      <c r="B235" s="680" t="s">
        <v>317</v>
      </c>
      <c r="D235" s="1872" t="s">
        <v>1300</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25">
      <c r="A241" s="261"/>
      <c r="B241" s="680" t="s">
        <v>317</v>
      </c>
      <c r="D241" s="1851" t="s">
        <v>1299</v>
      </c>
      <c r="E241" s="1851"/>
      <c r="F241" s="1851"/>
    </row>
    <row r="242" spans="1:7">
      <c r="D242" s="1851"/>
      <c r="E242" s="1851"/>
      <c r="F242" s="1851"/>
    </row>
    <row r="243" spans="1:7">
      <c r="D243" s="1851"/>
      <c r="E243" s="1851"/>
      <c r="F243" s="1851"/>
    </row>
    <row r="244" spans="1:7">
      <c r="D244" s="263"/>
      <c r="E244" s="135"/>
      <c r="F244" s="135"/>
    </row>
    <row r="245" spans="1:7">
      <c r="A245" s="1877" t="s">
        <v>1168</v>
      </c>
      <c r="B245" s="1877"/>
      <c r="C245" s="1877"/>
      <c r="D245" s="1877"/>
      <c r="E245" s="1877"/>
      <c r="F245" s="1877"/>
      <c r="G245" s="1877"/>
    </row>
    <row r="246" spans="1:7">
      <c r="D246" s="263"/>
      <c r="E246" s="135"/>
      <c r="F246" s="135"/>
    </row>
    <row r="247" spans="1:7">
      <c r="C247" s="255"/>
      <c r="D247" s="1893" t="s">
        <v>1301</v>
      </c>
      <c r="E247" s="1893"/>
      <c r="F247" s="1893"/>
    </row>
    <row r="248" spans="1:7">
      <c r="C248" s="255"/>
      <c r="D248" s="1893"/>
      <c r="E248" s="1893"/>
      <c r="F248" s="1893"/>
    </row>
    <row r="249" spans="1:7">
      <c r="A249" s="260"/>
      <c r="B249" s="260"/>
      <c r="C249" s="260"/>
      <c r="D249" s="5"/>
      <c r="E249" s="6"/>
      <c r="F249" s="6"/>
    </row>
    <row r="250" spans="1:7">
      <c r="C250" s="260"/>
      <c r="D250" s="1875" t="s">
        <v>214</v>
      </c>
      <c r="E250" s="1875"/>
      <c r="F250" s="1875"/>
    </row>
    <row r="251" spans="1:7" ht="15.75" customHeight="1">
      <c r="A251" s="261"/>
      <c r="B251" s="261"/>
      <c r="D251" s="1881" t="s">
        <v>1302</v>
      </c>
      <c r="E251" s="1881"/>
      <c r="F251" s="1881"/>
    </row>
    <row r="252" spans="1:7">
      <c r="E252" s="135"/>
      <c r="F252" s="135"/>
    </row>
    <row r="253" spans="1:7" ht="14.25">
      <c r="A253" s="261"/>
      <c r="B253" s="680" t="s">
        <v>317</v>
      </c>
      <c r="D253" s="1851" t="s">
        <v>1303</v>
      </c>
      <c r="E253" s="1851"/>
      <c r="F253" s="1851"/>
    </row>
    <row r="254" spans="1:7" ht="14.25">
      <c r="A254" s="261"/>
      <c r="B254" s="261"/>
      <c r="D254" s="1851"/>
      <c r="E254" s="1851"/>
      <c r="F254" s="1851"/>
    </row>
    <row r="255" spans="1:7">
      <c r="D255" s="135"/>
      <c r="E255" s="135"/>
      <c r="F255" s="135"/>
    </row>
    <row r="256" spans="1:7" ht="14.25">
      <c r="A256" s="261"/>
      <c r="B256" s="680" t="s">
        <v>317</v>
      </c>
      <c r="D256" s="1872" t="s">
        <v>1304</v>
      </c>
      <c r="E256" s="1872"/>
      <c r="F256" s="1872"/>
    </row>
    <row r="257" spans="1:7" ht="14.25">
      <c r="A257" s="261"/>
      <c r="B257" s="261"/>
      <c r="D257" s="1872"/>
      <c r="E257" s="1872"/>
      <c r="F257" s="1872"/>
    </row>
    <row r="258" spans="1:7" ht="14.25">
      <c r="A258" s="261"/>
      <c r="B258" s="261"/>
      <c r="D258" s="1872"/>
      <c r="E258" s="1872"/>
      <c r="F258" s="1872"/>
    </row>
    <row r="259" spans="1:7">
      <c r="D259" s="135"/>
      <c r="E259" s="135"/>
      <c r="F259" s="135"/>
    </row>
    <row r="260" spans="1:7" ht="14.25">
      <c r="A260" s="261"/>
      <c r="B260" s="680" t="s">
        <v>317</v>
      </c>
      <c r="D260" s="1851" t="s">
        <v>1305</v>
      </c>
      <c r="E260" s="1851"/>
      <c r="F260" s="1851"/>
    </row>
    <row r="261" spans="1:7" ht="14.25">
      <c r="A261" s="261"/>
      <c r="B261" s="261"/>
      <c r="D261" s="1851"/>
      <c r="E261" s="1851"/>
      <c r="F261" s="1851"/>
    </row>
    <row r="262" spans="1:7">
      <c r="A262" s="23"/>
      <c r="B262" s="676"/>
      <c r="E262" s="135"/>
      <c r="F262" s="135"/>
    </row>
    <row r="263" spans="1:7">
      <c r="A263" s="1877" t="s">
        <v>1169</v>
      </c>
      <c r="B263" s="1877"/>
      <c r="C263" s="1877"/>
      <c r="D263" s="1877"/>
      <c r="E263" s="1877"/>
      <c r="F263" s="1877"/>
      <c r="G263" s="1877"/>
    </row>
    <row r="264" spans="1:7">
      <c r="A264" s="23"/>
      <c r="B264" s="676"/>
      <c r="D264" s="135"/>
      <c r="E264" s="135"/>
      <c r="F264" s="135"/>
    </row>
    <row r="265" spans="1:7">
      <c r="C265" s="23"/>
      <c r="D265" s="1875" t="s">
        <v>720</v>
      </c>
      <c r="E265" s="1875"/>
      <c r="F265" s="1875"/>
    </row>
    <row r="266" spans="1:7">
      <c r="C266" s="23"/>
      <c r="D266" s="1876" t="s">
        <v>1306</v>
      </c>
      <c r="E266" s="1876"/>
      <c r="F266" s="1876"/>
    </row>
    <row r="267" spans="1:7">
      <c r="C267" s="23"/>
      <c r="D267" s="259"/>
    </row>
    <row r="268" spans="1:7">
      <c r="A268" s="273"/>
      <c r="B268" s="680" t="s">
        <v>317</v>
      </c>
      <c r="D268" s="1876" t="s">
        <v>1307</v>
      </c>
      <c r="E268" s="1876"/>
      <c r="F268" s="1876"/>
    </row>
    <row r="269" spans="1:7" s="39" customFormat="1" ht="14.25">
      <c r="A269" s="404"/>
      <c r="B269" s="404"/>
      <c r="C269" s="273"/>
      <c r="D269" s="498"/>
      <c r="E269" s="499"/>
      <c r="F269" s="499"/>
      <c r="G269" s="130"/>
    </row>
    <row r="270" spans="1:7" s="39" customFormat="1" ht="13.35" customHeight="1">
      <c r="A270" s="273"/>
      <c r="B270" s="680" t="s">
        <v>317</v>
      </c>
      <c r="C270" s="273"/>
      <c r="D270" s="1926" t="s">
        <v>1308</v>
      </c>
      <c r="E270" s="1926"/>
      <c r="F270" s="1926"/>
      <c r="G270" s="130"/>
    </row>
    <row r="271" spans="1:7" s="39" customFormat="1" ht="14.25">
      <c r="A271" s="404"/>
      <c r="B271" s="404"/>
      <c r="C271" s="273"/>
      <c r="D271" s="1926"/>
      <c r="E271" s="1926"/>
      <c r="F271" s="1926"/>
      <c r="G271" s="130"/>
    </row>
    <row r="272" spans="1:7" s="39" customFormat="1" ht="14.25">
      <c r="A272" s="404"/>
      <c r="B272" s="404"/>
      <c r="C272" s="273"/>
      <c r="D272" s="1926"/>
      <c r="E272" s="1926"/>
      <c r="F272" s="1926"/>
      <c r="G272" s="130"/>
    </row>
    <row r="273" spans="1:7" s="39" customFormat="1" ht="14.25">
      <c r="A273" s="404"/>
      <c r="B273" s="404"/>
      <c r="C273" s="273"/>
      <c r="D273" s="1926"/>
      <c r="E273" s="1926"/>
      <c r="F273" s="1926"/>
      <c r="G273" s="130"/>
    </row>
    <row r="274" spans="1:7" s="39" customFormat="1" ht="14.25">
      <c r="A274" s="404"/>
      <c r="B274" s="404"/>
      <c r="C274" s="273"/>
      <c r="D274" s="1926"/>
      <c r="E274" s="1926"/>
      <c r="F274" s="1926"/>
      <c r="G274" s="130"/>
    </row>
    <row r="275" spans="1:7" s="39" customFormat="1" ht="14.25">
      <c r="A275" s="404"/>
      <c r="B275" s="404"/>
      <c r="C275" s="273"/>
      <c r="D275" s="498"/>
      <c r="E275" s="499"/>
      <c r="F275" s="499"/>
      <c r="G275" s="130"/>
    </row>
    <row r="276" spans="1:7" s="39" customFormat="1" ht="13.35" customHeight="1">
      <c r="A276" s="273"/>
      <c r="B276" s="680" t="s">
        <v>317</v>
      </c>
      <c r="C276" s="273"/>
      <c r="D276" s="1926" t="s">
        <v>1309</v>
      </c>
      <c r="E276" s="1926"/>
      <c r="F276" s="1926"/>
      <c r="G276" s="130"/>
    </row>
    <row r="277" spans="1:7" s="39" customFormat="1">
      <c r="A277" s="273"/>
      <c r="B277" s="273"/>
      <c r="C277" s="273"/>
      <c r="D277" s="1926"/>
      <c r="E277" s="1926"/>
      <c r="F277" s="1926"/>
      <c r="G277" s="130"/>
    </row>
    <row r="278" spans="1:7" s="39" customFormat="1" ht="14.25">
      <c r="A278" s="404"/>
      <c r="B278" s="404"/>
      <c r="C278" s="273"/>
      <c r="D278" s="498"/>
      <c r="E278" s="499"/>
      <c r="F278" s="499"/>
      <c r="G278" s="130"/>
    </row>
    <row r="279" spans="1:7">
      <c r="A279" s="273"/>
      <c r="B279" s="680" t="s">
        <v>317</v>
      </c>
      <c r="D279" s="1876" t="s">
        <v>1310</v>
      </c>
      <c r="E279" s="1876"/>
      <c r="F279" s="1876"/>
    </row>
    <row r="280" spans="1:7">
      <c r="E280" s="135"/>
      <c r="F280" s="135"/>
    </row>
    <row r="281" spans="1:7" ht="14.25">
      <c r="A281" s="261"/>
      <c r="B281" s="680" t="s">
        <v>317</v>
      </c>
      <c r="D281" s="1872" t="s">
        <v>1311</v>
      </c>
      <c r="E281" s="1872"/>
      <c r="F281" s="1872"/>
    </row>
    <row r="282" spans="1:7" ht="14.25">
      <c r="A282" s="261"/>
      <c r="B282" s="261"/>
      <c r="D282" s="1872"/>
      <c r="E282" s="1872"/>
      <c r="F282" s="1872"/>
    </row>
    <row r="283" spans="1:7" s="720" customFormat="1" ht="14.25">
      <c r="A283" s="715"/>
      <c r="B283" s="715"/>
      <c r="C283" s="732"/>
      <c r="D283" s="1872"/>
      <c r="E283" s="1872"/>
      <c r="F283" s="1872"/>
      <c r="G283" s="7"/>
    </row>
    <row r="284" spans="1:7" s="720" customFormat="1" ht="14.25">
      <c r="A284" s="715"/>
      <c r="B284" s="715"/>
      <c r="C284" s="732"/>
      <c r="D284" s="1872"/>
      <c r="E284" s="1872"/>
      <c r="F284" s="1872"/>
      <c r="G284" s="7"/>
    </row>
    <row r="285" spans="1:7" s="720" customFormat="1" ht="14.25">
      <c r="A285" s="715"/>
      <c r="B285" s="715"/>
      <c r="C285" s="732"/>
      <c r="D285" s="1872"/>
      <c r="E285" s="1872"/>
      <c r="F285" s="1872"/>
      <c r="G285" s="7"/>
    </row>
    <row r="286" spans="1:7" s="720" customFormat="1" ht="14.25">
      <c r="A286" s="715"/>
      <c r="B286" s="715"/>
      <c r="C286" s="732"/>
      <c r="D286" s="1872"/>
      <c r="E286" s="1872"/>
      <c r="F286" s="1872"/>
      <c r="G286" s="7"/>
    </row>
    <row r="287" spans="1:7" s="720" customFormat="1" ht="14.25">
      <c r="A287" s="715"/>
      <c r="B287" s="715"/>
      <c r="C287" s="732"/>
      <c r="D287" s="1872"/>
      <c r="E287" s="1872"/>
      <c r="F287" s="1872"/>
      <c r="G287" s="7"/>
    </row>
    <row r="288" spans="1:7" s="720" customFormat="1" ht="14.25">
      <c r="A288" s="715"/>
      <c r="B288" s="715"/>
      <c r="C288" s="732"/>
      <c r="D288" s="1872"/>
      <c r="E288" s="1872"/>
      <c r="F288" s="1872"/>
      <c r="G288" s="7"/>
    </row>
    <row r="289" spans="1:7" s="720" customFormat="1" ht="14.25">
      <c r="A289" s="715"/>
      <c r="B289" s="715"/>
      <c r="C289" s="732"/>
      <c r="D289" s="1872"/>
      <c r="E289" s="1872"/>
      <c r="F289" s="1872"/>
      <c r="G289" s="7"/>
    </row>
    <row r="290" spans="1:7" s="720" customFormat="1" ht="14.25">
      <c r="A290" s="715"/>
      <c r="B290" s="715"/>
      <c r="C290" s="732"/>
      <c r="D290" s="1872"/>
      <c r="E290" s="1872"/>
      <c r="F290" s="1872"/>
      <c r="G290" s="7"/>
    </row>
    <row r="291" spans="1:7" s="720" customFormat="1" ht="14.25">
      <c r="A291" s="715"/>
      <c r="B291" s="715"/>
      <c r="C291" s="732"/>
      <c r="D291" s="1872"/>
      <c r="E291" s="1872"/>
      <c r="F291" s="1872"/>
      <c r="G291" s="7"/>
    </row>
    <row r="292" spans="1:7" s="720" customFormat="1" ht="14.25">
      <c r="A292" s="715"/>
      <c r="B292" s="715"/>
      <c r="C292" s="732"/>
      <c r="D292" s="1872"/>
      <c r="E292" s="1872"/>
      <c r="F292" s="1872"/>
      <c r="G292" s="7"/>
    </row>
    <row r="293" spans="1:7" ht="14.25">
      <c r="A293" s="261"/>
      <c r="B293" s="261"/>
      <c r="D293" s="1872"/>
      <c r="E293" s="1872"/>
      <c r="F293" s="1872"/>
    </row>
    <row r="294" spans="1:7" ht="14.25">
      <c r="A294" s="261"/>
      <c r="B294" s="261"/>
      <c r="D294" s="1872"/>
      <c r="E294" s="1872"/>
      <c r="F294" s="1872"/>
    </row>
    <row r="295" spans="1:7" ht="14.25">
      <c r="A295" s="261"/>
      <c r="B295" s="261"/>
      <c r="D295" s="1872"/>
      <c r="E295" s="1872"/>
      <c r="F295" s="1872"/>
    </row>
    <row r="296" spans="1:7">
      <c r="D296" s="135"/>
      <c r="E296" s="135"/>
      <c r="F296" s="135"/>
    </row>
    <row r="297" spans="1:7" ht="14.25">
      <c r="A297" s="261"/>
      <c r="B297" s="680" t="s">
        <v>317</v>
      </c>
      <c r="D297" s="1872" t="s">
        <v>1312</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25">
      <c r="A307" s="261"/>
      <c r="B307" s="680" t="s">
        <v>317</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922" t="s">
        <v>1062</v>
      </c>
      <c r="E314" s="1922"/>
      <c r="F314" s="1922"/>
      <c r="G314" s="12"/>
    </row>
    <row r="315" spans="1:7" s="720" customFormat="1" ht="13.5" thickTop="1">
      <c r="A315" s="732"/>
      <c r="B315" s="732"/>
      <c r="C315" s="732"/>
      <c r="D315" s="1923" t="s">
        <v>1314</v>
      </c>
      <c r="E315" s="1923"/>
      <c r="F315" s="1923"/>
    </row>
    <row r="316" spans="1:7">
      <c r="A316" s="326"/>
      <c r="B316" s="326"/>
      <c r="C316" s="326"/>
      <c r="D316" s="468"/>
      <c r="E316" s="468"/>
      <c r="F316" s="135"/>
      <c r="G316" s="12"/>
    </row>
    <row r="317" spans="1:7" ht="14.25">
      <c r="A317" s="261"/>
      <c r="B317" s="680" t="s">
        <v>317</v>
      </c>
      <c r="C317" s="326"/>
      <c r="D317" s="1924" t="s">
        <v>1315</v>
      </c>
      <c r="E317" s="1924"/>
      <c r="F317" s="1924"/>
      <c r="G317" s="12"/>
    </row>
    <row r="318" spans="1:7">
      <c r="A318" s="326"/>
      <c r="B318" s="326"/>
      <c r="C318" s="326"/>
      <c r="D318" s="468"/>
      <c r="E318" s="468"/>
      <c r="F318" s="135"/>
      <c r="G318" s="12"/>
    </row>
    <row r="319" spans="1:7">
      <c r="A319" s="326"/>
      <c r="B319" s="680" t="s">
        <v>317</v>
      </c>
      <c r="C319" s="326"/>
      <c r="D319" s="1908" t="s">
        <v>1316</v>
      </c>
      <c r="E319" s="1908"/>
      <c r="F319" s="1908"/>
      <c r="G319" s="12"/>
    </row>
    <row r="320" spans="1:7">
      <c r="A320" s="326"/>
      <c r="B320" s="326"/>
      <c r="C320" s="326"/>
      <c r="D320" s="1908"/>
      <c r="E320" s="1908"/>
      <c r="F320" s="1908"/>
      <c r="G320" s="12"/>
    </row>
    <row r="321" spans="1:7">
      <c r="A321" s="326"/>
      <c r="B321" s="326"/>
      <c r="C321" s="326"/>
      <c r="D321" s="1908"/>
      <c r="E321" s="1908"/>
      <c r="F321" s="1908"/>
      <c r="G321" s="12"/>
    </row>
    <row r="322" spans="1:7">
      <c r="A322" s="326"/>
      <c r="B322" s="326"/>
      <c r="C322" s="326"/>
      <c r="D322" s="1908"/>
      <c r="E322" s="1908"/>
      <c r="F322" s="1908"/>
      <c r="G322" s="12"/>
    </row>
    <row r="323" spans="1:7" s="720" customFormat="1">
      <c r="A323" s="326"/>
      <c r="B323" s="326"/>
      <c r="C323" s="326"/>
      <c r="D323" s="1908"/>
      <c r="E323" s="1908"/>
      <c r="F323" s="1908"/>
    </row>
    <row r="324" spans="1:7" s="720" customFormat="1">
      <c r="A324" s="326"/>
      <c r="B324" s="326"/>
      <c r="C324" s="326"/>
      <c r="D324" s="1908"/>
      <c r="E324" s="1908"/>
      <c r="F324" s="1908"/>
    </row>
    <row r="325" spans="1:7" s="720" customFormat="1">
      <c r="A325" s="326"/>
      <c r="B325" s="326"/>
      <c r="C325" s="326"/>
      <c r="D325" s="1908"/>
      <c r="E325" s="1908"/>
      <c r="F325" s="1908"/>
    </row>
    <row r="326" spans="1:7" s="720" customFormat="1">
      <c r="A326" s="326"/>
      <c r="B326" s="326"/>
      <c r="C326" s="326"/>
      <c r="D326" s="1908"/>
      <c r="E326" s="1908"/>
      <c r="F326" s="1908"/>
    </row>
    <row r="327" spans="1:7">
      <c r="A327" s="326"/>
      <c r="B327" s="326"/>
      <c r="C327" s="326"/>
      <c r="D327" s="1908"/>
      <c r="E327" s="1908"/>
      <c r="F327" s="1908"/>
      <c r="G327" s="12"/>
    </row>
    <row r="328" spans="1:7">
      <c r="A328" s="326"/>
      <c r="B328" s="326"/>
      <c r="C328" s="326"/>
      <c r="D328" s="1908"/>
      <c r="E328" s="1908"/>
      <c r="F328" s="1908"/>
      <c r="G328" s="12"/>
    </row>
    <row r="329" spans="1:7">
      <c r="A329" s="326"/>
      <c r="B329" s="326"/>
      <c r="C329" s="326"/>
      <c r="D329" s="1908"/>
      <c r="E329" s="1908"/>
      <c r="F329" s="1908"/>
      <c r="G329" s="12"/>
    </row>
    <row r="330" spans="1:7">
      <c r="A330" s="326"/>
      <c r="B330" s="326"/>
      <c r="C330" s="326"/>
      <c r="D330" s="12"/>
      <c r="E330" s="468"/>
      <c r="F330" s="135"/>
      <c r="G330" s="12"/>
    </row>
    <row r="331" spans="1:7" ht="14.25">
      <c r="A331" s="261"/>
      <c r="B331" s="680" t="s">
        <v>317</v>
      </c>
      <c r="C331" s="326"/>
      <c r="D331" s="1927" t="s">
        <v>1317</v>
      </c>
      <c r="E331" s="1927"/>
      <c r="F331" s="1927"/>
      <c r="G331" s="12"/>
    </row>
    <row r="332" spans="1:7">
      <c r="A332" s="326"/>
      <c r="B332" s="326"/>
      <c r="C332" s="326"/>
      <c r="D332" s="1927"/>
      <c r="E332" s="1927"/>
      <c r="F332" s="1927"/>
      <c r="G332" s="12"/>
    </row>
    <row r="333" spans="1:7">
      <c r="A333" s="326"/>
      <c r="B333" s="326"/>
      <c r="C333" s="326"/>
      <c r="D333" s="1927"/>
      <c r="E333" s="1927"/>
      <c r="F333" s="1927"/>
      <c r="G333" s="12"/>
    </row>
    <row r="334" spans="1:7">
      <c r="A334" s="326"/>
      <c r="B334" s="326"/>
      <c r="C334" s="326"/>
      <c r="D334" s="1927"/>
      <c r="E334" s="1927"/>
      <c r="F334" s="1927"/>
      <c r="G334" s="12"/>
    </row>
    <row r="335" spans="1:7">
      <c r="A335" s="326"/>
      <c r="B335" s="326"/>
      <c r="C335" s="326"/>
      <c r="D335" s="506"/>
      <c r="E335" s="468"/>
      <c r="F335" s="135"/>
      <c r="G335" s="12"/>
    </row>
    <row r="336" spans="1:7">
      <c r="A336" s="326"/>
      <c r="B336" s="326"/>
      <c r="C336" s="326"/>
      <c r="D336" s="1927" t="s">
        <v>1318</v>
      </c>
      <c r="E336" s="1927"/>
      <c r="F336" s="1927"/>
      <c r="G336" s="12"/>
    </row>
    <row r="337" spans="1:7">
      <c r="A337" s="326"/>
      <c r="B337" s="326"/>
      <c r="C337" s="326"/>
      <c r="D337" s="1927"/>
      <c r="E337" s="1927"/>
      <c r="F337" s="1927"/>
      <c r="G337" s="12"/>
    </row>
    <row r="338" spans="1:7">
      <c r="A338" s="326"/>
      <c r="B338" s="326"/>
      <c r="C338" s="326"/>
      <c r="D338" s="1927"/>
      <c r="E338" s="1927"/>
      <c r="F338" s="1927"/>
      <c r="G338" s="12"/>
    </row>
    <row r="339" spans="1:7">
      <c r="A339" s="326"/>
      <c r="B339" s="326"/>
      <c r="C339" s="326"/>
      <c r="D339" s="1927"/>
      <c r="E339" s="1927"/>
      <c r="F339" s="1927"/>
      <c r="G339" s="12"/>
    </row>
    <row r="340" spans="1:7" ht="18" customHeight="1">
      <c r="A340" s="326"/>
      <c r="B340" s="326"/>
      <c r="C340" s="326"/>
      <c r="D340" s="1927"/>
      <c r="E340" s="1927"/>
      <c r="F340" s="1927"/>
      <c r="G340" s="12"/>
    </row>
    <row r="341" spans="1:7">
      <c r="A341" s="326"/>
      <c r="B341" s="326"/>
      <c r="C341" s="326"/>
      <c r="D341" s="1927"/>
      <c r="E341" s="1927"/>
      <c r="F341" s="1927"/>
      <c r="G341" s="12"/>
    </row>
    <row r="342" spans="1:7">
      <c r="A342" s="326"/>
      <c r="B342" s="326"/>
      <c r="C342" s="326"/>
      <c r="D342" s="1927"/>
      <c r="E342" s="1927"/>
      <c r="F342" s="1927"/>
      <c r="G342" s="12"/>
    </row>
    <row r="343" spans="1:7">
      <c r="A343" s="326"/>
      <c r="B343" s="326"/>
      <c r="C343" s="326"/>
      <c r="D343" s="1927"/>
      <c r="E343" s="1927"/>
      <c r="F343" s="1927"/>
      <c r="G343" s="12"/>
    </row>
    <row r="344" spans="1:7" ht="8.25" customHeight="1">
      <c r="A344" s="326"/>
      <c r="B344" s="326"/>
      <c r="C344" s="326"/>
      <c r="D344" s="1927"/>
      <c r="E344" s="1927"/>
      <c r="F344" s="1927"/>
      <c r="G344" s="12"/>
    </row>
    <row r="345" spans="1:7" ht="13.35" customHeight="1">
      <c r="A345" s="326"/>
      <c r="B345" s="326"/>
      <c r="C345" s="326"/>
      <c r="D345" s="1920" t="s">
        <v>1319</v>
      </c>
      <c r="E345" s="1920"/>
      <c r="F345" s="1920"/>
      <c r="G345" s="12"/>
    </row>
    <row r="346" spans="1:7">
      <c r="A346" s="326"/>
      <c r="B346" s="326"/>
      <c r="C346" s="326"/>
      <c r="D346" s="1920"/>
      <c r="E346" s="1920"/>
      <c r="F346" s="1920"/>
      <c r="G346" s="12"/>
    </row>
    <row r="347" spans="1:7">
      <c r="A347" s="326"/>
      <c r="B347" s="326"/>
      <c r="C347" s="326"/>
      <c r="D347" s="1920"/>
      <c r="E347" s="1920"/>
      <c r="F347" s="1920"/>
      <c r="G347" s="12"/>
    </row>
    <row r="348" spans="1:7" s="720" customFormat="1">
      <c r="A348" s="326"/>
      <c r="B348" s="326"/>
      <c r="C348" s="326"/>
      <c r="D348" s="1920"/>
      <c r="E348" s="1920"/>
      <c r="F348" s="1920"/>
    </row>
    <row r="349" spans="1:7" s="720" customFormat="1">
      <c r="A349" s="326"/>
      <c r="B349" s="326"/>
      <c r="C349" s="326"/>
      <c r="D349" s="1920"/>
      <c r="E349" s="1920"/>
      <c r="F349" s="1920"/>
    </row>
    <row r="350" spans="1:7" s="720" customFormat="1">
      <c r="A350" s="326"/>
      <c r="B350" s="326"/>
      <c r="C350" s="326"/>
      <c r="D350" s="1920"/>
      <c r="E350" s="1920"/>
      <c r="F350" s="1920"/>
    </row>
    <row r="351" spans="1:7" s="720" customFormat="1">
      <c r="A351" s="326"/>
      <c r="B351" s="326"/>
      <c r="C351" s="326"/>
      <c r="D351" s="1920"/>
      <c r="E351" s="1920"/>
      <c r="F351" s="1920"/>
    </row>
    <row r="352" spans="1:7" s="720" customFormat="1">
      <c r="A352" s="326"/>
      <c r="B352" s="326"/>
      <c r="C352" s="326"/>
      <c r="D352" s="1920"/>
      <c r="E352" s="1920"/>
      <c r="F352" s="1920"/>
    </row>
    <row r="353" spans="1:7">
      <c r="A353" s="326"/>
      <c r="B353" s="326"/>
      <c r="C353" s="326"/>
      <c r="D353" s="1920"/>
      <c r="E353" s="1920"/>
      <c r="F353" s="1920"/>
      <c r="G353" s="12"/>
    </row>
    <row r="354" spans="1:7">
      <c r="A354" s="326"/>
      <c r="B354" s="326"/>
      <c r="C354" s="326"/>
      <c r="D354" s="1920"/>
      <c r="E354" s="1920"/>
      <c r="F354" s="1920"/>
      <c r="G354" s="12"/>
    </row>
    <row r="355" spans="1:7">
      <c r="A355" s="326"/>
      <c r="B355" s="326"/>
      <c r="C355" s="326"/>
      <c r="D355" s="1920"/>
      <c r="E355" s="1920"/>
      <c r="F355" s="1920"/>
      <c r="G355" s="12"/>
    </row>
    <row r="356" spans="1:7">
      <c r="A356" s="326"/>
      <c r="B356" s="326"/>
      <c r="C356" s="326"/>
      <c r="D356" s="1920"/>
      <c r="E356" s="1920"/>
      <c r="F356" s="1920"/>
      <c r="G356" s="12"/>
    </row>
    <row r="357" spans="1:7">
      <c r="A357" s="326"/>
      <c r="B357" s="326"/>
      <c r="C357" s="508"/>
      <c r="D357" s="1920"/>
      <c r="E357" s="1920"/>
      <c r="F357" s="1920"/>
      <c r="G357" s="12"/>
    </row>
    <row r="358" spans="1:7">
      <c r="A358" s="326"/>
      <c r="B358" s="326"/>
      <c r="C358" s="508"/>
      <c r="D358" s="1920"/>
      <c r="E358" s="1920"/>
      <c r="F358" s="1920"/>
      <c r="G358" s="12"/>
    </row>
    <row r="359" spans="1:7">
      <c r="A359" s="326"/>
      <c r="B359" s="326"/>
      <c r="C359" s="326"/>
      <c r="D359" s="1920"/>
      <c r="E359" s="1920"/>
      <c r="F359" s="1920"/>
      <c r="G359" s="12"/>
    </row>
    <row r="360" spans="1:7">
      <c r="A360" s="326"/>
      <c r="B360" s="326"/>
      <c r="C360" s="508"/>
      <c r="D360" s="1920"/>
      <c r="E360" s="1920"/>
      <c r="F360" s="1920"/>
      <c r="G360" s="12"/>
    </row>
    <row r="361" spans="1:7">
      <c r="A361" s="326"/>
      <c r="B361" s="326"/>
      <c r="C361" s="508"/>
      <c r="D361" s="1920"/>
      <c r="E361" s="1920"/>
      <c r="F361" s="1920"/>
      <c r="G361" s="12"/>
    </row>
    <row r="362" spans="1:7">
      <c r="A362" s="326"/>
      <c r="B362" s="326"/>
      <c r="C362" s="508"/>
      <c r="D362" s="1920"/>
      <c r="E362" s="1920"/>
      <c r="F362" s="1920"/>
      <c r="G362" s="12"/>
    </row>
    <row r="363" spans="1:7">
      <c r="A363" s="326"/>
      <c r="B363" s="326"/>
      <c r="C363" s="326"/>
      <c r="D363" s="506"/>
      <c r="E363" s="468"/>
      <c r="F363" s="135"/>
      <c r="G363" s="12"/>
    </row>
    <row r="364" spans="1:7">
      <c r="A364" s="326"/>
      <c r="B364" s="680" t="s">
        <v>317</v>
      </c>
      <c r="C364" s="326"/>
      <c r="D364" s="1920" t="s">
        <v>1320</v>
      </c>
      <c r="E364" s="1920"/>
      <c r="F364" s="1920"/>
      <c r="G364" s="12"/>
    </row>
    <row r="365" spans="1:7">
      <c r="A365" s="326"/>
      <c r="B365" s="326"/>
      <c r="C365" s="326"/>
      <c r="D365" s="1920"/>
      <c r="E365" s="1920"/>
      <c r="F365" s="1920"/>
      <c r="G365" s="12"/>
    </row>
    <row r="366" spans="1:7">
      <c r="A366" s="326"/>
      <c r="B366" s="326"/>
      <c r="C366" s="326"/>
      <c r="D366" s="468"/>
      <c r="E366" s="468"/>
      <c r="F366" s="135"/>
      <c r="G366" s="12"/>
    </row>
    <row r="367" spans="1:7" ht="14.25">
      <c r="A367" s="261"/>
      <c r="B367" s="680" t="s">
        <v>317</v>
      </c>
      <c r="C367" s="326"/>
      <c r="D367" s="1908" t="s">
        <v>1321</v>
      </c>
      <c r="E367" s="1908"/>
      <c r="F367" s="1908"/>
      <c r="G367" s="12"/>
    </row>
    <row r="368" spans="1:7" ht="14.25">
      <c r="A368" s="507"/>
      <c r="B368" s="507"/>
      <c r="C368" s="326"/>
      <c r="D368" s="1908"/>
      <c r="E368" s="1908"/>
      <c r="F368" s="1908"/>
      <c r="G368" s="12"/>
    </row>
    <row r="369" spans="1:7" ht="14.25">
      <c r="A369" s="507"/>
      <c r="B369" s="507"/>
      <c r="C369" s="326"/>
      <c r="D369" s="1908"/>
      <c r="E369" s="1908"/>
      <c r="F369" s="1908"/>
      <c r="G369" s="12"/>
    </row>
    <row r="370" spans="1:7" ht="14.25">
      <c r="A370" s="507"/>
      <c r="B370" s="507"/>
      <c r="C370" s="326"/>
      <c r="D370" s="1908"/>
      <c r="E370" s="1908"/>
      <c r="F370" s="1908"/>
      <c r="G370" s="12"/>
    </row>
    <row r="371" spans="1:7" ht="14.25">
      <c r="A371" s="507"/>
      <c r="B371" s="507"/>
      <c r="C371" s="326"/>
      <c r="D371" s="1908"/>
      <c r="E371" s="1908"/>
      <c r="F371" s="1908"/>
      <c r="G371" s="12"/>
    </row>
    <row r="372" spans="1:7">
      <c r="D372" s="135"/>
      <c r="E372" s="135"/>
      <c r="F372" s="135"/>
      <c r="G372" s="12"/>
    </row>
    <row r="373" spans="1:7" ht="14.25">
      <c r="A373" s="261"/>
      <c r="B373" s="680" t="s">
        <v>317</v>
      </c>
      <c r="C373" s="266"/>
      <c r="D373" s="1851" t="s">
        <v>1322</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317</v>
      </c>
      <c r="C405" s="266"/>
      <c r="D405" s="1876" t="s">
        <v>1323</v>
      </c>
      <c r="E405" s="1876"/>
      <c r="F405" s="1876"/>
    </row>
    <row r="406" spans="1:7">
      <c r="D406" s="1921" t="s">
        <v>1087</v>
      </c>
      <c r="E406" s="1921"/>
      <c r="F406" s="1921"/>
    </row>
    <row r="407" spans="1:7">
      <c r="D407" s="1872" t="s">
        <v>1324</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25">
      <c r="A412" s="261"/>
      <c r="B412" s="680" t="s">
        <v>317</v>
      </c>
      <c r="C412" s="266"/>
      <c r="D412" s="1851" t="s">
        <v>1325</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317</v>
      </c>
      <c r="C416" s="261"/>
      <c r="D416" s="1872" t="s">
        <v>1326</v>
      </c>
      <c r="E416" s="1872"/>
      <c r="F416" s="1872"/>
      <c r="G416" s="12"/>
    </row>
    <row r="417" spans="1:7">
      <c r="D417" s="1872"/>
      <c r="E417" s="1872"/>
      <c r="F417" s="1872"/>
      <c r="G417" s="12"/>
    </row>
    <row r="418" spans="1:7">
      <c r="D418" s="135"/>
      <c r="E418" s="135"/>
      <c r="F418" s="135"/>
      <c r="G418" s="12"/>
    </row>
    <row r="419" spans="1:7" ht="14.25">
      <c r="B419" s="680" t="s">
        <v>317</v>
      </c>
      <c r="C419" s="261"/>
      <c r="D419" s="1872" t="s">
        <v>1327</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80" t="s">
        <v>317</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80" t="s">
        <v>317</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80" t="s">
        <v>317</v>
      </c>
      <c r="C430" s="12"/>
      <c r="D430" s="1872"/>
      <c r="E430" s="1872"/>
      <c r="F430" s="1872"/>
      <c r="G430" s="12"/>
    </row>
    <row r="431" spans="1:7">
      <c r="A431" s="12"/>
      <c r="B431" s="12"/>
      <c r="C431" s="12"/>
      <c r="D431" s="1872"/>
      <c r="E431" s="1872"/>
      <c r="F431" s="1872"/>
      <c r="G431" s="12"/>
    </row>
    <row r="432" spans="1:7">
      <c r="A432" s="12"/>
      <c r="B432" s="680" t="s">
        <v>317</v>
      </c>
      <c r="C432" s="12"/>
      <c r="D432" s="1872"/>
      <c r="E432" s="1872"/>
      <c r="F432" s="1872"/>
      <c r="G432" s="12"/>
    </row>
    <row r="433" spans="1:7" s="720" customFormat="1">
      <c r="D433" s="730"/>
      <c r="E433" s="730"/>
      <c r="F433" s="730"/>
    </row>
    <row r="434" spans="1:7">
      <c r="A434" s="12"/>
      <c r="B434" s="719" t="s">
        <v>317</v>
      </c>
      <c r="C434" s="12"/>
      <c r="D434" s="1872" t="s">
        <v>1328</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80" t="s">
        <v>317</v>
      </c>
      <c r="D440" s="1883" t="s">
        <v>1329</v>
      </c>
      <c r="E440" s="1883"/>
      <c r="F440" s="1883"/>
    </row>
    <row r="441" spans="1:7">
      <c r="A441" s="135"/>
      <c r="B441" s="135"/>
    </row>
    <row r="442" spans="1:7">
      <c r="A442" s="1877" t="s">
        <v>1170</v>
      </c>
      <c r="B442" s="1877"/>
      <c r="C442" s="1877"/>
      <c r="D442" s="1877"/>
      <c r="E442" s="1877"/>
      <c r="F442" s="1877"/>
      <c r="G442" s="1877"/>
    </row>
    <row r="443" spans="1:7">
      <c r="A443" s="135"/>
      <c r="B443" s="135"/>
    </row>
    <row r="444" spans="1:7">
      <c r="D444" s="1928" t="s">
        <v>951</v>
      </c>
      <c r="E444" s="1928"/>
      <c r="F444" s="1928"/>
    </row>
    <row r="445" spans="1:7" s="39" customFormat="1" ht="14.25">
      <c r="A445" s="404"/>
      <c r="B445" s="404"/>
      <c r="C445" s="273"/>
      <c r="D445" s="1929" t="s">
        <v>1330</v>
      </c>
      <c r="E445" s="1929"/>
      <c r="F445" s="1929"/>
      <c r="G445" s="130"/>
    </row>
    <row r="446" spans="1:7" s="39" customFormat="1" ht="14.25">
      <c r="A446" s="404"/>
      <c r="B446" s="404"/>
      <c r="C446" s="273"/>
      <c r="D446" s="733"/>
      <c r="E446" s="6"/>
      <c r="F446" s="6"/>
      <c r="G446" s="130"/>
    </row>
    <row r="447" spans="1:7" s="39" customFormat="1" ht="14.25">
      <c r="A447" s="261"/>
      <c r="B447" s="680" t="s">
        <v>317</v>
      </c>
      <c r="C447" s="273"/>
      <c r="D447" s="1930" t="s">
        <v>1331</v>
      </c>
      <c r="E447" s="1930"/>
      <c r="F447" s="1930"/>
      <c r="G447" s="130"/>
    </row>
    <row r="448" spans="1:7" s="39" customFormat="1" ht="14.25">
      <c r="A448" s="261"/>
      <c r="B448" s="261"/>
      <c r="C448" s="273"/>
      <c r="D448" s="1930"/>
      <c r="E448" s="1930"/>
      <c r="F448" s="1930"/>
      <c r="G448" s="130"/>
    </row>
    <row r="449" spans="1:7" s="39" customFormat="1" ht="14.25">
      <c r="A449" s="261"/>
      <c r="B449" s="261"/>
      <c r="C449" s="273"/>
      <c r="D449" s="731"/>
      <c r="E449" s="6"/>
      <c r="F449" s="6"/>
      <c r="G449" s="130"/>
    </row>
    <row r="450" spans="1:7">
      <c r="B450" s="680" t="s">
        <v>317</v>
      </c>
      <c r="D450" s="1900" t="s">
        <v>1332</v>
      </c>
      <c r="E450" s="1900"/>
      <c r="F450" s="1900"/>
    </row>
    <row r="451" spans="1:7" ht="14.25">
      <c r="A451" s="261"/>
      <c r="D451" s="1900"/>
      <c r="E451" s="1900"/>
      <c r="F451" s="1900"/>
    </row>
    <row r="452" spans="1:7" ht="14.25">
      <c r="A452" s="261"/>
      <c r="B452" s="261"/>
      <c r="D452" s="1900"/>
      <c r="E452" s="1900"/>
      <c r="F452" s="1900"/>
    </row>
    <row r="453" spans="1:7" ht="14.25">
      <c r="A453" s="261"/>
      <c r="B453" s="261"/>
      <c r="D453" s="1900"/>
      <c r="E453" s="1900"/>
      <c r="F453" s="1900"/>
    </row>
    <row r="454" spans="1:7">
      <c r="D454" s="679"/>
      <c r="E454" s="679"/>
      <c r="F454" s="679"/>
      <c r="G454" s="12"/>
    </row>
    <row r="455" spans="1:7" ht="14.25">
      <c r="A455" s="261"/>
      <c r="B455" s="680" t="s">
        <v>317</v>
      </c>
      <c r="D455" s="1853" t="s">
        <v>1333</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317</v>
      </c>
      <c r="D459" s="1876" t="s">
        <v>1334</v>
      </c>
      <c r="E459" s="1876"/>
      <c r="F459" s="1876"/>
      <c r="G459" s="12"/>
    </row>
    <row r="460" spans="1:7" ht="14.25">
      <c r="A460" s="261"/>
      <c r="B460" s="261"/>
      <c r="D460" s="731"/>
      <c r="E460" s="6"/>
      <c r="F460" s="6"/>
      <c r="G460" s="12"/>
    </row>
    <row r="461" spans="1:7" ht="14.25">
      <c r="A461" s="261"/>
      <c r="B461" s="680" t="s">
        <v>317</v>
      </c>
      <c r="D461" s="1851" t="s">
        <v>1335</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317</v>
      </c>
      <c r="D464" s="1876" t="s">
        <v>1336</v>
      </c>
      <c r="E464" s="1876"/>
      <c r="F464" s="1876"/>
      <c r="G464" s="12"/>
    </row>
    <row r="465" spans="1:7" ht="14.25">
      <c r="A465" s="261"/>
      <c r="B465" s="261"/>
      <c r="D465" s="135"/>
    </row>
    <row r="466" spans="1:7">
      <c r="A466" s="1877" t="s">
        <v>1171</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931" t="s">
        <v>854</v>
      </c>
      <c r="E468" s="1931"/>
      <c r="F468" s="1931"/>
      <c r="G468" s="182"/>
    </row>
    <row r="469" spans="1:7" customFormat="1" ht="13.35" customHeight="1">
      <c r="A469" s="260"/>
      <c r="B469" s="260"/>
      <c r="C469" s="314"/>
      <c r="D469" s="1932" t="s">
        <v>1214</v>
      </c>
      <c r="E469" s="1932"/>
      <c r="F469" s="1932"/>
      <c r="G469" s="149"/>
    </row>
    <row r="470" spans="1:7" customFormat="1">
      <c r="A470" s="260"/>
      <c r="B470" s="260"/>
      <c r="C470" s="314"/>
      <c r="D470" s="1932"/>
      <c r="E470" s="1932"/>
      <c r="F470" s="1932"/>
      <c r="G470" s="149"/>
    </row>
    <row r="471" spans="1:7" customFormat="1">
      <c r="A471" s="260"/>
      <c r="B471" s="260"/>
      <c r="C471" s="314"/>
      <c r="D471" s="1932"/>
      <c r="E471" s="1932"/>
      <c r="F471" s="1932"/>
      <c r="G471" s="149"/>
    </row>
    <row r="472" spans="1:7" customFormat="1">
      <c r="A472" s="260"/>
      <c r="B472" s="260"/>
      <c r="C472" s="314"/>
      <c r="D472" s="1932"/>
      <c r="E472" s="1932"/>
      <c r="F472" s="1932"/>
      <c r="G472" s="149"/>
    </row>
    <row r="473" spans="1:7" customFormat="1">
      <c r="A473" s="260"/>
      <c r="B473" s="260"/>
      <c r="C473" s="314"/>
      <c r="D473" s="1932"/>
      <c r="E473" s="1932"/>
      <c r="F473" s="1932"/>
      <c r="G473" s="149"/>
    </row>
    <row r="474" spans="1:7" customFormat="1">
      <c r="A474" s="260"/>
      <c r="B474" s="260"/>
      <c r="C474" s="314"/>
      <c r="D474" s="472"/>
      <c r="E474" s="149"/>
      <c r="F474" s="151"/>
      <c r="G474" s="149"/>
    </row>
    <row r="475" spans="1:7" customFormat="1" ht="14.45" customHeight="1">
      <c r="A475" s="261"/>
      <c r="B475" s="680" t="s">
        <v>317</v>
      </c>
      <c r="C475" s="314"/>
      <c r="D475" s="1898" t="s">
        <v>1205</v>
      </c>
      <c r="E475" s="1898"/>
      <c r="F475" s="1898"/>
      <c r="G475" s="149"/>
    </row>
    <row r="476" spans="1:7" customFormat="1">
      <c r="A476" s="260"/>
      <c r="B476" s="260"/>
      <c r="C476" s="314"/>
      <c r="D476" s="1898"/>
      <c r="E476" s="1898"/>
      <c r="F476" s="1898"/>
      <c r="G476" s="149"/>
    </row>
    <row r="477" spans="1:7" s="681" customFormat="1">
      <c r="A477" s="260"/>
      <c r="B477" s="260"/>
      <c r="C477" s="314"/>
      <c r="D477" s="1898"/>
      <c r="E477" s="1898"/>
      <c r="F477" s="1898"/>
      <c r="G477" s="149"/>
    </row>
    <row r="478" spans="1:7" s="681" customFormat="1">
      <c r="A478" s="260"/>
      <c r="B478" s="260"/>
      <c r="C478" s="314"/>
      <c r="D478" s="1898"/>
      <c r="E478" s="1898"/>
      <c r="F478" s="1898"/>
      <c r="G478" s="149"/>
    </row>
    <row r="479" spans="1:7" customFormat="1">
      <c r="A479" s="260"/>
      <c r="B479" s="260"/>
      <c r="C479" s="314"/>
      <c r="D479" s="1898"/>
      <c r="E479" s="1898"/>
      <c r="F479" s="1898"/>
      <c r="G479" s="149"/>
    </row>
    <row r="480" spans="1:7" customFormat="1">
      <c r="A480" s="260"/>
      <c r="B480" s="260"/>
      <c r="C480" s="314"/>
      <c r="D480" s="444"/>
      <c r="E480" s="149"/>
      <c r="F480" s="151"/>
      <c r="G480" s="149"/>
    </row>
    <row r="481" spans="1:7" customFormat="1" ht="14.45" customHeight="1">
      <c r="A481" s="261"/>
      <c r="B481" s="680" t="s">
        <v>317</v>
      </c>
      <c r="C481" s="314"/>
      <c r="D481" s="1898" t="s">
        <v>1208</v>
      </c>
      <c r="E481" s="1898"/>
      <c r="F481" s="1898"/>
      <c r="G481" s="149"/>
    </row>
    <row r="482" spans="1:7" customFormat="1">
      <c r="A482" s="260"/>
      <c r="B482" s="260"/>
      <c r="C482" s="314"/>
      <c r="D482" s="1898"/>
      <c r="E482" s="1898"/>
      <c r="F482" s="1898"/>
      <c r="G482" s="149"/>
    </row>
    <row r="483" spans="1:7" s="681" customFormat="1">
      <c r="A483" s="260"/>
      <c r="B483" s="260"/>
      <c r="C483" s="314"/>
      <c r="D483" s="1898"/>
      <c r="E483" s="1898"/>
      <c r="F483" s="1898"/>
      <c r="G483" s="149"/>
    </row>
    <row r="484" spans="1:7" customFormat="1">
      <c r="A484" s="260"/>
      <c r="B484" s="260"/>
      <c r="C484" s="314"/>
      <c r="D484" s="1898"/>
      <c r="E484" s="1898"/>
      <c r="F484" s="1898"/>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898" t="s">
        <v>1206</v>
      </c>
      <c r="E486" s="1898"/>
      <c r="F486" s="1898"/>
      <c r="G486" s="149"/>
    </row>
    <row r="487" spans="1:7" customFormat="1">
      <c r="A487" s="260"/>
      <c r="B487" s="260"/>
      <c r="C487" s="314"/>
      <c r="D487" s="1898"/>
      <c r="E487" s="1898"/>
      <c r="F487" s="1898"/>
      <c r="G487" s="149"/>
    </row>
    <row r="488" spans="1:7" customFormat="1">
      <c r="A488" s="260"/>
      <c r="B488" s="260"/>
      <c r="C488" s="314"/>
      <c r="D488" s="1898"/>
      <c r="E488" s="1898"/>
      <c r="F488" s="1898"/>
      <c r="G488" s="149"/>
    </row>
    <row r="489" spans="1:7" s="681" customFormat="1">
      <c r="A489" s="260"/>
      <c r="B489" s="260"/>
      <c r="C489" s="314"/>
      <c r="D489" s="701"/>
      <c r="E489" s="701"/>
      <c r="F489" s="701"/>
      <c r="G489" s="149"/>
    </row>
    <row r="490" spans="1:7" customFormat="1" ht="14.45" customHeight="1">
      <c r="A490" s="261"/>
      <c r="B490" s="680" t="s">
        <v>317</v>
      </c>
      <c r="C490" s="314"/>
      <c r="D490" s="1898" t="s">
        <v>1207</v>
      </c>
      <c r="E490" s="1898"/>
      <c r="F490" s="1898"/>
      <c r="G490" s="149"/>
    </row>
    <row r="491" spans="1:7" customFormat="1">
      <c r="A491" s="260"/>
      <c r="B491" s="260"/>
      <c r="C491" s="314"/>
      <c r="D491" s="1898"/>
      <c r="E491" s="1898"/>
      <c r="F491" s="1898"/>
      <c r="G491" s="149"/>
    </row>
    <row r="492" spans="1:7" customFormat="1">
      <c r="A492" s="260"/>
      <c r="B492" s="260"/>
      <c r="C492" s="314"/>
      <c r="D492" s="1898"/>
      <c r="E492" s="1898"/>
      <c r="F492" s="1898"/>
      <c r="G492" s="149"/>
    </row>
    <row r="493" spans="1:7" customFormat="1">
      <c r="A493" s="260"/>
      <c r="B493" s="260"/>
      <c r="C493" s="314"/>
      <c r="D493" s="1898"/>
      <c r="E493" s="1898"/>
      <c r="F493" s="1898"/>
      <c r="G493" s="149"/>
    </row>
    <row r="494" spans="1:7" customFormat="1">
      <c r="A494" s="260"/>
      <c r="B494" s="260"/>
      <c r="C494" s="314"/>
      <c r="D494" s="1898"/>
      <c r="E494" s="1898"/>
      <c r="F494" s="1898"/>
      <c r="G494" s="149"/>
    </row>
    <row r="495" spans="1:7" customFormat="1">
      <c r="A495" s="260"/>
      <c r="B495" s="260"/>
      <c r="C495" s="314"/>
      <c r="D495" s="1898"/>
      <c r="E495" s="1898"/>
      <c r="F495" s="1898"/>
      <c r="G495" s="149"/>
    </row>
    <row r="496" spans="1:7" customFormat="1">
      <c r="A496" s="260"/>
      <c r="B496" s="260"/>
      <c r="C496" s="314"/>
      <c r="D496" s="1898"/>
      <c r="E496" s="1898"/>
      <c r="F496" s="1898"/>
      <c r="G496" s="149"/>
    </row>
    <row r="497" spans="1:7" customFormat="1">
      <c r="A497" s="488"/>
      <c r="B497" s="488"/>
      <c r="C497" s="487"/>
      <c r="D497" s="1898"/>
      <c r="E497" s="1898"/>
      <c r="F497" s="1898"/>
      <c r="G497" s="149"/>
    </row>
    <row r="498" spans="1:7" customFormat="1">
      <c r="A498" s="488"/>
      <c r="B498" s="488"/>
      <c r="C498" s="487"/>
      <c r="D498" s="1898"/>
      <c r="E498" s="1898"/>
      <c r="F498" s="1898"/>
      <c r="G498" s="149"/>
    </row>
    <row r="499" spans="1:7" customFormat="1">
      <c r="A499" s="488"/>
      <c r="B499" s="488"/>
      <c r="C499" s="487"/>
      <c r="D499" s="444"/>
      <c r="E499" s="149"/>
      <c r="F499" s="151"/>
      <c r="G499" s="149"/>
    </row>
    <row r="500" spans="1:7" customFormat="1" ht="13.35" customHeight="1">
      <c r="A500" s="488"/>
      <c r="B500" s="680" t="s">
        <v>317</v>
      </c>
      <c r="C500" s="487"/>
      <c r="D500" s="1911" t="s">
        <v>1351</v>
      </c>
      <c r="E500" s="1911"/>
      <c r="F500" s="1911"/>
      <c r="G500" s="149"/>
    </row>
    <row r="501" spans="1:7" customFormat="1">
      <c r="A501" s="488"/>
      <c r="B501" s="488"/>
      <c r="C501" s="487"/>
      <c r="D501" s="1911"/>
      <c r="E501" s="1911"/>
      <c r="F501" s="1911"/>
      <c r="G501" s="149"/>
    </row>
    <row r="502" spans="1:7" customFormat="1">
      <c r="A502" s="488"/>
      <c r="B502" s="488"/>
      <c r="C502" s="487"/>
      <c r="D502" s="1911"/>
      <c r="E502" s="1911"/>
      <c r="F502" s="1911"/>
      <c r="G502" s="149"/>
    </row>
    <row r="503" spans="1:7" customFormat="1">
      <c r="A503" s="488"/>
      <c r="B503" s="488"/>
      <c r="C503" s="487"/>
      <c r="D503" s="1911"/>
      <c r="E503" s="1911"/>
      <c r="F503" s="1911"/>
      <c r="G503" s="149"/>
    </row>
    <row r="504" spans="1:7" customFormat="1">
      <c r="A504" s="260"/>
      <c r="B504" s="260"/>
      <c r="C504" s="314"/>
      <c r="D504" s="1911"/>
      <c r="E504" s="1911"/>
      <c r="F504" s="1911"/>
      <c r="G504" s="149"/>
    </row>
    <row r="505" spans="1:7" s="718" customFormat="1">
      <c r="A505" s="721"/>
      <c r="B505" s="721"/>
      <c r="C505" s="314"/>
      <c r="D505" s="742"/>
      <c r="E505" s="742"/>
      <c r="F505" s="742"/>
      <c r="G505" s="149"/>
    </row>
    <row r="506" spans="1:7" customFormat="1" ht="14.45" customHeight="1">
      <c r="A506" s="261"/>
      <c r="B506" s="680" t="s">
        <v>317</v>
      </c>
      <c r="C506" s="10"/>
      <c r="D506" s="1898" t="s">
        <v>1209</v>
      </c>
      <c r="E506" s="1898"/>
      <c r="F506" s="1898"/>
      <c r="G506" s="149"/>
    </row>
    <row r="507" spans="1:7" customFormat="1">
      <c r="A507" s="132"/>
      <c r="B507" s="677"/>
      <c r="C507" s="10"/>
      <c r="D507" s="1898"/>
      <c r="E507" s="1898"/>
      <c r="F507" s="1898"/>
      <c r="G507" s="149"/>
    </row>
    <row r="508" spans="1:7" customFormat="1">
      <c r="A508" s="132"/>
      <c r="B508" s="677"/>
      <c r="C508" s="10"/>
      <c r="D508" s="1898"/>
      <c r="E508" s="1898"/>
      <c r="F508" s="1898"/>
      <c r="G508" s="149"/>
    </row>
    <row r="509" spans="1:7" customFormat="1" ht="12" customHeight="1">
      <c r="A509" s="135"/>
      <c r="B509" s="135"/>
      <c r="C509" s="316"/>
      <c r="D509" s="135"/>
      <c r="E509" s="149"/>
      <c r="F509" s="315"/>
      <c r="G509" s="149"/>
    </row>
    <row r="510" spans="1:7">
      <c r="A510" s="1877" t="s">
        <v>1172</v>
      </c>
      <c r="B510" s="1877"/>
      <c r="C510" s="1877"/>
      <c r="D510" s="1877"/>
      <c r="E510" s="1877"/>
      <c r="F510" s="1877"/>
      <c r="G510" s="1877"/>
    </row>
    <row r="511" spans="1:7">
      <c r="A511" s="135"/>
      <c r="B511" s="135"/>
      <c r="C511" s="266"/>
      <c r="F511" s="134"/>
    </row>
    <row r="512" spans="1:7">
      <c r="B512" s="1873" t="s">
        <v>471</v>
      </c>
      <c r="C512" s="1873"/>
      <c r="D512" s="1873"/>
      <c r="E512" s="1873"/>
      <c r="F512" s="1873"/>
    </row>
    <row r="513" spans="1:7">
      <c r="A513" s="135"/>
      <c r="B513" s="135"/>
      <c r="C513" s="266"/>
      <c r="D513" s="135"/>
      <c r="F513" s="135"/>
    </row>
    <row r="514" spans="1:7">
      <c r="A514" s="1878" t="s">
        <v>1173</v>
      </c>
      <c r="B514" s="1878"/>
      <c r="C514" s="1878"/>
      <c r="D514" s="1878"/>
      <c r="E514" s="1878"/>
      <c r="F514" s="1878"/>
      <c r="G514" s="1878"/>
    </row>
    <row r="515" spans="1:7">
      <c r="A515" s="135"/>
      <c r="B515" s="135"/>
      <c r="C515" s="266"/>
      <c r="D515" s="135"/>
      <c r="F515" s="135"/>
    </row>
    <row r="516" spans="1:7">
      <c r="C516" s="266"/>
      <c r="D516" s="1875" t="s">
        <v>721</v>
      </c>
      <c r="E516" s="1875"/>
      <c r="F516" s="1875"/>
    </row>
    <row r="517" spans="1:7" s="683" customFormat="1">
      <c r="A517" s="700"/>
      <c r="B517" s="700"/>
      <c r="C517" s="266"/>
      <c r="D517" s="1876" t="s">
        <v>1230</v>
      </c>
      <c r="E517" s="1876"/>
      <c r="F517" s="1876"/>
      <c r="G517" s="7"/>
    </row>
    <row r="518" spans="1:7" s="683" customFormat="1">
      <c r="A518" s="700"/>
      <c r="B518" s="700"/>
      <c r="C518" s="266"/>
      <c r="D518" s="705"/>
      <c r="E518" s="705"/>
      <c r="F518" s="705"/>
      <c r="G518" s="7"/>
    </row>
    <row r="519" spans="1:7" ht="13.35" customHeight="1">
      <c r="A519" s="261"/>
      <c r="B519" s="680" t="s">
        <v>317</v>
      </c>
      <c r="C519" s="266"/>
      <c r="D519" s="1876" t="s">
        <v>952</v>
      </c>
      <c r="E519" s="1876"/>
      <c r="F519" s="1876"/>
      <c r="G519" s="12"/>
    </row>
    <row r="520" spans="1:7" ht="13.35" customHeight="1">
      <c r="A520" s="266"/>
      <c r="B520" s="266"/>
      <c r="C520" s="266"/>
      <c r="D520" s="705"/>
      <c r="E520" s="678"/>
      <c r="F520" s="678"/>
      <c r="G520" s="12"/>
    </row>
    <row r="521" spans="1:7" ht="14.25">
      <c r="A521" s="261"/>
      <c r="B521" s="680" t="s">
        <v>317</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317</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317</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317</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317</v>
      </c>
      <c r="C534" s="266"/>
      <c r="D534" s="1874" t="s">
        <v>1352</v>
      </c>
      <c r="E534" s="1874"/>
      <c r="F534" s="1874"/>
    </row>
    <row r="535" spans="1:7">
      <c r="A535" s="266"/>
      <c r="B535" s="266"/>
      <c r="C535" s="266"/>
      <c r="D535" s="1874"/>
      <c r="E535" s="1874"/>
      <c r="F535" s="1874"/>
    </row>
    <row r="536" spans="1:7">
      <c r="A536" s="266"/>
      <c r="B536" s="266"/>
      <c r="C536" s="266"/>
      <c r="D536" s="135"/>
      <c r="E536" s="135"/>
      <c r="F536" s="135"/>
    </row>
    <row r="537" spans="1:7" ht="14.25">
      <c r="A537" s="261"/>
      <c r="B537" s="680" t="s">
        <v>317</v>
      </c>
      <c r="C537" s="266"/>
      <c r="D537" s="1874" t="s">
        <v>1235</v>
      </c>
      <c r="E537" s="1874"/>
      <c r="F537" s="1874"/>
    </row>
    <row r="538" spans="1:7">
      <c r="A538" s="266"/>
      <c r="B538" s="266"/>
      <c r="C538" s="266"/>
      <c r="D538" s="1874"/>
      <c r="E538" s="1874"/>
      <c r="F538" s="1874"/>
    </row>
    <row r="539" spans="1:7">
      <c r="A539" s="266"/>
      <c r="B539" s="266"/>
      <c r="C539" s="266"/>
      <c r="D539" s="135"/>
      <c r="E539" s="135"/>
      <c r="F539" s="135"/>
    </row>
    <row r="540" spans="1:7" ht="14.25">
      <c r="A540" s="261"/>
      <c r="B540" s="680" t="s">
        <v>317</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317</v>
      </c>
      <c r="C543" s="266"/>
      <c r="D543" s="1876" t="s">
        <v>1237</v>
      </c>
      <c r="E543" s="1876"/>
      <c r="F543" s="1876"/>
      <c r="G543" s="57"/>
    </row>
    <row r="544" spans="1:7">
      <c r="A544" s="23"/>
      <c r="B544" s="676"/>
      <c r="C544" s="266"/>
      <c r="D544" s="1876" t="s">
        <v>884</v>
      </c>
      <c r="E544" s="1876"/>
      <c r="F544" s="1876"/>
      <c r="G544" s="57"/>
    </row>
    <row r="545" spans="1:7">
      <c r="A545" s="23"/>
      <c r="B545" s="676"/>
      <c r="C545" s="266"/>
      <c r="D545" s="6"/>
      <c r="E545" s="1881" t="s">
        <v>1238</v>
      </c>
      <c r="F545" s="1881"/>
      <c r="G545" s="57"/>
    </row>
    <row r="546" spans="1:7" ht="14.25">
      <c r="A546" s="261"/>
      <c r="B546" s="261"/>
      <c r="C546" s="266"/>
      <c r="E546" s="135"/>
      <c r="F546" s="135"/>
      <c r="G546" s="57"/>
    </row>
    <row r="547" spans="1:7" ht="14.25">
      <c r="A547" s="261"/>
      <c r="B547" s="680" t="s">
        <v>317</v>
      </c>
      <c r="C547" s="266"/>
      <c r="D547" s="1882" t="s">
        <v>1239</v>
      </c>
      <c r="E547" s="1882"/>
      <c r="F547" s="1882"/>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317</v>
      </c>
      <c r="C552" s="266"/>
      <c r="D552" s="1851" t="s">
        <v>1241</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7" t="s">
        <v>1174</v>
      </c>
      <c r="B557" s="1877"/>
      <c r="C557" s="1877"/>
      <c r="D557" s="1877"/>
      <c r="E557" s="1877"/>
      <c r="F557" s="1877"/>
      <c r="G557" s="1877"/>
    </row>
    <row r="558" spans="1:7">
      <c r="A558" s="266"/>
      <c r="B558" s="266"/>
      <c r="C558" s="266"/>
      <c r="E558" s="135"/>
      <c r="F558" s="135"/>
      <c r="G558" s="57"/>
    </row>
    <row r="559" spans="1:7" ht="12.75" customHeight="1">
      <c r="C559" s="255"/>
      <c r="D559" s="1893" t="s">
        <v>216</v>
      </c>
      <c r="E559" s="1893"/>
      <c r="F559" s="1893"/>
      <c r="G559" s="57"/>
    </row>
    <row r="560" spans="1:7">
      <c r="A560" s="260"/>
      <c r="B560" s="260"/>
      <c r="C560" s="260"/>
      <c r="D560" s="1899" t="s">
        <v>1190</v>
      </c>
      <c r="E560" s="1899"/>
      <c r="F560" s="1899"/>
      <c r="G560" s="57"/>
    </row>
    <row r="561" spans="1:7">
      <c r="A561" s="12"/>
      <c r="B561" s="12"/>
      <c r="C561" s="260"/>
      <c r="D561" s="378"/>
      <c r="G561" s="57"/>
    </row>
    <row r="562" spans="1:7">
      <c r="A562" s="260"/>
      <c r="B562" s="680" t="s">
        <v>317</v>
      </c>
      <c r="D562" s="1899" t="s">
        <v>958</v>
      </c>
      <c r="E562" s="1899"/>
      <c r="F562" s="1899"/>
      <c r="G562" s="57"/>
    </row>
    <row r="563" spans="1:7">
      <c r="A563" s="23"/>
      <c r="B563" s="676"/>
      <c r="D563" s="326"/>
    </row>
    <row r="564" spans="1:7">
      <c r="A564" s="23"/>
      <c r="B564" s="680" t="s">
        <v>317</v>
      </c>
      <c r="D564" s="1900" t="s">
        <v>1191</v>
      </c>
      <c r="E564" s="1900"/>
      <c r="F564" s="1900"/>
    </row>
    <row r="565" spans="1:7">
      <c r="A565" s="23"/>
      <c r="B565" s="676"/>
      <c r="D565" s="1900"/>
      <c r="E565" s="1900"/>
      <c r="F565" s="1900"/>
    </row>
    <row r="566" spans="1:7">
      <c r="A566" s="23"/>
      <c r="B566" s="689"/>
      <c r="D566" s="1900"/>
      <c r="E566" s="1900"/>
      <c r="F566" s="1900"/>
    </row>
    <row r="567" spans="1:7">
      <c r="A567" s="23"/>
      <c r="B567" s="676"/>
      <c r="D567" s="479"/>
    </row>
    <row r="568" spans="1:7" s="683" customFormat="1">
      <c r="A568" s="689"/>
      <c r="B568" s="680" t="s">
        <v>317</v>
      </c>
      <c r="C568" s="690"/>
      <c r="D568" s="1900" t="s">
        <v>1192</v>
      </c>
      <c r="E568" s="1900"/>
      <c r="F568" s="1900"/>
      <c r="G568" s="7"/>
    </row>
    <row r="569" spans="1:7" s="683" customFormat="1">
      <c r="A569" s="689"/>
      <c r="B569" s="689"/>
      <c r="C569" s="690"/>
      <c r="D569" s="1900"/>
      <c r="E569" s="1900"/>
      <c r="F569" s="1900"/>
      <c r="G569" s="7"/>
    </row>
    <row r="570" spans="1:7" s="683" customFormat="1">
      <c r="A570" s="689"/>
      <c r="B570" s="689"/>
      <c r="C570" s="690"/>
      <c r="D570" s="1900"/>
      <c r="E570" s="1900"/>
      <c r="F570" s="1900"/>
      <c r="G570" s="7"/>
    </row>
    <row r="571" spans="1:7" s="683" customFormat="1">
      <c r="A571" s="689"/>
      <c r="B571" s="689"/>
      <c r="C571" s="690"/>
      <c r="D571" s="1900"/>
      <c r="E571" s="1900"/>
      <c r="F571" s="1900"/>
      <c r="G571" s="7"/>
    </row>
    <row r="572" spans="1:7" s="683" customFormat="1">
      <c r="A572" s="689"/>
      <c r="B572" s="689"/>
      <c r="C572" s="690"/>
      <c r="D572" s="695"/>
      <c r="E572" s="695"/>
      <c r="F572" s="695"/>
      <c r="G572" s="7"/>
    </row>
    <row r="573" spans="1:7">
      <c r="A573" s="23"/>
      <c r="B573" s="680" t="s">
        <v>317</v>
      </c>
      <c r="D573" s="1900" t="s">
        <v>1193</v>
      </c>
      <c r="E573" s="1900"/>
      <c r="F573" s="1900"/>
    </row>
    <row r="574" spans="1:7">
      <c r="A574" s="23"/>
      <c r="B574" s="676"/>
      <c r="D574" s="1900"/>
      <c r="E574" s="1900"/>
      <c r="F574" s="1900"/>
    </row>
    <row r="575" spans="1:7">
      <c r="A575" s="23"/>
      <c r="B575" s="676"/>
      <c r="D575" s="378"/>
    </row>
    <row r="576" spans="1:7" s="683" customFormat="1">
      <c r="A576" s="689"/>
      <c r="B576" s="680" t="s">
        <v>317</v>
      </c>
      <c r="C576" s="690"/>
      <c r="D576" s="1899" t="s">
        <v>1194</v>
      </c>
      <c r="E576" s="1899"/>
      <c r="F576" s="1899"/>
      <c r="G576" s="7"/>
    </row>
    <row r="577" spans="1:7" s="683" customFormat="1">
      <c r="A577" s="689"/>
      <c r="B577" s="689"/>
      <c r="C577" s="690"/>
      <c r="D577" s="1899"/>
      <c r="E577" s="1899"/>
      <c r="F577" s="1899"/>
      <c r="G577" s="7"/>
    </row>
    <row r="578" spans="1:7" s="683" customFormat="1">
      <c r="A578" s="689"/>
      <c r="B578" s="689"/>
      <c r="C578" s="690"/>
      <c r="D578" s="378"/>
      <c r="E578" s="7"/>
      <c r="F578" s="7"/>
      <c r="G578" s="7"/>
    </row>
    <row r="579" spans="1:7" ht="14.25">
      <c r="A579" s="261"/>
      <c r="B579" s="680" t="s">
        <v>317</v>
      </c>
      <c r="D579" s="1899" t="s">
        <v>953</v>
      </c>
      <c r="E579" s="1899"/>
      <c r="F579" s="1899"/>
    </row>
    <row r="580" spans="1:7" ht="14.25">
      <c r="A580" s="261"/>
      <c r="B580" s="261"/>
      <c r="D580" s="378"/>
    </row>
    <row r="581" spans="1:7" ht="14.25">
      <c r="A581" s="261"/>
      <c r="B581" s="680" t="s">
        <v>317</v>
      </c>
      <c r="D581" s="1899" t="s">
        <v>1195</v>
      </c>
      <c r="E581" s="1899"/>
      <c r="F581" s="1899"/>
    </row>
    <row r="582" spans="1:7" ht="14.25">
      <c r="A582" s="261"/>
      <c r="B582" s="261"/>
      <c r="D582" s="1899"/>
      <c r="E582" s="1899"/>
      <c r="F582" s="1899"/>
    </row>
    <row r="583" spans="1:7">
      <c r="D583" s="1899"/>
      <c r="E583" s="1899"/>
      <c r="F583" s="1899"/>
    </row>
    <row r="584" spans="1:7">
      <c r="D584" s="1899"/>
      <c r="E584" s="1899"/>
      <c r="F584" s="1899"/>
    </row>
    <row r="585" spans="1:7" s="683" customFormat="1">
      <c r="A585" s="690"/>
      <c r="B585" s="690"/>
      <c r="C585" s="690"/>
      <c r="D585" s="1899"/>
      <c r="E585" s="1899"/>
      <c r="F585" s="1899"/>
      <c r="G585" s="7"/>
    </row>
    <row r="586" spans="1:7" s="683" customFormat="1">
      <c r="A586" s="690"/>
      <c r="B586" s="690"/>
      <c r="C586" s="690"/>
      <c r="D586" s="1899"/>
      <c r="E586" s="1899"/>
      <c r="F586" s="1899"/>
      <c r="G586" s="7"/>
    </row>
    <row r="587" spans="1:7"/>
    <row r="588" spans="1:7">
      <c r="A588" s="1877" t="s">
        <v>1175</v>
      </c>
      <c r="B588" s="1877"/>
      <c r="C588" s="1877"/>
      <c r="D588" s="1877"/>
      <c r="E588" s="1877"/>
      <c r="F588" s="1877"/>
      <c r="G588" s="1877"/>
    </row>
    <row r="589" spans="1:7"/>
    <row r="590" spans="1:7">
      <c r="D590" s="1867" t="s">
        <v>1275</v>
      </c>
      <c r="E590" s="1867"/>
      <c r="F590" s="1867"/>
    </row>
    <row r="591" spans="1:7">
      <c r="D591" s="1868" t="s">
        <v>1276</v>
      </c>
      <c r="E591" s="1868"/>
      <c r="F591" s="1868"/>
    </row>
    <row r="592" spans="1:7" s="720" customFormat="1">
      <c r="A592" s="706"/>
      <c r="B592" s="706"/>
      <c r="C592" s="706"/>
      <c r="D592" s="724"/>
      <c r="E592" s="723"/>
      <c r="F592" s="723"/>
      <c r="G592" s="7"/>
    </row>
    <row r="593" spans="1:7" s="39" customFormat="1" ht="14.25">
      <c r="A593" s="404"/>
      <c r="B593" s="680" t="s">
        <v>317</v>
      </c>
      <c r="C593" s="273"/>
      <c r="D593" s="1869" t="s">
        <v>1277</v>
      </c>
      <c r="E593" s="1869"/>
      <c r="F593" s="1869"/>
      <c r="G593" s="130"/>
    </row>
    <row r="594" spans="1:7">
      <c r="D594" s="1869"/>
      <c r="E594" s="1869"/>
      <c r="F594" s="1869"/>
    </row>
    <row r="595" spans="1:7">
      <c r="D595" s="1869"/>
      <c r="E595" s="1869"/>
      <c r="F595" s="1869"/>
    </row>
    <row r="596" spans="1:7"/>
    <row r="597" spans="1:7">
      <c r="A597" s="1877" t="s">
        <v>1176</v>
      </c>
      <c r="B597" s="1877"/>
      <c r="C597" s="1877"/>
      <c r="D597" s="1877"/>
      <c r="E597" s="1877"/>
      <c r="F597" s="1877"/>
      <c r="G597" s="1877"/>
    </row>
    <row r="598" spans="1:7">
      <c r="A598" s="135"/>
      <c r="B598" s="135"/>
      <c r="G598" s="57"/>
    </row>
    <row r="599" spans="1:7">
      <c r="A599" s="257"/>
      <c r="B599" s="675"/>
      <c r="C599" s="255"/>
      <c r="D599" s="1870" t="s">
        <v>1278</v>
      </c>
      <c r="E599" s="1870"/>
      <c r="F599" s="1870"/>
      <c r="G599" s="57"/>
    </row>
    <row r="600" spans="1:7">
      <c r="A600" s="257"/>
      <c r="B600" s="675"/>
      <c r="C600" s="255"/>
      <c r="D600" s="1870"/>
      <c r="E600" s="1870"/>
      <c r="F600" s="1870"/>
      <c r="G600" s="57"/>
    </row>
    <row r="601" spans="1:7">
      <c r="C601" s="260"/>
      <c r="D601" s="1868" t="s">
        <v>1279</v>
      </c>
      <c r="E601" s="1868"/>
      <c r="F601" s="1868"/>
      <c r="G601" s="57"/>
    </row>
    <row r="602" spans="1:7" s="720" customFormat="1">
      <c r="A602" s="706"/>
      <c r="B602" s="706"/>
      <c r="C602" s="721"/>
      <c r="D602" s="725"/>
      <c r="E602" s="725"/>
      <c r="F602" s="725"/>
      <c r="G602" s="57"/>
    </row>
    <row r="603" spans="1:7">
      <c r="A603" s="23"/>
      <c r="B603" s="680" t="s">
        <v>317</v>
      </c>
      <c r="D603" s="1868" t="s">
        <v>454</v>
      </c>
      <c r="E603" s="1868"/>
      <c r="F603" s="1868"/>
      <c r="G603" s="57"/>
    </row>
    <row r="604" spans="1:7">
      <c r="C604" s="268"/>
      <c r="E604" s="12"/>
      <c r="G604" s="57"/>
    </row>
    <row r="605" spans="1:7">
      <c r="A605" s="23"/>
      <c r="B605" s="680" t="s">
        <v>317</v>
      </c>
      <c r="D605" s="1871" t="s">
        <v>1280</v>
      </c>
      <c r="E605" s="1871"/>
      <c r="F605" s="1871"/>
      <c r="G605" s="57"/>
    </row>
    <row r="606" spans="1:7">
      <c r="D606" s="1871"/>
      <c r="E606" s="1871"/>
      <c r="F606" s="1871"/>
      <c r="G606" s="57"/>
    </row>
    <row r="607" spans="1:7">
      <c r="D607" s="12"/>
      <c r="G607" s="57"/>
    </row>
    <row r="608" spans="1:7">
      <c r="B608" s="680" t="s">
        <v>317</v>
      </c>
      <c r="D608" s="1871" t="s">
        <v>1281</v>
      </c>
      <c r="E608" s="1871"/>
      <c r="F608" s="1871"/>
      <c r="G608" s="57"/>
    </row>
    <row r="609" spans="1:7">
      <c r="C609" s="268"/>
      <c r="D609" s="1871"/>
      <c r="E609" s="1871"/>
      <c r="F609" s="1871"/>
      <c r="G609" s="57"/>
    </row>
    <row r="610" spans="1:7">
      <c r="C610" s="268"/>
      <c r="G610" s="57"/>
    </row>
    <row r="611" spans="1:7">
      <c r="B611" s="680" t="s">
        <v>317</v>
      </c>
      <c r="C611" s="268"/>
      <c r="D611" s="1871" t="s">
        <v>1282</v>
      </c>
      <c r="E611" s="1871"/>
      <c r="F611" s="1871"/>
      <c r="G611" s="57"/>
    </row>
    <row r="612" spans="1:7">
      <c r="C612" s="268"/>
      <c r="D612" s="1871"/>
      <c r="E612" s="1871"/>
      <c r="F612" s="1871"/>
      <c r="G612" s="57"/>
    </row>
    <row r="613" spans="1:7">
      <c r="C613" s="268"/>
      <c r="G613" s="57"/>
    </row>
    <row r="614" spans="1:7">
      <c r="A614" s="1877" t="s">
        <v>1177</v>
      </c>
      <c r="B614" s="1877"/>
      <c r="C614" s="1877"/>
      <c r="D614" s="1877"/>
      <c r="E614" s="1877"/>
      <c r="F614" s="1877"/>
      <c r="G614" s="1877"/>
    </row>
    <row r="615" spans="1:7">
      <c r="A615" s="267"/>
      <c r="B615" s="267"/>
      <c r="C615" s="267"/>
      <c r="G615" s="57"/>
    </row>
    <row r="616" spans="1:7">
      <c r="C616" s="23"/>
      <c r="D616" s="1867" t="s">
        <v>1283</v>
      </c>
      <c r="E616" s="1867"/>
      <c r="F616" s="1867"/>
      <c r="G616" s="57"/>
    </row>
    <row r="617" spans="1:7">
      <c r="A617" s="23"/>
      <c r="B617" s="676"/>
      <c r="C617" s="265"/>
      <c r="D617" s="50"/>
      <c r="G617" s="57"/>
    </row>
    <row r="618" spans="1:7" ht="14.25">
      <c r="A618" s="261"/>
      <c r="B618" s="680" t="s">
        <v>317</v>
      </c>
      <c r="C618" s="265"/>
      <c r="D618" s="1912" t="s">
        <v>1284</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20" customFormat="1">
      <c r="A624" s="706"/>
      <c r="B624" s="706"/>
      <c r="C624" s="265"/>
      <c r="D624" s="726"/>
      <c r="E624" s="726"/>
      <c r="F624" s="726"/>
      <c r="G624" s="57"/>
    </row>
    <row r="625" spans="1:7" ht="14.25">
      <c r="A625" s="261"/>
      <c r="B625" s="680" t="s">
        <v>317</v>
      </c>
      <c r="C625" s="265"/>
      <c r="D625" s="1912" t="s">
        <v>1285</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25">
      <c r="A628" s="261"/>
      <c r="B628" s="680" t="s">
        <v>317</v>
      </c>
      <c r="C628" s="266"/>
      <c r="D628" s="1869" t="s">
        <v>1286</v>
      </c>
      <c r="E628" s="1869"/>
      <c r="F628" s="1869"/>
      <c r="G628" s="57"/>
    </row>
    <row r="629" spans="1:7" ht="14.25">
      <c r="A629" s="261"/>
      <c r="B629" s="261"/>
      <c r="C629" s="266"/>
      <c r="D629" s="1869"/>
      <c r="E629" s="1869"/>
      <c r="F629" s="1869"/>
      <c r="G629" s="57"/>
    </row>
    <row r="630" spans="1:7" ht="14.25">
      <c r="A630" s="261"/>
      <c r="B630" s="261"/>
      <c r="C630" s="266"/>
      <c r="D630" s="1869"/>
      <c r="E630" s="1869"/>
      <c r="F630" s="1869"/>
      <c r="G630" s="57"/>
    </row>
    <row r="631" spans="1:7">
      <c r="A631" s="266"/>
      <c r="B631" s="266"/>
      <c r="C631" s="266"/>
      <c r="D631" s="1869"/>
      <c r="E631" s="1869"/>
      <c r="F631" s="1869"/>
      <c r="G631" s="57"/>
    </row>
    <row r="632" spans="1:7" s="720" customFormat="1">
      <c r="A632" s="266"/>
      <c r="B632" s="266"/>
      <c r="C632" s="266"/>
      <c r="D632" s="727"/>
      <c r="E632" s="727"/>
      <c r="F632" s="727"/>
      <c r="G632" s="57"/>
    </row>
    <row r="633" spans="1:7">
      <c r="A633" s="266"/>
      <c r="B633" s="680" t="s">
        <v>317</v>
      </c>
      <c r="C633" s="266"/>
      <c r="D633" s="1917" t="s">
        <v>1287</v>
      </c>
      <c r="E633" s="1917"/>
      <c r="F633" s="1917"/>
      <c r="G633" s="57"/>
    </row>
    <row r="634" spans="1:7">
      <c r="A634" s="266"/>
      <c r="B634" s="266"/>
      <c r="C634" s="266"/>
      <c r="D634" s="728"/>
      <c r="E634" s="728"/>
      <c r="F634" s="728"/>
      <c r="G634" s="57"/>
    </row>
    <row r="635" spans="1:7">
      <c r="A635" s="1877" t="s">
        <v>1178</v>
      </c>
      <c r="B635" s="1877"/>
      <c r="C635" s="1877"/>
      <c r="D635" s="1877"/>
      <c r="E635" s="1877"/>
      <c r="F635" s="1877"/>
      <c r="G635" s="1877"/>
    </row>
    <row r="636" spans="1:7">
      <c r="A636" s="135"/>
      <c r="B636" s="135"/>
      <c r="C636" s="266"/>
      <c r="D636" s="147"/>
      <c r="E636" s="147"/>
      <c r="F636" s="147"/>
      <c r="G636" s="57"/>
    </row>
    <row r="637" spans="1:7">
      <c r="C637" s="267"/>
      <c r="D637" s="1918" t="s">
        <v>1337</v>
      </c>
      <c r="E637" s="1918"/>
      <c r="F637" s="1918"/>
      <c r="G637" s="57"/>
    </row>
    <row r="638" spans="1:7">
      <c r="A638" s="260"/>
      <c r="B638" s="260"/>
      <c r="C638" s="260"/>
      <c r="D638" s="1919" t="s">
        <v>1338</v>
      </c>
      <c r="E638" s="1919"/>
      <c r="F638" s="1919"/>
      <c r="G638" s="57"/>
    </row>
    <row r="639" spans="1:7" s="720" customFormat="1">
      <c r="A639" s="721"/>
      <c r="B639" s="721"/>
      <c r="C639" s="721"/>
      <c r="D639" s="735"/>
      <c r="E639" s="735"/>
      <c r="F639" s="735"/>
      <c r="G639" s="57"/>
    </row>
    <row r="640" spans="1:7" ht="14.45" customHeight="1">
      <c r="A640" s="261"/>
      <c r="B640" s="680" t="s">
        <v>317</v>
      </c>
      <c r="C640" s="266"/>
      <c r="D640" s="1865" t="s">
        <v>1339</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3" customFormat="1" ht="14.25">
      <c r="A644" s="261"/>
      <c r="B644" s="261"/>
      <c r="C644" s="266"/>
      <c r="D644" s="1865"/>
      <c r="E644" s="1865"/>
      <c r="F644" s="1865"/>
      <c r="G644" s="57"/>
    </row>
    <row r="645" spans="1:11" s="720" customFormat="1" ht="14.25">
      <c r="A645" s="715"/>
      <c r="B645" s="715"/>
      <c r="C645" s="266"/>
      <c r="D645" s="737"/>
      <c r="E645" s="737"/>
      <c r="F645" s="737"/>
      <c r="G645" s="57"/>
    </row>
    <row r="646" spans="1:11" s="683" customFormat="1" ht="14.25">
      <c r="A646" s="261"/>
      <c r="B646" s="680" t="s">
        <v>317</v>
      </c>
      <c r="C646" s="266"/>
      <c r="D646" s="1895" t="s">
        <v>1189</v>
      </c>
      <c r="E646" s="1895"/>
      <c r="F646" s="1895"/>
      <c r="G646" s="57"/>
    </row>
    <row r="647" spans="1:11" s="683" customFormat="1" ht="14.25">
      <c r="A647" s="261"/>
      <c r="B647" s="261"/>
      <c r="C647" s="266"/>
      <c r="D647" s="1896" t="s">
        <v>1340</v>
      </c>
      <c r="E647" s="1896"/>
      <c r="F647" s="1896"/>
      <c r="G647" s="57"/>
    </row>
    <row r="648" spans="1:11" s="683" customFormat="1" ht="14.25">
      <c r="A648" s="261"/>
      <c r="B648" s="261"/>
      <c r="C648" s="266"/>
      <c r="D648" s="1896"/>
      <c r="E648" s="1896"/>
      <c r="F648" s="1896"/>
      <c r="G648" s="57"/>
    </row>
    <row r="649" spans="1:11" s="683" customFormat="1" ht="14.25">
      <c r="A649" s="261"/>
      <c r="B649" s="261"/>
      <c r="C649" s="266"/>
      <c r="D649" s="1896"/>
      <c r="E649" s="1896"/>
      <c r="F649" s="1896"/>
      <c r="G649" s="57"/>
    </row>
    <row r="650" spans="1:11" s="683" customFormat="1" ht="14.25">
      <c r="A650" s="261"/>
      <c r="B650" s="261"/>
      <c r="C650" s="266"/>
      <c r="D650" s="1896"/>
      <c r="E650" s="1896"/>
      <c r="F650" s="1896"/>
      <c r="G650" s="57"/>
    </row>
    <row r="651" spans="1:11" s="683" customFormat="1" ht="14.25">
      <c r="A651" s="261"/>
      <c r="B651" s="261"/>
      <c r="C651" s="266"/>
      <c r="D651" s="1896"/>
      <c r="E651" s="1896"/>
      <c r="F651" s="1896"/>
      <c r="G651" s="57"/>
    </row>
    <row r="652" spans="1:11" s="683" customFormat="1" ht="14.25">
      <c r="A652" s="261"/>
      <c r="B652" s="261"/>
      <c r="C652" s="266"/>
      <c r="D652" s="1897" t="s">
        <v>1341</v>
      </c>
      <c r="E652" s="1897"/>
      <c r="F652" s="1897"/>
      <c r="G652" s="57"/>
    </row>
    <row r="653" spans="1:11">
      <c r="A653" s="266"/>
      <c r="B653" s="266"/>
      <c r="C653" s="266"/>
      <c r="D653" s="147"/>
      <c r="E653" s="147"/>
      <c r="F653" s="147"/>
      <c r="G653" s="57"/>
    </row>
    <row r="654" spans="1:11">
      <c r="A654" s="1877" t="s">
        <v>1179</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76" t="s">
        <v>1215</v>
      </c>
      <c r="E658" s="1876"/>
      <c r="F658" s="1876"/>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6" t="s">
        <v>954</v>
      </c>
      <c r="E660" s="1876"/>
      <c r="F660" s="1876"/>
      <c r="G660" s="57"/>
      <c r="H660" s="269"/>
      <c r="I660" s="269"/>
      <c r="J660" s="269"/>
      <c r="K660" s="269"/>
    </row>
    <row r="661" spans="1:11">
      <c r="A661" s="260"/>
      <c r="B661" s="260"/>
      <c r="C661" s="260"/>
      <c r="D661" s="1876" t="s">
        <v>965</v>
      </c>
      <c r="E661" s="1876"/>
      <c r="F661" s="1876"/>
      <c r="G661" s="57"/>
      <c r="H661" s="269"/>
      <c r="I661" s="269"/>
      <c r="J661" s="269"/>
      <c r="K661" s="269"/>
    </row>
    <row r="662" spans="1:11">
      <c r="A662" s="260"/>
      <c r="B662" s="260"/>
      <c r="C662" s="260"/>
      <c r="D662" s="6"/>
      <c r="E662" s="1855" t="s">
        <v>1216</v>
      </c>
      <c r="F662" s="1855"/>
      <c r="G662" s="57"/>
      <c r="H662" s="269"/>
      <c r="I662" s="269"/>
      <c r="J662" s="269"/>
      <c r="K662" s="269"/>
    </row>
    <row r="663" spans="1:11">
      <c r="A663" s="260"/>
      <c r="B663" s="260"/>
      <c r="C663" s="260"/>
      <c r="D663" s="6"/>
      <c r="E663" s="1855"/>
      <c r="F663" s="1855"/>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1" t="s">
        <v>1217</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6" t="s">
        <v>994</v>
      </c>
      <c r="E669" s="1876"/>
      <c r="F669" s="1876"/>
      <c r="G669" s="57"/>
      <c r="H669" s="269"/>
      <c r="I669" s="269"/>
      <c r="J669" s="269"/>
      <c r="K669" s="269"/>
    </row>
    <row r="670" spans="1:11" ht="14.25">
      <c r="A670" s="261"/>
      <c r="B670" s="261"/>
      <c r="C670" s="260"/>
      <c r="D670" s="1876" t="s">
        <v>965</v>
      </c>
      <c r="E670" s="1876"/>
      <c r="F670" s="1876"/>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74" t="s">
        <v>1228</v>
      </c>
      <c r="E673" s="1874"/>
      <c r="F673" s="1874"/>
      <c r="G673" s="57"/>
      <c r="H673" s="269"/>
      <c r="I673" s="269"/>
      <c r="J673" s="269"/>
      <c r="K673" s="269"/>
    </row>
    <row r="674" spans="1:11">
      <c r="A674" s="260"/>
      <c r="B674" s="260"/>
      <c r="C674" s="260"/>
      <c r="D674" s="1874"/>
      <c r="E674" s="1874"/>
      <c r="F674" s="1874"/>
      <c r="G674" s="57"/>
      <c r="H674" s="269"/>
      <c r="I674" s="269"/>
      <c r="J674" s="269"/>
      <c r="K674" s="269"/>
    </row>
    <row r="675" spans="1:11">
      <c r="A675" s="260"/>
      <c r="B675" s="260"/>
      <c r="C675" s="260"/>
      <c r="D675" s="1874"/>
      <c r="E675" s="1874"/>
      <c r="F675" s="1874"/>
      <c r="G675" s="57"/>
      <c r="H675" s="269"/>
      <c r="I675" s="269"/>
      <c r="J675" s="269"/>
      <c r="K675" s="269"/>
    </row>
    <row r="676" spans="1:11">
      <c r="A676" s="260"/>
      <c r="B676" s="260"/>
      <c r="C676" s="260"/>
      <c r="D676" s="1874"/>
      <c r="E676" s="1874"/>
      <c r="F676" s="1874"/>
      <c r="G676" s="57"/>
      <c r="H676" s="269"/>
      <c r="I676" s="269"/>
      <c r="J676" s="269"/>
      <c r="K676" s="269"/>
    </row>
    <row r="677" spans="1:11">
      <c r="A677" s="260"/>
      <c r="B677" s="260"/>
      <c r="C677" s="260"/>
      <c r="D677" s="1874"/>
      <c r="E677" s="1874"/>
      <c r="F677" s="1874"/>
      <c r="G677" s="57"/>
      <c r="H677" s="269"/>
      <c r="I677" s="269"/>
      <c r="J677" s="269"/>
      <c r="K677" s="269"/>
    </row>
    <row r="678" spans="1:11" s="39" customFormat="1">
      <c r="A678" s="488"/>
      <c r="B678" s="488"/>
      <c r="C678" s="488"/>
      <c r="D678" s="1874"/>
      <c r="E678" s="1874"/>
      <c r="F678" s="1874"/>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74" t="s">
        <v>1219</v>
      </c>
      <c r="E680" s="1874"/>
      <c r="F680" s="1874"/>
      <c r="G680" s="57"/>
      <c r="H680" s="269"/>
      <c r="I680" s="269"/>
      <c r="J680" s="269"/>
      <c r="K680" s="269"/>
    </row>
    <row r="681" spans="1:11">
      <c r="A681" s="260"/>
      <c r="B681" s="260"/>
      <c r="C681" s="260"/>
      <c r="D681" s="1874"/>
      <c r="E681" s="1874"/>
      <c r="F681" s="1874"/>
      <c r="G681" s="57"/>
      <c r="H681" s="269"/>
      <c r="I681" s="269"/>
      <c r="J681" s="269"/>
      <c r="K681" s="269"/>
    </row>
    <row r="682" spans="1:11">
      <c r="A682" s="260"/>
      <c r="B682" s="260"/>
      <c r="C682" s="260"/>
      <c r="D682" s="1874"/>
      <c r="E682" s="1874"/>
      <c r="F682" s="1874"/>
      <c r="G682" s="57"/>
      <c r="H682" s="269"/>
      <c r="I682" s="269"/>
      <c r="J682" s="269"/>
      <c r="K682" s="269"/>
    </row>
    <row r="683" spans="1:11" ht="15" customHeight="1">
      <c r="A683" s="260"/>
      <c r="B683" s="260"/>
      <c r="C683" s="260"/>
      <c r="D683" s="1874"/>
      <c r="E683" s="1874"/>
      <c r="F683" s="1874"/>
      <c r="G683" s="57"/>
      <c r="H683" s="269"/>
      <c r="I683" s="269"/>
      <c r="J683" s="269"/>
      <c r="K683" s="269"/>
    </row>
    <row r="684" spans="1:11" ht="15" customHeight="1">
      <c r="A684" s="260"/>
      <c r="B684" s="260"/>
      <c r="C684" s="260"/>
      <c r="D684" s="1874"/>
      <c r="E684" s="1874"/>
      <c r="F684" s="1874"/>
      <c r="G684" s="57"/>
      <c r="H684" s="269"/>
      <c r="I684" s="269"/>
      <c r="J684" s="269"/>
      <c r="K684" s="269"/>
    </row>
    <row r="685" spans="1:11">
      <c r="A685" s="260"/>
      <c r="B685" s="260"/>
      <c r="C685" s="260"/>
      <c r="D685" s="1874"/>
      <c r="E685" s="1874"/>
      <c r="F685" s="1874"/>
      <c r="G685" s="57"/>
      <c r="H685" s="269"/>
      <c r="I685" s="269"/>
      <c r="J685" s="269"/>
      <c r="K685" s="269"/>
    </row>
    <row r="686" spans="1:11">
      <c r="A686" s="260"/>
      <c r="B686" s="260"/>
      <c r="C686" s="260"/>
      <c r="D686" s="1874"/>
      <c r="E686" s="1874"/>
      <c r="F686" s="1874"/>
      <c r="G686" s="57"/>
      <c r="H686" s="269"/>
      <c r="I686" s="269"/>
      <c r="J686" s="269"/>
      <c r="K686" s="269"/>
    </row>
    <row r="687" spans="1:11">
      <c r="A687" s="260"/>
      <c r="B687" s="260"/>
      <c r="C687" s="260"/>
      <c r="D687" s="1874"/>
      <c r="E687" s="1874"/>
      <c r="F687" s="1874"/>
      <c r="G687" s="57"/>
      <c r="H687" s="269"/>
      <c r="I687" s="269"/>
      <c r="J687" s="269"/>
      <c r="K687" s="269"/>
    </row>
    <row r="688" spans="1:11" ht="15" customHeight="1">
      <c r="A688" s="260"/>
      <c r="B688" s="260"/>
      <c r="C688" s="260"/>
      <c r="D688" s="1874"/>
      <c r="E688" s="1874"/>
      <c r="F688" s="1874"/>
      <c r="G688" s="57"/>
      <c r="H688" s="269"/>
      <c r="I688" s="269"/>
      <c r="J688" s="269"/>
      <c r="K688" s="269"/>
    </row>
    <row r="689" spans="1:11">
      <c r="A689" s="260"/>
      <c r="B689" s="260"/>
      <c r="C689" s="260"/>
      <c r="D689" s="1874"/>
      <c r="E689" s="1874"/>
      <c r="F689" s="1874"/>
      <c r="G689" s="57"/>
      <c r="H689" s="269"/>
      <c r="I689" s="269"/>
      <c r="J689" s="269"/>
      <c r="K689" s="269"/>
    </row>
    <row r="690" spans="1:11">
      <c r="A690" s="260"/>
      <c r="B690" s="260"/>
      <c r="C690" s="260"/>
      <c r="D690" s="1874"/>
      <c r="E690" s="1874"/>
      <c r="F690" s="1874"/>
      <c r="G690" s="57"/>
      <c r="H690" s="269"/>
      <c r="I690" s="269"/>
      <c r="J690" s="269"/>
      <c r="K690" s="269"/>
    </row>
    <row r="691" spans="1:11">
      <c r="A691" s="260"/>
      <c r="B691" s="260"/>
      <c r="C691" s="260"/>
      <c r="D691" s="1874"/>
      <c r="E691" s="1874"/>
      <c r="F691" s="1874"/>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74" t="s">
        <v>1229</v>
      </c>
      <c r="E693" s="1874"/>
      <c r="F693" s="1874"/>
      <c r="G693" s="57"/>
      <c r="H693" s="269"/>
      <c r="I693" s="269"/>
      <c r="J693" s="269"/>
      <c r="K693" s="269"/>
    </row>
    <row r="694" spans="1:11">
      <c r="A694" s="260"/>
      <c r="B694" s="260"/>
      <c r="C694" s="260"/>
      <c r="D694" s="1874"/>
      <c r="E694" s="1874"/>
      <c r="F694" s="1874"/>
      <c r="G694" s="57"/>
      <c r="H694" s="269"/>
      <c r="I694" s="269"/>
      <c r="J694" s="269"/>
      <c r="K694" s="269"/>
    </row>
    <row r="695" spans="1:11">
      <c r="A695" s="260"/>
      <c r="B695" s="260"/>
      <c r="C695" s="260"/>
      <c r="D695" s="1874"/>
      <c r="E695" s="1874"/>
      <c r="F695" s="187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4" t="s">
        <v>1226</v>
      </c>
      <c r="E697" s="1874"/>
      <c r="F697" s="1874"/>
      <c r="G697" s="57"/>
      <c r="H697" s="269"/>
      <c r="I697" s="269"/>
      <c r="J697" s="269"/>
      <c r="K697" s="269"/>
    </row>
    <row r="698" spans="1:11" s="683" customFormat="1">
      <c r="A698" s="260"/>
      <c r="B698" s="260"/>
      <c r="C698" s="260"/>
      <c r="D698" s="1874"/>
      <c r="E698" s="1874"/>
      <c r="F698" s="187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4" t="s">
        <v>1227</v>
      </c>
      <c r="E700" s="1874"/>
      <c r="F700" s="1874"/>
      <c r="G700" s="57"/>
      <c r="H700" s="269"/>
      <c r="I700" s="269"/>
      <c r="J700" s="269"/>
      <c r="K700" s="269"/>
    </row>
    <row r="701" spans="1:11" s="683" customFormat="1">
      <c r="A701" s="260"/>
      <c r="B701" s="260"/>
      <c r="C701" s="260"/>
      <c r="D701" s="1874"/>
      <c r="E701" s="1874"/>
      <c r="F701" s="1874"/>
      <c r="G701" s="57"/>
      <c r="H701" s="269"/>
      <c r="I701" s="269"/>
      <c r="J701" s="269"/>
      <c r="K701" s="269"/>
    </row>
    <row r="702" spans="1:11" s="683" customFormat="1">
      <c r="A702" s="260"/>
      <c r="B702" s="260"/>
      <c r="C702" s="260"/>
      <c r="D702" s="1874"/>
      <c r="E702" s="1874"/>
      <c r="F702" s="187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4" t="s">
        <v>1220</v>
      </c>
      <c r="E704" s="1874"/>
      <c r="F704" s="1874"/>
      <c r="G704" s="57"/>
      <c r="H704" s="269"/>
      <c r="I704" s="269"/>
      <c r="J704" s="269"/>
      <c r="K704" s="269"/>
    </row>
    <row r="705" spans="1:11">
      <c r="A705" s="260"/>
      <c r="B705" s="260"/>
      <c r="C705" s="260"/>
      <c r="D705" s="1874"/>
      <c r="E705" s="1874"/>
      <c r="F705" s="1874"/>
      <c r="G705" s="57"/>
      <c r="H705" s="269"/>
      <c r="I705" s="269"/>
      <c r="J705" s="269"/>
      <c r="K705" s="269"/>
    </row>
    <row r="706" spans="1:11">
      <c r="A706" s="260"/>
      <c r="B706" s="260"/>
      <c r="C706" s="260"/>
      <c r="D706" s="1874"/>
      <c r="E706" s="1874"/>
      <c r="F706" s="1874"/>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4" t="s">
        <v>1221</v>
      </c>
      <c r="E708" s="1874"/>
      <c r="F708" s="1874"/>
      <c r="G708" s="57"/>
      <c r="H708" s="269"/>
      <c r="I708" s="269"/>
      <c r="J708" s="269"/>
      <c r="K708" s="269"/>
    </row>
    <row r="709" spans="1:11">
      <c r="A709" s="260"/>
      <c r="B709" s="260"/>
      <c r="C709" s="260"/>
      <c r="D709" s="1874"/>
      <c r="E709" s="1874"/>
      <c r="F709" s="1874"/>
      <c r="G709" s="57"/>
      <c r="H709" s="269"/>
      <c r="I709" s="269"/>
      <c r="J709" s="269"/>
      <c r="K709" s="269"/>
    </row>
    <row r="710" spans="1:11">
      <c r="A710" s="260"/>
      <c r="B710" s="260"/>
      <c r="C710" s="260"/>
      <c r="D710" s="1874"/>
      <c r="E710" s="1874"/>
      <c r="F710" s="1874"/>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74" t="s">
        <v>1355</v>
      </c>
      <c r="E717" s="1874"/>
      <c r="F717" s="1874"/>
      <c r="G717" s="57"/>
      <c r="H717" s="269"/>
      <c r="I717" s="269"/>
      <c r="J717" s="269"/>
      <c r="K717" s="269"/>
    </row>
    <row r="718" spans="1:11">
      <c r="A718" s="260"/>
      <c r="B718" s="260"/>
      <c r="C718" s="260"/>
      <c r="D718" s="1874"/>
      <c r="E718" s="1874"/>
      <c r="F718" s="1874"/>
      <c r="G718" s="57"/>
      <c r="H718" s="269"/>
      <c r="I718" s="269"/>
      <c r="J718" s="269"/>
      <c r="K718" s="269"/>
    </row>
    <row r="719" spans="1:11">
      <c r="A719" s="260"/>
      <c r="B719" s="260"/>
      <c r="C719" s="260"/>
      <c r="D719" s="1874"/>
      <c r="E719" s="1874"/>
      <c r="F719" s="1874"/>
      <c r="G719" s="57"/>
      <c r="H719" s="269"/>
      <c r="I719" s="269"/>
      <c r="J719" s="269"/>
      <c r="K719" s="269"/>
    </row>
    <row r="720" spans="1:11">
      <c r="A720" s="260"/>
      <c r="B720" s="260"/>
      <c r="C720" s="260"/>
      <c r="D720" s="1874"/>
      <c r="E720" s="1874"/>
      <c r="F720" s="1874"/>
      <c r="G720" s="57"/>
      <c r="H720" s="269"/>
      <c r="I720" s="269"/>
      <c r="J720" s="269"/>
      <c r="K720" s="269"/>
    </row>
    <row r="721" spans="1:11">
      <c r="A721" s="260"/>
      <c r="B721" s="260"/>
      <c r="C721" s="260"/>
      <c r="D721" s="1874"/>
      <c r="E721" s="1874"/>
      <c r="F721" s="1874"/>
      <c r="G721" s="57"/>
      <c r="H721" s="269"/>
      <c r="I721" s="269"/>
      <c r="J721" s="269"/>
      <c r="K721" s="269"/>
    </row>
    <row r="722" spans="1:11">
      <c r="A722" s="260"/>
      <c r="B722" s="260"/>
      <c r="C722" s="260"/>
      <c r="D722" s="1874"/>
      <c r="E722" s="1874"/>
      <c r="F722" s="1874"/>
      <c r="G722" s="57"/>
      <c r="H722" s="269"/>
      <c r="I722" s="269"/>
      <c r="J722" s="269"/>
      <c r="K722" s="269"/>
    </row>
    <row r="723" spans="1:11">
      <c r="A723" s="260"/>
      <c r="B723" s="260"/>
      <c r="C723" s="260"/>
      <c r="D723" s="1874"/>
      <c r="E723" s="1874"/>
      <c r="F723" s="1874"/>
      <c r="G723" s="57"/>
      <c r="H723" s="269"/>
      <c r="I723" s="269"/>
      <c r="J723" s="269"/>
      <c r="K723" s="269"/>
    </row>
    <row r="724" spans="1:11">
      <c r="A724" s="260"/>
      <c r="B724" s="260"/>
      <c r="C724" s="260"/>
      <c r="D724" s="1885" t="s">
        <v>1223</v>
      </c>
      <c r="E724" s="1885"/>
      <c r="F724" s="1885"/>
      <c r="G724" s="57"/>
      <c r="H724" s="269"/>
      <c r="I724" s="269"/>
      <c r="J724" s="269"/>
      <c r="K724" s="269"/>
    </row>
    <row r="725" spans="1:11" s="683" customFormat="1">
      <c r="A725" s="260"/>
      <c r="B725" s="260"/>
      <c r="C725" s="260"/>
      <c r="D725" s="534"/>
      <c r="E725" s="7"/>
      <c r="F725" s="7"/>
      <c r="G725" s="57"/>
      <c r="H725" s="269"/>
      <c r="I725" s="269"/>
      <c r="J725" s="269"/>
      <c r="K725" s="269"/>
    </row>
    <row r="726" spans="1:11">
      <c r="A726" s="1878" t="s">
        <v>1180</v>
      </c>
      <c r="B726" s="1878"/>
      <c r="C726" s="1878"/>
      <c r="D726" s="1878"/>
      <c r="E726" s="1878"/>
      <c r="F726" s="1878"/>
      <c r="G726" s="1878"/>
      <c r="H726" s="269"/>
      <c r="I726" s="269"/>
      <c r="J726" s="269"/>
      <c r="K726" s="269"/>
    </row>
    <row r="727" spans="1:11">
      <c r="A727" s="260"/>
      <c r="B727" s="260"/>
      <c r="C727" s="260"/>
      <c r="D727" s="263"/>
      <c r="G727" s="271"/>
      <c r="H727" s="269"/>
      <c r="I727" s="269"/>
      <c r="J727" s="269"/>
      <c r="K727" s="269"/>
    </row>
    <row r="728" spans="1:11" ht="13.35" customHeight="1">
      <c r="C728" s="260"/>
      <c r="D728" s="1893" t="s">
        <v>1196</v>
      </c>
      <c r="E728" s="1893"/>
      <c r="F728" s="1893"/>
      <c r="G728" s="271"/>
      <c r="H728" s="269"/>
      <c r="I728" s="269"/>
      <c r="J728" s="269"/>
      <c r="K728" s="269"/>
    </row>
    <row r="729" spans="1:11">
      <c r="A729" s="260"/>
      <c r="B729" s="260"/>
      <c r="C729" s="260"/>
      <c r="D729" s="1880" t="s">
        <v>1197</v>
      </c>
      <c r="E729" s="1880"/>
      <c r="F729" s="1880"/>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1" t="s">
        <v>1198</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3" t="s">
        <v>1199</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317</v>
      </c>
      <c r="C743" s="409"/>
      <c r="D743" s="1894" t="s">
        <v>1200</v>
      </c>
      <c r="E743" s="1894"/>
      <c r="F743" s="1894"/>
      <c r="G743" s="312"/>
    </row>
    <row r="744" spans="1:11" s="410" customFormat="1">
      <c r="A744" s="409"/>
      <c r="B744" s="409"/>
      <c r="C744" s="409"/>
      <c r="D744" s="1894"/>
      <c r="E744" s="1894"/>
      <c r="F744" s="1894"/>
      <c r="G744" s="312"/>
    </row>
    <row r="745" spans="1:11" s="410" customFormat="1">
      <c r="A745" s="409"/>
      <c r="B745" s="409"/>
      <c r="C745" s="409"/>
      <c r="D745" s="1894"/>
      <c r="E745" s="1894"/>
      <c r="F745" s="1894"/>
      <c r="G745" s="312"/>
    </row>
    <row r="746" spans="1:11">
      <c r="A746" s="273"/>
      <c r="B746" s="273"/>
      <c r="C746" s="273"/>
      <c r="D746" s="378"/>
      <c r="E746" s="274"/>
      <c r="F746" s="274"/>
      <c r="G746" s="275"/>
      <c r="H746" s="269"/>
      <c r="I746" s="269"/>
      <c r="J746" s="269"/>
      <c r="K746" s="269"/>
    </row>
    <row r="747" spans="1:11" ht="14.25">
      <c r="A747" s="261"/>
      <c r="B747" s="680" t="s">
        <v>317</v>
      </c>
      <c r="C747" s="273"/>
      <c r="D747" s="1853" t="s">
        <v>1201</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3" t="s">
        <v>1202</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8" t="s">
        <v>1203</v>
      </c>
      <c r="B754" s="1888"/>
      <c r="C754" s="1888"/>
      <c r="D754" s="1888"/>
      <c r="E754" s="1888"/>
      <c r="F754" s="1888"/>
      <c r="G754" s="1888"/>
    </row>
    <row r="755" spans="1:11">
      <c r="A755" s="260"/>
      <c r="B755" s="260"/>
      <c r="C755" s="260"/>
      <c r="D755" s="276"/>
      <c r="F755" s="147"/>
      <c r="G755" s="271"/>
    </row>
    <row r="756" spans="1:11">
      <c r="A756" s="273"/>
      <c r="B756" s="273"/>
      <c r="C756" s="443"/>
      <c r="D756" s="1889" t="s">
        <v>1187</v>
      </c>
      <c r="E756" s="1889"/>
      <c r="F756" s="1889"/>
      <c r="G756" s="271"/>
    </row>
    <row r="757" spans="1:11">
      <c r="A757" s="504"/>
      <c r="B757" s="504"/>
      <c r="C757" s="503"/>
      <c r="D757" s="1890" t="s">
        <v>1204</v>
      </c>
      <c r="E757" s="1890"/>
      <c r="F757" s="1890"/>
      <c r="G757" s="271"/>
    </row>
    <row r="758" spans="1:11">
      <c r="A758" s="273"/>
      <c r="B758" s="273"/>
      <c r="C758" s="443"/>
      <c r="D758" s="694"/>
      <c r="E758" s="694"/>
      <c r="F758" s="694"/>
      <c r="G758" s="271"/>
    </row>
    <row r="759" spans="1:11" ht="14.25">
      <c r="A759" s="261"/>
      <c r="B759" s="680" t="s">
        <v>317</v>
      </c>
      <c r="C759" s="443"/>
      <c r="D759" s="1891" t="s">
        <v>1072</v>
      </c>
      <c r="E759" s="1891"/>
      <c r="F759" s="1891"/>
      <c r="G759" s="271"/>
    </row>
    <row r="760" spans="1:11">
      <c r="A760" s="273"/>
      <c r="B760" s="273"/>
      <c r="C760" s="443"/>
      <c r="D760" s="693"/>
      <c r="E760" s="1892" t="s">
        <v>1188</v>
      </c>
      <c r="F760" s="1892"/>
      <c r="G760" s="271"/>
    </row>
    <row r="761" spans="1:11">
      <c r="A761" s="267"/>
      <c r="B761" s="267"/>
      <c r="C761" s="267"/>
      <c r="D761" s="135"/>
      <c r="F761" s="57"/>
      <c r="G761" s="271"/>
    </row>
    <row r="762" spans="1:11">
      <c r="A762" s="1886" t="s">
        <v>472</v>
      </c>
      <c r="B762" s="1886"/>
      <c r="C762" s="1886"/>
      <c r="D762" s="1886"/>
      <c r="E762" s="1886"/>
      <c r="F762" s="1886"/>
      <c r="G762" s="1886"/>
    </row>
    <row r="763" spans="1:11">
      <c r="A763" s="255"/>
      <c r="B763" s="674"/>
      <c r="C763" s="266"/>
      <c r="D763" s="271"/>
      <c r="E763" s="271"/>
      <c r="F763" s="271"/>
      <c r="G763" s="271"/>
    </row>
    <row r="764" spans="1:11">
      <c r="A764" s="135"/>
      <c r="B764" s="1887" t="s">
        <v>1071</v>
      </c>
      <c r="C764" s="1887"/>
      <c r="D764" s="1887"/>
      <c r="E764" s="1887"/>
      <c r="F764" s="1887"/>
      <c r="G764" s="271"/>
    </row>
    <row r="765" spans="1:11">
      <c r="A765" s="23"/>
      <c r="B765" s="676"/>
      <c r="G765" s="271"/>
    </row>
    <row r="766" spans="1:11">
      <c r="A766" s="1886" t="s">
        <v>473</v>
      </c>
      <c r="B766" s="1886"/>
      <c r="C766" s="1886"/>
      <c r="D766" s="1886"/>
      <c r="E766" s="1886"/>
      <c r="F766" s="1886"/>
      <c r="G766" s="1886"/>
    </row>
    <row r="767" spans="1:11">
      <c r="A767" s="255"/>
      <c r="B767" s="674"/>
      <c r="C767" s="255"/>
      <c r="D767" s="263"/>
      <c r="G767" s="271"/>
    </row>
    <row r="768" spans="1:11">
      <c r="A768" s="135"/>
      <c r="B768" s="1883" t="s">
        <v>471</v>
      </c>
      <c r="C768" s="1883"/>
      <c r="D768" s="1883"/>
      <c r="E768" s="1883"/>
      <c r="F768" s="1883"/>
      <c r="G768" s="271"/>
    </row>
    <row r="769" spans="1:7" ht="14.25">
      <c r="A769" s="261"/>
      <c r="B769" s="261"/>
      <c r="D769" s="135"/>
      <c r="E769" s="135"/>
      <c r="F769" s="271"/>
      <c r="G769" s="271"/>
    </row>
    <row r="770" spans="1:7">
      <c r="A770" s="1886" t="s">
        <v>474</v>
      </c>
      <c r="B770" s="1886"/>
      <c r="C770" s="1886"/>
      <c r="D770" s="1886"/>
      <c r="E770" s="1886"/>
      <c r="F770" s="1886"/>
      <c r="G770" s="1886"/>
    </row>
    <row r="771" spans="1:7">
      <c r="C771" s="260"/>
      <c r="D771" s="259"/>
      <c r="E771" s="135"/>
      <c r="F771" s="271"/>
      <c r="G771" s="271"/>
    </row>
    <row r="772" spans="1:7">
      <c r="A772" s="135"/>
      <c r="B772" s="1883" t="s">
        <v>471</v>
      </c>
      <c r="C772" s="1883"/>
      <c r="D772" s="1883"/>
      <c r="E772" s="1883"/>
      <c r="F772" s="1883"/>
      <c r="G772" s="271"/>
    </row>
    <row r="773" spans="1:7">
      <c r="A773" s="135"/>
      <c r="B773" s="135"/>
      <c r="C773" s="266"/>
      <c r="D773" s="271"/>
      <c r="E773" s="271"/>
      <c r="F773" s="271"/>
      <c r="G773" s="271"/>
    </row>
    <row r="774" spans="1:7">
      <c r="A774" s="1886" t="s">
        <v>475</v>
      </c>
      <c r="B774" s="1886"/>
      <c r="C774" s="1886"/>
      <c r="D774" s="1886"/>
      <c r="E774" s="1886"/>
      <c r="F774" s="1886"/>
      <c r="G774" s="1886"/>
    </row>
    <row r="775" spans="1:7">
      <c r="A775" s="135"/>
      <c r="B775" s="135"/>
    </row>
    <row r="776" spans="1:7">
      <c r="A776" s="135"/>
      <c r="B776" s="1883" t="s">
        <v>471</v>
      </c>
      <c r="C776" s="1883"/>
      <c r="D776" s="1883"/>
      <c r="E776" s="1883"/>
      <c r="F776" s="1883"/>
    </row>
    <row r="777" spans="1:7">
      <c r="A777" s="266"/>
      <c r="B777" s="266"/>
      <c r="C777" s="266"/>
      <c r="D777" s="258"/>
      <c r="F777" s="271"/>
    </row>
    <row r="778" spans="1:7">
      <c r="A778" s="1886" t="s">
        <v>476</v>
      </c>
      <c r="B778" s="1886"/>
      <c r="C778" s="1886"/>
      <c r="D778" s="1886"/>
      <c r="E778" s="1886"/>
      <c r="F778" s="1886"/>
      <c r="G778" s="1886"/>
    </row>
    <row r="779" spans="1:7">
      <c r="A779" s="135"/>
      <c r="B779" s="135"/>
    </row>
    <row r="780" spans="1:7">
      <c r="A780" s="135"/>
      <c r="B780" s="1883" t="s">
        <v>471</v>
      </c>
      <c r="C780" s="1883"/>
      <c r="D780" s="1883"/>
      <c r="E780" s="1883"/>
      <c r="F780" s="1883"/>
    </row>
    <row r="781" spans="1:7">
      <c r="A781" s="266"/>
      <c r="B781" s="266"/>
      <c r="C781" s="266"/>
      <c r="D781" s="258"/>
      <c r="F781" s="271"/>
    </row>
    <row r="782" spans="1:7">
      <c r="A782" s="1886" t="s">
        <v>477</v>
      </c>
      <c r="B782" s="1886"/>
      <c r="C782" s="1886"/>
      <c r="D782" s="1886"/>
      <c r="E782" s="1886"/>
      <c r="F782" s="1886"/>
      <c r="G782" s="1886"/>
    </row>
    <row r="783" spans="1:7">
      <c r="A783" s="135"/>
      <c r="B783" s="135"/>
    </row>
    <row r="784" spans="1:7">
      <c r="A784" s="135"/>
      <c r="B784" s="1883" t="s">
        <v>471</v>
      </c>
      <c r="C784" s="1883"/>
      <c r="D784" s="1883"/>
      <c r="E784" s="1883"/>
      <c r="F784" s="1883"/>
    </row>
    <row r="785" spans="1:7">
      <c r="A785" s="265"/>
      <c r="B785" s="265"/>
      <c r="C785" s="265"/>
      <c r="D785" s="277"/>
      <c r="E785" s="57"/>
      <c r="F785" s="57"/>
      <c r="G785" s="57"/>
    </row>
    <row r="786" spans="1:7">
      <c r="A786" s="1886" t="s">
        <v>191</v>
      </c>
      <c r="B786" s="1886"/>
      <c r="C786" s="1886"/>
      <c r="D786" s="1886"/>
      <c r="E786" s="1886"/>
      <c r="F786" s="1886"/>
      <c r="G786" s="1886"/>
    </row>
    <row r="787" spans="1:7">
      <c r="A787" s="135"/>
      <c r="B787" s="135"/>
    </row>
    <row r="788" spans="1:7">
      <c r="A788" s="135"/>
      <c r="B788" s="1883" t="s">
        <v>471</v>
      </c>
      <c r="C788" s="1883"/>
      <c r="D788" s="1883"/>
      <c r="E788" s="1883"/>
      <c r="F788" s="1883"/>
    </row>
    <row r="789" spans="1:7">
      <c r="A789" s="135"/>
      <c r="B789" s="135"/>
      <c r="D789" s="258"/>
    </row>
    <row r="790" spans="1:7">
      <c r="A790" s="1886" t="s">
        <v>941</v>
      </c>
      <c r="B790" s="1886"/>
      <c r="C790" s="1886"/>
      <c r="D790" s="1886"/>
      <c r="E790" s="1886"/>
      <c r="F790" s="1886"/>
      <c r="G790" s="1886"/>
    </row>
    <row r="791" spans="1:7">
      <c r="A791" s="135"/>
      <c r="B791" s="135"/>
    </row>
    <row r="792" spans="1:7">
      <c r="A792" s="135"/>
      <c r="B792" s="1883" t="s">
        <v>471</v>
      </c>
      <c r="C792" s="1883"/>
      <c r="D792" s="1883"/>
      <c r="E792" s="1883"/>
      <c r="F792" s="1883"/>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6"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3" t="s">
        <v>2436</v>
      </c>
      <c r="B2" s="1934"/>
      <c r="C2" s="1934"/>
      <c r="D2" s="1934"/>
      <c r="E2" s="1934"/>
      <c r="F2" s="1934"/>
      <c r="G2" s="1934"/>
      <c r="H2" s="1934"/>
      <c r="I2" s="1934"/>
      <c r="J2" s="1934"/>
    </row>
    <row r="3" spans="1:10" ht="15.75">
      <c r="A3" s="1938" t="s">
        <v>684</v>
      </c>
      <c r="B3" s="1939"/>
      <c r="C3" s="1939"/>
      <c r="D3" s="1939"/>
      <c r="E3" s="1939"/>
      <c r="F3" s="1939"/>
      <c r="G3" s="1939"/>
      <c r="H3" s="1939"/>
      <c r="I3" s="1939"/>
      <c r="J3" s="1939"/>
    </row>
    <row r="4" spans="1:10" ht="15">
      <c r="A4" s="1940" t="s">
        <v>1509</v>
      </c>
      <c r="B4" s="1939"/>
      <c r="C4" s="1939"/>
      <c r="D4" s="1939"/>
      <c r="E4" s="1939"/>
      <c r="F4" s="1939"/>
      <c r="G4" s="1939"/>
      <c r="H4" s="1939"/>
      <c r="I4" s="1939"/>
      <c r="J4" s="1939"/>
    </row>
    <row r="5" spans="1:10" ht="12.75"/>
    <row r="6" spans="1:10" ht="12.75">
      <c r="A6" s="1935" t="s">
        <v>1531</v>
      </c>
      <c r="B6" s="1936"/>
      <c r="C6" s="1936"/>
      <c r="D6" s="1936"/>
      <c r="E6" s="1936"/>
      <c r="F6" s="1936"/>
      <c r="G6" s="1936"/>
      <c r="H6" s="1936"/>
      <c r="I6" s="1936"/>
      <c r="J6" s="1936"/>
    </row>
    <row r="7" spans="1:10" ht="12.75">
      <c r="A7" s="1936"/>
      <c r="B7" s="1936"/>
      <c r="C7" s="1936"/>
      <c r="D7" s="1936"/>
      <c r="E7" s="1936"/>
      <c r="F7" s="1936"/>
      <c r="G7" s="1936"/>
      <c r="H7" s="1936"/>
      <c r="I7" s="1936"/>
      <c r="J7" s="1936"/>
    </row>
    <row r="8" spans="1:10" ht="12.75">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2.75">
      <c r="A10" s="773"/>
      <c r="B10" s="773"/>
      <c r="C10" s="773"/>
      <c r="D10" s="773"/>
      <c r="E10" s="773"/>
      <c r="F10" s="773"/>
      <c r="G10" s="773"/>
      <c r="H10" s="773"/>
      <c r="I10" s="773"/>
      <c r="J10" s="773"/>
    </row>
    <row r="11" spans="1:10" ht="12.75">
      <c r="A11" s="1941" t="s">
        <v>1394</v>
      </c>
      <c r="B11" s="1942"/>
      <c r="C11" s="1942"/>
      <c r="D11" s="1942"/>
      <c r="E11" s="1942"/>
      <c r="F11" s="1942"/>
      <c r="G11" s="1942"/>
      <c r="H11" s="1942"/>
      <c r="I11" s="1942"/>
      <c r="J11" s="1942"/>
    </row>
    <row r="12" spans="1:10" ht="12.75">
      <c r="A12" s="1942"/>
      <c r="B12" s="1942"/>
      <c r="C12" s="1942"/>
      <c r="D12" s="1942"/>
      <c r="E12" s="1942"/>
      <c r="F12" s="1942"/>
      <c r="G12" s="1942"/>
      <c r="H12" s="1942"/>
      <c r="I12" s="1942"/>
      <c r="J12" s="1942"/>
    </row>
    <row r="13" spans="1:10" ht="12.75">
      <c r="A13" s="1942"/>
      <c r="B13" s="1942"/>
      <c r="C13" s="1942"/>
      <c r="D13" s="1942"/>
      <c r="E13" s="1942"/>
      <c r="F13" s="1942"/>
      <c r="G13" s="1942"/>
      <c r="H13" s="1942"/>
      <c r="I13" s="1942"/>
      <c r="J13" s="1942"/>
    </row>
    <row r="14" spans="1:10" ht="12.75"/>
    <row r="15" spans="1:10" ht="12.75" customHeight="1">
      <c r="A15" s="1943" t="s">
        <v>1481</v>
      </c>
      <c r="B15" s="1943"/>
      <c r="C15" s="1943"/>
      <c r="D15" s="1943"/>
      <c r="E15" s="1943"/>
      <c r="F15" s="1943"/>
      <c r="G15" s="1943"/>
      <c r="H15" s="1943"/>
      <c r="I15" s="1943"/>
      <c r="J15" s="1943"/>
    </row>
    <row r="16" spans="1:10" ht="12.75">
      <c r="A16" s="1943"/>
      <c r="B16" s="1943"/>
      <c r="C16" s="1943"/>
      <c r="D16" s="1943"/>
      <c r="E16" s="1943"/>
      <c r="F16" s="1943"/>
      <c r="G16" s="1943"/>
      <c r="H16" s="1943"/>
      <c r="I16" s="1943"/>
      <c r="J16" s="1943"/>
    </row>
    <row r="17" spans="1:10" ht="12.75">
      <c r="A17" s="1943"/>
      <c r="B17" s="1943"/>
      <c r="C17" s="1943"/>
      <c r="D17" s="1943"/>
      <c r="E17" s="1943"/>
      <c r="F17" s="1943"/>
      <c r="G17" s="1943"/>
      <c r="H17" s="1943"/>
      <c r="I17" s="1943"/>
      <c r="J17" s="1943"/>
    </row>
    <row r="18" spans="1:10" ht="12.75">
      <c r="A18" s="1944"/>
      <c r="B18" s="1944"/>
      <c r="C18" s="1944"/>
      <c r="D18" s="1944"/>
      <c r="E18" s="1944"/>
      <c r="F18" s="1944"/>
      <c r="G18" s="1944"/>
      <c r="H18" s="1944"/>
      <c r="I18" s="1944"/>
      <c r="J18" s="1944"/>
    </row>
    <row r="19" spans="1:10" ht="12.75">
      <c r="A19" s="1944"/>
      <c r="B19" s="1944"/>
      <c r="C19" s="1944"/>
      <c r="D19" s="1944"/>
      <c r="E19" s="1944"/>
      <c r="F19" s="1944"/>
      <c r="G19" s="1944"/>
      <c r="H19" s="1944"/>
      <c r="I19" s="1944"/>
      <c r="J19" s="1944"/>
    </row>
    <row r="20" spans="1:10" ht="12.75">
      <c r="A20" s="1944"/>
      <c r="B20" s="1944"/>
      <c r="C20" s="1944"/>
      <c r="D20" s="1944"/>
      <c r="E20" s="1944"/>
      <c r="F20" s="1944"/>
      <c r="G20" s="1944"/>
      <c r="H20" s="1944"/>
      <c r="I20" s="1944"/>
      <c r="J20" s="1944"/>
    </row>
    <row r="21" spans="1:10" ht="12.75">
      <c r="A21" s="774" t="s">
        <v>1395</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5" t="s">
        <v>1396</v>
      </c>
      <c r="B23" s="1939"/>
      <c r="C23" s="1939"/>
      <c r="D23" s="1939"/>
      <c r="E23" s="193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5" t="s">
        <v>1397</v>
      </c>
      <c r="B60" s="1936"/>
      <c r="C60" s="1936"/>
      <c r="D60" s="1936"/>
      <c r="E60" s="1936"/>
      <c r="F60" s="1936"/>
      <c r="G60" s="1936"/>
      <c r="H60" s="1936"/>
      <c r="I60" s="1936"/>
      <c r="J60" s="1936"/>
    </row>
    <row r="61" spans="1:10" ht="12.75">
      <c r="A61" s="1936"/>
      <c r="B61" s="1936"/>
      <c r="C61" s="1936"/>
      <c r="D61" s="1936"/>
      <c r="E61" s="1936"/>
      <c r="F61" s="1936"/>
      <c r="G61" s="1936"/>
      <c r="H61" s="1936"/>
      <c r="I61" s="1936"/>
      <c r="J61" s="1936"/>
    </row>
    <row r="62" spans="1:10" ht="12.75">
      <c r="A62" s="1936"/>
      <c r="B62" s="1936"/>
      <c r="C62" s="1936"/>
      <c r="D62" s="1936"/>
      <c r="E62" s="1936"/>
      <c r="F62" s="1936"/>
      <c r="G62" s="1936"/>
      <c r="H62" s="1936"/>
      <c r="I62" s="1936"/>
      <c r="J62" s="1936"/>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7" t="s">
        <v>1398</v>
      </c>
      <c r="B75" s="1937"/>
      <c r="C75" s="1937"/>
      <c r="D75" s="1937"/>
      <c r="E75" s="1937"/>
      <c r="F75" s="1937"/>
      <c r="G75" s="1937"/>
      <c r="H75" s="1937"/>
      <c r="I75" s="1937"/>
    </row>
    <row r="76" spans="1:9" ht="12.75">
      <c r="A76" s="1859" t="s">
        <v>1096</v>
      </c>
      <c r="B76" s="1859"/>
      <c r="C76" s="1859"/>
      <c r="D76" s="1859"/>
      <c r="E76" s="1859"/>
    </row>
    <row r="77" spans="1:9" ht="12.75">
      <c r="A77" s="1859" t="s">
        <v>1399</v>
      </c>
      <c r="B77" s="1859"/>
      <c r="C77" s="1859"/>
      <c r="D77" s="1859"/>
      <c r="E77" s="1859"/>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97" zoomScaleNormal="100" zoomScaleSheetLayoutView="100" workbookViewId="0">
      <selection activeCell="B87" sqref="B87"/>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67" t="s">
        <v>2257</v>
      </c>
      <c r="B2" s="1967"/>
      <c r="C2" s="1968"/>
      <c r="D2" s="1968"/>
      <c r="E2" s="1968"/>
      <c r="F2" s="1968"/>
      <c r="G2" s="1968"/>
    </row>
    <row r="3" spans="1:9">
      <c r="A3" s="1974" t="s">
        <v>2258</v>
      </c>
      <c r="B3" s="1974"/>
      <c r="C3" s="1968"/>
      <c r="D3" s="1968"/>
      <c r="E3" s="1968"/>
      <c r="F3" s="1968"/>
      <c r="G3" s="1968"/>
      <c r="I3" s="694"/>
    </row>
    <row r="4" spans="1:9">
      <c r="A4" s="1971"/>
      <c r="B4" s="1971"/>
      <c r="C4" s="1975"/>
      <c r="D4" s="1975"/>
      <c r="E4" s="1975"/>
      <c r="F4" s="1975"/>
      <c r="G4" s="1975"/>
      <c r="I4" s="694"/>
    </row>
    <row r="5" spans="1:9" s="792" customFormat="1">
      <c r="A5" s="1971"/>
      <c r="B5" s="1971"/>
      <c r="C5" s="1972"/>
      <c r="D5" s="1972"/>
      <c r="E5" s="1972"/>
      <c r="F5" s="1972"/>
      <c r="G5" s="1972"/>
    </row>
    <row r="6" spans="1:9" s="792" customFormat="1">
      <c r="A6" s="1969" t="s">
        <v>1257</v>
      </c>
      <c r="B6" s="1969"/>
      <c r="C6" s="1970"/>
      <c r="D6" s="1970"/>
      <c r="E6" s="1970"/>
      <c r="F6" s="1970"/>
      <c r="G6" s="1970"/>
    </row>
    <row r="7" spans="1:9" s="792" customFormat="1">
      <c r="A7" s="1969" t="s">
        <v>1258</v>
      </c>
      <c r="B7" s="1969"/>
      <c r="C7" s="1970"/>
      <c r="D7" s="1970"/>
      <c r="E7" s="1970"/>
      <c r="F7" s="1970"/>
      <c r="G7" s="1970"/>
    </row>
    <row r="8" spans="1:9">
      <c r="A8" s="793"/>
      <c r="B8" s="793"/>
      <c r="C8" s="794"/>
      <c r="D8" s="794"/>
      <c r="E8" s="794"/>
      <c r="F8" s="794"/>
    </row>
    <row r="9" spans="1:9">
      <c r="A9" s="1907" t="s">
        <v>1260</v>
      </c>
      <c r="B9" s="1907"/>
      <c r="C9" s="1907"/>
      <c r="D9" s="1907"/>
      <c r="E9" s="1907"/>
      <c r="F9" s="1907"/>
      <c r="G9" s="1907"/>
    </row>
    <row r="10" spans="1:9">
      <c r="A10" s="794"/>
      <c r="B10" s="794"/>
      <c r="E10" s="795"/>
    </row>
    <row r="11" spans="1:9" ht="13.7" customHeight="1">
      <c r="C11" s="794"/>
      <c r="D11" s="1952" t="s">
        <v>1259</v>
      </c>
      <c r="E11" s="1952"/>
      <c r="F11" s="1952"/>
    </row>
    <row r="12" spans="1:9">
      <c r="C12" s="794"/>
      <c r="D12" s="1952"/>
      <c r="E12" s="1952"/>
      <c r="F12" s="1952"/>
    </row>
    <row r="13" spans="1:9">
      <c r="A13" s="796"/>
      <c r="B13" s="796"/>
      <c r="C13" s="796"/>
      <c r="D13" s="1917" t="s">
        <v>1242</v>
      </c>
      <c r="E13" s="1917"/>
      <c r="F13" s="1917"/>
    </row>
    <row r="14" spans="1:9">
      <c r="A14" s="796"/>
      <c r="B14" s="796"/>
      <c r="C14" s="796"/>
      <c r="D14" s="797"/>
    </row>
    <row r="15" spans="1:9" ht="14.25">
      <c r="A15" s="798"/>
      <c r="B15" s="799" t="s">
        <v>2553</v>
      </c>
      <c r="C15" s="800"/>
      <c r="D15" s="1912" t="s">
        <v>1243</v>
      </c>
      <c r="E15" s="1912"/>
      <c r="F15" s="1912"/>
    </row>
    <row r="16" spans="1:9">
      <c r="A16" s="796"/>
      <c r="B16" s="796"/>
      <c r="C16" s="800"/>
      <c r="D16" s="1912"/>
      <c r="E16" s="1912"/>
      <c r="F16" s="1912"/>
    </row>
    <row r="17" spans="1:7">
      <c r="A17" s="796"/>
      <c r="B17" s="796"/>
      <c r="C17" s="800"/>
      <c r="D17" s="1912"/>
      <c r="E17" s="1912"/>
      <c r="F17" s="1912"/>
    </row>
    <row r="18" spans="1:7">
      <c r="A18" s="796"/>
      <c r="B18" s="796"/>
      <c r="C18" s="796"/>
    </row>
    <row r="19" spans="1:7" ht="14.25">
      <c r="A19" s="798"/>
      <c r="B19" s="799" t="s">
        <v>2554</v>
      </c>
      <c r="D19" s="1891" t="s">
        <v>1244</v>
      </c>
      <c r="E19" s="1891"/>
      <c r="F19" s="1891"/>
    </row>
    <row r="20" spans="1:7" ht="14.25">
      <c r="A20" s="798"/>
      <c r="B20" s="798"/>
      <c r="D20" s="801"/>
    </row>
    <row r="21" spans="1:7" ht="14.25">
      <c r="A21" s="798"/>
      <c r="B21" s="799" t="s">
        <v>2553</v>
      </c>
      <c r="D21" s="1912" t="s">
        <v>1245</v>
      </c>
      <c r="E21" s="1912"/>
      <c r="F21" s="1912"/>
    </row>
    <row r="22" spans="1:7" ht="14.25">
      <c r="A22" s="798"/>
      <c r="B22" s="798"/>
      <c r="D22" s="1912"/>
      <c r="E22" s="1912"/>
      <c r="F22" s="1912"/>
    </row>
    <row r="23" spans="1:7"/>
    <row r="24" spans="1:7" ht="14.25">
      <c r="A24" s="798"/>
      <c r="B24" s="799" t="s">
        <v>2554</v>
      </c>
      <c r="D24" s="1953" t="s">
        <v>1246</v>
      </c>
      <c r="E24" s="1953"/>
      <c r="F24" s="1953"/>
    </row>
    <row r="25" spans="1:7">
      <c r="D25" s="1953"/>
      <c r="E25" s="1953"/>
      <c r="F25" s="1953"/>
    </row>
    <row r="26" spans="1:7">
      <c r="D26" s="1953"/>
      <c r="E26" s="1953"/>
      <c r="F26" s="1953"/>
    </row>
    <row r="27" spans="1:7">
      <c r="D27" s="1953"/>
      <c r="E27" s="1953"/>
      <c r="F27" s="1953"/>
    </row>
    <row r="28" spans="1:7">
      <c r="D28" s="1953"/>
      <c r="E28" s="1953"/>
      <c r="F28" s="1953"/>
    </row>
    <row r="29" spans="1:7" s="792" customFormat="1">
      <c r="A29" s="802"/>
      <c r="B29" s="802"/>
      <c r="C29" s="802"/>
      <c r="D29" s="734"/>
      <c r="E29" s="803"/>
      <c r="F29" s="803"/>
      <c r="G29" s="803"/>
    </row>
    <row r="30" spans="1:7" s="792" customFormat="1">
      <c r="A30" s="802"/>
      <c r="B30" s="799" t="s">
        <v>2553</v>
      </c>
      <c r="C30" s="802"/>
      <c r="D30" s="1869" t="s">
        <v>1247</v>
      </c>
      <c r="E30" s="1869"/>
      <c r="F30" s="1869"/>
      <c r="G30" s="803"/>
    </row>
    <row r="31" spans="1:7" s="792" customFormat="1">
      <c r="A31" s="802"/>
      <c r="B31" s="802"/>
      <c r="C31" s="802"/>
      <c r="D31" s="1869"/>
      <c r="E31" s="1869"/>
      <c r="F31" s="1869"/>
      <c r="G31" s="803"/>
    </row>
    <row r="32" spans="1:7" ht="14.25">
      <c r="A32" s="798"/>
      <c r="B32" s="798"/>
      <c r="D32" s="804"/>
    </row>
    <row r="33" spans="1:6" ht="14.45" customHeight="1">
      <c r="A33" s="798"/>
      <c r="B33" s="799" t="s">
        <v>2553</v>
      </c>
      <c r="D33" s="1869" t="s">
        <v>1430</v>
      </c>
      <c r="E33" s="1869"/>
      <c r="F33" s="1869"/>
    </row>
    <row r="34" spans="1:6" ht="14.25">
      <c r="A34" s="798"/>
      <c r="B34" s="798"/>
      <c r="D34" s="1869"/>
      <c r="E34" s="1869"/>
      <c r="F34" s="1869"/>
    </row>
    <row r="35" spans="1:6" ht="14.25">
      <c r="A35" s="798"/>
      <c r="B35" s="798"/>
      <c r="D35" s="1869"/>
      <c r="E35" s="1869"/>
      <c r="F35" s="1869"/>
    </row>
    <row r="36" spans="1:6" ht="14.25">
      <c r="A36" s="798"/>
      <c r="B36" s="798"/>
      <c r="D36" s="1869"/>
      <c r="E36" s="1869"/>
      <c r="F36" s="1869"/>
    </row>
    <row r="37" spans="1:6" ht="14.25">
      <c r="A37" s="798"/>
      <c r="B37" s="798"/>
      <c r="D37" s="791"/>
    </row>
    <row r="38" spans="1:6" ht="14.25">
      <c r="A38" s="798"/>
      <c r="B38" s="799" t="s">
        <v>2553</v>
      </c>
      <c r="D38" s="1869" t="s">
        <v>1249</v>
      </c>
      <c r="E38" s="1869"/>
      <c r="F38" s="1869"/>
    </row>
    <row r="39" spans="1:6" ht="14.25">
      <c r="A39" s="798"/>
      <c r="B39" s="798"/>
      <c r="D39" s="1869"/>
      <c r="E39" s="1869"/>
      <c r="F39" s="1869"/>
    </row>
    <row r="40" spans="1:6" ht="14.25">
      <c r="A40" s="798"/>
      <c r="B40" s="798"/>
      <c r="D40" s="1869"/>
      <c r="E40" s="1869"/>
      <c r="F40" s="1869"/>
    </row>
    <row r="41" spans="1:6" ht="14.25">
      <c r="A41" s="798"/>
      <c r="B41" s="798"/>
      <c r="D41" s="1869"/>
      <c r="E41" s="1869"/>
      <c r="F41" s="1869"/>
    </row>
    <row r="42" spans="1:6" ht="14.25">
      <c r="A42" s="798"/>
      <c r="B42" s="798"/>
      <c r="D42" s="1869"/>
      <c r="E42" s="1869"/>
      <c r="F42" s="1869"/>
    </row>
    <row r="43" spans="1:6" ht="14.25">
      <c r="A43" s="798"/>
      <c r="B43" s="798"/>
      <c r="D43" s="782"/>
      <c r="E43" s="782"/>
      <c r="F43" s="782"/>
    </row>
    <row r="44" spans="1:6" ht="14.25">
      <c r="A44" s="798"/>
      <c r="B44" s="799" t="s">
        <v>2553</v>
      </c>
      <c r="D44" s="1869" t="s">
        <v>1250</v>
      </c>
      <c r="E44" s="1869"/>
      <c r="F44" s="1869"/>
    </row>
    <row r="45" spans="1:6" ht="14.25">
      <c r="A45" s="798"/>
      <c r="B45" s="798"/>
      <c r="D45" s="1869"/>
      <c r="E45" s="1869"/>
      <c r="F45" s="1869"/>
    </row>
    <row r="46" spans="1:6" ht="14.25">
      <c r="A46" s="798"/>
      <c r="B46" s="798"/>
      <c r="D46" s="1869"/>
      <c r="E46" s="1869"/>
      <c r="F46" s="1869"/>
    </row>
    <row r="47" spans="1:6" ht="23.25" customHeight="1">
      <c r="A47" s="798"/>
      <c r="B47" s="798"/>
      <c r="D47" s="1869"/>
      <c r="E47" s="1869"/>
      <c r="F47" s="1869"/>
    </row>
    <row r="48" spans="1:6" ht="14.25">
      <c r="A48" s="798"/>
      <c r="B48" s="798"/>
      <c r="D48" s="786"/>
    </row>
    <row r="49" spans="1:7" ht="14.45" customHeight="1">
      <c r="A49" s="798"/>
      <c r="B49" s="799" t="s">
        <v>2553</v>
      </c>
      <c r="D49" s="1869" t="s">
        <v>1251</v>
      </c>
      <c r="E49" s="1869"/>
      <c r="F49" s="1869"/>
    </row>
    <row r="50" spans="1:7" ht="14.25">
      <c r="A50" s="798"/>
      <c r="B50" s="798"/>
      <c r="D50" s="1869"/>
      <c r="E50" s="1869"/>
      <c r="F50" s="1869"/>
    </row>
    <row r="51" spans="1:7" ht="14.25">
      <c r="A51" s="798"/>
      <c r="B51" s="798"/>
      <c r="D51" s="1869"/>
      <c r="E51" s="1869"/>
      <c r="F51" s="1869"/>
    </row>
    <row r="52" spans="1:7" s="619" customFormat="1" ht="14.25">
      <c r="A52" s="798"/>
      <c r="B52" s="798"/>
      <c r="C52" s="805"/>
      <c r="D52" s="803"/>
      <c r="E52" s="694"/>
      <c r="F52" s="694"/>
      <c r="G52" s="694"/>
    </row>
    <row r="53" spans="1:7" s="619" customFormat="1" ht="14.25">
      <c r="A53" s="806"/>
      <c r="B53" s="799" t="s">
        <v>2554</v>
      </c>
      <c r="C53" s="807"/>
      <c r="D53" s="1869" t="s">
        <v>1252</v>
      </c>
      <c r="E53" s="1869"/>
      <c r="F53" s="1869"/>
      <c r="G53" s="694"/>
    </row>
    <row r="54" spans="1:7" s="619" customFormat="1" ht="14.25">
      <c r="A54" s="806"/>
      <c r="B54" s="806"/>
      <c r="C54" s="807"/>
      <c r="D54" s="1869"/>
      <c r="E54" s="1869"/>
      <c r="F54" s="1869"/>
      <c r="G54" s="694"/>
    </row>
    <row r="55" spans="1:7" s="792" customFormat="1">
      <c r="A55" s="802"/>
      <c r="B55" s="802"/>
      <c r="C55" s="802"/>
      <c r="D55" s="734"/>
      <c r="E55" s="803"/>
      <c r="F55" s="803"/>
      <c r="G55" s="803"/>
    </row>
    <row r="56" spans="1:7" ht="14.25">
      <c r="A56" s="798"/>
      <c r="B56" s="799" t="s">
        <v>2553</v>
      </c>
      <c r="D56" s="1869" t="s">
        <v>1253</v>
      </c>
      <c r="E56" s="1869"/>
      <c r="F56" s="1869"/>
    </row>
    <row r="57" spans="1:7">
      <c r="D57" s="1869"/>
      <c r="E57" s="1869"/>
      <c r="F57" s="1869"/>
    </row>
    <row r="58" spans="1:7">
      <c r="D58" s="1869"/>
      <c r="E58" s="1869"/>
      <c r="F58" s="1869"/>
    </row>
    <row r="59" spans="1:7">
      <c r="D59" s="694"/>
    </row>
    <row r="60" spans="1:7" ht="14.25">
      <c r="A60" s="798"/>
      <c r="B60" s="799" t="s">
        <v>2553</v>
      </c>
      <c r="D60" s="1869" t="s">
        <v>1254</v>
      </c>
      <c r="E60" s="1869"/>
      <c r="F60" s="1869"/>
    </row>
    <row r="61" spans="1:7">
      <c r="D61" s="1869"/>
      <c r="E61" s="1869"/>
      <c r="F61" s="1869"/>
    </row>
    <row r="62" spans="1:7"/>
    <row r="63" spans="1:7" ht="14.25">
      <c r="A63" s="798"/>
      <c r="B63" s="799" t="s">
        <v>2554</v>
      </c>
      <c r="D63" s="1869" t="s">
        <v>1255</v>
      </c>
      <c r="E63" s="1869"/>
      <c r="F63" s="1869"/>
    </row>
    <row r="64" spans="1:7">
      <c r="D64" s="1869"/>
      <c r="E64" s="1869"/>
      <c r="F64" s="1869"/>
    </row>
    <row r="65" spans="1:7">
      <c r="D65" s="1869"/>
      <c r="E65" s="1869"/>
      <c r="F65" s="1869"/>
    </row>
    <row r="66" spans="1:7">
      <c r="D66" s="791"/>
    </row>
    <row r="67" spans="1:7" ht="14.25">
      <c r="A67" s="798"/>
      <c r="B67" s="799" t="s">
        <v>2554</v>
      </c>
      <c r="D67" s="1912" t="s">
        <v>1256</v>
      </c>
      <c r="E67" s="1912"/>
      <c r="F67" s="1912"/>
    </row>
    <row r="68" spans="1:7">
      <c r="D68" s="1912"/>
      <c r="E68" s="1912"/>
      <c r="F68" s="1912"/>
    </row>
    <row r="69" spans="1:7" ht="14.25">
      <c r="A69" s="798"/>
      <c r="B69" s="798"/>
      <c r="D69" s="801"/>
    </row>
    <row r="70" spans="1:7">
      <c r="A70" s="1877" t="s">
        <v>1163</v>
      </c>
      <c r="B70" s="1877"/>
      <c r="C70" s="1877"/>
      <c r="D70" s="1877"/>
      <c r="E70" s="1877"/>
      <c r="F70" s="1877"/>
      <c r="G70" s="1877"/>
    </row>
    <row r="71" spans="1:7"/>
    <row r="72" spans="1:7">
      <c r="C72" s="808"/>
      <c r="D72" s="1948" t="s">
        <v>1261</v>
      </c>
      <c r="E72" s="1948"/>
      <c r="F72" s="1948"/>
    </row>
    <row r="73" spans="1:7">
      <c r="A73" s="801"/>
      <c r="B73" s="801"/>
      <c r="D73" s="1912" t="s">
        <v>1288</v>
      </c>
      <c r="E73" s="1912"/>
      <c r="F73" s="1912"/>
    </row>
    <row r="74" spans="1:7">
      <c r="A74" s="801"/>
      <c r="B74" s="801"/>
    </row>
    <row r="75" spans="1:7" ht="13.7" customHeight="1">
      <c r="A75" s="798"/>
      <c r="B75" s="799" t="s">
        <v>2554</v>
      </c>
      <c r="D75" s="1912" t="s">
        <v>1480</v>
      </c>
      <c r="E75" s="1912"/>
      <c r="F75" s="1912"/>
    </row>
    <row r="76" spans="1:7" ht="14.25">
      <c r="A76" s="798"/>
      <c r="B76" s="798"/>
      <c r="D76" s="1912"/>
      <c r="E76" s="1912"/>
      <c r="F76" s="1912"/>
    </row>
    <row r="77" spans="1:7" ht="14.25">
      <c r="A77" s="798"/>
      <c r="B77" s="798"/>
      <c r="D77" s="1912"/>
      <c r="E77" s="1912"/>
      <c r="F77" s="1912"/>
    </row>
    <row r="78" spans="1:7" ht="14.25">
      <c r="A78" s="798"/>
      <c r="B78" s="798"/>
      <c r="D78" s="1912"/>
      <c r="E78" s="1912"/>
      <c r="F78" s="1912"/>
    </row>
    <row r="79" spans="1:7" ht="14.25">
      <c r="A79" s="798"/>
      <c r="B79" s="798"/>
      <c r="D79" s="1912"/>
      <c r="E79" s="1912"/>
      <c r="F79" s="1912"/>
    </row>
    <row r="80" spans="1:7" ht="14.25">
      <c r="A80" s="798"/>
      <c r="B80" s="798"/>
      <c r="D80" s="1912"/>
      <c r="E80" s="1912"/>
      <c r="F80" s="1912"/>
    </row>
    <row r="81" spans="1:6" ht="14.25">
      <c r="A81" s="798"/>
      <c r="B81" s="798"/>
      <c r="D81" s="1912"/>
      <c r="E81" s="1912"/>
      <c r="F81" s="1912"/>
    </row>
    <row r="82" spans="1:6" ht="14.25">
      <c r="A82" s="798"/>
      <c r="B82" s="798"/>
      <c r="D82" s="1912"/>
      <c r="E82" s="1912"/>
      <c r="F82" s="1912"/>
    </row>
    <row r="83" spans="1:6" ht="14.25">
      <c r="A83" s="798"/>
      <c r="B83" s="798"/>
      <c r="D83" s="880"/>
      <c r="E83" s="880"/>
      <c r="F83" s="880"/>
    </row>
    <row r="84" spans="1:6" ht="15" customHeight="1">
      <c r="A84" s="798"/>
      <c r="B84" s="799" t="s">
        <v>2554</v>
      </c>
      <c r="D84" s="1912" t="s">
        <v>2259</v>
      </c>
      <c r="E84" s="1912"/>
      <c r="F84" s="1912"/>
    </row>
    <row r="85" spans="1:6" ht="14.25">
      <c r="A85" s="798"/>
      <c r="B85" s="798"/>
      <c r="D85" s="1912"/>
      <c r="E85" s="1912"/>
      <c r="F85" s="1912"/>
    </row>
    <row r="86" spans="1:6" ht="14.25">
      <c r="A86" s="798"/>
      <c r="B86" s="798"/>
      <c r="D86" s="1719"/>
      <c r="E86" s="1719"/>
      <c r="F86" s="1719"/>
    </row>
    <row r="87" spans="1:6" ht="14.25">
      <c r="A87" s="798"/>
      <c r="B87" s="799" t="s">
        <v>2554</v>
      </c>
      <c r="D87" s="1912" t="s">
        <v>2263</v>
      </c>
      <c r="E87" s="1912"/>
      <c r="F87" s="1912"/>
    </row>
    <row r="88" spans="1:6" ht="14.25">
      <c r="A88" s="798"/>
      <c r="B88" s="798"/>
      <c r="D88" s="1912"/>
      <c r="E88" s="1912"/>
      <c r="F88" s="1912"/>
    </row>
    <row r="89" spans="1:6" ht="14.25">
      <c r="A89" s="798"/>
      <c r="B89" s="798"/>
      <c r="D89" s="1912"/>
      <c r="E89" s="1912"/>
      <c r="F89" s="1912"/>
    </row>
    <row r="90" spans="1:6" ht="14.25">
      <c r="A90" s="798"/>
      <c r="B90" s="798"/>
      <c r="D90" s="1719"/>
      <c r="E90" s="1719"/>
      <c r="F90" s="1719"/>
    </row>
    <row r="91" spans="1:6" ht="14.25">
      <c r="A91" s="798"/>
      <c r="B91" s="799" t="s">
        <v>2553</v>
      </c>
      <c r="D91" s="1912" t="s">
        <v>2261</v>
      </c>
      <c r="E91" s="1912"/>
      <c r="F91" s="1912"/>
    </row>
    <row r="92" spans="1:6" s="1736" customFormat="1" ht="14.25">
      <c r="A92" s="1734"/>
      <c r="B92" s="1734"/>
      <c r="C92" s="1735"/>
      <c r="D92" s="1912"/>
      <c r="E92" s="1912"/>
      <c r="F92" s="1912"/>
    </row>
    <row r="93" spans="1:6" ht="14.25">
      <c r="A93" s="798"/>
      <c r="B93" s="798"/>
      <c r="D93" s="1725"/>
      <c r="E93" s="1726" t="s">
        <v>2262</v>
      </c>
      <c r="F93" s="1719"/>
    </row>
    <row r="94" spans="1:6" ht="14.25">
      <c r="A94" s="798"/>
      <c r="B94" s="798"/>
      <c r="D94" s="880"/>
      <c r="E94" s="880"/>
      <c r="F94" s="880"/>
    </row>
    <row r="95" spans="1:6" ht="14.25">
      <c r="A95" s="798"/>
      <c r="B95" s="799" t="s">
        <v>2553</v>
      </c>
      <c r="D95" s="1912" t="s">
        <v>2260</v>
      </c>
      <c r="E95" s="1912"/>
      <c r="F95" s="1912"/>
    </row>
    <row r="96" spans="1:6" ht="14.25">
      <c r="A96" s="798"/>
      <c r="B96" s="798"/>
      <c r="D96" s="1912"/>
      <c r="E96" s="1912"/>
      <c r="F96" s="1912"/>
    </row>
    <row r="97" spans="1:7" ht="14.25">
      <c r="A97" s="798"/>
      <c r="B97" s="798"/>
      <c r="D97" s="1719"/>
      <c r="E97" s="1719"/>
      <c r="F97" s="1719"/>
    </row>
    <row r="98" spans="1:7" ht="14.45" customHeight="1">
      <c r="A98" s="798"/>
      <c r="B98" s="799" t="s">
        <v>2553</v>
      </c>
      <c r="D98" s="1912" t="s">
        <v>1405</v>
      </c>
      <c r="E98" s="1912"/>
      <c r="F98" s="1912"/>
      <c r="G98" s="791"/>
    </row>
    <row r="99" spans="1:7" ht="14.25">
      <c r="A99" s="798"/>
      <c r="B99" s="798"/>
      <c r="D99" s="1912"/>
      <c r="E99" s="1912"/>
      <c r="F99" s="1912"/>
      <c r="G99" s="791"/>
    </row>
    <row r="100" spans="1:7" ht="14.25">
      <c r="A100" s="798"/>
      <c r="B100" s="798"/>
      <c r="D100" s="1912"/>
      <c r="E100" s="1912"/>
      <c r="F100" s="1912"/>
      <c r="G100" s="791"/>
    </row>
    <row r="101" spans="1:7" ht="14.25">
      <c r="A101" s="798"/>
      <c r="B101" s="798"/>
      <c r="D101" s="1912"/>
      <c r="E101" s="1912"/>
      <c r="F101" s="1912"/>
      <c r="G101" s="791"/>
    </row>
    <row r="102" spans="1:7" ht="14.25">
      <c r="A102" s="798"/>
      <c r="B102" s="798"/>
      <c r="D102" s="1912"/>
      <c r="E102" s="1912"/>
      <c r="F102" s="1912"/>
      <c r="G102" s="791"/>
    </row>
    <row r="103" spans="1:7" ht="14.25">
      <c r="A103" s="798"/>
      <c r="B103" s="798"/>
      <c r="D103" s="1912"/>
      <c r="E103" s="1912"/>
      <c r="F103" s="1912"/>
      <c r="G103" s="791"/>
    </row>
    <row r="104" spans="1:7" ht="14.25">
      <c r="A104" s="798"/>
      <c r="B104" s="798"/>
      <c r="D104" s="1912"/>
      <c r="E104" s="1912"/>
      <c r="F104" s="1912"/>
      <c r="G104" s="791"/>
    </row>
    <row r="105" spans="1:7" ht="14.25">
      <c r="A105" s="798"/>
      <c r="B105" s="798"/>
      <c r="D105" s="1912"/>
      <c r="E105" s="1912"/>
      <c r="F105" s="1912"/>
      <c r="G105" s="791"/>
    </row>
    <row r="106" spans="1:7" ht="14.25">
      <c r="A106" s="798"/>
      <c r="B106" s="798"/>
      <c r="D106" s="1912"/>
      <c r="E106" s="1912"/>
      <c r="F106" s="1912"/>
      <c r="G106" s="791"/>
    </row>
    <row r="107" spans="1:7" ht="14.25">
      <c r="A107" s="798"/>
      <c r="B107" s="798"/>
      <c r="D107" s="1912"/>
      <c r="E107" s="1912"/>
      <c r="F107" s="1912"/>
      <c r="G107" s="791"/>
    </row>
    <row r="108" spans="1:7" ht="14.25">
      <c r="A108" s="798"/>
      <c r="B108" s="798"/>
      <c r="D108" s="1912"/>
      <c r="E108" s="1912"/>
      <c r="F108" s="1912"/>
      <c r="G108" s="791"/>
    </row>
    <row r="109" spans="1:7" ht="14.25">
      <c r="A109" s="798"/>
      <c r="B109" s="798"/>
      <c r="D109" s="1912"/>
      <c r="E109" s="1912"/>
      <c r="F109" s="1912"/>
      <c r="G109" s="791"/>
    </row>
    <row r="110" spans="1:7" ht="14.25">
      <c r="A110" s="798"/>
      <c r="B110" s="798"/>
      <c r="D110" s="1912"/>
      <c r="E110" s="1912"/>
      <c r="F110" s="1912"/>
      <c r="G110" s="791"/>
    </row>
    <row r="111" spans="1:7" ht="14.25">
      <c r="A111" s="798"/>
      <c r="B111" s="798"/>
      <c r="D111" s="1912"/>
      <c r="E111" s="1912"/>
      <c r="F111" s="1912"/>
    </row>
    <row r="112" spans="1:7" ht="14.25">
      <c r="A112" s="798"/>
      <c r="B112" s="798"/>
      <c r="D112" s="1912"/>
      <c r="E112" s="1912"/>
      <c r="F112" s="1912"/>
    </row>
    <row r="113" spans="1:11" ht="14.25">
      <c r="A113" s="798"/>
      <c r="B113" s="798"/>
      <c r="D113" s="906"/>
      <c r="E113" s="906"/>
      <c r="F113" s="906"/>
    </row>
    <row r="114" spans="1:11" ht="14.25" customHeight="1">
      <c r="A114" s="798"/>
      <c r="B114" s="799" t="s">
        <v>2553</v>
      </c>
      <c r="D114" s="1910" t="s">
        <v>1263</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2554</v>
      </c>
      <c r="C123" s="723"/>
      <c r="D123" s="1910" t="s">
        <v>1265</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2554</v>
      </c>
      <c r="C126" s="805"/>
      <c r="D126" s="1912" t="s">
        <v>1266</v>
      </c>
      <c r="E126" s="1912"/>
      <c r="F126" s="1912"/>
    </row>
    <row r="127" spans="1:11">
      <c r="C127" s="805"/>
      <c r="D127" s="1912"/>
      <c r="E127" s="1912"/>
      <c r="F127" s="1912"/>
    </row>
    <row r="128" spans="1:11">
      <c r="C128" s="805"/>
      <c r="D128" s="1912"/>
      <c r="E128" s="1912"/>
      <c r="F128" s="1912"/>
    </row>
    <row r="129" spans="1:7">
      <c r="C129" s="805"/>
      <c r="D129" s="1912"/>
      <c r="E129" s="1912"/>
      <c r="F129" s="1912"/>
    </row>
    <row r="130" spans="1:7">
      <c r="C130" s="805"/>
      <c r="D130" s="1912"/>
      <c r="E130" s="1912"/>
      <c r="F130" s="1912"/>
    </row>
    <row r="131" spans="1:7">
      <c r="C131" s="805"/>
      <c r="D131" s="673"/>
      <c r="E131" s="673"/>
      <c r="F131" s="673"/>
    </row>
    <row r="132" spans="1:7" s="723" customFormat="1" ht="14.25">
      <c r="A132" s="798"/>
      <c r="B132" s="799" t="s">
        <v>2554</v>
      </c>
      <c r="C132" s="805"/>
      <c r="D132" s="1869" t="s">
        <v>1267</v>
      </c>
      <c r="E132" s="1869"/>
      <c r="F132" s="1869"/>
      <c r="G132" s="673"/>
    </row>
    <row r="133" spans="1:7" s="813" customFormat="1" ht="13.7" customHeight="1">
      <c r="A133" s="810"/>
      <c r="B133" s="810"/>
      <c r="C133" s="811"/>
      <c r="D133" s="1869"/>
      <c r="E133" s="1869"/>
      <c r="F133" s="1869"/>
      <c r="G133" s="812"/>
    </row>
    <row r="134" spans="1:7" s="723" customFormat="1" ht="13.7" customHeight="1">
      <c r="A134" s="789"/>
      <c r="B134" s="789"/>
      <c r="C134" s="805"/>
      <c r="D134" s="1869"/>
      <c r="E134" s="1869"/>
      <c r="F134" s="1869"/>
      <c r="G134" s="673"/>
    </row>
    <row r="135" spans="1:7" s="723" customFormat="1" ht="13.7" customHeight="1">
      <c r="A135" s="789"/>
      <c r="B135" s="789"/>
      <c r="C135" s="805"/>
      <c r="D135" s="1869"/>
      <c r="E135" s="1869"/>
      <c r="F135" s="1869"/>
      <c r="G135" s="673"/>
    </row>
    <row r="136" spans="1:7" s="723" customFormat="1" ht="13.7" customHeight="1">
      <c r="A136" s="789"/>
      <c r="B136" s="789"/>
      <c r="C136" s="805"/>
      <c r="D136" s="1869"/>
      <c r="E136" s="1869"/>
      <c r="F136" s="1869"/>
      <c r="G136" s="673"/>
    </row>
    <row r="137" spans="1:7" s="723" customFormat="1" ht="13.7" customHeight="1">
      <c r="A137" s="814"/>
      <c r="B137" s="814"/>
      <c r="C137" s="805"/>
      <c r="D137" s="1869"/>
      <c r="E137" s="1869"/>
      <c r="F137" s="1869"/>
      <c r="G137" s="673"/>
    </row>
    <row r="138" spans="1:7" s="619" customFormat="1" ht="13.7" customHeight="1">
      <c r="A138" s="802"/>
      <c r="B138" s="802"/>
      <c r="C138" s="807"/>
      <c r="D138" s="1869"/>
      <c r="E138" s="1869"/>
      <c r="F138" s="1869"/>
      <c r="G138" s="694"/>
    </row>
    <row r="139" spans="1:7" s="619" customFormat="1" ht="13.7" customHeight="1">
      <c r="A139" s="802"/>
      <c r="B139" s="802"/>
      <c r="C139" s="807"/>
      <c r="D139" s="1869"/>
      <c r="E139" s="1869"/>
      <c r="F139" s="1869"/>
      <c r="G139" s="694"/>
    </row>
    <row r="140" spans="1:7" s="723" customFormat="1" ht="13.7" customHeight="1">
      <c r="A140" s="789"/>
      <c r="B140" s="789"/>
      <c r="C140" s="805"/>
      <c r="D140" s="1869"/>
      <c r="E140" s="1869"/>
      <c r="F140" s="1869"/>
      <c r="G140" s="673"/>
    </row>
    <row r="141" spans="1:7" s="723" customFormat="1" ht="13.7" customHeight="1">
      <c r="A141" s="789"/>
      <c r="B141" s="789"/>
      <c r="C141" s="805"/>
      <c r="D141" s="1869"/>
      <c r="E141" s="1869"/>
      <c r="F141" s="1869"/>
      <c r="G141" s="673"/>
    </row>
    <row r="142" spans="1:7" s="723" customFormat="1" ht="13.7" customHeight="1">
      <c r="A142" s="789"/>
      <c r="B142" s="789"/>
      <c r="C142" s="805"/>
      <c r="D142" s="1869"/>
      <c r="E142" s="1869"/>
      <c r="F142" s="1869"/>
      <c r="G142" s="673"/>
    </row>
    <row r="143" spans="1:7" s="723" customFormat="1" ht="13.7" customHeight="1">
      <c r="A143" s="789"/>
      <c r="B143" s="789"/>
      <c r="C143" s="805"/>
      <c r="D143" s="1869"/>
      <c r="E143" s="1869"/>
      <c r="F143" s="1869"/>
      <c r="G143" s="673"/>
    </row>
    <row r="144" spans="1:7" s="723" customFormat="1" ht="13.7" customHeight="1">
      <c r="A144" s="789"/>
      <c r="B144" s="789"/>
      <c r="C144" s="805"/>
      <c r="D144" s="797"/>
      <c r="E144" s="786"/>
      <c r="F144" s="786"/>
      <c r="G144" s="673"/>
    </row>
    <row r="145" spans="1:7" s="723" customFormat="1" ht="13.7" customHeight="1">
      <c r="A145" s="789"/>
      <c r="B145" s="799" t="s">
        <v>2553</v>
      </c>
      <c r="C145" s="805"/>
      <c r="D145" s="1954" t="s">
        <v>1375</v>
      </c>
      <c r="E145" s="1954"/>
      <c r="F145" s="1954"/>
      <c r="G145" s="673"/>
    </row>
    <row r="146" spans="1:7" s="723" customFormat="1" ht="13.7" customHeight="1">
      <c r="A146" s="789"/>
      <c r="B146" s="789"/>
      <c r="C146" s="805"/>
      <c r="D146" s="1954"/>
      <c r="E146" s="1954"/>
      <c r="F146" s="1954"/>
      <c r="G146" s="673"/>
    </row>
    <row r="147" spans="1:7" s="723" customFormat="1" ht="13.7" customHeight="1">
      <c r="A147" s="789"/>
      <c r="B147" s="789"/>
      <c r="C147" s="805"/>
      <c r="D147" s="1954"/>
      <c r="E147" s="1954"/>
      <c r="F147" s="1954"/>
      <c r="G147" s="673"/>
    </row>
    <row r="148" spans="1:7" s="723" customFormat="1" ht="13.7" customHeight="1">
      <c r="A148" s="789"/>
      <c r="B148" s="789"/>
      <c r="C148" s="805"/>
      <c r="D148" s="1954"/>
      <c r="E148" s="1954"/>
      <c r="F148" s="1954"/>
      <c r="G148" s="673"/>
    </row>
    <row r="149" spans="1:7" s="723" customFormat="1" ht="13.7" customHeight="1">
      <c r="A149" s="789"/>
      <c r="B149" s="789"/>
      <c r="C149" s="805"/>
      <c r="D149" s="1954"/>
      <c r="E149" s="1954"/>
      <c r="F149" s="1954"/>
      <c r="G149" s="673"/>
    </row>
    <row r="150" spans="1:7" s="723" customFormat="1" ht="13.7" customHeight="1">
      <c r="A150" s="789"/>
      <c r="B150" s="789"/>
      <c r="C150" s="805"/>
      <c r="D150" s="1954"/>
      <c r="E150" s="1954"/>
      <c r="F150" s="1954"/>
      <c r="G150" s="673"/>
    </row>
    <row r="151" spans="1:7" s="723" customFormat="1" ht="13.7" customHeight="1">
      <c r="A151" s="789"/>
      <c r="B151" s="789"/>
      <c r="C151" s="805"/>
      <c r="D151" s="1954"/>
      <c r="E151" s="1954"/>
      <c r="F151" s="1954"/>
      <c r="G151" s="673"/>
    </row>
    <row r="152" spans="1:7" s="723" customFormat="1" ht="13.7" customHeight="1">
      <c r="A152" s="789"/>
      <c r="B152" s="789"/>
      <c r="C152" s="805"/>
      <c r="D152" s="1954"/>
      <c r="E152" s="1954"/>
      <c r="F152" s="1954"/>
      <c r="G152" s="673"/>
    </row>
    <row r="153" spans="1:7" s="723" customFormat="1" ht="13.7" customHeight="1">
      <c r="A153" s="789"/>
      <c r="B153" s="789"/>
      <c r="C153" s="805"/>
      <c r="D153" s="1954"/>
      <c r="E153" s="1954"/>
      <c r="F153" s="1954"/>
      <c r="G153" s="673"/>
    </row>
    <row r="154" spans="1:7" s="723" customFormat="1" ht="13.7" customHeight="1">
      <c r="A154" s="789"/>
      <c r="B154" s="789"/>
      <c r="C154" s="805"/>
      <c r="D154" s="1954"/>
      <c r="E154" s="1954"/>
      <c r="F154" s="1954"/>
      <c r="G154" s="673"/>
    </row>
    <row r="155" spans="1:7" s="723" customFormat="1" ht="13.7" customHeight="1">
      <c r="A155" s="789"/>
      <c r="B155" s="789"/>
      <c r="C155" s="805"/>
      <c r="D155" s="1954"/>
      <c r="E155" s="1954"/>
      <c r="F155" s="1954"/>
      <c r="G155" s="673"/>
    </row>
    <row r="156" spans="1:7" s="723" customFormat="1" ht="13.7" customHeight="1">
      <c r="A156" s="789"/>
      <c r="B156" s="789"/>
      <c r="C156" s="805"/>
      <c r="D156" s="1954"/>
      <c r="E156" s="1954"/>
      <c r="F156" s="1954"/>
      <c r="G156" s="673"/>
    </row>
    <row r="157" spans="1:7" s="723" customFormat="1" ht="13.7" customHeight="1">
      <c r="A157" s="789"/>
      <c r="B157" s="789"/>
      <c r="C157" s="805"/>
      <c r="D157" s="1954"/>
      <c r="E157" s="1954"/>
      <c r="F157" s="1954"/>
      <c r="G157" s="673"/>
    </row>
    <row r="158" spans="1:7" s="723" customFormat="1" ht="13.7" customHeight="1">
      <c r="A158" s="789"/>
      <c r="B158" s="789"/>
      <c r="C158" s="805"/>
      <c r="D158" s="1954"/>
      <c r="E158" s="1954"/>
      <c r="F158" s="1954"/>
      <c r="G158" s="673"/>
    </row>
    <row r="159" spans="1:7" s="723" customFormat="1" ht="13.7" customHeight="1">
      <c r="A159" s="789"/>
      <c r="B159" s="789"/>
      <c r="C159" s="805"/>
      <c r="D159" s="1954"/>
      <c r="E159" s="1954"/>
      <c r="F159" s="1954"/>
      <c r="G159" s="673"/>
    </row>
    <row r="160" spans="1:7" s="723" customFormat="1" ht="13.7" customHeight="1">
      <c r="A160" s="789"/>
      <c r="B160" s="789"/>
      <c r="C160" s="805"/>
      <c r="D160" s="1954"/>
      <c r="E160" s="1954"/>
      <c r="F160" s="1954"/>
      <c r="G160" s="673"/>
    </row>
    <row r="161" spans="1:7" s="723" customFormat="1" ht="13.7" customHeight="1">
      <c r="A161" s="789"/>
      <c r="B161" s="789"/>
      <c r="C161" s="805"/>
      <c r="D161" s="1954"/>
      <c r="E161" s="1954"/>
      <c r="F161" s="1954"/>
      <c r="G161" s="673"/>
    </row>
    <row r="162" spans="1:7" s="723" customFormat="1" ht="13.7" customHeight="1">
      <c r="A162" s="789"/>
      <c r="B162" s="789"/>
      <c r="C162" s="805"/>
      <c r="D162" s="1954"/>
      <c r="E162" s="1954"/>
      <c r="F162" s="1954"/>
      <c r="G162" s="673"/>
    </row>
    <row r="163" spans="1:7" s="723" customFormat="1" ht="13.7" customHeight="1">
      <c r="A163" s="789"/>
      <c r="B163" s="789"/>
      <c r="C163" s="805"/>
      <c r="D163" s="1977" t="s">
        <v>1413</v>
      </c>
      <c r="E163" s="1977"/>
      <c r="F163" s="1977"/>
      <c r="G163" s="858"/>
    </row>
    <row r="164" spans="1:7" s="723" customFormat="1" ht="13.7" customHeight="1">
      <c r="A164" s="789"/>
      <c r="B164" s="789"/>
      <c r="C164" s="805"/>
      <c r="D164" s="1976"/>
      <c r="E164" s="1976"/>
      <c r="F164" s="1976"/>
      <c r="G164" s="1976"/>
    </row>
    <row r="165" spans="1:7" s="723" customFormat="1" ht="14.45" customHeight="1">
      <c r="A165" s="814"/>
      <c r="B165" s="799" t="s">
        <v>2554</v>
      </c>
      <c r="C165" s="815"/>
      <c r="D165" s="1911" t="s">
        <v>1441</v>
      </c>
      <c r="E165" s="1911"/>
      <c r="F165" s="1911"/>
      <c r="G165" s="816"/>
    </row>
    <row r="166" spans="1:7" s="723" customFormat="1" ht="14.45" customHeight="1">
      <c r="A166" s="814"/>
      <c r="B166" s="814"/>
      <c r="C166" s="815"/>
      <c r="D166" s="1911"/>
      <c r="E166" s="1911"/>
      <c r="F166" s="1911"/>
      <c r="G166" s="816"/>
    </row>
    <row r="167" spans="1:7" s="723" customFormat="1" ht="13.7" customHeight="1">
      <c r="A167" s="814"/>
      <c r="B167" s="814"/>
      <c r="C167" s="815"/>
      <c r="D167" s="1911"/>
      <c r="E167" s="1911"/>
      <c r="F167" s="1911"/>
      <c r="G167" s="816"/>
    </row>
    <row r="168" spans="1:7" s="723" customFormat="1" ht="13.7" customHeight="1">
      <c r="A168" s="814"/>
      <c r="B168" s="814"/>
      <c r="C168" s="815"/>
      <c r="D168" s="797"/>
      <c r="E168" s="815"/>
      <c r="F168" s="815"/>
      <c r="G168" s="816"/>
    </row>
    <row r="169" spans="1:7" s="723" customFormat="1" ht="13.7" customHeight="1">
      <c r="A169" s="814"/>
      <c r="B169" s="799" t="s">
        <v>2553</v>
      </c>
      <c r="C169" s="815"/>
      <c r="D169" s="1854" t="s">
        <v>1269</v>
      </c>
      <c r="E169" s="1854"/>
      <c r="F169" s="1854"/>
      <c r="G169" s="816"/>
    </row>
    <row r="170" spans="1:7" s="723" customFormat="1" ht="13.7" customHeight="1">
      <c r="A170" s="814"/>
      <c r="B170" s="814"/>
      <c r="C170" s="815"/>
      <c r="D170" s="1854"/>
      <c r="E170" s="1854"/>
      <c r="F170" s="1854"/>
      <c r="G170" s="816"/>
    </row>
    <row r="171" spans="1:7" s="723" customFormat="1" ht="13.7" customHeight="1">
      <c r="A171" s="814"/>
      <c r="B171" s="814"/>
      <c r="C171" s="815"/>
      <c r="D171" s="1854"/>
      <c r="E171" s="1854"/>
      <c r="F171" s="1854"/>
      <c r="G171" s="816"/>
    </row>
    <row r="172" spans="1:7" s="723" customFormat="1" ht="13.7" customHeight="1">
      <c r="A172" s="814"/>
      <c r="B172" s="814"/>
      <c r="C172" s="815"/>
      <c r="D172" s="1854"/>
      <c r="E172" s="1854"/>
      <c r="F172" s="1854"/>
      <c r="G172" s="816"/>
    </row>
    <row r="173" spans="1:7" s="723" customFormat="1" ht="13.7" customHeight="1">
      <c r="A173" s="789"/>
      <c r="B173" s="789"/>
      <c r="C173" s="805"/>
      <c r="D173" s="786"/>
      <c r="E173" s="786"/>
      <c r="F173" s="786"/>
      <c r="G173" s="673"/>
    </row>
    <row r="174" spans="1:7" s="723" customFormat="1" ht="13.7" customHeight="1">
      <c r="A174" s="789"/>
      <c r="B174" s="799" t="s">
        <v>2553</v>
      </c>
      <c r="C174" s="805"/>
      <c r="D174" s="1899" t="s">
        <v>1270</v>
      </c>
      <c r="E174" s="1899"/>
      <c r="F174" s="1899"/>
      <c r="G174" s="673"/>
    </row>
    <row r="175" spans="1:7" s="723" customFormat="1" ht="13.7" customHeight="1">
      <c r="A175" s="789"/>
      <c r="B175" s="789"/>
      <c r="C175" s="805"/>
      <c r="D175" s="1899"/>
      <c r="E175" s="1899"/>
      <c r="F175" s="1899"/>
      <c r="G175" s="673"/>
    </row>
    <row r="176" spans="1:7" s="723" customFormat="1" ht="13.7" customHeight="1">
      <c r="A176" s="789"/>
      <c r="B176" s="789"/>
      <c r="C176" s="805"/>
      <c r="D176" s="1899"/>
      <c r="E176" s="1899"/>
      <c r="F176" s="1899"/>
      <c r="G176" s="673"/>
    </row>
    <row r="177" spans="1:7" s="723" customFormat="1" ht="13.7" customHeight="1">
      <c r="A177" s="817"/>
      <c r="B177" s="817"/>
      <c r="C177" s="805"/>
      <c r="D177" s="790"/>
      <c r="E177" s="786"/>
      <c r="F177" s="786"/>
      <c r="G177" s="673"/>
    </row>
    <row r="178" spans="1:7">
      <c r="A178" s="1877" t="s">
        <v>1164</v>
      </c>
      <c r="B178" s="1877"/>
      <c r="C178" s="1877"/>
      <c r="D178" s="1877"/>
      <c r="E178" s="1877"/>
      <c r="F178" s="1877"/>
      <c r="G178" s="1877"/>
    </row>
    <row r="179" spans="1:7" ht="12" customHeight="1">
      <c r="D179" s="801"/>
      <c r="E179" s="801"/>
      <c r="F179" s="801"/>
    </row>
    <row r="180" spans="1:7">
      <c r="B180" s="1947" t="s">
        <v>471</v>
      </c>
      <c r="C180" s="1947"/>
      <c r="D180" s="1947"/>
      <c r="E180" s="1947"/>
      <c r="F180" s="1947"/>
    </row>
    <row r="181" spans="1:7" ht="12" customHeight="1">
      <c r="A181" s="794"/>
      <c r="B181" s="794"/>
      <c r="C181" s="794"/>
    </row>
    <row r="182" spans="1:7">
      <c r="A182" s="1877" t="s">
        <v>1165</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13" t="s">
        <v>2264</v>
      </c>
      <c r="E184" s="1913"/>
      <c r="F184" s="1913"/>
      <c r="G184" s="820"/>
    </row>
    <row r="185" spans="1:7">
      <c r="A185" s="818"/>
      <c r="B185" s="818"/>
      <c r="C185" s="819"/>
      <c r="D185" s="1913"/>
      <c r="E185" s="1913"/>
      <c r="F185" s="1913"/>
      <c r="G185" s="820"/>
    </row>
    <row r="186" spans="1:7">
      <c r="A186" s="818"/>
      <c r="B186" s="818"/>
      <c r="C186" s="819"/>
      <c r="D186" s="1914" t="s">
        <v>1406</v>
      </c>
      <c r="E186" s="1914"/>
      <c r="F186" s="1914"/>
      <c r="G186" s="820"/>
    </row>
    <row r="187" spans="1:7">
      <c r="A187" s="818"/>
      <c r="B187" s="818"/>
      <c r="C187" s="819"/>
      <c r="D187" s="1720"/>
      <c r="E187" s="1720"/>
      <c r="F187" s="1720"/>
      <c r="G187" s="820"/>
    </row>
    <row r="188" spans="1:7">
      <c r="A188" s="818"/>
      <c r="B188" s="799" t="s">
        <v>2554</v>
      </c>
      <c r="C188" s="819"/>
      <c r="D188" s="1876" t="s">
        <v>2265</v>
      </c>
      <c r="E188" s="1876"/>
      <c r="F188" s="1876"/>
      <c r="G188" s="820"/>
    </row>
    <row r="189" spans="1:7">
      <c r="A189" s="818"/>
      <c r="B189" s="818"/>
      <c r="C189" s="819"/>
      <c r="D189" s="1880" t="s">
        <v>2266</v>
      </c>
      <c r="E189" s="1880"/>
      <c r="F189" s="1880"/>
      <c r="G189" s="820"/>
    </row>
    <row r="190" spans="1:7">
      <c r="A190" s="818"/>
      <c r="B190" s="818"/>
      <c r="C190" s="819"/>
      <c r="D190" s="1737" t="s">
        <v>2267</v>
      </c>
      <c r="E190" s="1981" t="s">
        <v>2268</v>
      </c>
      <c r="F190" s="1981"/>
      <c r="G190" s="820"/>
    </row>
    <row r="191" spans="1:7">
      <c r="A191" s="818"/>
      <c r="B191" s="818"/>
      <c r="C191" s="819"/>
      <c r="D191" s="155"/>
      <c r="E191" s="155"/>
      <c r="F191" s="155"/>
      <c r="G191" s="820"/>
    </row>
    <row r="192" spans="1:7">
      <c r="A192" s="818"/>
      <c r="B192" s="799" t="s">
        <v>2553</v>
      </c>
      <c r="C192" s="819"/>
      <c r="D192" s="1880" t="s">
        <v>2269</v>
      </c>
      <c r="E192" s="1880"/>
      <c r="F192" s="1880"/>
      <c r="G192" s="820"/>
    </row>
    <row r="193" spans="1:7">
      <c r="A193" s="818"/>
      <c r="B193" s="818"/>
      <c r="C193" s="819"/>
      <c r="D193" s="1876" t="s">
        <v>2266</v>
      </c>
      <c r="E193" s="1876"/>
      <c r="F193" s="1876"/>
      <c r="G193" s="820"/>
    </row>
    <row r="194" spans="1:7">
      <c r="A194" s="818"/>
      <c r="B194" s="818"/>
      <c r="C194" s="819"/>
      <c r="D194" s="1718" t="s">
        <v>2270</v>
      </c>
      <c r="E194" s="1980" t="s">
        <v>2271</v>
      </c>
      <c r="F194" s="1980"/>
      <c r="G194" s="820"/>
    </row>
    <row r="195" spans="1:7">
      <c r="A195" s="818"/>
      <c r="B195" s="818"/>
      <c r="C195" s="819"/>
      <c r="D195" s="155"/>
      <c r="E195" s="155"/>
      <c r="F195" s="155"/>
      <c r="G195" s="820"/>
    </row>
    <row r="196" spans="1:7">
      <c r="A196" s="818"/>
      <c r="B196" s="799" t="s">
        <v>2553</v>
      </c>
      <c r="C196" s="819"/>
      <c r="D196" s="1880" t="s">
        <v>2272</v>
      </c>
      <c r="E196" s="1880"/>
      <c r="F196" s="1880"/>
      <c r="G196" s="820"/>
    </row>
    <row r="197" spans="1:7">
      <c r="A197" s="818"/>
      <c r="B197" s="818"/>
      <c r="C197" s="819"/>
      <c r="D197" s="1713" t="s">
        <v>2266</v>
      </c>
      <c r="E197" s="155"/>
      <c r="F197" s="155"/>
      <c r="G197" s="820"/>
    </row>
    <row r="198" spans="1:7">
      <c r="A198" s="818"/>
      <c r="B198" s="818"/>
      <c r="C198" s="819"/>
      <c r="D198" s="1718" t="s">
        <v>2267</v>
      </c>
      <c r="E198" s="1980" t="s">
        <v>2273</v>
      </c>
      <c r="F198" s="1980"/>
      <c r="G198" s="820"/>
    </row>
    <row r="199" spans="1:7">
      <c r="A199" s="818"/>
      <c r="B199" s="818"/>
      <c r="C199" s="819"/>
      <c r="D199" s="1720"/>
      <c r="E199" s="1720"/>
      <c r="F199" s="1720"/>
      <c r="G199" s="820"/>
    </row>
    <row r="200" spans="1:7" ht="14.25">
      <c r="A200" s="798"/>
      <c r="B200" s="799" t="s">
        <v>2553</v>
      </c>
      <c r="C200" s="819"/>
      <c r="D200" s="1912" t="s">
        <v>2274</v>
      </c>
      <c r="E200" s="1912"/>
      <c r="F200" s="1912"/>
      <c r="G200" s="820"/>
    </row>
    <row r="201" spans="1:7" ht="14.25">
      <c r="A201" s="798"/>
      <c r="B201" s="798"/>
      <c r="C201" s="819"/>
      <c r="D201" s="1912"/>
      <c r="E201" s="1912"/>
      <c r="F201" s="1912"/>
      <c r="G201" s="820"/>
    </row>
    <row r="202" spans="1:7">
      <c r="A202" s="819"/>
      <c r="B202" s="819"/>
      <c r="C202" s="819"/>
      <c r="D202" s="1912"/>
      <c r="E202" s="1912"/>
      <c r="F202" s="1912"/>
    </row>
    <row r="203" spans="1:7">
      <c r="A203" s="819"/>
      <c r="B203" s="819"/>
      <c r="C203" s="819"/>
      <c r="D203" s="804"/>
      <c r="E203" s="820"/>
      <c r="F203" s="820"/>
    </row>
    <row r="204" spans="1:7">
      <c r="A204" s="819"/>
      <c r="B204" s="799" t="s">
        <v>2553</v>
      </c>
      <c r="C204" s="819"/>
      <c r="D204" s="1880" t="s">
        <v>2275</v>
      </c>
      <c r="E204" s="1880"/>
      <c r="F204" s="1880"/>
    </row>
    <row r="205" spans="1:7">
      <c r="A205" s="819"/>
      <c r="B205" s="819"/>
      <c r="C205" s="819"/>
      <c r="D205" s="1880" t="s">
        <v>2266</v>
      </c>
      <c r="E205" s="1880"/>
      <c r="F205" s="1880"/>
    </row>
    <row r="206" spans="1:7">
      <c r="A206" s="819"/>
      <c r="B206" s="819"/>
      <c r="C206" s="819"/>
      <c r="D206" s="1718" t="s">
        <v>2267</v>
      </c>
      <c r="E206" s="1980" t="s">
        <v>2276</v>
      </c>
      <c r="F206" s="1980"/>
    </row>
    <row r="207" spans="1:7">
      <c r="A207" s="819"/>
      <c r="B207" s="819"/>
      <c r="C207" s="819"/>
      <c r="D207" s="780"/>
      <c r="E207" s="780"/>
      <c r="F207" s="780"/>
    </row>
    <row r="208" spans="1:7" s="619" customFormat="1" ht="14.25">
      <c r="A208" s="798"/>
      <c r="B208" s="799" t="s">
        <v>2553</v>
      </c>
      <c r="C208" s="807"/>
      <c r="D208" s="1912" t="s">
        <v>1432</v>
      </c>
      <c r="E208" s="1912"/>
      <c r="F208" s="1912"/>
      <c r="G208" s="694"/>
    </row>
    <row r="209" spans="1:7" s="619" customFormat="1" ht="14.45" customHeight="1">
      <c r="A209" s="798"/>
      <c r="C209" s="807"/>
      <c r="D209" s="1912"/>
      <c r="E209" s="1912"/>
      <c r="F209" s="1912"/>
      <c r="G209" s="694"/>
    </row>
    <row r="210" spans="1:7" s="619" customFormat="1" ht="14.25">
      <c r="A210" s="798"/>
      <c r="B210" s="819"/>
      <c r="C210" s="807"/>
      <c r="D210" s="1912"/>
      <c r="E210" s="1912"/>
      <c r="F210" s="1912"/>
      <c r="G210" s="694"/>
    </row>
    <row r="211" spans="1:7" s="619" customFormat="1" ht="14.25">
      <c r="A211" s="798"/>
      <c r="B211" s="819"/>
      <c r="C211" s="807"/>
      <c r="D211" s="1912"/>
      <c r="E211" s="1912"/>
      <c r="F211" s="1912"/>
      <c r="G211" s="694"/>
    </row>
    <row r="212" spans="1:7">
      <c r="A212" s="819"/>
      <c r="B212" s="819"/>
      <c r="C212" s="819"/>
      <c r="D212" s="780"/>
      <c r="E212" s="780"/>
      <c r="F212" s="780"/>
    </row>
    <row r="213" spans="1:7">
      <c r="A213" s="1877" t="s">
        <v>1166</v>
      </c>
      <c r="B213" s="1877"/>
      <c r="C213" s="1877"/>
      <c r="D213" s="1877"/>
      <c r="E213" s="1877"/>
      <c r="F213" s="1877"/>
      <c r="G213" s="1877"/>
    </row>
    <row r="214" spans="1:7" ht="12" customHeight="1">
      <c r="D214" s="801"/>
      <c r="E214" s="801"/>
      <c r="F214" s="801"/>
    </row>
    <row r="215" spans="1:7">
      <c r="C215" s="808"/>
      <c r="D215" s="1973" t="s">
        <v>213</v>
      </c>
      <c r="E215" s="1973"/>
      <c r="F215" s="1973"/>
    </row>
    <row r="216" spans="1:7">
      <c r="A216" s="794"/>
      <c r="B216" s="794"/>
      <c r="C216" s="794"/>
      <c r="D216" s="1949" t="s">
        <v>1295</v>
      </c>
      <c r="E216" s="1949"/>
      <c r="F216" s="1949"/>
    </row>
    <row r="217" spans="1:7" ht="12" customHeight="1">
      <c r="A217" s="817"/>
      <c r="B217" s="817"/>
      <c r="C217" s="817"/>
    </row>
    <row r="218" spans="1:7" ht="13.7" customHeight="1">
      <c r="A218" s="817"/>
      <c r="C218" s="817"/>
      <c r="D218" s="1867" t="s">
        <v>580</v>
      </c>
      <c r="E218" s="1867"/>
      <c r="F218" s="1867"/>
    </row>
    <row r="219" spans="1:7" ht="14.25">
      <c r="A219" s="798"/>
      <c r="B219" s="799" t="s">
        <v>2554</v>
      </c>
      <c r="D219" s="1912" t="s">
        <v>2277</v>
      </c>
      <c r="E219" s="1912"/>
      <c r="F219" s="1912"/>
    </row>
    <row r="220" spans="1:7" ht="14.25" customHeight="1">
      <c r="A220" s="798"/>
      <c r="B220" s="798"/>
      <c r="D220" s="1912"/>
      <c r="E220" s="1912"/>
      <c r="F220" s="1912"/>
    </row>
    <row r="221" spans="1:7" ht="14.25" customHeight="1">
      <c r="A221" s="798"/>
      <c r="B221" s="798"/>
      <c r="D221" s="1912"/>
      <c r="E221" s="1912"/>
      <c r="F221" s="1912"/>
    </row>
    <row r="222" spans="1:7" ht="14.25">
      <c r="A222" s="798"/>
      <c r="B222" s="798"/>
      <c r="D222" s="1912"/>
      <c r="E222" s="1912"/>
      <c r="F222" s="1912"/>
    </row>
    <row r="223" spans="1:7" ht="14.25">
      <c r="A223" s="798"/>
      <c r="B223" s="798"/>
      <c r="D223" s="1719"/>
      <c r="E223" s="1719"/>
      <c r="F223" s="1719"/>
    </row>
    <row r="224" spans="1:7" ht="14.25">
      <c r="A224" s="798"/>
      <c r="B224" s="799" t="s">
        <v>2554</v>
      </c>
      <c r="D224" s="1912" t="s">
        <v>2278</v>
      </c>
      <c r="E224" s="1912"/>
      <c r="F224" s="1912"/>
    </row>
    <row r="225" spans="1:6" ht="14.25">
      <c r="A225" s="798"/>
      <c r="B225" s="798"/>
      <c r="D225" s="1912"/>
      <c r="E225" s="1912"/>
      <c r="F225" s="1912"/>
    </row>
    <row r="226" spans="1:6" ht="14.25">
      <c r="A226" s="798"/>
      <c r="B226" s="798"/>
      <c r="D226" s="1912"/>
      <c r="E226" s="1912"/>
      <c r="F226" s="1912"/>
    </row>
    <row r="227" spans="1:6" ht="14.25">
      <c r="A227" s="798"/>
      <c r="B227" s="798"/>
      <c r="D227" s="1912"/>
      <c r="E227" s="1912"/>
      <c r="F227" s="1912"/>
    </row>
    <row r="228" spans="1:6" ht="14.25" customHeight="1">
      <c r="A228" s="798"/>
      <c r="B228" s="798"/>
      <c r="D228" s="1912"/>
      <c r="E228" s="1912"/>
      <c r="F228" s="1912"/>
    </row>
    <row r="229" spans="1:6" ht="14.25" customHeight="1">
      <c r="A229" s="798"/>
      <c r="B229" s="798"/>
      <c r="D229" s="1719"/>
      <c r="E229" s="1719"/>
      <c r="F229" s="1719"/>
    </row>
    <row r="230" spans="1:6" ht="14.25">
      <c r="A230" s="798"/>
      <c r="B230" s="798"/>
      <c r="D230" s="1912" t="s">
        <v>1291</v>
      </c>
      <c r="E230" s="1912"/>
      <c r="F230" s="1912"/>
    </row>
    <row r="231" spans="1:6" ht="14.25">
      <c r="A231" s="798"/>
      <c r="B231" s="798"/>
      <c r="D231" s="1912"/>
      <c r="E231" s="1912"/>
      <c r="F231" s="1912"/>
    </row>
    <row r="232" spans="1:6" ht="14.25">
      <c r="A232" s="798"/>
      <c r="B232" s="798"/>
      <c r="D232" s="1912"/>
      <c r="E232" s="1912"/>
      <c r="F232" s="1912"/>
    </row>
    <row r="233" spans="1:6" ht="14.25">
      <c r="A233" s="798"/>
      <c r="B233" s="798"/>
      <c r="D233" s="1912"/>
      <c r="E233" s="1912"/>
      <c r="F233" s="1912"/>
    </row>
    <row r="234" spans="1:6" ht="14.25">
      <c r="A234" s="798"/>
      <c r="B234" s="798"/>
      <c r="D234" s="1912"/>
      <c r="E234" s="1912"/>
      <c r="F234" s="1912"/>
    </row>
    <row r="235" spans="1:6" ht="14.25">
      <c r="A235" s="798"/>
      <c r="B235" s="798"/>
      <c r="D235" s="801"/>
      <c r="E235" s="801"/>
      <c r="F235" s="801"/>
    </row>
    <row r="236" spans="1:6" ht="14.25">
      <c r="A236" s="798"/>
      <c r="B236" s="799" t="s">
        <v>2553</v>
      </c>
      <c r="D236" s="1946" t="s">
        <v>2282</v>
      </c>
      <c r="E236" s="1946"/>
      <c r="F236" s="1946"/>
    </row>
    <row r="237" spans="1:6" ht="14.25">
      <c r="A237" s="798"/>
      <c r="B237" s="798"/>
      <c r="D237" s="1946"/>
      <c r="E237" s="1946"/>
      <c r="F237" s="1946"/>
    </row>
    <row r="238" spans="1:6" ht="14.25">
      <c r="A238" s="798"/>
      <c r="B238" s="798"/>
      <c r="D238" s="1946"/>
      <c r="E238" s="1946"/>
      <c r="F238" s="1946"/>
    </row>
    <row r="239" spans="1:6" ht="14.25">
      <c r="A239" s="798"/>
      <c r="B239" s="798"/>
      <c r="D239" s="1947" t="s">
        <v>966</v>
      </c>
      <c r="E239" s="1947"/>
      <c r="F239" s="1947"/>
    </row>
    <row r="240" spans="1:6" ht="14.25">
      <c r="A240" s="798"/>
      <c r="B240" s="798"/>
      <c r="D240" s="801"/>
      <c r="E240" s="801"/>
      <c r="F240" s="801"/>
    </row>
    <row r="241" spans="1:7" ht="14.45" customHeight="1">
      <c r="A241" s="798"/>
      <c r="B241" s="799" t="s">
        <v>2554</v>
      </c>
      <c r="D241" s="1946" t="s">
        <v>1294</v>
      </c>
      <c r="E241" s="1946"/>
      <c r="F241" s="1946"/>
    </row>
    <row r="242" spans="1:7" ht="14.25">
      <c r="A242" s="798"/>
      <c r="B242" s="798"/>
      <c r="D242" s="1946"/>
      <c r="E242" s="1946"/>
      <c r="F242" s="1946"/>
    </row>
    <row r="243" spans="1:7" ht="14.25">
      <c r="A243" s="798"/>
      <c r="B243" s="798"/>
      <c r="D243" s="1946"/>
      <c r="E243" s="1946"/>
      <c r="F243" s="1946"/>
    </row>
    <row r="244" spans="1:7" ht="14.25">
      <c r="A244" s="798"/>
      <c r="B244" s="798"/>
      <c r="D244" s="1946"/>
      <c r="E244" s="1946"/>
      <c r="F244" s="1946"/>
    </row>
    <row r="245" spans="1:7" ht="14.25">
      <c r="A245" s="798"/>
      <c r="B245" s="798"/>
      <c r="D245" s="1946"/>
      <c r="E245" s="1946"/>
      <c r="F245" s="1946"/>
    </row>
    <row r="246" spans="1:7" ht="14.25">
      <c r="A246" s="798"/>
      <c r="B246" s="798"/>
      <c r="D246" s="1731"/>
      <c r="E246" s="1731"/>
      <c r="F246" s="1731"/>
    </row>
    <row r="247" spans="1:7" ht="14.25">
      <c r="A247" s="798"/>
      <c r="B247" s="799" t="s">
        <v>2554</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2554</v>
      </c>
      <c r="D250" s="1912" t="s">
        <v>1293</v>
      </c>
      <c r="E250" s="1912"/>
      <c r="F250" s="1912"/>
    </row>
    <row r="251" spans="1:7" ht="14.25">
      <c r="A251" s="798"/>
      <c r="B251" s="798"/>
      <c r="D251" s="1912"/>
      <c r="E251" s="1912"/>
      <c r="F251" s="1912"/>
    </row>
    <row r="252" spans="1:7">
      <c r="D252" s="822"/>
    </row>
    <row r="253" spans="1:7">
      <c r="A253" s="1877" t="s">
        <v>1167</v>
      </c>
      <c r="B253" s="1877"/>
      <c r="C253" s="1877"/>
      <c r="D253" s="1877"/>
      <c r="E253" s="1877"/>
      <c r="F253" s="1877"/>
      <c r="G253" s="1877"/>
    </row>
    <row r="254" spans="1:7">
      <c r="D254" s="822"/>
    </row>
    <row r="255" spans="1:7">
      <c r="C255" s="808"/>
      <c r="D255" s="1867" t="s">
        <v>1296</v>
      </c>
      <c r="E255" s="1867"/>
      <c r="F255" s="1867"/>
    </row>
    <row r="256" spans="1:7">
      <c r="A256" s="794"/>
      <c r="B256" s="794"/>
      <c r="C256" s="794"/>
      <c r="D256" s="801"/>
      <c r="E256" s="801"/>
      <c r="F256" s="801"/>
    </row>
    <row r="257" spans="1:6">
      <c r="A257" s="796"/>
      <c r="B257" s="796"/>
      <c r="C257" s="796"/>
      <c r="D257" s="1867" t="s">
        <v>276</v>
      </c>
      <c r="E257" s="1867"/>
      <c r="F257" s="1867"/>
    </row>
    <row r="258" spans="1:6" ht="14.45" customHeight="1">
      <c r="A258" s="798"/>
      <c r="B258" s="799" t="s">
        <v>2554</v>
      </c>
      <c r="D258" s="1966" t="s">
        <v>1407</v>
      </c>
      <c r="E258" s="1966"/>
      <c r="F258" s="1966"/>
    </row>
    <row r="259" spans="1:6">
      <c r="D259" s="1966"/>
      <c r="E259" s="1966"/>
      <c r="F259" s="1966"/>
    </row>
    <row r="260" spans="1:6">
      <c r="D260" s="1949" t="s">
        <v>957</v>
      </c>
      <c r="E260" s="1949"/>
      <c r="F260" s="1949"/>
    </row>
    <row r="261" spans="1:6">
      <c r="D261" s="801"/>
      <c r="E261" s="801"/>
      <c r="F261" s="801"/>
    </row>
    <row r="262" spans="1:6" ht="14.45" customHeight="1">
      <c r="A262" s="798"/>
      <c r="B262" s="799" t="s">
        <v>2553</v>
      </c>
      <c r="D262" s="1946" t="s">
        <v>2281</v>
      </c>
      <c r="E262" s="1946"/>
      <c r="F262" s="1946"/>
    </row>
    <row r="263" spans="1:6">
      <c r="D263" s="1946"/>
      <c r="E263" s="1946"/>
      <c r="F263" s="1946"/>
    </row>
    <row r="264" spans="1:6">
      <c r="D264" s="1946"/>
      <c r="E264" s="1946"/>
      <c r="F264" s="1946"/>
    </row>
    <row r="265" spans="1:6">
      <c r="D265" s="1946"/>
      <c r="E265" s="1946"/>
      <c r="F265" s="1946"/>
    </row>
    <row r="266" spans="1:6">
      <c r="D266" s="1946"/>
      <c r="E266" s="1946"/>
      <c r="F266" s="1946"/>
    </row>
    <row r="267" spans="1:6">
      <c r="D267" s="1946"/>
      <c r="E267" s="1946"/>
      <c r="F267" s="1946"/>
    </row>
    <row r="268" spans="1:6">
      <c r="D268" s="801"/>
      <c r="E268" s="801"/>
      <c r="F268" s="801"/>
    </row>
    <row r="269" spans="1:6" ht="14.25">
      <c r="A269" s="798"/>
      <c r="B269" s="799" t="s">
        <v>2553</v>
      </c>
      <c r="D269" s="1912" t="s">
        <v>1299</v>
      </c>
      <c r="E269" s="1912"/>
      <c r="F269" s="1912"/>
    </row>
    <row r="270" spans="1:6">
      <c r="D270" s="1912"/>
      <c r="E270" s="1912"/>
      <c r="F270" s="1912"/>
    </row>
    <row r="271" spans="1:6">
      <c r="D271" s="1912"/>
      <c r="E271" s="1912"/>
      <c r="F271" s="1912"/>
    </row>
    <row r="272" spans="1:6">
      <c r="D272" s="823"/>
      <c r="E272" s="801"/>
      <c r="F272" s="801"/>
    </row>
    <row r="273" spans="1:7">
      <c r="A273" s="1877" t="s">
        <v>1168</v>
      </c>
      <c r="B273" s="1877"/>
      <c r="C273" s="1877"/>
      <c r="D273" s="1877"/>
      <c r="E273" s="1877"/>
      <c r="F273" s="1877"/>
      <c r="G273" s="1877"/>
    </row>
    <row r="274" spans="1:7">
      <c r="D274" s="823"/>
      <c r="E274" s="801"/>
      <c r="F274" s="801"/>
    </row>
    <row r="275" spans="1:7">
      <c r="C275" s="794"/>
      <c r="D275" s="1948" t="s">
        <v>1301</v>
      </c>
      <c r="E275" s="1948"/>
      <c r="F275" s="1948"/>
    </row>
    <row r="276" spans="1:7">
      <c r="C276" s="794"/>
      <c r="D276" s="1948"/>
      <c r="E276" s="1948"/>
      <c r="F276" s="1948"/>
    </row>
    <row r="277" spans="1:7">
      <c r="A277" s="796"/>
      <c r="B277" s="796"/>
      <c r="C277" s="796"/>
      <c r="D277" s="623"/>
      <c r="E277" s="673"/>
      <c r="F277" s="673"/>
    </row>
    <row r="278" spans="1:7">
      <c r="C278" s="796"/>
      <c r="D278" s="1867" t="s">
        <v>214</v>
      </c>
      <c r="E278" s="1867"/>
      <c r="F278" s="1867"/>
    </row>
    <row r="279" spans="1:7" ht="15.75" customHeight="1">
      <c r="A279" s="798"/>
      <c r="B279" s="798"/>
      <c r="D279" s="1959" t="s">
        <v>1302</v>
      </c>
      <c r="E279" s="1959"/>
      <c r="F279" s="1959"/>
    </row>
    <row r="280" spans="1:7">
      <c r="E280" s="801"/>
      <c r="F280" s="801"/>
    </row>
    <row r="281" spans="1:7" ht="14.25">
      <c r="A281" s="798"/>
      <c r="B281" s="799" t="s">
        <v>2553</v>
      </c>
      <c r="D281" s="1912" t="s">
        <v>1303</v>
      </c>
      <c r="E281" s="1912"/>
      <c r="F281" s="1912"/>
    </row>
    <row r="282" spans="1:7" ht="14.25">
      <c r="A282" s="798"/>
      <c r="B282" s="798"/>
      <c r="D282" s="1912"/>
      <c r="E282" s="1912"/>
      <c r="F282" s="1912"/>
    </row>
    <row r="283" spans="1:7">
      <c r="D283" s="801"/>
      <c r="E283" s="801"/>
      <c r="F283" s="801"/>
    </row>
    <row r="284" spans="1:7" ht="14.25">
      <c r="A284" s="798"/>
      <c r="B284" s="799" t="s">
        <v>2553</v>
      </c>
      <c r="D284" s="1946" t="s">
        <v>1304</v>
      </c>
      <c r="E284" s="1946"/>
      <c r="F284" s="1946"/>
    </row>
    <row r="285" spans="1:7" ht="14.25">
      <c r="A285" s="798"/>
      <c r="B285" s="798"/>
      <c r="D285" s="1946"/>
      <c r="E285" s="1946"/>
      <c r="F285" s="1946"/>
    </row>
    <row r="286" spans="1:7" ht="14.25">
      <c r="A286" s="798"/>
      <c r="B286" s="798"/>
      <c r="D286" s="1946"/>
      <c r="E286" s="1946"/>
      <c r="F286" s="1946"/>
    </row>
    <row r="287" spans="1:7">
      <c r="D287" s="801"/>
      <c r="E287" s="801"/>
      <c r="F287" s="801"/>
    </row>
    <row r="288" spans="1:7" ht="14.25">
      <c r="A288" s="798"/>
      <c r="B288" s="799" t="s">
        <v>2553</v>
      </c>
      <c r="D288" s="1912" t="s">
        <v>1305</v>
      </c>
      <c r="E288" s="1912"/>
      <c r="F288" s="1912"/>
    </row>
    <row r="289" spans="1:7" ht="14.25">
      <c r="A289" s="798"/>
      <c r="B289" s="798"/>
      <c r="D289" s="1912"/>
      <c r="E289" s="1912"/>
      <c r="F289" s="1912"/>
    </row>
    <row r="290" spans="1:7">
      <c r="A290" s="817"/>
      <c r="B290" s="817"/>
      <c r="E290" s="801"/>
      <c r="F290" s="801"/>
    </row>
    <row r="291" spans="1:7">
      <c r="A291" s="1877" t="s">
        <v>1169</v>
      </c>
      <c r="B291" s="1877"/>
      <c r="C291" s="1877"/>
      <c r="D291" s="1877"/>
      <c r="E291" s="1877"/>
      <c r="F291" s="1877"/>
      <c r="G291" s="1877"/>
    </row>
    <row r="292" spans="1:7">
      <c r="A292" s="817"/>
      <c r="B292" s="817"/>
      <c r="D292" s="801"/>
      <c r="E292" s="801"/>
      <c r="F292" s="801"/>
    </row>
    <row r="293" spans="1:7">
      <c r="C293" s="817"/>
      <c r="D293" s="1867" t="s">
        <v>720</v>
      </c>
      <c r="E293" s="1867"/>
      <c r="F293" s="1867"/>
    </row>
    <row r="294" spans="1:7">
      <c r="C294" s="817"/>
      <c r="D294" s="1917" t="s">
        <v>1306</v>
      </c>
      <c r="E294" s="1917"/>
      <c r="F294" s="1917"/>
    </row>
    <row r="295" spans="1:7">
      <c r="C295" s="817"/>
      <c r="D295" s="824"/>
    </row>
    <row r="296" spans="1:7">
      <c r="A296" s="802"/>
      <c r="B296" s="799" t="s">
        <v>2553</v>
      </c>
      <c r="D296" s="1917" t="s">
        <v>1307</v>
      </c>
      <c r="E296" s="1917"/>
      <c r="F296" s="1917"/>
    </row>
    <row r="297" spans="1:7" s="792" customFormat="1" ht="14.25">
      <c r="A297" s="806"/>
      <c r="B297" s="806"/>
      <c r="C297" s="802"/>
      <c r="D297" s="825"/>
      <c r="E297" s="826"/>
      <c r="F297" s="826"/>
      <c r="G297" s="803"/>
    </row>
    <row r="298" spans="1:7" s="792" customFormat="1" ht="13.7" customHeight="1">
      <c r="A298" s="802"/>
      <c r="B298" s="799" t="s">
        <v>2553</v>
      </c>
      <c r="C298" s="802"/>
      <c r="D298" s="1955" t="s">
        <v>1436</v>
      </c>
      <c r="E298" s="1955"/>
      <c r="F298" s="1955"/>
      <c r="G298" s="803"/>
    </row>
    <row r="299" spans="1:7" s="792" customFormat="1" ht="14.25">
      <c r="A299" s="806"/>
      <c r="B299" s="806"/>
      <c r="C299" s="802"/>
      <c r="D299" s="1955"/>
      <c r="E299" s="1955"/>
      <c r="F299" s="1955"/>
      <c r="G299" s="803"/>
    </row>
    <row r="300" spans="1:7" s="792" customFormat="1" ht="14.25">
      <c r="A300" s="806"/>
      <c r="B300" s="806"/>
      <c r="C300" s="802"/>
      <c r="D300" s="1955"/>
      <c r="E300" s="1955"/>
      <c r="F300" s="1955"/>
      <c r="G300" s="803"/>
    </row>
    <row r="301" spans="1:7" s="792" customFormat="1" ht="14.25">
      <c r="A301" s="806"/>
      <c r="B301" s="806"/>
      <c r="C301" s="802"/>
      <c r="D301" s="1955"/>
      <c r="E301" s="1955"/>
      <c r="F301" s="1955"/>
      <c r="G301" s="803"/>
    </row>
    <row r="302" spans="1:7" s="792" customFormat="1" ht="14.25">
      <c r="A302" s="806"/>
      <c r="B302" s="806"/>
      <c r="C302" s="802"/>
      <c r="D302" s="1955"/>
      <c r="E302" s="1955"/>
      <c r="F302" s="1955"/>
      <c r="G302" s="803"/>
    </row>
    <row r="303" spans="1:7" s="792" customFormat="1" ht="14.25">
      <c r="A303" s="806"/>
      <c r="B303" s="806"/>
      <c r="C303" s="802"/>
      <c r="D303" s="825"/>
      <c r="E303" s="826"/>
      <c r="F303" s="826"/>
      <c r="G303" s="803"/>
    </row>
    <row r="304" spans="1:7" s="792" customFormat="1" ht="13.7" customHeight="1">
      <c r="A304" s="802"/>
      <c r="B304" s="799" t="s">
        <v>2553</v>
      </c>
      <c r="C304" s="802"/>
      <c r="D304" s="1955" t="s">
        <v>1309</v>
      </c>
      <c r="E304" s="1955"/>
      <c r="F304" s="1955"/>
      <c r="G304" s="803"/>
    </row>
    <row r="305" spans="1:7" s="792" customFormat="1">
      <c r="A305" s="802"/>
      <c r="B305" s="802"/>
      <c r="C305" s="802"/>
      <c r="D305" s="1955"/>
      <c r="E305" s="1955"/>
      <c r="F305" s="1955"/>
      <c r="G305" s="803"/>
    </row>
    <row r="306" spans="1:7" s="792" customFormat="1" ht="14.25">
      <c r="A306" s="806"/>
      <c r="B306" s="806"/>
      <c r="C306" s="802"/>
      <c r="D306" s="825"/>
      <c r="E306" s="826"/>
      <c r="F306" s="826"/>
      <c r="G306" s="803"/>
    </row>
    <row r="307" spans="1:7">
      <c r="A307" s="802"/>
      <c r="B307" s="799" t="s">
        <v>2553</v>
      </c>
      <c r="D307" s="1917" t="s">
        <v>1310</v>
      </c>
      <c r="E307" s="1917"/>
      <c r="F307" s="1917"/>
    </row>
    <row r="308" spans="1:7">
      <c r="E308" s="801"/>
      <c r="F308" s="801"/>
    </row>
    <row r="309" spans="1:7" ht="14.25">
      <c r="A309" s="798"/>
      <c r="B309" s="799" t="s">
        <v>2553</v>
      </c>
      <c r="D309" s="1946" t="s">
        <v>1464</v>
      </c>
      <c r="E309" s="1946"/>
      <c r="F309" s="1946"/>
    </row>
    <row r="310" spans="1:7" ht="14.25">
      <c r="A310" s="798"/>
      <c r="B310" s="798"/>
      <c r="D310" s="1946"/>
      <c r="E310" s="1946"/>
      <c r="F310" s="1946"/>
    </row>
    <row r="311" spans="1:7" ht="14.25">
      <c r="A311" s="798"/>
      <c r="B311" s="798"/>
      <c r="D311" s="1946"/>
      <c r="E311" s="1946"/>
      <c r="F311" s="1946"/>
    </row>
    <row r="312" spans="1:7" ht="14.25">
      <c r="A312" s="798"/>
      <c r="B312" s="798"/>
      <c r="D312" s="1946"/>
      <c r="E312" s="1946"/>
      <c r="F312" s="1946"/>
    </row>
    <row r="313" spans="1:7" ht="14.25">
      <c r="A313" s="798"/>
      <c r="B313" s="798"/>
      <c r="D313" s="1946"/>
      <c r="E313" s="1946"/>
      <c r="F313" s="1946"/>
    </row>
    <row r="314" spans="1:7" ht="14.25">
      <c r="A314" s="798"/>
      <c r="B314" s="798"/>
      <c r="D314" s="1946"/>
      <c r="E314" s="1946"/>
      <c r="F314" s="1946"/>
    </row>
    <row r="315" spans="1:7" ht="14.25">
      <c r="A315" s="798"/>
      <c r="B315" s="798"/>
      <c r="D315" s="1946"/>
      <c r="E315" s="1946"/>
      <c r="F315" s="1946"/>
    </row>
    <row r="316" spans="1:7" ht="14.25">
      <c r="A316" s="798"/>
      <c r="B316" s="798"/>
      <c r="D316" s="1946"/>
      <c r="E316" s="1946"/>
      <c r="F316" s="1946"/>
    </row>
    <row r="317" spans="1:7" ht="14.25">
      <c r="A317" s="798"/>
      <c r="B317" s="798"/>
      <c r="D317" s="1946"/>
      <c r="E317" s="1946"/>
      <c r="F317" s="1946"/>
    </row>
    <row r="318" spans="1:7" ht="14.25">
      <c r="A318" s="798"/>
      <c r="B318" s="798"/>
      <c r="D318" s="1946"/>
      <c r="E318" s="1946"/>
      <c r="F318" s="1946"/>
    </row>
    <row r="319" spans="1:7" ht="14.25">
      <c r="A319" s="798"/>
      <c r="B319" s="798"/>
      <c r="D319" s="1946"/>
      <c r="E319" s="1946"/>
      <c r="F319" s="1946"/>
    </row>
    <row r="320" spans="1:7" ht="14.25">
      <c r="A320" s="798"/>
      <c r="B320" s="798"/>
      <c r="D320" s="1946"/>
      <c r="E320" s="1946"/>
      <c r="F320" s="1946"/>
    </row>
    <row r="321" spans="1:7" ht="14.25">
      <c r="A321" s="798"/>
      <c r="B321" s="798"/>
      <c r="D321" s="1946"/>
      <c r="E321" s="1946"/>
      <c r="F321" s="1946"/>
    </row>
    <row r="322" spans="1:7" ht="14.25">
      <c r="A322" s="798"/>
      <c r="B322" s="798"/>
      <c r="D322" s="1946"/>
      <c r="E322" s="1946"/>
      <c r="F322" s="1946"/>
    </row>
    <row r="323" spans="1:7" ht="14.25">
      <c r="A323" s="798"/>
      <c r="B323" s="798"/>
      <c r="D323" s="1946"/>
      <c r="E323" s="1946"/>
      <c r="F323" s="1946"/>
    </row>
    <row r="324" spans="1:7">
      <c r="D324" s="801"/>
      <c r="E324" s="801"/>
      <c r="F324" s="801"/>
    </row>
    <row r="325" spans="1:7" ht="14.25">
      <c r="A325" s="798"/>
      <c r="B325" s="799" t="s">
        <v>2553</v>
      </c>
      <c r="D325" s="1946" t="s">
        <v>1312</v>
      </c>
      <c r="E325" s="1946"/>
      <c r="F325" s="1946"/>
    </row>
    <row r="326" spans="1:7">
      <c r="D326" s="1946"/>
      <c r="E326" s="1946"/>
      <c r="F326" s="1946"/>
    </row>
    <row r="327" spans="1:7">
      <c r="D327" s="1946"/>
      <c r="E327" s="1946"/>
      <c r="F327" s="1946"/>
    </row>
    <row r="328" spans="1:7">
      <c r="D328" s="1946"/>
      <c r="E328" s="1946"/>
      <c r="F328" s="1946"/>
    </row>
    <row r="329" spans="1:7">
      <c r="D329" s="1946"/>
      <c r="E329" s="1946"/>
      <c r="F329" s="1946"/>
    </row>
    <row r="330" spans="1:7">
      <c r="D330" s="1946"/>
      <c r="E330" s="1946"/>
      <c r="F330" s="1946"/>
    </row>
    <row r="331" spans="1:7">
      <c r="D331" s="1946"/>
      <c r="E331" s="1946"/>
      <c r="F331" s="1946"/>
    </row>
    <row r="332" spans="1:7">
      <c r="D332" s="1946"/>
      <c r="E332" s="1946"/>
      <c r="F332" s="1946"/>
    </row>
    <row r="333" spans="1:7">
      <c r="D333" s="1946"/>
      <c r="E333" s="1946"/>
      <c r="F333" s="1946"/>
    </row>
    <row r="334" spans="1:7">
      <c r="D334" s="801"/>
      <c r="E334" s="801"/>
      <c r="F334" s="801"/>
    </row>
    <row r="335" spans="1:7" ht="14.25">
      <c r="A335" s="798"/>
      <c r="B335" s="799" t="s">
        <v>2553</v>
      </c>
      <c r="D335" s="1912" t="s">
        <v>1515</v>
      </c>
      <c r="E335" s="1912"/>
      <c r="F335" s="1912"/>
    </row>
    <row r="336" spans="1:7">
      <c r="D336" s="1912"/>
      <c r="E336" s="1912"/>
      <c r="F336" s="1912"/>
      <c r="G336" s="791"/>
    </row>
    <row r="337" spans="1:9">
      <c r="D337" s="1912"/>
      <c r="E337" s="1912"/>
      <c r="F337" s="1912"/>
      <c r="G337" s="791"/>
    </row>
    <row r="338" spans="1:9">
      <c r="D338" s="1912"/>
      <c r="E338" s="1912"/>
      <c r="F338" s="1912"/>
      <c r="G338" s="791"/>
    </row>
    <row r="339" spans="1:9">
      <c r="D339" s="1912"/>
      <c r="E339" s="1912"/>
      <c r="F339" s="1912"/>
      <c r="G339" s="791"/>
    </row>
    <row r="340" spans="1:9">
      <c r="D340" s="1912"/>
      <c r="E340" s="1912"/>
      <c r="F340" s="1912"/>
      <c r="G340" s="791"/>
    </row>
    <row r="341" spans="1:9">
      <c r="D341" s="785"/>
      <c r="E341" s="785"/>
      <c r="F341" s="785"/>
      <c r="G341" s="791"/>
    </row>
    <row r="342" spans="1:9" ht="13.5" thickBot="1">
      <c r="D342" s="1965" t="s">
        <v>1062</v>
      </c>
      <c r="E342" s="1965"/>
      <c r="F342" s="1965"/>
      <c r="G342" s="791"/>
    </row>
    <row r="343" spans="1:9" ht="13.5" thickTop="1">
      <c r="D343" s="1956" t="s">
        <v>1314</v>
      </c>
      <c r="E343" s="1956"/>
      <c r="F343" s="1956"/>
      <c r="G343" s="791"/>
    </row>
    <row r="344" spans="1:9">
      <c r="A344" s="815"/>
      <c r="B344" s="815"/>
      <c r="C344" s="815"/>
      <c r="D344" s="787"/>
      <c r="E344" s="787"/>
      <c r="F344" s="801"/>
      <c r="G344" s="791"/>
    </row>
    <row r="345" spans="1:9" ht="14.25">
      <c r="A345" s="798"/>
      <c r="B345" s="799" t="s">
        <v>2553</v>
      </c>
      <c r="C345" s="815"/>
      <c r="D345" s="1924" t="s">
        <v>1315</v>
      </c>
      <c r="E345" s="1924"/>
      <c r="F345" s="1924"/>
      <c r="G345" s="791"/>
    </row>
    <row r="346" spans="1:9">
      <c r="A346" s="815"/>
      <c r="B346" s="815"/>
      <c r="C346" s="815"/>
      <c r="D346" s="787"/>
      <c r="E346" s="787"/>
      <c r="F346" s="801"/>
      <c r="G346" s="791"/>
    </row>
    <row r="347" spans="1:9">
      <c r="A347" s="815"/>
      <c r="B347" s="799" t="s">
        <v>2553</v>
      </c>
      <c r="C347" s="815"/>
      <c r="D347" s="1908" t="s">
        <v>1439</v>
      </c>
      <c r="E347" s="1908"/>
      <c r="F347" s="1908"/>
      <c r="G347" s="791"/>
    </row>
    <row r="348" spans="1:9">
      <c r="A348" s="815"/>
      <c r="B348" s="815"/>
      <c r="C348" s="815"/>
      <c r="D348" s="1908"/>
      <c r="E348" s="1908"/>
      <c r="F348" s="1908"/>
      <c r="G348" s="791"/>
    </row>
    <row r="349" spans="1:9">
      <c r="A349" s="815"/>
      <c r="B349" s="815"/>
      <c r="C349" s="815"/>
      <c r="D349" s="1908"/>
      <c r="E349" s="1908"/>
      <c r="F349" s="1908"/>
      <c r="G349" s="791"/>
    </row>
    <row r="350" spans="1:9">
      <c r="A350" s="815"/>
      <c r="B350" s="815"/>
      <c r="C350" s="815"/>
      <c r="D350" s="1908"/>
      <c r="E350" s="1908"/>
      <c r="F350" s="1908"/>
      <c r="G350" s="791"/>
    </row>
    <row r="351" spans="1:9">
      <c r="A351" s="815"/>
      <c r="B351" s="815"/>
      <c r="C351" s="815"/>
      <c r="D351" s="1908"/>
      <c r="E351" s="1908"/>
      <c r="F351" s="1908"/>
      <c r="G351" s="791"/>
      <c r="I351" s="1790"/>
    </row>
    <row r="352" spans="1:9">
      <c r="A352" s="815"/>
      <c r="B352" s="815"/>
      <c r="C352" s="815"/>
      <c r="D352" s="1908"/>
      <c r="E352" s="1908"/>
      <c r="F352" s="1908"/>
      <c r="G352" s="791"/>
      <c r="I352" s="1790"/>
    </row>
    <row r="353" spans="1:9">
      <c r="A353" s="815"/>
      <c r="B353" s="815"/>
      <c r="C353" s="815"/>
      <c r="D353" s="1908"/>
      <c r="E353" s="1908"/>
      <c r="F353" s="1908"/>
      <c r="G353" s="791"/>
      <c r="I353" s="1790"/>
    </row>
    <row r="354" spans="1:9">
      <c r="A354" s="815"/>
      <c r="B354" s="815"/>
      <c r="C354" s="815"/>
      <c r="D354" s="1908"/>
      <c r="E354" s="1908"/>
      <c r="F354" s="1908"/>
      <c r="G354" s="791"/>
      <c r="I354" s="1790"/>
    </row>
    <row r="355" spans="1:9">
      <c r="A355" s="815"/>
      <c r="B355" s="815"/>
      <c r="C355" s="815"/>
      <c r="D355" s="1908"/>
      <c r="E355" s="1908"/>
      <c r="F355" s="1908"/>
      <c r="G355" s="791"/>
      <c r="I355" s="1790"/>
    </row>
    <row r="356" spans="1:9">
      <c r="A356" s="815"/>
      <c r="B356" s="815"/>
      <c r="C356" s="815"/>
      <c r="D356" s="1908"/>
      <c r="E356" s="1908"/>
      <c r="F356" s="1908"/>
      <c r="G356" s="791"/>
      <c r="I356" s="1790"/>
    </row>
    <row r="357" spans="1:9">
      <c r="A357" s="815"/>
      <c r="B357" s="815"/>
      <c r="C357" s="815"/>
      <c r="D357" s="1908"/>
      <c r="E357" s="1908"/>
      <c r="F357" s="1908"/>
      <c r="G357" s="791"/>
    </row>
    <row r="358" spans="1:9">
      <c r="A358" s="815"/>
      <c r="B358" s="815"/>
      <c r="C358" s="815"/>
      <c r="D358" s="1908"/>
      <c r="E358" s="1908"/>
      <c r="F358" s="1908"/>
      <c r="G358" s="791"/>
    </row>
    <row r="359" spans="1:9" s="1790" customFormat="1">
      <c r="A359" s="1795"/>
      <c r="B359" s="1795"/>
      <c r="C359" s="1795"/>
      <c r="D359" s="1797"/>
      <c r="E359" s="1797"/>
      <c r="F359" s="1797"/>
    </row>
    <row r="360" spans="1:9" ht="12.6" customHeight="1">
      <c r="A360" s="815"/>
      <c r="B360" s="799" t="s">
        <v>2553</v>
      </c>
      <c r="C360" s="815"/>
      <c r="D360" s="1950" t="s">
        <v>1440</v>
      </c>
      <c r="E360" s="1950"/>
      <c r="F360" s="1950"/>
      <c r="G360" s="791"/>
    </row>
    <row r="361" spans="1:9">
      <c r="A361" s="815"/>
      <c r="B361" s="815"/>
      <c r="C361" s="815"/>
      <c r="D361" s="1950"/>
      <c r="E361" s="1950"/>
      <c r="F361" s="1950"/>
      <c r="G361" s="791"/>
    </row>
    <row r="362" spans="1:9">
      <c r="A362" s="815"/>
      <c r="B362" s="815"/>
      <c r="C362" s="815"/>
      <c r="D362" s="1950"/>
      <c r="E362" s="1950"/>
      <c r="F362" s="1950"/>
      <c r="G362" s="791"/>
    </row>
    <row r="363" spans="1:9">
      <c r="A363" s="815"/>
      <c r="B363" s="815"/>
      <c r="C363" s="815"/>
      <c r="D363" s="1950"/>
      <c r="E363" s="1950"/>
      <c r="F363" s="1950"/>
      <c r="G363" s="791"/>
    </row>
    <row r="364" spans="1:9" s="1790" customFormat="1">
      <c r="A364" s="1795"/>
      <c r="B364" s="1795"/>
      <c r="C364" s="1795"/>
      <c r="D364" s="1796"/>
      <c r="E364" s="1796"/>
      <c r="F364" s="1796"/>
    </row>
    <row r="365" spans="1:9" s="1790" customFormat="1">
      <c r="A365" s="1795"/>
      <c r="B365" s="1793" t="s">
        <v>2553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2553</v>
      </c>
      <c r="C372" s="815"/>
      <c r="D372" s="1927" t="s">
        <v>1317</v>
      </c>
      <c r="E372" s="1927"/>
      <c r="F372" s="1927"/>
      <c r="G372" s="791"/>
    </row>
    <row r="373" spans="1:7">
      <c r="A373" s="815"/>
      <c r="B373" s="815"/>
      <c r="C373" s="815"/>
      <c r="D373" s="1927"/>
      <c r="E373" s="1927"/>
      <c r="F373" s="1927"/>
      <c r="G373" s="791"/>
    </row>
    <row r="374" spans="1:7">
      <c r="A374" s="815"/>
      <c r="B374" s="815"/>
      <c r="C374" s="815"/>
      <c r="D374" s="1927"/>
      <c r="E374" s="1927"/>
      <c r="F374" s="1927"/>
      <c r="G374" s="791"/>
    </row>
    <row r="375" spans="1:7">
      <c r="A375" s="815"/>
      <c r="B375" s="815"/>
      <c r="C375" s="815"/>
      <c r="D375" s="1927"/>
      <c r="E375" s="1927"/>
      <c r="F375" s="1927"/>
      <c r="G375" s="791"/>
    </row>
    <row r="376" spans="1:7">
      <c r="A376" s="815"/>
      <c r="B376" s="815"/>
      <c r="C376" s="815"/>
      <c r="D376" s="827"/>
      <c r="E376" s="787"/>
      <c r="F376" s="801"/>
      <c r="G376" s="791"/>
    </row>
    <row r="377" spans="1:7">
      <c r="A377" s="815"/>
      <c r="B377" s="815"/>
      <c r="C377" s="815"/>
      <c r="D377" s="1927" t="s">
        <v>1318</v>
      </c>
      <c r="E377" s="1927"/>
      <c r="F377" s="1927"/>
      <c r="G377" s="791"/>
    </row>
    <row r="378" spans="1:7">
      <c r="A378" s="815"/>
      <c r="B378" s="815"/>
      <c r="C378" s="815"/>
      <c r="D378" s="1927"/>
      <c r="E378" s="1927"/>
      <c r="F378" s="1927"/>
      <c r="G378" s="791"/>
    </row>
    <row r="379" spans="1:7">
      <c r="A379" s="815"/>
      <c r="B379" s="815"/>
      <c r="C379" s="815"/>
      <c r="D379" s="1927"/>
      <c r="E379" s="1927"/>
      <c r="F379" s="1927"/>
      <c r="G379" s="791"/>
    </row>
    <row r="380" spans="1:7">
      <c r="A380" s="815"/>
      <c r="B380" s="815"/>
      <c r="C380" s="815"/>
      <c r="D380" s="1927"/>
      <c r="E380" s="1927"/>
      <c r="F380" s="1927"/>
      <c r="G380" s="791"/>
    </row>
    <row r="381" spans="1:7" ht="18" customHeight="1">
      <c r="A381" s="815"/>
      <c r="B381" s="815"/>
      <c r="C381" s="815"/>
      <c r="D381" s="1927"/>
      <c r="E381" s="1927"/>
      <c r="F381" s="1927"/>
      <c r="G381" s="791"/>
    </row>
    <row r="382" spans="1:7">
      <c r="A382" s="815"/>
      <c r="B382" s="815"/>
      <c r="C382" s="815"/>
      <c r="D382" s="1927"/>
      <c r="E382" s="1927"/>
      <c r="F382" s="1927"/>
      <c r="G382" s="791"/>
    </row>
    <row r="383" spans="1:7">
      <c r="A383" s="815"/>
      <c r="B383" s="815"/>
      <c r="C383" s="815"/>
      <c r="D383" s="1927"/>
      <c r="E383" s="1927"/>
      <c r="F383" s="1927"/>
      <c r="G383" s="791"/>
    </row>
    <row r="384" spans="1:7">
      <c r="A384" s="815"/>
      <c r="B384" s="815"/>
      <c r="C384" s="815"/>
      <c r="D384" s="1927"/>
      <c r="E384" s="1927"/>
      <c r="F384" s="1927"/>
      <c r="G384" s="791"/>
    </row>
    <row r="385" spans="1:7" ht="8.25" customHeight="1">
      <c r="A385" s="815"/>
      <c r="B385" s="815"/>
      <c r="C385" s="815"/>
      <c r="D385" s="1927"/>
      <c r="E385" s="1927"/>
      <c r="F385" s="1927"/>
      <c r="G385" s="791"/>
    </row>
    <row r="386" spans="1:7" ht="13.7" customHeight="1">
      <c r="A386" s="815"/>
      <c r="B386" s="815"/>
      <c r="C386" s="815"/>
      <c r="D386" s="1920" t="s">
        <v>1319</v>
      </c>
      <c r="E386" s="1920"/>
      <c r="F386" s="1920"/>
      <c r="G386" s="791"/>
    </row>
    <row r="387" spans="1:7">
      <c r="A387" s="815"/>
      <c r="B387" s="815"/>
      <c r="C387" s="815"/>
      <c r="D387" s="1920"/>
      <c r="E387" s="1920"/>
      <c r="F387" s="1920"/>
      <c r="G387" s="791"/>
    </row>
    <row r="388" spans="1:7">
      <c r="A388" s="815"/>
      <c r="B388" s="815"/>
      <c r="C388" s="815"/>
      <c r="D388" s="1920"/>
      <c r="E388" s="1920"/>
      <c r="F388" s="1920"/>
      <c r="G388" s="791"/>
    </row>
    <row r="389" spans="1:7">
      <c r="A389" s="815"/>
      <c r="B389" s="815"/>
      <c r="C389" s="815"/>
      <c r="D389" s="1920"/>
      <c r="E389" s="1920"/>
      <c r="F389" s="1920"/>
      <c r="G389" s="791"/>
    </row>
    <row r="390" spans="1:7">
      <c r="A390" s="815"/>
      <c r="B390" s="815"/>
      <c r="C390" s="815"/>
      <c r="D390" s="1920"/>
      <c r="E390" s="1920"/>
      <c r="F390" s="1920"/>
      <c r="G390" s="791"/>
    </row>
    <row r="391" spans="1:7">
      <c r="A391" s="815"/>
      <c r="B391" s="815"/>
      <c r="C391" s="815"/>
      <c r="D391" s="1920"/>
      <c r="E391" s="1920"/>
      <c r="F391" s="1920"/>
      <c r="G391" s="791"/>
    </row>
    <row r="392" spans="1:7">
      <c r="A392" s="815"/>
      <c r="B392" s="815"/>
      <c r="C392" s="815"/>
      <c r="D392" s="1920"/>
      <c r="E392" s="1920"/>
      <c r="F392" s="1920"/>
      <c r="G392" s="791"/>
    </row>
    <row r="393" spans="1:7">
      <c r="A393" s="815"/>
      <c r="B393" s="815"/>
      <c r="C393" s="815"/>
      <c r="D393" s="1920"/>
      <c r="E393" s="1920"/>
      <c r="F393" s="1920"/>
      <c r="G393" s="791"/>
    </row>
    <row r="394" spans="1:7">
      <c r="A394" s="815"/>
      <c r="B394" s="815"/>
      <c r="C394" s="815"/>
      <c r="D394" s="1920"/>
      <c r="E394" s="1920"/>
      <c r="F394" s="1920"/>
      <c r="G394" s="791"/>
    </row>
    <row r="395" spans="1:7">
      <c r="A395" s="815"/>
      <c r="B395" s="815"/>
      <c r="C395" s="815"/>
      <c r="D395" s="1920"/>
      <c r="E395" s="1920"/>
      <c r="F395" s="1920"/>
      <c r="G395" s="791"/>
    </row>
    <row r="396" spans="1:7">
      <c r="A396" s="815"/>
      <c r="B396" s="815"/>
      <c r="C396" s="815"/>
      <c r="D396" s="1920"/>
      <c r="E396" s="1920"/>
      <c r="F396" s="1920"/>
      <c r="G396" s="791"/>
    </row>
    <row r="397" spans="1:7">
      <c r="A397" s="815"/>
      <c r="B397" s="815"/>
      <c r="C397" s="815"/>
      <c r="D397" s="1920"/>
      <c r="E397" s="1920"/>
      <c r="F397" s="1920"/>
      <c r="G397" s="791"/>
    </row>
    <row r="398" spans="1:7">
      <c r="A398" s="815"/>
      <c r="B398" s="815"/>
      <c r="C398" s="828"/>
      <c r="D398" s="1920"/>
      <c r="E398" s="1920"/>
      <c r="F398" s="1920"/>
      <c r="G398" s="791"/>
    </row>
    <row r="399" spans="1:7">
      <c r="A399" s="815"/>
      <c r="B399" s="815"/>
      <c r="C399" s="828"/>
      <c r="D399" s="1920"/>
      <c r="E399" s="1920"/>
      <c r="F399" s="1920"/>
      <c r="G399" s="791"/>
    </row>
    <row r="400" spans="1:7">
      <c r="A400" s="815"/>
      <c r="B400" s="815"/>
      <c r="C400" s="815"/>
      <c r="D400" s="1920"/>
      <c r="E400" s="1920"/>
      <c r="F400" s="1920"/>
      <c r="G400" s="791"/>
    </row>
    <row r="401" spans="1:7">
      <c r="A401" s="815"/>
      <c r="B401" s="815"/>
      <c r="C401" s="828"/>
      <c r="D401" s="1920"/>
      <c r="E401" s="1920"/>
      <c r="F401" s="1920"/>
      <c r="G401" s="791"/>
    </row>
    <row r="402" spans="1:7">
      <c r="A402" s="815"/>
      <c r="B402" s="815"/>
      <c r="C402" s="828"/>
      <c r="D402" s="1920"/>
      <c r="E402" s="1920"/>
      <c r="F402" s="1920"/>
      <c r="G402" s="791"/>
    </row>
    <row r="403" spans="1:7">
      <c r="A403" s="815"/>
      <c r="B403" s="815"/>
      <c r="C403" s="828"/>
      <c r="D403" s="1920"/>
      <c r="E403" s="1920"/>
      <c r="F403" s="1920"/>
      <c r="G403" s="791"/>
    </row>
    <row r="404" spans="1:7">
      <c r="A404" s="815"/>
      <c r="B404" s="815"/>
      <c r="C404" s="815"/>
      <c r="D404" s="827"/>
      <c r="E404" s="787"/>
      <c r="F404" s="801"/>
      <c r="G404" s="791"/>
    </row>
    <row r="405" spans="1:7">
      <c r="A405" s="815"/>
      <c r="B405" s="799" t="s">
        <v>2553</v>
      </c>
      <c r="C405" s="815"/>
      <c r="D405" s="1920" t="s">
        <v>1320</v>
      </c>
      <c r="E405" s="1920"/>
      <c r="F405" s="1920"/>
      <c r="G405" s="791"/>
    </row>
    <row r="406" spans="1:7">
      <c r="A406" s="815"/>
      <c r="B406" s="815"/>
      <c r="C406" s="815"/>
      <c r="D406" s="1920"/>
      <c r="E406" s="1920"/>
      <c r="F406" s="1920"/>
      <c r="G406" s="791"/>
    </row>
    <row r="407" spans="1:7">
      <c r="A407" s="815"/>
      <c r="B407" s="815"/>
      <c r="C407" s="815"/>
      <c r="D407" s="905"/>
      <c r="E407" s="905"/>
      <c r="F407" s="905"/>
      <c r="G407" s="791"/>
    </row>
    <row r="408" spans="1:7" ht="14.45" customHeight="1">
      <c r="A408" s="798"/>
      <c r="B408" s="799" t="s">
        <v>2553</v>
      </c>
      <c r="D408" s="1920" t="s">
        <v>1537</v>
      </c>
      <c r="E408" s="1920"/>
      <c r="F408" s="1920"/>
    </row>
    <row r="409" spans="1:7" ht="14.45" customHeight="1">
      <c r="A409" s="798"/>
      <c r="D409" s="1920"/>
      <c r="E409" s="1920"/>
      <c r="F409" s="1920"/>
    </row>
    <row r="410" spans="1:7" ht="14.45" customHeight="1">
      <c r="A410" s="798"/>
      <c r="D410" s="1920"/>
      <c r="E410" s="1920"/>
      <c r="F410" s="1920"/>
    </row>
    <row r="411" spans="1:7" ht="14.45" customHeight="1">
      <c r="A411" s="798"/>
      <c r="D411" s="1920"/>
      <c r="E411" s="1920"/>
      <c r="F411" s="1920"/>
    </row>
    <row r="412" spans="1:7" ht="14.45" customHeight="1">
      <c r="A412" s="798"/>
      <c r="D412" s="1920"/>
      <c r="E412" s="1920"/>
      <c r="F412" s="1920"/>
    </row>
    <row r="413" spans="1:7" ht="14.45" customHeight="1">
      <c r="A413" s="798"/>
      <c r="D413" s="880"/>
      <c r="E413" s="880"/>
      <c r="F413" s="880"/>
    </row>
    <row r="414" spans="1:7" ht="13.7" customHeight="1">
      <c r="A414" s="798"/>
      <c r="B414" s="799" t="s">
        <v>2553</v>
      </c>
      <c r="C414" s="815"/>
      <c r="D414" s="1908" t="s">
        <v>1465</v>
      </c>
      <c r="E414" s="1908"/>
      <c r="F414" s="1908"/>
      <c r="G414" s="791"/>
    </row>
    <row r="415" spans="1:7" ht="14.25">
      <c r="A415" s="829"/>
      <c r="B415" s="829"/>
      <c r="C415" s="815"/>
      <c r="D415" s="1908"/>
      <c r="E415" s="1908"/>
      <c r="F415" s="1908"/>
      <c r="G415" s="791"/>
    </row>
    <row r="416" spans="1:7" ht="14.25">
      <c r="A416" s="829"/>
      <c r="B416" s="829"/>
      <c r="C416" s="815"/>
      <c r="D416" s="1908"/>
      <c r="E416" s="1908"/>
      <c r="F416" s="1908"/>
      <c r="G416" s="791"/>
    </row>
    <row r="417" spans="1:7" ht="14.25">
      <c r="A417" s="829"/>
      <c r="B417" s="829"/>
      <c r="C417" s="815"/>
      <c r="D417" s="1908"/>
      <c r="E417" s="1908"/>
      <c r="F417" s="1908"/>
      <c r="G417" s="791"/>
    </row>
    <row r="418" spans="1:7" ht="15.75" customHeight="1">
      <c r="A418" s="829"/>
      <c r="B418" s="829"/>
      <c r="C418" s="815"/>
      <c r="D418" s="1957" t="s">
        <v>1516</v>
      </c>
      <c r="E418" s="1908"/>
      <c r="F418" s="1908"/>
      <c r="G418" s="791"/>
    </row>
    <row r="419" spans="1:7">
      <c r="D419" s="801"/>
      <c r="E419" s="801"/>
      <c r="F419" s="801"/>
      <c r="G419" s="791"/>
    </row>
    <row r="420" spans="1:7" ht="14.25">
      <c r="A420" s="798"/>
      <c r="B420" s="799" t="s">
        <v>2553</v>
      </c>
      <c r="C420" s="830"/>
      <c r="D420" s="1912" t="s">
        <v>1322</v>
      </c>
      <c r="E420" s="1912"/>
      <c r="F420" s="1912"/>
      <c r="G420" s="791"/>
    </row>
    <row r="421" spans="1:7" ht="14.25">
      <c r="A421" s="798"/>
      <c r="B421" s="798"/>
      <c r="D421" s="1912"/>
      <c r="E421" s="1912"/>
      <c r="F421" s="1912"/>
      <c r="G421" s="791"/>
    </row>
    <row r="422" spans="1:7">
      <c r="D422" s="1912"/>
      <c r="E422" s="1912"/>
      <c r="F422" s="1912"/>
      <c r="G422" s="791"/>
    </row>
    <row r="423" spans="1:7">
      <c r="D423" s="1912"/>
      <c r="E423" s="1912"/>
      <c r="F423" s="1912"/>
      <c r="G423" s="791"/>
    </row>
    <row r="424" spans="1:7">
      <c r="D424" s="1912"/>
      <c r="E424" s="1912"/>
      <c r="F424" s="1912"/>
      <c r="G424" s="791"/>
    </row>
    <row r="425" spans="1:7">
      <c r="D425" s="1912"/>
      <c r="E425" s="1912"/>
      <c r="F425" s="1912"/>
      <c r="G425" s="791"/>
    </row>
    <row r="426" spans="1:7">
      <c r="D426" s="1912"/>
      <c r="E426" s="1912"/>
      <c r="F426" s="1912"/>
      <c r="G426" s="791"/>
    </row>
    <row r="427" spans="1:7">
      <c r="D427" s="1912"/>
      <c r="E427" s="1912"/>
      <c r="F427" s="1912"/>
      <c r="G427" s="791"/>
    </row>
    <row r="428" spans="1:7">
      <c r="D428" s="1912"/>
      <c r="E428" s="1912"/>
      <c r="F428" s="1912"/>
      <c r="G428" s="791"/>
    </row>
    <row r="429" spans="1:7">
      <c r="D429" s="1912"/>
      <c r="E429" s="1912"/>
      <c r="F429" s="1912"/>
      <c r="G429" s="791"/>
    </row>
    <row r="430" spans="1:7">
      <c r="D430" s="1912"/>
      <c r="E430" s="1912"/>
      <c r="F430" s="1912"/>
      <c r="G430" s="791"/>
    </row>
    <row r="431" spans="1:7">
      <c r="D431" s="1912"/>
      <c r="E431" s="1912"/>
      <c r="F431" s="1912"/>
      <c r="G431" s="791"/>
    </row>
    <row r="432" spans="1:7">
      <c r="D432" s="1912"/>
      <c r="E432" s="1912"/>
      <c r="F432" s="1912"/>
      <c r="G432" s="791"/>
    </row>
    <row r="433" spans="4:6" s="791" customFormat="1">
      <c r="D433" s="1912"/>
      <c r="E433" s="1912"/>
      <c r="F433" s="1912"/>
    </row>
    <row r="434" spans="4:6" s="791" customFormat="1">
      <c r="D434" s="1912"/>
      <c r="E434" s="1912"/>
      <c r="F434" s="1912"/>
    </row>
    <row r="435" spans="4:6" s="791" customFormat="1">
      <c r="D435" s="1912"/>
      <c r="E435" s="1912"/>
      <c r="F435" s="1912"/>
    </row>
    <row r="436" spans="4:6" s="791" customFormat="1">
      <c r="D436" s="1912"/>
      <c r="E436" s="1912"/>
      <c r="F436" s="1912"/>
    </row>
    <row r="437" spans="4:6" s="791" customFormat="1">
      <c r="D437" s="1912"/>
      <c r="E437" s="1912"/>
      <c r="F437" s="1912"/>
    </row>
    <row r="438" spans="4:6" s="791" customFormat="1">
      <c r="D438" s="1912"/>
      <c r="E438" s="1912"/>
      <c r="F438" s="1912"/>
    </row>
    <row r="439" spans="4:6" s="791" customFormat="1">
      <c r="D439" s="1912"/>
      <c r="E439" s="1912"/>
      <c r="F439" s="1912"/>
    </row>
    <row r="440" spans="4:6" s="791" customFormat="1">
      <c r="D440" s="1912"/>
      <c r="E440" s="1912"/>
      <c r="F440" s="1912"/>
    </row>
    <row r="441" spans="4:6" s="791" customFormat="1">
      <c r="D441" s="1912"/>
      <c r="E441" s="1912"/>
      <c r="F441" s="1912"/>
    </row>
    <row r="442" spans="4:6" s="791" customFormat="1">
      <c r="D442" s="1912"/>
      <c r="E442" s="1912"/>
      <c r="F442" s="1912"/>
    </row>
    <row r="443" spans="4:6" s="791" customFormat="1">
      <c r="D443" s="1912"/>
      <c r="E443" s="1912"/>
      <c r="F443" s="1912"/>
    </row>
    <row r="444" spans="4:6" s="791" customFormat="1">
      <c r="D444" s="1912"/>
      <c r="E444" s="1912"/>
      <c r="F444" s="1912"/>
    </row>
    <row r="445" spans="4:6" s="791" customFormat="1">
      <c r="D445" s="1912"/>
      <c r="E445" s="1912"/>
      <c r="F445" s="1912"/>
    </row>
    <row r="446" spans="4:6" s="791" customFormat="1">
      <c r="D446" s="1912"/>
      <c r="E446" s="1912"/>
      <c r="F446" s="1912"/>
    </row>
    <row r="447" spans="4:6" s="791" customFormat="1">
      <c r="D447" s="1912"/>
      <c r="E447" s="1912"/>
      <c r="F447" s="1912"/>
    </row>
    <row r="448" spans="4:6" s="791" customFormat="1">
      <c r="D448" s="1912"/>
      <c r="E448" s="1912"/>
      <c r="F448" s="1912"/>
    </row>
    <row r="449" spans="1:7" s="832" customFormat="1">
      <c r="A449" s="789"/>
      <c r="B449" s="789"/>
      <c r="C449" s="789"/>
      <c r="D449" s="1912"/>
      <c r="E449" s="1912"/>
      <c r="F449" s="1912"/>
      <c r="G449" s="831"/>
    </row>
    <row r="450" spans="1:7" s="832" customFormat="1" ht="40.700000000000003" customHeight="1">
      <c r="A450" s="789"/>
      <c r="B450" s="789"/>
      <c r="C450" s="789"/>
      <c r="D450" s="1912"/>
      <c r="E450" s="1912"/>
      <c r="F450" s="1912"/>
      <c r="G450" s="831"/>
    </row>
    <row r="451" spans="1:7" s="832" customFormat="1">
      <c r="A451" s="789"/>
      <c r="B451" s="789"/>
      <c r="C451" s="789"/>
      <c r="D451" s="801"/>
      <c r="E451" s="801"/>
      <c r="F451" s="801"/>
      <c r="G451" s="831"/>
    </row>
    <row r="452" spans="1:7" ht="14.25">
      <c r="A452" s="798"/>
      <c r="B452" s="799" t="s">
        <v>2553</v>
      </c>
      <c r="C452" s="830"/>
      <c r="D452" s="1917" t="s">
        <v>1323</v>
      </c>
      <c r="E452" s="1917"/>
      <c r="F452" s="1917"/>
    </row>
    <row r="453" spans="1:7">
      <c r="D453" s="1921" t="s">
        <v>1462</v>
      </c>
      <c r="E453" s="1921"/>
      <c r="F453" s="1921"/>
    </row>
    <row r="454" spans="1:7">
      <c r="D454" s="1946" t="s">
        <v>1461</v>
      </c>
      <c r="E454" s="1946"/>
      <c r="F454" s="1946"/>
    </row>
    <row r="455" spans="1:7">
      <c r="D455" s="1946"/>
      <c r="E455" s="1946"/>
      <c r="F455" s="1946"/>
    </row>
    <row r="456" spans="1:7">
      <c r="D456" s="1946"/>
      <c r="E456" s="1946"/>
      <c r="F456" s="1946"/>
    </row>
    <row r="457" spans="1:7">
      <c r="D457" s="801"/>
      <c r="E457" s="801"/>
      <c r="F457" s="801"/>
      <c r="G457" s="791"/>
    </row>
    <row r="458" spans="1:7" ht="14.25">
      <c r="A458" s="798"/>
      <c r="B458" s="799" t="s">
        <v>2553</v>
      </c>
      <c r="C458" s="830"/>
      <c r="D458" s="1912" t="s">
        <v>1325</v>
      </c>
      <c r="E458" s="1912"/>
      <c r="F458" s="1912"/>
      <c r="G458" s="791"/>
    </row>
    <row r="459" spans="1:7">
      <c r="D459" s="1912"/>
      <c r="E459" s="1912"/>
      <c r="F459" s="1912"/>
      <c r="G459" s="791"/>
    </row>
    <row r="460" spans="1:7">
      <c r="D460" s="1912"/>
      <c r="E460" s="1912"/>
      <c r="F460" s="1912"/>
      <c r="G460" s="791"/>
    </row>
    <row r="461" spans="1:7">
      <c r="D461" s="785"/>
      <c r="E461" s="785"/>
      <c r="F461" s="785"/>
      <c r="G461" s="791"/>
    </row>
    <row r="462" spans="1:7" ht="14.25">
      <c r="B462" s="799" t="s">
        <v>2553</v>
      </c>
      <c r="C462" s="798"/>
      <c r="D462" s="1946" t="s">
        <v>1408</v>
      </c>
      <c r="E462" s="1946"/>
      <c r="F462" s="1946"/>
      <c r="G462" s="791"/>
    </row>
    <row r="463" spans="1:7">
      <c r="D463" s="1946"/>
      <c r="E463" s="1946"/>
      <c r="F463" s="1946"/>
      <c r="G463" s="791"/>
    </row>
    <row r="464" spans="1:7">
      <c r="D464" s="801"/>
      <c r="E464" s="801"/>
      <c r="F464" s="801"/>
      <c r="G464" s="791"/>
    </row>
    <row r="465" spans="1:7" ht="14.25">
      <c r="B465" s="799" t="s">
        <v>2553</v>
      </c>
      <c r="C465" s="798"/>
      <c r="D465" s="1946" t="s">
        <v>1327</v>
      </c>
      <c r="E465" s="1946"/>
      <c r="F465" s="1946"/>
      <c r="G465" s="791"/>
    </row>
    <row r="466" spans="1:7">
      <c r="D466" s="1946"/>
      <c r="E466" s="1946"/>
      <c r="F466" s="1946"/>
      <c r="G466" s="791"/>
    </row>
    <row r="467" spans="1:7">
      <c r="D467" s="1946"/>
      <c r="E467" s="1946"/>
      <c r="F467" s="1946"/>
      <c r="G467" s="791"/>
    </row>
    <row r="468" spans="1:7">
      <c r="D468" s="1946"/>
      <c r="E468" s="1946"/>
      <c r="F468" s="1946"/>
      <c r="G468" s="791"/>
    </row>
    <row r="469" spans="1:7">
      <c r="B469" s="799" t="s">
        <v>2553</v>
      </c>
      <c r="D469" s="1946"/>
      <c r="E469" s="1946"/>
      <c r="F469" s="1946"/>
      <c r="G469" s="791"/>
    </row>
    <row r="470" spans="1:7">
      <c r="A470" s="791"/>
      <c r="B470" s="791"/>
      <c r="C470" s="791"/>
      <c r="D470" s="1946"/>
      <c r="E470" s="1946"/>
      <c r="F470" s="1946"/>
      <c r="G470" s="791"/>
    </row>
    <row r="471" spans="1:7">
      <c r="A471" s="791"/>
      <c r="C471" s="791"/>
      <c r="D471" s="1946"/>
      <c r="E471" s="1946"/>
      <c r="F471" s="1946"/>
      <c r="G471" s="791"/>
    </row>
    <row r="472" spans="1:7">
      <c r="A472" s="791"/>
      <c r="B472" s="799" t="s">
        <v>2553</v>
      </c>
      <c r="C472" s="791"/>
      <c r="D472" s="1946"/>
      <c r="E472" s="1946"/>
      <c r="F472" s="1946"/>
      <c r="G472" s="791"/>
    </row>
    <row r="473" spans="1:7">
      <c r="A473" s="791"/>
      <c r="B473" s="791"/>
      <c r="C473" s="791"/>
      <c r="D473" s="1946"/>
      <c r="E473" s="1946"/>
      <c r="F473" s="1946"/>
      <c r="G473" s="791"/>
    </row>
    <row r="474" spans="1:7">
      <c r="A474" s="791"/>
      <c r="C474" s="791"/>
      <c r="D474" s="1946"/>
      <c r="E474" s="1946"/>
      <c r="F474" s="1946"/>
      <c r="G474" s="791"/>
    </row>
    <row r="475" spans="1:7">
      <c r="A475" s="791"/>
      <c r="C475" s="791"/>
      <c r="D475" s="1946"/>
      <c r="E475" s="1946"/>
      <c r="F475" s="1946"/>
      <c r="G475" s="791"/>
    </row>
    <row r="476" spans="1:7">
      <c r="A476" s="791"/>
      <c r="B476" s="799" t="s">
        <v>2553</v>
      </c>
      <c r="C476" s="791"/>
      <c r="D476" s="1946"/>
      <c r="E476" s="1946"/>
      <c r="F476" s="1946"/>
      <c r="G476" s="791"/>
    </row>
    <row r="477" spans="1:7">
      <c r="A477" s="791"/>
      <c r="B477" s="791"/>
      <c r="C477" s="791"/>
      <c r="D477" s="1946"/>
      <c r="E477" s="1946"/>
      <c r="F477" s="1946"/>
      <c r="G477" s="791"/>
    </row>
    <row r="478" spans="1:7">
      <c r="A478" s="791"/>
      <c r="B478" s="799" t="s">
        <v>2553</v>
      </c>
      <c r="C478" s="791"/>
      <c r="D478" s="1946"/>
      <c r="E478" s="1946"/>
      <c r="F478" s="1946"/>
      <c r="G478" s="791"/>
    </row>
    <row r="479" spans="1:7">
      <c r="A479" s="791"/>
      <c r="B479" s="791"/>
      <c r="C479" s="791"/>
      <c r="D479" s="833"/>
      <c r="E479" s="833"/>
      <c r="F479" s="833"/>
      <c r="G479" s="791"/>
    </row>
    <row r="480" spans="1:7">
      <c r="A480" s="791"/>
      <c r="B480" s="799" t="s">
        <v>2553</v>
      </c>
      <c r="C480" s="791"/>
      <c r="D480" s="1946" t="s">
        <v>1328</v>
      </c>
      <c r="E480" s="1946"/>
      <c r="F480" s="1946"/>
      <c r="G480" s="791"/>
    </row>
    <row r="481" spans="1:7">
      <c r="A481" s="791"/>
      <c r="B481" s="791"/>
      <c r="C481" s="791"/>
      <c r="D481" s="1946"/>
      <c r="E481" s="1946"/>
      <c r="F481" s="1946"/>
      <c r="G481" s="791"/>
    </row>
    <row r="482" spans="1:7">
      <c r="A482" s="791"/>
      <c r="B482" s="791"/>
      <c r="C482" s="791"/>
      <c r="D482" s="1946"/>
      <c r="E482" s="1946"/>
      <c r="F482" s="1946"/>
      <c r="G482" s="791"/>
    </row>
    <row r="483" spans="1:7">
      <c r="A483" s="791"/>
      <c r="B483" s="791"/>
      <c r="C483" s="791"/>
      <c r="D483" s="1946"/>
      <c r="E483" s="1946"/>
      <c r="F483" s="1946"/>
      <c r="G483" s="791"/>
    </row>
    <row r="484" spans="1:7">
      <c r="D484" s="1946"/>
      <c r="E484" s="1946"/>
      <c r="F484" s="1946"/>
    </row>
    <row r="485" spans="1:7">
      <c r="D485" s="801"/>
      <c r="E485" s="801"/>
      <c r="F485" s="801"/>
    </row>
    <row r="486" spans="1:7">
      <c r="B486" s="799" t="s">
        <v>2553</v>
      </c>
      <c r="D486" s="1949" t="s">
        <v>1329</v>
      </c>
      <c r="E486" s="1949"/>
      <c r="F486" s="1949"/>
    </row>
    <row r="487" spans="1:7">
      <c r="A487" s="801"/>
      <c r="B487" s="801"/>
    </row>
    <row r="488" spans="1:7">
      <c r="A488" s="1877" t="s">
        <v>1170</v>
      </c>
      <c r="B488" s="1877"/>
      <c r="C488" s="1877"/>
      <c r="D488" s="1877"/>
      <c r="E488" s="1877"/>
      <c r="F488" s="1877"/>
      <c r="G488" s="1877"/>
    </row>
    <row r="489" spans="1:7">
      <c r="A489" s="801"/>
      <c r="B489" s="801"/>
    </row>
    <row r="490" spans="1:7">
      <c r="D490" s="1928" t="s">
        <v>951</v>
      </c>
      <c r="E490" s="1928"/>
      <c r="F490" s="1928"/>
    </row>
    <row r="491" spans="1:7" s="792" customFormat="1" ht="14.25">
      <c r="A491" s="806"/>
      <c r="B491" s="806"/>
      <c r="C491" s="802"/>
      <c r="D491" s="1929" t="s">
        <v>1330</v>
      </c>
      <c r="E491" s="1929"/>
      <c r="F491" s="1929"/>
      <c r="G491" s="803"/>
    </row>
    <row r="492" spans="1:7" s="792" customFormat="1" ht="14.25">
      <c r="A492" s="806"/>
      <c r="B492" s="806"/>
      <c r="C492" s="802"/>
      <c r="D492" s="788"/>
      <c r="E492" s="673"/>
      <c r="F492" s="673"/>
      <c r="G492" s="803"/>
    </row>
    <row r="493" spans="1:7" s="792" customFormat="1" ht="14.25">
      <c r="A493" s="798"/>
      <c r="B493" s="799" t="s">
        <v>2553</v>
      </c>
      <c r="C493" s="802"/>
      <c r="D493" s="1930" t="s">
        <v>1331</v>
      </c>
      <c r="E493" s="1930"/>
      <c r="F493" s="1930"/>
      <c r="G493" s="803"/>
    </row>
    <row r="494" spans="1:7" s="792" customFormat="1" ht="14.25">
      <c r="A494" s="798"/>
      <c r="B494" s="798"/>
      <c r="C494" s="802"/>
      <c r="D494" s="1930"/>
      <c r="E494" s="1930"/>
      <c r="F494" s="1930"/>
      <c r="G494" s="803"/>
    </row>
    <row r="495" spans="1:7" s="792" customFormat="1" ht="14.25">
      <c r="A495" s="798"/>
      <c r="B495" s="798"/>
      <c r="C495" s="802"/>
      <c r="D495" s="786"/>
      <c r="E495" s="673"/>
      <c r="F495" s="673"/>
      <c r="G495" s="803"/>
    </row>
    <row r="496" spans="1:7" ht="12.75" customHeight="1">
      <c r="B496" s="799" t="s">
        <v>2553</v>
      </c>
      <c r="D496" s="1900" t="s">
        <v>1517</v>
      </c>
      <c r="E496" s="1900"/>
      <c r="F496" s="1900"/>
    </row>
    <row r="497" spans="1:7" ht="14.25">
      <c r="A497" s="798"/>
      <c r="D497" s="1900"/>
      <c r="E497" s="1900"/>
      <c r="F497" s="1900"/>
    </row>
    <row r="498" spans="1:7" ht="14.25">
      <c r="A498" s="798"/>
      <c r="B498" s="798"/>
      <c r="D498" s="1900"/>
      <c r="E498" s="1900"/>
      <c r="F498" s="1900"/>
    </row>
    <row r="499" spans="1:7" ht="14.25">
      <c r="A499" s="798"/>
      <c r="B499" s="798"/>
      <c r="D499" s="1900"/>
      <c r="E499" s="1900"/>
      <c r="F499" s="1900"/>
    </row>
    <row r="500" spans="1:7" ht="14.25">
      <c r="A500" s="798"/>
      <c r="D500" s="895"/>
      <c r="E500" s="895"/>
      <c r="F500" s="895"/>
      <c r="G500" s="791"/>
    </row>
    <row r="501" spans="1:7" ht="14.25">
      <c r="A501" s="798"/>
      <c r="B501" s="799" t="s">
        <v>2553</v>
      </c>
      <c r="D501" s="1917" t="s">
        <v>1334</v>
      </c>
      <c r="E501" s="1917"/>
      <c r="F501" s="1917"/>
      <c r="G501" s="791"/>
    </row>
    <row r="502" spans="1:7" ht="14.25">
      <c r="A502" s="798"/>
      <c r="B502" s="798"/>
      <c r="D502" s="786"/>
      <c r="E502" s="673"/>
      <c r="F502" s="673"/>
      <c r="G502" s="791"/>
    </row>
    <row r="503" spans="1:7" ht="14.25">
      <c r="A503" s="798"/>
      <c r="B503" s="799" t="s">
        <v>2553</v>
      </c>
      <c r="D503" s="1912" t="s">
        <v>1335</v>
      </c>
      <c r="E503" s="1912"/>
      <c r="F503" s="1912"/>
      <c r="G503" s="791"/>
    </row>
    <row r="504" spans="1:7" ht="14.25">
      <c r="A504" s="798"/>
      <c r="D504" s="1912"/>
      <c r="E504" s="1912"/>
      <c r="F504" s="1912"/>
      <c r="G504" s="791"/>
    </row>
    <row r="505" spans="1:7">
      <c r="A505" s="817"/>
      <c r="B505" s="817"/>
      <c r="D505" s="734"/>
      <c r="E505" s="673"/>
      <c r="F505" s="673"/>
      <c r="G505" s="791"/>
    </row>
    <row r="506" spans="1:7">
      <c r="A506" s="817"/>
      <c r="B506" s="799" t="s">
        <v>2553</v>
      </c>
      <c r="D506" s="1917" t="s">
        <v>1336</v>
      </c>
      <c r="E506" s="1917"/>
      <c r="F506" s="1917"/>
      <c r="G506" s="791"/>
    </row>
    <row r="507" spans="1:7" ht="14.25">
      <c r="A507" s="798"/>
      <c r="B507" s="798"/>
      <c r="D507" s="801"/>
    </row>
    <row r="508" spans="1:7">
      <c r="A508" s="1877" t="s">
        <v>1171</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1951" t="s">
        <v>854</v>
      </c>
      <c r="E510" s="1951"/>
      <c r="F510" s="1951"/>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2554</v>
      </c>
      <c r="C514" s="800"/>
      <c r="D514" s="1911" t="s">
        <v>2283</v>
      </c>
      <c r="E514" s="1911"/>
      <c r="F514" s="1911"/>
      <c r="G514" s="673"/>
    </row>
    <row r="515" spans="1:7" s="723" customFormat="1">
      <c r="A515" s="796"/>
      <c r="B515" s="796"/>
      <c r="C515" s="800"/>
      <c r="D515" s="1911"/>
      <c r="E515" s="1911"/>
      <c r="F515" s="1911"/>
      <c r="G515" s="673"/>
    </row>
    <row r="516" spans="1:7" s="723" customFormat="1">
      <c r="A516" s="796"/>
      <c r="B516" s="796"/>
      <c r="C516" s="800"/>
      <c r="D516" s="1712"/>
      <c r="E516" s="1712"/>
      <c r="F516" s="1712"/>
      <c r="G516" s="673"/>
    </row>
    <row r="517" spans="1:7" s="723" customFormat="1">
      <c r="A517" s="796"/>
      <c r="B517" s="799" t="s">
        <v>2553</v>
      </c>
      <c r="C517" s="805"/>
      <c r="D517" s="1911" t="s">
        <v>1209</v>
      </c>
      <c r="E517" s="1911"/>
      <c r="F517" s="1911"/>
      <c r="G517" s="673"/>
    </row>
    <row r="518" spans="1:7" s="723" customFormat="1">
      <c r="A518" s="796"/>
      <c r="B518" s="796"/>
      <c r="C518" s="805"/>
      <c r="D518" s="1911"/>
      <c r="E518" s="1911"/>
      <c r="F518" s="1911"/>
      <c r="G518" s="673"/>
    </row>
    <row r="519" spans="1:7" s="723" customFormat="1">
      <c r="A519" s="796"/>
      <c r="B519" s="796"/>
      <c r="C519" s="800"/>
      <c r="D519" s="1911"/>
      <c r="E519" s="1911"/>
      <c r="F519" s="1911"/>
      <c r="G519" s="673"/>
    </row>
    <row r="520" spans="1:7" s="723" customFormat="1">
      <c r="A520" s="796"/>
      <c r="B520" s="796"/>
      <c r="C520" s="800"/>
      <c r="D520" s="835"/>
      <c r="E520" s="673"/>
      <c r="F520" s="786"/>
      <c r="G520" s="673"/>
    </row>
    <row r="521" spans="1:7" s="723" customFormat="1" ht="13.35" customHeight="1">
      <c r="A521" s="796"/>
      <c r="B521" s="799" t="s">
        <v>2553</v>
      </c>
      <c r="C521" s="800"/>
      <c r="D521" s="1953" t="s">
        <v>1235</v>
      </c>
      <c r="E521" s="1953"/>
      <c r="F521" s="1953"/>
      <c r="G521" s="673"/>
    </row>
    <row r="522" spans="1:7" s="723" customFormat="1">
      <c r="A522" s="796"/>
      <c r="B522" s="796"/>
      <c r="C522" s="800"/>
      <c r="D522" s="1953"/>
      <c r="E522" s="1953"/>
      <c r="F522" s="1953"/>
      <c r="G522" s="673"/>
    </row>
    <row r="523" spans="1:7" s="723" customFormat="1" ht="12" customHeight="1">
      <c r="A523" s="801"/>
      <c r="B523" s="801"/>
      <c r="C523" s="809"/>
      <c r="D523" s="801"/>
      <c r="E523" s="673"/>
      <c r="F523" s="837"/>
      <c r="G523" s="673"/>
    </row>
    <row r="524" spans="1:7">
      <c r="A524" s="1877" t="s">
        <v>1172</v>
      </c>
      <c r="B524" s="1877"/>
      <c r="C524" s="1877"/>
      <c r="D524" s="1877"/>
      <c r="E524" s="1877"/>
      <c r="F524" s="1877"/>
      <c r="G524" s="1877"/>
    </row>
    <row r="525" spans="1:7">
      <c r="A525" s="801"/>
      <c r="B525" s="801"/>
      <c r="C525" s="830"/>
      <c r="F525" s="838"/>
    </row>
    <row r="526" spans="1:7">
      <c r="B526" s="1947" t="s">
        <v>471</v>
      </c>
      <c r="C526" s="1947"/>
      <c r="D526" s="1947"/>
      <c r="E526" s="1947"/>
      <c r="F526" s="1947"/>
    </row>
    <row r="527" spans="1:7">
      <c r="A527" s="801"/>
      <c r="B527" s="801"/>
      <c r="C527" s="830"/>
      <c r="D527" s="801"/>
      <c r="F527" s="801"/>
    </row>
    <row r="528" spans="1:7">
      <c r="A528" s="1878" t="s">
        <v>1173</v>
      </c>
      <c r="B528" s="1878"/>
      <c r="C528" s="1878"/>
      <c r="D528" s="1878"/>
      <c r="E528" s="1878"/>
      <c r="F528" s="1878"/>
      <c r="G528" s="1878"/>
    </row>
    <row r="529" spans="1:7">
      <c r="A529" s="801"/>
      <c r="B529" s="801"/>
      <c r="C529" s="830"/>
      <c r="D529" s="801"/>
      <c r="F529" s="801"/>
    </row>
    <row r="530" spans="1:7">
      <c r="C530" s="830"/>
      <c r="D530" s="1867" t="s">
        <v>721</v>
      </c>
      <c r="E530" s="1867"/>
      <c r="F530" s="1867"/>
    </row>
    <row r="531" spans="1:7">
      <c r="C531" s="830"/>
      <c r="D531" s="1917" t="s">
        <v>1230</v>
      </c>
      <c r="E531" s="1917"/>
      <c r="F531" s="1917"/>
    </row>
    <row r="532" spans="1:7">
      <c r="C532" s="830"/>
      <c r="D532" s="786"/>
      <c r="E532" s="786"/>
      <c r="F532" s="786"/>
    </row>
    <row r="533" spans="1:7" ht="13.7" customHeight="1">
      <c r="A533" s="798"/>
      <c r="B533" s="799" t="s">
        <v>2554</v>
      </c>
      <c r="C533" s="830"/>
      <c r="D533" s="1917" t="s">
        <v>952</v>
      </c>
      <c r="E533" s="1917"/>
      <c r="F533" s="1917"/>
      <c r="G533" s="791"/>
    </row>
    <row r="534" spans="1:7" ht="13.7" customHeight="1">
      <c r="A534" s="830"/>
      <c r="B534" s="830"/>
      <c r="C534" s="830"/>
      <c r="D534" s="786"/>
      <c r="E534" s="619"/>
      <c r="F534" s="619"/>
      <c r="G534" s="791"/>
    </row>
    <row r="535" spans="1:7" ht="14.25">
      <c r="A535" s="798"/>
      <c r="B535" s="799" t="s">
        <v>2554</v>
      </c>
      <c r="C535" s="830"/>
      <c r="D535" s="1912" t="s">
        <v>1231</v>
      </c>
      <c r="E535" s="1912"/>
      <c r="F535" s="1912"/>
      <c r="G535" s="791"/>
    </row>
    <row r="536" spans="1:7">
      <c r="A536" s="830"/>
      <c r="B536" s="830"/>
      <c r="C536" s="830"/>
      <c r="D536" s="1912"/>
      <c r="E536" s="1912"/>
      <c r="F536" s="1912"/>
      <c r="G536" s="791"/>
    </row>
    <row r="537" spans="1:7">
      <c r="A537" s="830"/>
      <c r="B537" s="830"/>
      <c r="C537" s="830"/>
      <c r="D537" s="801"/>
      <c r="E537" s="801"/>
      <c r="F537" s="801"/>
      <c r="G537" s="791"/>
    </row>
    <row r="538" spans="1:7" ht="14.25">
      <c r="A538" s="798"/>
      <c r="B538" s="799" t="s">
        <v>2554</v>
      </c>
      <c r="C538" s="830"/>
      <c r="D538" s="1912" t="s">
        <v>1232</v>
      </c>
      <c r="E538" s="1912"/>
      <c r="F538" s="1912"/>
      <c r="G538" s="791"/>
    </row>
    <row r="539" spans="1:7">
      <c r="A539" s="830"/>
      <c r="B539" s="830"/>
      <c r="C539" s="830"/>
      <c r="D539" s="1912"/>
      <c r="E539" s="1912"/>
      <c r="F539" s="1912"/>
      <c r="G539" s="791"/>
    </row>
    <row r="540" spans="1:7">
      <c r="A540" s="830"/>
      <c r="B540" s="830"/>
      <c r="C540" s="830"/>
      <c r="D540" s="801"/>
      <c r="E540" s="801"/>
      <c r="F540" s="801"/>
      <c r="G540" s="791"/>
    </row>
    <row r="541" spans="1:7" ht="14.25">
      <c r="A541" s="798"/>
      <c r="B541" s="799" t="s">
        <v>2554</v>
      </c>
      <c r="C541" s="830"/>
      <c r="D541" s="1912" t="s">
        <v>1233</v>
      </c>
      <c r="E541" s="1912"/>
      <c r="F541" s="1912"/>
      <c r="G541" s="791"/>
    </row>
    <row r="542" spans="1:7">
      <c r="A542" s="830"/>
      <c r="B542" s="830"/>
      <c r="C542" s="830"/>
      <c r="D542" s="1912"/>
      <c r="E542" s="1912"/>
      <c r="F542" s="1912"/>
      <c r="G542" s="791"/>
    </row>
    <row r="543" spans="1:7">
      <c r="A543" s="830"/>
      <c r="B543" s="830"/>
      <c r="C543" s="830"/>
      <c r="D543" s="801"/>
      <c r="E543" s="801"/>
      <c r="F543" s="801"/>
      <c r="G543" s="791"/>
    </row>
    <row r="544" spans="1:7" ht="14.25">
      <c r="A544" s="798"/>
      <c r="B544" s="799" t="s">
        <v>2554</v>
      </c>
      <c r="C544" s="830"/>
      <c r="D544" s="1912" t="s">
        <v>1234</v>
      </c>
      <c r="E544" s="1912"/>
      <c r="F544" s="1912"/>
      <c r="G544" s="791"/>
    </row>
    <row r="545" spans="1:7">
      <c r="A545" s="830"/>
      <c r="B545" s="830"/>
      <c r="C545" s="830"/>
      <c r="D545" s="1912"/>
      <c r="E545" s="1912"/>
      <c r="F545" s="1912"/>
      <c r="G545" s="791"/>
    </row>
    <row r="546" spans="1:7">
      <c r="A546" s="830"/>
      <c r="B546" s="830"/>
      <c r="C546" s="830"/>
      <c r="D546" s="1912"/>
      <c r="E546" s="1912"/>
      <c r="F546" s="1912"/>
      <c r="G546" s="791"/>
    </row>
    <row r="547" spans="1:7">
      <c r="A547" s="830"/>
      <c r="B547" s="830"/>
      <c r="C547" s="830"/>
      <c r="D547" s="801"/>
      <c r="E547" s="801"/>
      <c r="F547" s="801"/>
    </row>
    <row r="548" spans="1:7" ht="14.25">
      <c r="A548" s="798"/>
      <c r="B548" s="799" t="s">
        <v>2553</v>
      </c>
      <c r="C548" s="830"/>
      <c r="D548" s="1953" t="s">
        <v>1352</v>
      </c>
      <c r="E548" s="1953"/>
      <c r="F548" s="1953"/>
    </row>
    <row r="549" spans="1:7">
      <c r="A549" s="830"/>
      <c r="B549" s="830"/>
      <c r="C549" s="830"/>
      <c r="D549" s="1953"/>
      <c r="E549" s="1953"/>
      <c r="F549" s="1953"/>
    </row>
    <row r="550" spans="1:7">
      <c r="A550" s="830"/>
      <c r="B550" s="830"/>
      <c r="C550" s="830"/>
      <c r="D550" s="801"/>
      <c r="E550" s="801"/>
      <c r="F550" s="801"/>
    </row>
    <row r="551" spans="1:7" ht="14.25">
      <c r="A551" s="798"/>
      <c r="B551" s="799" t="s">
        <v>2553</v>
      </c>
      <c r="C551" s="830"/>
      <c r="D551" s="1912" t="s">
        <v>1236</v>
      </c>
      <c r="E551" s="1912"/>
      <c r="F551" s="1912"/>
    </row>
    <row r="552" spans="1:7">
      <c r="A552" s="830"/>
      <c r="B552" s="830"/>
      <c r="C552" s="830"/>
      <c r="D552" s="1912"/>
      <c r="E552" s="1912"/>
      <c r="F552" s="1912"/>
      <c r="G552" s="820"/>
    </row>
    <row r="553" spans="1:7">
      <c r="A553" s="830"/>
      <c r="B553" s="830"/>
      <c r="C553" s="830"/>
      <c r="D553" s="801"/>
      <c r="E553" s="801"/>
      <c r="F553" s="801"/>
      <c r="G553" s="820"/>
    </row>
    <row r="554" spans="1:7" ht="14.25">
      <c r="A554" s="798"/>
      <c r="B554" s="799" t="s">
        <v>2554</v>
      </c>
      <c r="C554" s="830"/>
      <c r="D554" s="1917" t="s">
        <v>1237</v>
      </c>
      <c r="E554" s="1917"/>
      <c r="F554" s="1917"/>
      <c r="G554" s="820"/>
    </row>
    <row r="555" spans="1:7">
      <c r="A555" s="817"/>
      <c r="B555" s="817"/>
      <c r="C555" s="830"/>
      <c r="D555" s="1917" t="s">
        <v>884</v>
      </c>
      <c r="E555" s="1917"/>
      <c r="F555" s="1917"/>
      <c r="G555" s="820"/>
    </row>
    <row r="556" spans="1:7">
      <c r="A556" s="817"/>
      <c r="B556" s="817"/>
      <c r="C556" s="830"/>
      <c r="D556" s="673"/>
      <c r="E556" s="1959" t="s">
        <v>1238</v>
      </c>
      <c r="F556" s="1959"/>
      <c r="G556" s="820"/>
    </row>
    <row r="557" spans="1:7" ht="14.25">
      <c r="A557" s="798"/>
      <c r="B557" s="798"/>
      <c r="C557" s="830"/>
      <c r="E557" s="801"/>
      <c r="F557" s="801"/>
      <c r="G557" s="820"/>
    </row>
    <row r="558" spans="1:7" ht="14.25">
      <c r="A558" s="798"/>
      <c r="B558" s="799" t="s">
        <v>2554</v>
      </c>
      <c r="C558" s="830"/>
      <c r="D558" s="1958" t="s">
        <v>1239</v>
      </c>
      <c r="E558" s="1958"/>
      <c r="F558" s="1958"/>
      <c r="G558" s="820"/>
    </row>
    <row r="559" spans="1:7">
      <c r="C559" s="830"/>
      <c r="D559" s="1912" t="s">
        <v>1240</v>
      </c>
      <c r="E559" s="1912"/>
      <c r="F559" s="1912"/>
      <c r="G559" s="820"/>
    </row>
    <row r="560" spans="1:7">
      <c r="A560" s="830"/>
      <c r="B560" s="830"/>
      <c r="C560" s="830"/>
      <c r="D560" s="1912"/>
      <c r="E560" s="1912"/>
      <c r="F560" s="1912"/>
      <c r="G560" s="820"/>
    </row>
    <row r="561" spans="1:7">
      <c r="A561" s="830"/>
      <c r="B561" s="830"/>
      <c r="C561" s="830"/>
      <c r="D561" s="1912"/>
      <c r="E561" s="1912"/>
      <c r="F561" s="1912"/>
      <c r="G561" s="820"/>
    </row>
    <row r="562" spans="1:7">
      <c r="A562" s="830"/>
      <c r="B562" s="830"/>
      <c r="C562" s="830"/>
      <c r="D562" s="801"/>
      <c r="E562" s="801"/>
      <c r="F562" s="801"/>
      <c r="G562" s="820"/>
    </row>
    <row r="563" spans="1:7" ht="14.25">
      <c r="A563" s="798"/>
      <c r="B563" s="799" t="s">
        <v>2554</v>
      </c>
      <c r="C563" s="830"/>
      <c r="D563" s="1912" t="s">
        <v>1241</v>
      </c>
      <c r="E563" s="1912"/>
      <c r="F563" s="1912"/>
      <c r="G563" s="820"/>
    </row>
    <row r="564" spans="1:7" ht="14.25">
      <c r="A564" s="798"/>
      <c r="B564" s="798"/>
      <c r="C564" s="830"/>
      <c r="D564" s="1912"/>
      <c r="E564" s="1912"/>
      <c r="F564" s="1912"/>
      <c r="G564" s="820"/>
    </row>
    <row r="565" spans="1:7" ht="14.25">
      <c r="A565" s="798"/>
      <c r="B565" s="798"/>
      <c r="C565" s="830"/>
      <c r="D565" s="1912"/>
      <c r="E565" s="1912"/>
      <c r="F565" s="1912"/>
      <c r="G565" s="820"/>
    </row>
    <row r="566" spans="1:7" ht="14.25">
      <c r="A566" s="798"/>
      <c r="B566" s="798"/>
      <c r="C566" s="830"/>
      <c r="D566" s="1912"/>
      <c r="E566" s="1912"/>
      <c r="F566" s="1912"/>
      <c r="G566" s="820"/>
    </row>
    <row r="567" spans="1:7" ht="14.25">
      <c r="A567" s="798"/>
      <c r="B567" s="798"/>
      <c r="C567" s="830"/>
      <c r="D567" s="801"/>
      <c r="E567" s="801"/>
      <c r="F567" s="801"/>
      <c r="G567" s="820"/>
    </row>
    <row r="568" spans="1:7">
      <c r="A568" s="1877" t="s">
        <v>1174</v>
      </c>
      <c r="B568" s="1877"/>
      <c r="C568" s="1877"/>
      <c r="D568" s="1877"/>
      <c r="E568" s="1877"/>
      <c r="F568" s="1877"/>
      <c r="G568" s="1877"/>
    </row>
    <row r="569" spans="1:7">
      <c r="A569" s="830"/>
      <c r="B569" s="830"/>
      <c r="C569" s="830"/>
      <c r="E569" s="801"/>
      <c r="F569" s="801"/>
      <c r="G569" s="820"/>
    </row>
    <row r="570" spans="1:7" ht="12.75" customHeight="1">
      <c r="C570" s="794"/>
      <c r="D570" s="1948" t="s">
        <v>216</v>
      </c>
      <c r="E570" s="1948"/>
      <c r="F570" s="1948"/>
      <c r="G570" s="820"/>
    </row>
    <row r="571" spans="1:7">
      <c r="A571" s="796"/>
      <c r="B571" s="796"/>
      <c r="C571" s="796"/>
      <c r="D571" s="1899" t="s">
        <v>1190</v>
      </c>
      <c r="E571" s="1899"/>
      <c r="F571" s="1899"/>
      <c r="G571" s="820"/>
    </row>
    <row r="572" spans="1:7">
      <c r="A572" s="791"/>
      <c r="B572" s="791"/>
      <c r="C572" s="796"/>
      <c r="D572" s="839"/>
      <c r="G572" s="820"/>
    </row>
    <row r="573" spans="1:7">
      <c r="A573" s="796"/>
      <c r="B573" s="799" t="s">
        <v>2554</v>
      </c>
      <c r="D573" s="1899" t="s">
        <v>958</v>
      </c>
      <c r="E573" s="1899"/>
      <c r="F573" s="1899"/>
      <c r="G573" s="820"/>
    </row>
    <row r="574" spans="1:7">
      <c r="A574" s="817"/>
      <c r="B574" s="817"/>
      <c r="D574" s="815"/>
    </row>
    <row r="575" spans="1:7">
      <c r="A575" s="817"/>
      <c r="B575" s="799" t="s">
        <v>2554</v>
      </c>
      <c r="D575" s="1900" t="s">
        <v>1191</v>
      </c>
      <c r="E575" s="1900"/>
      <c r="F575" s="1900"/>
    </row>
    <row r="576" spans="1:7">
      <c r="A576" s="817"/>
      <c r="B576" s="817"/>
      <c r="D576" s="1900"/>
      <c r="E576" s="1900"/>
      <c r="F576" s="1900"/>
      <c r="G576" s="791"/>
    </row>
    <row r="577" spans="1:7">
      <c r="A577" s="817"/>
      <c r="B577" s="817"/>
      <c r="D577" s="1900"/>
      <c r="E577" s="1900"/>
      <c r="F577" s="1900"/>
      <c r="G577" s="791"/>
    </row>
    <row r="578" spans="1:7">
      <c r="A578" s="817"/>
      <c r="B578" s="817"/>
      <c r="D578" s="1900"/>
      <c r="E578" s="1900"/>
      <c r="F578" s="1900"/>
      <c r="G578" s="791"/>
    </row>
    <row r="579" spans="1:7">
      <c r="A579" s="817"/>
      <c r="B579" s="799" t="s">
        <v>2553</v>
      </c>
      <c r="D579" s="1900" t="s">
        <v>1192</v>
      </c>
      <c r="E579" s="1900"/>
      <c r="F579" s="1900"/>
      <c r="G579" s="791"/>
    </row>
    <row r="580" spans="1:7">
      <c r="A580" s="817"/>
      <c r="B580" s="817"/>
      <c r="D580" s="1900"/>
      <c r="E580" s="1900"/>
      <c r="F580" s="1900"/>
      <c r="G580" s="791"/>
    </row>
    <row r="581" spans="1:7">
      <c r="A581" s="817"/>
      <c r="B581" s="817"/>
      <c r="D581" s="1900"/>
      <c r="E581" s="1900"/>
      <c r="F581" s="1900"/>
      <c r="G581" s="791"/>
    </row>
    <row r="582" spans="1:7">
      <c r="A582" s="817"/>
      <c r="B582" s="817"/>
      <c r="D582" s="1900"/>
      <c r="E582" s="1900"/>
      <c r="F582" s="1900"/>
      <c r="G582" s="791"/>
    </row>
    <row r="583" spans="1:7">
      <c r="A583" s="817"/>
      <c r="B583" s="817"/>
      <c r="D583" s="784"/>
      <c r="E583" s="784"/>
      <c r="F583" s="784"/>
      <c r="G583" s="791"/>
    </row>
    <row r="584" spans="1:7">
      <c r="A584" s="817"/>
      <c r="B584" s="799" t="s">
        <v>2554</v>
      </c>
      <c r="D584" s="1900" t="s">
        <v>1193</v>
      </c>
      <c r="E584" s="1900"/>
      <c r="F584" s="1900"/>
      <c r="G584" s="791"/>
    </row>
    <row r="585" spans="1:7">
      <c r="A585" s="817"/>
      <c r="B585" s="817"/>
      <c r="D585" s="1900"/>
      <c r="E585" s="1900"/>
      <c r="F585" s="1900"/>
      <c r="G585" s="791"/>
    </row>
    <row r="586" spans="1:7">
      <c r="A586" s="817"/>
      <c r="B586" s="817"/>
      <c r="D586" s="839"/>
      <c r="G586" s="791"/>
    </row>
    <row r="587" spans="1:7">
      <c r="A587" s="817"/>
      <c r="B587" s="799" t="s">
        <v>2553</v>
      </c>
      <c r="D587" s="1899" t="s">
        <v>1194</v>
      </c>
      <c r="E587" s="1899"/>
      <c r="F587" s="1899"/>
      <c r="G587" s="791"/>
    </row>
    <row r="588" spans="1:7">
      <c r="A588" s="817"/>
      <c r="B588" s="817"/>
      <c r="D588" s="1899"/>
      <c r="E588" s="1899"/>
      <c r="F588" s="1899"/>
      <c r="G588" s="791"/>
    </row>
    <row r="589" spans="1:7">
      <c r="A589" s="817"/>
      <c r="B589" s="817"/>
      <c r="D589" s="839"/>
      <c r="G589" s="791"/>
    </row>
    <row r="590" spans="1:7" ht="14.25">
      <c r="A590" s="798"/>
      <c r="B590" s="799" t="s">
        <v>2554</v>
      </c>
      <c r="D590" s="1899" t="s">
        <v>953</v>
      </c>
      <c r="E590" s="1899"/>
      <c r="F590" s="1899"/>
      <c r="G590" s="791"/>
    </row>
    <row r="591" spans="1:7" ht="14.25">
      <c r="A591" s="798"/>
      <c r="B591" s="798"/>
      <c r="D591" s="839"/>
      <c r="G591" s="791"/>
    </row>
    <row r="592" spans="1:7">
      <c r="A592" s="1877" t="s">
        <v>1175</v>
      </c>
      <c r="B592" s="1877"/>
      <c r="C592" s="1877"/>
      <c r="D592" s="1877"/>
      <c r="E592" s="1877"/>
      <c r="F592" s="1877"/>
      <c r="G592" s="1877"/>
    </row>
    <row r="593" spans="1:7"/>
    <row r="594" spans="1:7">
      <c r="D594" s="1867" t="s">
        <v>1275</v>
      </c>
      <c r="E594" s="1867"/>
      <c r="F594" s="1867"/>
    </row>
    <row r="595" spans="1:7">
      <c r="D595" s="1868" t="s">
        <v>1276</v>
      </c>
      <c r="E595" s="1868"/>
      <c r="F595" s="1868"/>
    </row>
    <row r="596" spans="1:7">
      <c r="D596" s="781"/>
      <c r="E596" s="723"/>
      <c r="F596" s="723"/>
    </row>
    <row r="597" spans="1:7" s="792" customFormat="1" ht="14.25">
      <c r="A597" s="806"/>
      <c r="B597" s="799" t="s">
        <v>2554</v>
      </c>
      <c r="C597" s="802"/>
      <c r="D597" s="1869" t="s">
        <v>1277</v>
      </c>
      <c r="E597" s="1869"/>
      <c r="F597" s="1869"/>
      <c r="G597" s="803"/>
    </row>
    <row r="598" spans="1:7">
      <c r="D598" s="1869"/>
      <c r="E598" s="1869"/>
      <c r="F598" s="1869"/>
    </row>
    <row r="599" spans="1:7">
      <c r="D599" s="1869"/>
      <c r="E599" s="1869"/>
      <c r="F599" s="1869"/>
    </row>
    <row r="600" spans="1:7"/>
    <row r="601" spans="1:7">
      <c r="A601" s="1877" t="s">
        <v>1176</v>
      </c>
      <c r="B601" s="1877"/>
      <c r="C601" s="1877"/>
      <c r="D601" s="1877"/>
      <c r="E601" s="1877"/>
      <c r="F601" s="1877"/>
      <c r="G601" s="1877"/>
    </row>
    <row r="602" spans="1:7">
      <c r="A602" s="801"/>
      <c r="B602" s="801"/>
      <c r="G602" s="820"/>
    </row>
    <row r="603" spans="1:7">
      <c r="A603" s="840"/>
      <c r="B603" s="840"/>
      <c r="C603" s="794"/>
      <c r="D603" s="1870" t="s">
        <v>1278</v>
      </c>
      <c r="E603" s="1870"/>
      <c r="F603" s="1870"/>
      <c r="G603" s="820"/>
    </row>
    <row r="604" spans="1:7">
      <c r="A604" s="840"/>
      <c r="B604" s="840"/>
      <c r="C604" s="794"/>
      <c r="D604" s="1870"/>
      <c r="E604" s="1870"/>
      <c r="F604" s="1870"/>
      <c r="G604" s="820"/>
    </row>
    <row r="605" spans="1:7">
      <c r="C605" s="796"/>
      <c r="D605" s="1868" t="s">
        <v>1279</v>
      </c>
      <c r="E605" s="1868"/>
      <c r="F605" s="1868"/>
      <c r="G605" s="820"/>
    </row>
    <row r="606" spans="1:7">
      <c r="C606" s="796"/>
      <c r="D606" s="781"/>
      <c r="E606" s="781"/>
      <c r="F606" s="781"/>
      <c r="G606" s="820"/>
    </row>
    <row r="607" spans="1:7">
      <c r="A607" s="817"/>
      <c r="B607" s="799" t="s">
        <v>2554</v>
      </c>
      <c r="D607" s="1868" t="s">
        <v>454</v>
      </c>
      <c r="E607" s="1868"/>
      <c r="F607" s="1868"/>
      <c r="G607" s="820"/>
    </row>
    <row r="608" spans="1:7">
      <c r="C608" s="841"/>
      <c r="E608" s="791"/>
      <c r="G608" s="820"/>
    </row>
    <row r="609" spans="1:7">
      <c r="A609" s="817"/>
      <c r="B609" s="799" t="s">
        <v>2554</v>
      </c>
      <c r="D609" s="1871" t="s">
        <v>1280</v>
      </c>
      <c r="E609" s="1871"/>
      <c r="F609" s="1871"/>
      <c r="G609" s="820"/>
    </row>
    <row r="610" spans="1:7">
      <c r="D610" s="1871"/>
      <c r="E610" s="1871"/>
      <c r="F610" s="1871"/>
      <c r="G610" s="820"/>
    </row>
    <row r="611" spans="1:7">
      <c r="D611" s="791"/>
      <c r="G611" s="820"/>
    </row>
    <row r="612" spans="1:7">
      <c r="B612" s="799" t="s">
        <v>2554</v>
      </c>
      <c r="D612" s="1871" t="s">
        <v>1281</v>
      </c>
      <c r="E612" s="1871"/>
      <c r="F612" s="1871"/>
      <c r="G612" s="820"/>
    </row>
    <row r="613" spans="1:7">
      <c r="C613" s="841"/>
      <c r="D613" s="1871"/>
      <c r="E613" s="1871"/>
      <c r="F613" s="1871"/>
      <c r="G613" s="820"/>
    </row>
    <row r="614" spans="1:7">
      <c r="C614" s="841"/>
      <c r="G614" s="820"/>
    </row>
    <row r="615" spans="1:7">
      <c r="B615" s="799" t="s">
        <v>2553</v>
      </c>
      <c r="C615" s="841"/>
      <c r="D615" s="1871" t="s">
        <v>1282</v>
      </c>
      <c r="E615" s="1871"/>
      <c r="F615" s="1871"/>
      <c r="G615" s="820"/>
    </row>
    <row r="616" spans="1:7">
      <c r="C616" s="841"/>
      <c r="D616" s="1871"/>
      <c r="E616" s="1871"/>
      <c r="F616" s="1871"/>
      <c r="G616" s="820"/>
    </row>
    <row r="617" spans="1:7">
      <c r="C617" s="841"/>
      <c r="G617" s="820"/>
    </row>
    <row r="618" spans="1:7">
      <c r="A618" s="1877" t="s">
        <v>1177</v>
      </c>
      <c r="B618" s="1877"/>
      <c r="C618" s="1877"/>
      <c r="D618" s="1877"/>
      <c r="E618" s="1877"/>
      <c r="F618" s="1877"/>
      <c r="G618" s="1877"/>
    </row>
    <row r="619" spans="1:7">
      <c r="A619" s="842"/>
      <c r="B619" s="842"/>
      <c r="C619" s="842"/>
      <c r="G619" s="820"/>
    </row>
    <row r="620" spans="1:7">
      <c r="C620" s="817"/>
      <c r="D620" s="1867" t="s">
        <v>1283</v>
      </c>
      <c r="E620" s="1867"/>
      <c r="F620" s="1867"/>
      <c r="G620" s="820"/>
    </row>
    <row r="621" spans="1:7">
      <c r="A621" s="817"/>
      <c r="B621" s="817"/>
      <c r="C621" s="819"/>
      <c r="D621" s="795"/>
      <c r="G621" s="820"/>
    </row>
    <row r="622" spans="1:7" ht="14.25">
      <c r="A622" s="798"/>
      <c r="B622" s="799" t="s">
        <v>2554</v>
      </c>
      <c r="C622" s="819"/>
      <c r="D622" s="1912" t="s">
        <v>1511</v>
      </c>
      <c r="E622" s="1912"/>
      <c r="F622" s="1912"/>
      <c r="G622" s="820"/>
    </row>
    <row r="623" spans="1:7">
      <c r="C623" s="819"/>
      <c r="D623" s="1912"/>
      <c r="E623" s="1912"/>
      <c r="F623" s="1912"/>
      <c r="G623" s="820"/>
    </row>
    <row r="624" spans="1:7">
      <c r="C624" s="819"/>
      <c r="D624" s="1912"/>
      <c r="E624" s="1912"/>
      <c r="F624" s="1912"/>
      <c r="G624" s="820"/>
    </row>
    <row r="625" spans="1:7">
      <c r="C625" s="819"/>
      <c r="D625" s="1912"/>
      <c r="E625" s="1912"/>
      <c r="F625" s="1912"/>
      <c r="G625" s="820"/>
    </row>
    <row r="626" spans="1:7">
      <c r="C626" s="819"/>
      <c r="D626" s="1912"/>
      <c r="E626" s="1912"/>
      <c r="F626" s="1912"/>
      <c r="G626" s="820"/>
    </row>
    <row r="627" spans="1:7">
      <c r="C627" s="819"/>
      <c r="D627" s="1912"/>
      <c r="E627" s="1912"/>
      <c r="F627" s="1912"/>
      <c r="G627" s="820"/>
    </row>
    <row r="628" spans="1:7">
      <c r="C628" s="819"/>
      <c r="D628" s="785"/>
      <c r="E628" s="785"/>
      <c r="F628" s="785"/>
      <c r="G628" s="820"/>
    </row>
    <row r="629" spans="1:7" ht="14.25">
      <c r="A629" s="798"/>
      <c r="B629" s="799" t="s">
        <v>2553</v>
      </c>
      <c r="C629" s="819"/>
      <c r="D629" s="1912" t="s">
        <v>1285</v>
      </c>
      <c r="E629" s="1912"/>
      <c r="F629" s="1912"/>
      <c r="G629" s="820"/>
    </row>
    <row r="630" spans="1:7">
      <c r="A630" s="830"/>
      <c r="B630" s="830"/>
      <c r="C630" s="830"/>
      <c r="D630" s="1912"/>
      <c r="E630" s="1912"/>
      <c r="F630" s="1912"/>
      <c r="G630" s="820"/>
    </row>
    <row r="631" spans="1:7">
      <c r="A631" s="830"/>
      <c r="B631" s="830"/>
      <c r="C631" s="830"/>
      <c r="D631" s="786"/>
      <c r="E631" s="843"/>
      <c r="F631" s="843"/>
      <c r="G631" s="820"/>
    </row>
    <row r="632" spans="1:7" ht="14.25">
      <c r="A632" s="798"/>
      <c r="B632" s="799" t="s">
        <v>2553</v>
      </c>
      <c r="C632" s="830"/>
      <c r="D632" s="1869" t="s">
        <v>1446</v>
      </c>
      <c r="E632" s="1869"/>
      <c r="F632" s="1869"/>
      <c r="G632" s="820"/>
    </row>
    <row r="633" spans="1:7" ht="14.25">
      <c r="A633" s="798"/>
      <c r="B633" s="798"/>
      <c r="C633" s="830"/>
      <c r="D633" s="1869"/>
      <c r="E633" s="1869"/>
      <c r="F633" s="1869"/>
      <c r="G633" s="820"/>
    </row>
    <row r="634" spans="1:7" ht="14.25">
      <c r="A634" s="798"/>
      <c r="B634" s="798"/>
      <c r="C634" s="830"/>
      <c r="D634" s="1869"/>
      <c r="E634" s="1869"/>
      <c r="F634" s="1869"/>
      <c r="G634" s="820"/>
    </row>
    <row r="635" spans="1:7">
      <c r="A635" s="830"/>
      <c r="B635" s="799" t="s">
        <v>2553</v>
      </c>
      <c r="C635" s="830"/>
      <c r="D635" s="1917" t="s">
        <v>1287</v>
      </c>
      <c r="E635" s="1917"/>
      <c r="F635" s="1917"/>
      <c r="G635" s="820"/>
    </row>
    <row r="636" spans="1:7">
      <c r="A636" s="830"/>
      <c r="B636" s="830"/>
      <c r="C636" s="830"/>
      <c r="D636" s="728"/>
      <c r="E636" s="728"/>
      <c r="F636" s="728"/>
      <c r="G636" s="820"/>
    </row>
    <row r="637" spans="1:7">
      <c r="A637" s="1877" t="s">
        <v>1178</v>
      </c>
      <c r="B637" s="1877"/>
      <c r="C637" s="1877"/>
      <c r="D637" s="1877"/>
      <c r="E637" s="1877"/>
      <c r="F637" s="1877"/>
      <c r="G637" s="1877"/>
    </row>
    <row r="638" spans="1:7">
      <c r="A638" s="801"/>
      <c r="B638" s="801"/>
      <c r="C638" s="830"/>
      <c r="D638" s="843"/>
      <c r="E638" s="843"/>
      <c r="F638" s="843"/>
      <c r="G638" s="820"/>
    </row>
    <row r="639" spans="1:7">
      <c r="C639" s="842"/>
      <c r="D639" s="1963" t="s">
        <v>1337</v>
      </c>
      <c r="E639" s="1963"/>
      <c r="F639" s="1963"/>
      <c r="G639" s="820"/>
    </row>
    <row r="640" spans="1:7">
      <c r="A640" s="796"/>
      <c r="B640" s="796"/>
      <c r="C640" s="796"/>
      <c r="D640" s="1964" t="s">
        <v>1338</v>
      </c>
      <c r="E640" s="1964"/>
      <c r="F640" s="1964"/>
      <c r="G640" s="820"/>
    </row>
    <row r="641" spans="1:7">
      <c r="A641" s="796"/>
      <c r="B641" s="796"/>
      <c r="C641" s="796"/>
      <c r="D641" s="728"/>
      <c r="E641" s="728"/>
      <c r="F641" s="728"/>
      <c r="G641" s="820"/>
    </row>
    <row r="642" spans="1:7" ht="12.75" customHeight="1">
      <c r="B642" s="799" t="s">
        <v>2554</v>
      </c>
      <c r="C642" s="830"/>
      <c r="D642" s="1954" t="s">
        <v>1533</v>
      </c>
      <c r="E642" s="1954"/>
      <c r="F642" s="1954"/>
    </row>
    <row r="643" spans="1:7">
      <c r="D643" s="1954"/>
      <c r="E643" s="1954"/>
      <c r="F643" s="1954"/>
    </row>
    <row r="644" spans="1:7">
      <c r="D644" s="1954"/>
      <c r="E644" s="1954"/>
      <c r="F644" s="1954"/>
    </row>
    <row r="645" spans="1:7">
      <c r="D645" s="1954"/>
      <c r="E645" s="1954"/>
      <c r="F645" s="1954"/>
    </row>
    <row r="646" spans="1:7" ht="14.45" customHeight="1">
      <c r="A646" s="798"/>
      <c r="B646" s="798"/>
      <c r="C646" s="830"/>
      <c r="D646" s="902"/>
      <c r="E646" s="902"/>
      <c r="F646" s="902"/>
      <c r="G646" s="820"/>
    </row>
    <row r="647" spans="1:7" ht="12.75" customHeight="1">
      <c r="A647" s="796"/>
      <c r="B647" s="799" t="s">
        <v>2554</v>
      </c>
      <c r="C647" s="830"/>
      <c r="D647" s="1954" t="s">
        <v>1536</v>
      </c>
      <c r="E647" s="1954"/>
      <c r="F647" s="1954"/>
      <c r="G647" s="820"/>
    </row>
    <row r="648" spans="1:7" ht="14.25">
      <c r="A648" s="796"/>
      <c r="B648" s="798"/>
      <c r="C648" s="830"/>
      <c r="D648" s="1954"/>
      <c r="E648" s="1954"/>
      <c r="F648" s="1954"/>
      <c r="G648" s="820"/>
    </row>
    <row r="649" spans="1:7" ht="14.25">
      <c r="A649" s="796"/>
      <c r="B649" s="798"/>
      <c r="C649" s="830"/>
      <c r="D649" s="1954"/>
      <c r="E649" s="1954"/>
      <c r="F649" s="1954"/>
      <c r="G649" s="820"/>
    </row>
    <row r="650" spans="1:7" ht="14.25">
      <c r="A650" s="796"/>
      <c r="B650" s="798"/>
      <c r="C650" s="830"/>
      <c r="D650" s="1954"/>
      <c r="E650" s="1954"/>
      <c r="F650" s="1954"/>
      <c r="G650" s="820"/>
    </row>
    <row r="651" spans="1:7" ht="14.25">
      <c r="A651" s="796"/>
      <c r="B651" s="798"/>
      <c r="C651" s="830"/>
      <c r="D651" s="1954"/>
      <c r="E651" s="1954"/>
      <c r="F651" s="1954"/>
      <c r="G651" s="820"/>
    </row>
    <row r="652" spans="1:7" ht="14.25" customHeight="1">
      <c r="A652" s="796"/>
      <c r="B652" s="798"/>
      <c r="C652" s="830"/>
      <c r="F652" s="903"/>
      <c r="G652" s="820"/>
    </row>
    <row r="653" spans="1:7" ht="12.75" customHeight="1">
      <c r="A653" s="796"/>
      <c r="B653" s="799" t="s">
        <v>2554</v>
      </c>
      <c r="C653" s="830"/>
      <c r="D653" s="1954" t="s">
        <v>1534</v>
      </c>
      <c r="E653" s="1954"/>
      <c r="F653" s="1954"/>
      <c r="G653" s="820"/>
    </row>
    <row r="654" spans="1:7" ht="14.25">
      <c r="A654" s="796"/>
      <c r="B654" s="798"/>
      <c r="C654" s="830"/>
      <c r="D654" s="1954"/>
      <c r="E654" s="1954"/>
      <c r="F654" s="1954"/>
      <c r="G654" s="820"/>
    </row>
    <row r="655" spans="1:7" ht="14.25">
      <c r="A655" s="798"/>
      <c r="B655" s="798"/>
      <c r="C655" s="830"/>
      <c r="D655" s="1954"/>
      <c r="E655" s="1954"/>
      <c r="F655" s="1954"/>
      <c r="G655" s="820"/>
    </row>
    <row r="656" spans="1:7" ht="14.25">
      <c r="A656" s="798"/>
      <c r="B656" s="798"/>
      <c r="C656" s="830"/>
      <c r="D656" s="1954"/>
      <c r="E656" s="1954"/>
      <c r="F656" s="1954"/>
      <c r="G656" s="820"/>
    </row>
    <row r="657" spans="1:11" ht="14.25">
      <c r="A657" s="798"/>
      <c r="B657" s="798"/>
      <c r="C657" s="830"/>
      <c r="D657" s="894"/>
      <c r="E657" s="894"/>
      <c r="F657" s="894"/>
      <c r="G657" s="820"/>
    </row>
    <row r="658" spans="1:11" ht="12.75" customHeight="1">
      <c r="A658" s="796"/>
      <c r="B658" s="799" t="s">
        <v>2553</v>
      </c>
      <c r="C658" s="830"/>
      <c r="D658" s="1954" t="s">
        <v>1535</v>
      </c>
      <c r="E658" s="1954"/>
      <c r="F658" s="1954"/>
      <c r="G658" s="820"/>
    </row>
    <row r="659" spans="1:11" ht="12.75" customHeight="1">
      <c r="A659" s="796"/>
      <c r="B659" s="798"/>
      <c r="C659" s="830"/>
      <c r="D659" s="1954"/>
      <c r="E659" s="1954"/>
      <c r="F659" s="1954"/>
      <c r="G659" s="820"/>
    </row>
    <row r="660" spans="1:11" ht="12.75" customHeight="1">
      <c r="A660" s="796"/>
      <c r="B660" s="798"/>
      <c r="C660" s="830"/>
      <c r="D660" s="1954"/>
      <c r="E660" s="1954"/>
      <c r="F660" s="1954"/>
      <c r="G660" s="820"/>
    </row>
    <row r="661" spans="1:11" ht="12.75" customHeight="1">
      <c r="A661" s="796"/>
      <c r="B661" s="798"/>
      <c r="C661" s="830"/>
      <c r="D661" s="1954"/>
      <c r="E661" s="1954"/>
      <c r="F661" s="1954"/>
      <c r="G661" s="820"/>
    </row>
    <row r="662" spans="1:11" ht="12.75" customHeight="1">
      <c r="A662" s="796"/>
      <c r="B662" s="798"/>
      <c r="C662" s="830"/>
      <c r="D662" s="1954"/>
      <c r="E662" s="1954"/>
      <c r="F662" s="1954"/>
      <c r="G662" s="820"/>
    </row>
    <row r="663" spans="1:11" ht="12.75" customHeight="1">
      <c r="A663" s="796"/>
      <c r="B663" s="798"/>
      <c r="C663" s="830"/>
      <c r="D663" s="1954"/>
      <c r="E663" s="1954"/>
      <c r="F663" s="1954"/>
      <c r="G663" s="820"/>
    </row>
    <row r="664" spans="1:11" ht="12.75" customHeight="1">
      <c r="A664" s="796"/>
      <c r="B664" s="798"/>
      <c r="C664" s="830"/>
      <c r="D664" s="1954"/>
      <c r="E664" s="1954"/>
      <c r="F664" s="1954"/>
      <c r="G664" s="820"/>
    </row>
    <row r="665" spans="1:11" ht="12.75" customHeight="1">
      <c r="A665" s="796"/>
      <c r="B665" s="798"/>
      <c r="C665" s="830"/>
      <c r="D665" s="1954"/>
      <c r="E665" s="1954"/>
      <c r="F665" s="1954"/>
      <c r="G665" s="820"/>
    </row>
    <row r="666" spans="1:11" ht="12.75" customHeight="1">
      <c r="A666" s="796"/>
      <c r="B666" s="798"/>
      <c r="C666" s="830"/>
      <c r="D666" s="1954"/>
      <c r="E666" s="1954"/>
      <c r="F666" s="1954"/>
      <c r="G666" s="820"/>
    </row>
    <row r="667" spans="1:11">
      <c r="A667" s="830"/>
      <c r="B667" s="830"/>
      <c r="C667" s="830"/>
      <c r="D667" s="843"/>
      <c r="E667" s="843"/>
      <c r="F667" s="843"/>
      <c r="G667" s="820"/>
    </row>
    <row r="668" spans="1:11">
      <c r="A668" s="1877" t="s">
        <v>1179</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67" t="s">
        <v>104</v>
      </c>
      <c r="E670" s="1867"/>
      <c r="F670" s="1867"/>
      <c r="G670" s="820"/>
      <c r="H670" s="844"/>
      <c r="I670" s="844"/>
      <c r="J670" s="844"/>
      <c r="K670" s="844"/>
    </row>
    <row r="671" spans="1:11">
      <c r="A671" s="842"/>
      <c r="B671" s="842"/>
      <c r="C671" s="842"/>
      <c r="D671" s="1867" t="s">
        <v>128</v>
      </c>
      <c r="E671" s="1867"/>
      <c r="F671" s="1867"/>
      <c r="G671" s="820"/>
      <c r="H671" s="844"/>
      <c r="I671" s="844"/>
      <c r="J671" s="844"/>
      <c r="K671" s="844"/>
    </row>
    <row r="672" spans="1:11">
      <c r="A672" s="796"/>
      <c r="B672" s="796"/>
      <c r="C672" s="796"/>
      <c r="D672" s="1917" t="s">
        <v>1215</v>
      </c>
      <c r="E672" s="1917"/>
      <c r="F672" s="1917"/>
      <c r="G672" s="820"/>
      <c r="H672" s="844"/>
      <c r="I672" s="844"/>
      <c r="J672" s="844"/>
      <c r="K672" s="844"/>
    </row>
    <row r="673" spans="1:11">
      <c r="A673" s="796"/>
      <c r="B673" s="796"/>
      <c r="C673" s="796"/>
      <c r="G673" s="820"/>
      <c r="H673" s="844"/>
      <c r="I673" s="844"/>
      <c r="J673" s="844"/>
      <c r="K673" s="844"/>
    </row>
    <row r="674" spans="1:11" ht="14.25">
      <c r="A674" s="798"/>
      <c r="B674" s="799" t="s">
        <v>2554</v>
      </c>
      <c r="C674" s="796"/>
      <c r="D674" s="1917" t="s">
        <v>954</v>
      </c>
      <c r="E674" s="1917"/>
      <c r="F674" s="1917"/>
      <c r="G674" s="820"/>
      <c r="H674" s="844"/>
      <c r="I674" s="844"/>
      <c r="J674" s="844"/>
      <c r="K674" s="844"/>
    </row>
    <row r="675" spans="1:11">
      <c r="A675" s="796"/>
      <c r="B675" s="796"/>
      <c r="C675" s="796"/>
      <c r="D675" s="1917" t="s">
        <v>965</v>
      </c>
      <c r="E675" s="1917"/>
      <c r="F675" s="1917"/>
      <c r="G675" s="820"/>
      <c r="H675" s="844"/>
      <c r="I675" s="844"/>
      <c r="J675" s="844"/>
      <c r="K675" s="844"/>
    </row>
    <row r="676" spans="1:11">
      <c r="A676" s="796"/>
      <c r="B676" s="796"/>
      <c r="C676" s="796"/>
      <c r="D676" s="673"/>
      <c r="E676" s="1978" t="s">
        <v>1216</v>
      </c>
      <c r="F676" s="1978"/>
      <c r="G676" s="820"/>
      <c r="H676" s="844"/>
      <c r="I676" s="844"/>
      <c r="J676" s="844"/>
      <c r="K676" s="844"/>
    </row>
    <row r="677" spans="1:11">
      <c r="A677" s="796"/>
      <c r="B677" s="796"/>
      <c r="C677" s="796"/>
      <c r="D677" s="673"/>
      <c r="E677" s="1978"/>
      <c r="F677" s="1978"/>
      <c r="G677" s="820"/>
      <c r="H677" s="844"/>
      <c r="I677" s="844"/>
      <c r="J677" s="844"/>
      <c r="K677" s="844"/>
    </row>
    <row r="678" spans="1:11">
      <c r="A678" s="796"/>
      <c r="B678" s="796"/>
      <c r="C678" s="796"/>
      <c r="D678" s="845"/>
      <c r="E678" s="801"/>
      <c r="G678" s="820"/>
      <c r="H678" s="844"/>
      <c r="I678" s="844"/>
      <c r="J678" s="844"/>
      <c r="K678" s="844"/>
    </row>
    <row r="679" spans="1:11" ht="14.25">
      <c r="A679" s="798"/>
      <c r="B679" s="799" t="s">
        <v>2553</v>
      </c>
      <c r="C679" s="796"/>
      <c r="D679" s="1912" t="s">
        <v>1412</v>
      </c>
      <c r="E679" s="1912"/>
      <c r="F679" s="1912"/>
      <c r="G679" s="820"/>
      <c r="H679" s="844"/>
      <c r="I679" s="844"/>
      <c r="J679" s="844"/>
      <c r="K679" s="844"/>
    </row>
    <row r="680" spans="1:11">
      <c r="A680" s="817"/>
      <c r="B680" s="817"/>
      <c r="C680" s="796"/>
      <c r="D680" s="1912"/>
      <c r="E680" s="1912"/>
      <c r="F680" s="1912"/>
      <c r="G680" s="820"/>
      <c r="H680" s="844"/>
      <c r="I680" s="844"/>
      <c r="J680" s="844"/>
      <c r="K680" s="844"/>
    </row>
    <row r="681" spans="1:11">
      <c r="A681" s="796"/>
      <c r="B681" s="796"/>
      <c r="C681" s="796"/>
      <c r="D681" s="1912"/>
      <c r="E681" s="1912"/>
      <c r="F681" s="1912"/>
      <c r="G681" s="820"/>
      <c r="H681" s="844"/>
      <c r="I681" s="844"/>
      <c r="J681" s="844"/>
      <c r="K681" s="844"/>
    </row>
    <row r="682" spans="1:11">
      <c r="A682" s="796"/>
      <c r="B682" s="796"/>
      <c r="C682" s="796"/>
      <c r="G682" s="820"/>
      <c r="H682" s="844"/>
      <c r="I682" s="844"/>
      <c r="J682" s="844"/>
      <c r="K682" s="844"/>
    </row>
    <row r="683" spans="1:11" ht="14.25">
      <c r="A683" s="798"/>
      <c r="B683" s="799" t="s">
        <v>2554</v>
      </c>
      <c r="C683" s="796"/>
      <c r="D683" s="1917" t="s">
        <v>994</v>
      </c>
      <c r="E683" s="1917"/>
      <c r="F683" s="1917"/>
      <c r="G683" s="820"/>
      <c r="H683" s="844"/>
      <c r="I683" s="844"/>
      <c r="J683" s="844"/>
      <c r="K683" s="844"/>
    </row>
    <row r="684" spans="1:11" ht="14.25">
      <c r="A684" s="798"/>
      <c r="B684" s="798"/>
      <c r="C684" s="796"/>
      <c r="D684" s="1917" t="s">
        <v>965</v>
      </c>
      <c r="E684" s="1917"/>
      <c r="F684" s="1917"/>
      <c r="G684" s="820"/>
      <c r="H684" s="844"/>
      <c r="I684" s="844"/>
      <c r="J684" s="844"/>
      <c r="K684" s="844"/>
    </row>
    <row r="685" spans="1:11">
      <c r="A685" s="796"/>
      <c r="B685" s="796"/>
      <c r="C685" s="796"/>
      <c r="D685" s="673"/>
      <c r="E685" s="1959" t="s">
        <v>1218</v>
      </c>
      <c r="F685" s="1959"/>
      <c r="G685" s="820"/>
      <c r="H685" s="844"/>
      <c r="I685" s="844"/>
      <c r="J685" s="844"/>
      <c r="K685" s="844"/>
    </row>
    <row r="686" spans="1:11">
      <c r="A686" s="796"/>
      <c r="B686" s="796"/>
      <c r="C686" s="796"/>
      <c r="D686" s="795"/>
      <c r="G686" s="820"/>
      <c r="H686" s="844"/>
      <c r="I686" s="844"/>
      <c r="J686" s="844"/>
      <c r="K686" s="844"/>
    </row>
    <row r="687" spans="1:11" ht="14.25">
      <c r="A687" s="798"/>
      <c r="B687" s="799" t="s">
        <v>2554</v>
      </c>
      <c r="C687" s="796"/>
      <c r="D687" s="1953" t="s">
        <v>1228</v>
      </c>
      <c r="E687" s="1953"/>
      <c r="F687" s="1953"/>
      <c r="G687" s="820"/>
      <c r="H687" s="844"/>
      <c r="I687" s="844"/>
      <c r="J687" s="844"/>
      <c r="K687" s="844"/>
    </row>
    <row r="688" spans="1:11">
      <c r="A688" s="796"/>
      <c r="B688" s="796"/>
      <c r="C688" s="796"/>
      <c r="D688" s="1953"/>
      <c r="E688" s="1953"/>
      <c r="F688" s="1953"/>
      <c r="G688" s="820"/>
      <c r="H688" s="844"/>
      <c r="I688" s="844"/>
      <c r="J688" s="844"/>
      <c r="K688" s="844"/>
    </row>
    <row r="689" spans="1:11">
      <c r="A689" s="796"/>
      <c r="B689" s="796"/>
      <c r="C689" s="796"/>
      <c r="D689" s="1953"/>
      <c r="E689" s="1953"/>
      <c r="F689" s="1953"/>
      <c r="G689" s="820"/>
      <c r="H689" s="844"/>
      <c r="I689" s="844"/>
      <c r="J689" s="844"/>
      <c r="K689" s="844"/>
    </row>
    <row r="690" spans="1:11">
      <c r="A690" s="796"/>
      <c r="B690" s="796"/>
      <c r="C690" s="796"/>
      <c r="D690" s="1953"/>
      <c r="E690" s="1953"/>
      <c r="F690" s="1953"/>
      <c r="G690" s="820"/>
      <c r="H690" s="844"/>
      <c r="I690" s="844"/>
      <c r="J690" s="844"/>
      <c r="K690" s="844"/>
    </row>
    <row r="691" spans="1:11">
      <c r="A691" s="796"/>
      <c r="B691" s="796"/>
      <c r="C691" s="796"/>
      <c r="D691" s="1953"/>
      <c r="E691" s="1953"/>
      <c r="F691" s="1953"/>
      <c r="G691" s="820"/>
      <c r="H691" s="844"/>
      <c r="I691" s="844"/>
      <c r="J691" s="844"/>
      <c r="K691" s="844"/>
    </row>
    <row r="692" spans="1:11" s="792" customFormat="1">
      <c r="A692" s="836"/>
      <c r="B692" s="836"/>
      <c r="C692" s="836"/>
      <c r="D692" s="1953"/>
      <c r="E692" s="1953"/>
      <c r="F692" s="195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2554</v>
      </c>
      <c r="C694" s="836"/>
      <c r="D694" s="1953" t="s">
        <v>1414</v>
      </c>
      <c r="E694" s="1953"/>
      <c r="F694" s="1953"/>
      <c r="G694" s="846"/>
      <c r="H694" s="847"/>
      <c r="I694" s="847"/>
      <c r="J694" s="847"/>
      <c r="K694" s="847"/>
    </row>
    <row r="695" spans="1:11" s="792" customFormat="1">
      <c r="A695" s="836"/>
      <c r="B695" s="836"/>
      <c r="C695" s="836"/>
      <c r="D695" s="1953"/>
      <c r="E695" s="1953"/>
      <c r="F695" s="1953"/>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2553</v>
      </c>
      <c r="C697" s="796"/>
      <c r="D697" s="1953" t="s">
        <v>1219</v>
      </c>
      <c r="E697" s="1953"/>
      <c r="F697" s="1953"/>
      <c r="G697" s="820"/>
      <c r="H697" s="844"/>
      <c r="I697" s="844"/>
      <c r="J697" s="844"/>
      <c r="K697" s="844"/>
    </row>
    <row r="698" spans="1:11">
      <c r="A698" s="796"/>
      <c r="B698" s="796"/>
      <c r="C698" s="796"/>
      <c r="D698" s="1953"/>
      <c r="E698" s="1953"/>
      <c r="F698" s="1953"/>
      <c r="G698" s="820"/>
      <c r="H698" s="844"/>
      <c r="I698" s="844"/>
      <c r="J698" s="844"/>
      <c r="K698" s="844"/>
    </row>
    <row r="699" spans="1:11">
      <c r="A699" s="796"/>
      <c r="B699" s="796"/>
      <c r="C699" s="796"/>
      <c r="D699" s="1953"/>
      <c r="E699" s="1953"/>
      <c r="F699" s="1953"/>
      <c r="G699" s="820"/>
      <c r="H699" s="844"/>
      <c r="I699" s="844"/>
      <c r="J699" s="844"/>
      <c r="K699" s="844"/>
    </row>
    <row r="700" spans="1:11" ht="15" customHeight="1">
      <c r="A700" s="796"/>
      <c r="B700" s="796"/>
      <c r="C700" s="796"/>
      <c r="D700" s="1953"/>
      <c r="E700" s="1953"/>
      <c r="F700" s="1953"/>
      <c r="G700" s="820"/>
      <c r="H700" s="844"/>
      <c r="I700" s="844"/>
      <c r="J700" s="844"/>
      <c r="K700" s="844"/>
    </row>
    <row r="701" spans="1:11" ht="15" customHeight="1">
      <c r="A701" s="796"/>
      <c r="B701" s="796"/>
      <c r="C701" s="796"/>
      <c r="D701" s="1953"/>
      <c r="E701" s="1953"/>
      <c r="F701" s="1953"/>
      <c r="G701" s="820"/>
      <c r="H701" s="844"/>
      <c r="I701" s="844"/>
      <c r="J701" s="844"/>
      <c r="K701" s="844"/>
    </row>
    <row r="702" spans="1:11">
      <c r="A702" s="796"/>
      <c r="B702" s="796"/>
      <c r="C702" s="796"/>
      <c r="D702" s="1953"/>
      <c r="E702" s="1953"/>
      <c r="F702" s="1953"/>
      <c r="G702" s="820"/>
      <c r="H702" s="844"/>
      <c r="I702" s="844"/>
      <c r="J702" s="844"/>
      <c r="K702" s="844"/>
    </row>
    <row r="703" spans="1:11">
      <c r="A703" s="796"/>
      <c r="B703" s="796"/>
      <c r="C703" s="796"/>
      <c r="D703" s="1953"/>
      <c r="E703" s="1953"/>
      <c r="F703" s="1953"/>
      <c r="G703" s="820"/>
      <c r="H703" s="844"/>
      <c r="I703" s="844"/>
      <c r="J703" s="844"/>
      <c r="K703" s="844"/>
    </row>
    <row r="704" spans="1:11">
      <c r="A704" s="796"/>
      <c r="B704" s="796"/>
      <c r="C704" s="796"/>
      <c r="D704" s="1953"/>
      <c r="E704" s="1953"/>
      <c r="F704" s="1953"/>
      <c r="G704" s="820"/>
      <c r="H704" s="844"/>
      <c r="I704" s="844"/>
      <c r="J704" s="844"/>
      <c r="K704" s="844"/>
    </row>
    <row r="705" spans="1:11" ht="15" customHeight="1">
      <c r="A705" s="796"/>
      <c r="B705" s="796"/>
      <c r="C705" s="796"/>
      <c r="D705" s="1953"/>
      <c r="E705" s="1953"/>
      <c r="F705" s="1953"/>
      <c r="G705" s="820"/>
      <c r="H705" s="844"/>
      <c r="I705" s="844"/>
      <c r="J705" s="844"/>
      <c r="K705" s="844"/>
    </row>
    <row r="706" spans="1:11">
      <c r="A706" s="796"/>
      <c r="B706" s="796"/>
      <c r="C706" s="796"/>
      <c r="D706" s="1953"/>
      <c r="E706" s="1953"/>
      <c r="F706" s="1953"/>
      <c r="G706" s="820"/>
      <c r="H706" s="844"/>
      <c r="I706" s="844"/>
      <c r="J706" s="844"/>
      <c r="K706" s="844"/>
    </row>
    <row r="707" spans="1:11">
      <c r="A707" s="796"/>
      <c r="B707" s="796"/>
      <c r="C707" s="796"/>
      <c r="D707" s="1953"/>
      <c r="E707" s="1953"/>
      <c r="F707" s="1953"/>
      <c r="G707" s="820"/>
      <c r="H707" s="844"/>
      <c r="I707" s="844"/>
      <c r="J707" s="844"/>
      <c r="K707" s="844"/>
    </row>
    <row r="708" spans="1:11">
      <c r="A708" s="796"/>
      <c r="B708" s="796"/>
      <c r="C708" s="796"/>
      <c r="D708" s="1953"/>
      <c r="E708" s="1953"/>
      <c r="F708" s="1953"/>
      <c r="G708" s="820"/>
      <c r="H708" s="844"/>
      <c r="I708" s="844"/>
      <c r="J708" s="844"/>
      <c r="K708" s="844"/>
    </row>
    <row r="709" spans="1:11">
      <c r="A709" s="796"/>
      <c r="B709" s="796"/>
      <c r="C709" s="796"/>
      <c r="D709" s="1953"/>
      <c r="E709" s="1953"/>
      <c r="F709" s="1953"/>
      <c r="G709" s="820"/>
      <c r="H709" s="844"/>
      <c r="I709" s="844"/>
      <c r="J709" s="844"/>
      <c r="K709" s="844"/>
    </row>
    <row r="710" spans="1:11">
      <c r="A710" s="796"/>
      <c r="B710" s="799" t="s">
        <v>2553</v>
      </c>
      <c r="C710" s="796"/>
      <c r="D710" s="1953" t="s">
        <v>1226</v>
      </c>
      <c r="E710" s="1953"/>
      <c r="F710" s="1953"/>
      <c r="G710" s="820"/>
      <c r="H710" s="844"/>
      <c r="I710" s="844"/>
      <c r="J710" s="844"/>
      <c r="K710" s="844"/>
    </row>
    <row r="711" spans="1:11">
      <c r="A711" s="796"/>
      <c r="B711" s="796"/>
      <c r="C711" s="796"/>
      <c r="D711" s="1953"/>
      <c r="E711" s="1953"/>
      <c r="F711" s="195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2553</v>
      </c>
      <c r="C713" s="796"/>
      <c r="D713" s="1953" t="s">
        <v>1227</v>
      </c>
      <c r="E713" s="1953"/>
      <c r="F713" s="1953"/>
      <c r="G713" s="820"/>
      <c r="H713" s="844"/>
      <c r="I713" s="844"/>
      <c r="J713" s="844"/>
      <c r="K713" s="844"/>
    </row>
    <row r="714" spans="1:11">
      <c r="A714" s="796"/>
      <c r="B714" s="796"/>
      <c r="C714" s="796"/>
      <c r="D714" s="1953"/>
      <c r="E714" s="1953"/>
      <c r="F714" s="1953"/>
      <c r="G714" s="820"/>
      <c r="H714" s="844"/>
      <c r="I714" s="844"/>
      <c r="J714" s="844"/>
      <c r="K714" s="844"/>
    </row>
    <row r="715" spans="1:11">
      <c r="A715" s="796"/>
      <c r="B715" s="796"/>
      <c r="C715" s="796"/>
      <c r="D715" s="1953"/>
      <c r="E715" s="1953"/>
      <c r="F715" s="195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2553</v>
      </c>
      <c r="C717" s="796"/>
      <c r="D717" s="1953" t="s">
        <v>1220</v>
      </c>
      <c r="E717" s="1953"/>
      <c r="F717" s="1953"/>
      <c r="G717" s="820"/>
      <c r="H717" s="844"/>
      <c r="I717" s="844"/>
      <c r="J717" s="844"/>
      <c r="K717" s="844"/>
    </row>
    <row r="718" spans="1:11">
      <c r="A718" s="796"/>
      <c r="B718" s="796"/>
      <c r="C718" s="796"/>
      <c r="D718" s="1953"/>
      <c r="E718" s="1953"/>
      <c r="F718" s="1953"/>
      <c r="G718" s="820"/>
      <c r="H718" s="844"/>
      <c r="I718" s="844"/>
      <c r="J718" s="844"/>
      <c r="K718" s="844"/>
    </row>
    <row r="719" spans="1:11">
      <c r="A719" s="796"/>
      <c r="B719" s="796"/>
      <c r="C719" s="796"/>
      <c r="D719" s="1953"/>
      <c r="E719" s="1953"/>
      <c r="F719" s="1953"/>
      <c r="G719" s="820"/>
      <c r="H719" s="844"/>
      <c r="I719" s="844"/>
      <c r="J719" s="844"/>
      <c r="K719" s="844"/>
    </row>
    <row r="720" spans="1:11">
      <c r="A720" s="796"/>
      <c r="B720" s="796"/>
      <c r="C720" s="796"/>
      <c r="D720" s="803"/>
      <c r="G720" s="820"/>
      <c r="H720" s="844"/>
      <c r="I720" s="844"/>
      <c r="J720" s="844"/>
      <c r="K720" s="844"/>
    </row>
    <row r="721" spans="1:11">
      <c r="A721" s="796"/>
      <c r="B721" s="799" t="s">
        <v>2553</v>
      </c>
      <c r="C721" s="796"/>
      <c r="D721" s="1953" t="s">
        <v>1221</v>
      </c>
      <c r="E721" s="1953"/>
      <c r="F721" s="1953"/>
      <c r="G721" s="820"/>
      <c r="H721" s="844"/>
      <c r="I721" s="844"/>
      <c r="J721" s="844"/>
      <c r="K721" s="844"/>
    </row>
    <row r="722" spans="1:11">
      <c r="A722" s="796"/>
      <c r="B722" s="796"/>
      <c r="C722" s="796"/>
      <c r="D722" s="1953"/>
      <c r="E722" s="1953"/>
      <c r="F722" s="1953"/>
      <c r="G722" s="820"/>
      <c r="H722" s="844"/>
      <c r="I722" s="844"/>
      <c r="J722" s="844"/>
      <c r="K722" s="844"/>
    </row>
    <row r="723" spans="1:11">
      <c r="A723" s="796"/>
      <c r="B723" s="796"/>
      <c r="C723" s="796"/>
      <c r="D723" s="1953"/>
      <c r="E723" s="1953"/>
      <c r="F723" s="1953"/>
      <c r="G723" s="820"/>
      <c r="H723" s="844"/>
      <c r="I723" s="844"/>
      <c r="J723" s="844"/>
      <c r="K723" s="844"/>
    </row>
    <row r="724" spans="1:11">
      <c r="A724" s="796"/>
      <c r="B724" s="796"/>
      <c r="C724" s="796"/>
      <c r="D724" s="791"/>
      <c r="G724" s="820"/>
      <c r="H724" s="844"/>
      <c r="I724" s="844"/>
      <c r="J724" s="844"/>
      <c r="K724" s="844"/>
    </row>
    <row r="725" spans="1:11" ht="14.25">
      <c r="A725" s="798"/>
      <c r="B725" s="799" t="s">
        <v>2553</v>
      </c>
      <c r="C725" s="796"/>
      <c r="D725" s="1912" t="s">
        <v>1222</v>
      </c>
      <c r="E725" s="1912"/>
      <c r="F725" s="1912"/>
      <c r="G725" s="820"/>
      <c r="H725" s="844"/>
      <c r="I725" s="844"/>
      <c r="J725" s="844"/>
      <c r="K725" s="844"/>
    </row>
    <row r="726" spans="1:11">
      <c r="A726" s="796"/>
      <c r="B726" s="796"/>
      <c r="C726" s="796"/>
      <c r="D726" s="1912"/>
      <c r="E726" s="1912"/>
      <c r="F726" s="1912"/>
      <c r="G726" s="820"/>
      <c r="H726" s="844"/>
      <c r="I726" s="844"/>
      <c r="J726" s="844"/>
      <c r="K726" s="844"/>
    </row>
    <row r="727" spans="1:11">
      <c r="A727" s="796"/>
      <c r="B727" s="796"/>
      <c r="C727" s="796"/>
      <c r="D727" s="1912"/>
      <c r="E727" s="1912"/>
      <c r="F727" s="1912"/>
      <c r="G727" s="820"/>
      <c r="H727" s="844"/>
      <c r="I727" s="844"/>
      <c r="J727" s="844"/>
      <c r="K727" s="844"/>
    </row>
    <row r="728" spans="1:11">
      <c r="A728" s="796"/>
      <c r="B728" s="796"/>
      <c r="C728" s="796"/>
      <c r="D728" s="1912"/>
      <c r="E728" s="1912"/>
      <c r="F728" s="1912"/>
      <c r="G728" s="820"/>
      <c r="H728" s="844"/>
      <c r="I728" s="844"/>
      <c r="J728" s="844"/>
      <c r="K728" s="844"/>
    </row>
    <row r="729" spans="1:11">
      <c r="A729" s="796"/>
      <c r="B729" s="796"/>
      <c r="C729" s="796"/>
      <c r="D729" s="823"/>
      <c r="G729" s="820"/>
      <c r="H729" s="844"/>
      <c r="I729" s="844"/>
      <c r="J729" s="844"/>
      <c r="K729" s="844"/>
    </row>
    <row r="730" spans="1:11" ht="14.25">
      <c r="A730" s="798"/>
      <c r="B730" s="799" t="s">
        <v>2554</v>
      </c>
      <c r="C730" s="796"/>
      <c r="D730" s="1953" t="s">
        <v>1355</v>
      </c>
      <c r="E730" s="1953"/>
      <c r="F730" s="1953"/>
      <c r="G730" s="820"/>
      <c r="H730" s="844"/>
      <c r="I730" s="844"/>
      <c r="J730" s="844"/>
      <c r="K730" s="844"/>
    </row>
    <row r="731" spans="1:11">
      <c r="A731" s="796"/>
      <c r="B731" s="796"/>
      <c r="C731" s="796"/>
      <c r="D731" s="1953"/>
      <c r="E731" s="1953"/>
      <c r="F731" s="1953"/>
      <c r="G731" s="820"/>
      <c r="H731" s="844"/>
      <c r="I731" s="844"/>
      <c r="J731" s="844"/>
      <c r="K731" s="844"/>
    </row>
    <row r="732" spans="1:11">
      <c r="A732" s="796"/>
      <c r="B732" s="796"/>
      <c r="C732" s="796"/>
      <c r="D732" s="1953"/>
      <c r="E732" s="1953"/>
      <c r="F732" s="1953"/>
      <c r="G732" s="820"/>
      <c r="H732" s="844"/>
      <c r="I732" s="844"/>
      <c r="J732" s="844"/>
      <c r="K732" s="844"/>
    </row>
    <row r="733" spans="1:11">
      <c r="A733" s="796"/>
      <c r="B733" s="796"/>
      <c r="C733" s="796"/>
      <c r="D733" s="1953"/>
      <c r="E733" s="1953"/>
      <c r="F733" s="1953"/>
      <c r="G733" s="820"/>
      <c r="H733" s="844"/>
      <c r="I733" s="844"/>
      <c r="J733" s="844"/>
      <c r="K733" s="844"/>
    </row>
    <row r="734" spans="1:11">
      <c r="A734" s="796"/>
      <c r="B734" s="796"/>
      <c r="C734" s="796"/>
      <c r="D734" s="1953"/>
      <c r="E734" s="1953"/>
      <c r="F734" s="1953"/>
      <c r="G734" s="820"/>
      <c r="H734" s="844"/>
      <c r="I734" s="844"/>
      <c r="J734" s="844"/>
      <c r="K734" s="844"/>
    </row>
    <row r="735" spans="1:11">
      <c r="A735" s="796"/>
      <c r="B735" s="796"/>
      <c r="C735" s="796"/>
      <c r="D735" s="1953"/>
      <c r="E735" s="1953"/>
      <c r="F735" s="1953"/>
      <c r="G735" s="820"/>
      <c r="H735" s="844"/>
      <c r="I735" s="844"/>
      <c r="J735" s="844"/>
      <c r="K735" s="844"/>
    </row>
    <row r="736" spans="1:11">
      <c r="A736" s="796"/>
      <c r="B736" s="796"/>
      <c r="C736" s="796"/>
      <c r="D736" s="1953"/>
      <c r="E736" s="1953"/>
      <c r="F736" s="1953"/>
      <c r="G736" s="820"/>
      <c r="H736" s="844"/>
      <c r="I736" s="844"/>
      <c r="J736" s="844"/>
      <c r="K736" s="844"/>
    </row>
    <row r="737" spans="1:11">
      <c r="A737" s="796"/>
      <c r="B737" s="796"/>
      <c r="C737" s="796"/>
      <c r="D737" s="1885" t="s">
        <v>1223</v>
      </c>
      <c r="E737" s="1885"/>
      <c r="F737" s="1885"/>
      <c r="G737" s="820"/>
      <c r="H737" s="844"/>
      <c r="I737" s="844"/>
      <c r="J737" s="844"/>
      <c r="K737" s="844"/>
    </row>
    <row r="738" spans="1:11">
      <c r="A738" s="796"/>
      <c r="B738" s="796"/>
      <c r="C738" s="796"/>
      <c r="D738" s="783"/>
      <c r="G738" s="820"/>
      <c r="H738" s="844"/>
      <c r="I738" s="844"/>
      <c r="J738" s="844"/>
      <c r="K738" s="844"/>
    </row>
    <row r="739" spans="1:11">
      <c r="A739" s="1878" t="s">
        <v>1180</v>
      </c>
      <c r="B739" s="1878"/>
      <c r="C739" s="1878"/>
      <c r="D739" s="1878"/>
      <c r="E739" s="1878"/>
      <c r="F739" s="1878"/>
      <c r="G739" s="1878"/>
      <c r="H739" s="844"/>
      <c r="I739" s="844"/>
      <c r="J739" s="844"/>
      <c r="K739" s="844"/>
    </row>
    <row r="740" spans="1:11">
      <c r="A740" s="796"/>
      <c r="B740" s="796"/>
      <c r="C740" s="796"/>
      <c r="D740" s="823"/>
      <c r="G740" s="849"/>
      <c r="H740" s="844"/>
      <c r="I740" s="844"/>
      <c r="J740" s="844"/>
      <c r="K740" s="844"/>
    </row>
    <row r="741" spans="1:11" ht="13.7" customHeight="1">
      <c r="C741" s="796"/>
      <c r="D741" s="1948" t="s">
        <v>1196</v>
      </c>
      <c r="E741" s="1948"/>
      <c r="F741" s="1948"/>
      <c r="G741" s="849"/>
      <c r="H741" s="844"/>
      <c r="I741" s="844"/>
      <c r="J741" s="844"/>
      <c r="K741" s="844"/>
    </row>
    <row r="742" spans="1:11">
      <c r="A742" s="796"/>
      <c r="B742" s="796"/>
      <c r="C742" s="796"/>
      <c r="D742" s="1891" t="s">
        <v>1197</v>
      </c>
      <c r="E742" s="1891"/>
      <c r="F742" s="1891"/>
      <c r="G742" s="849"/>
      <c r="H742" s="844"/>
      <c r="I742" s="844"/>
      <c r="J742" s="844"/>
      <c r="K742" s="844"/>
    </row>
    <row r="743" spans="1:11">
      <c r="A743" s="796"/>
      <c r="B743" s="796"/>
      <c r="C743" s="796"/>
      <c r="G743" s="849"/>
      <c r="H743" s="844"/>
      <c r="I743" s="844"/>
      <c r="J743" s="844"/>
      <c r="K743" s="844"/>
    </row>
    <row r="744" spans="1:11" s="792" customFormat="1" ht="14.25">
      <c r="A744" s="798"/>
      <c r="B744" s="799" t="s">
        <v>2554</v>
      </c>
      <c r="C744" s="789"/>
      <c r="D744" s="1912" t="s">
        <v>1198</v>
      </c>
      <c r="E744" s="1912"/>
      <c r="F744" s="1912"/>
      <c r="G744" s="849"/>
      <c r="H744" s="847"/>
      <c r="I744" s="847"/>
      <c r="J744" s="847"/>
      <c r="K744" s="847"/>
    </row>
    <row r="745" spans="1:11" s="792" customFormat="1" ht="10.5" customHeight="1">
      <c r="A745" s="789"/>
      <c r="B745" s="789"/>
      <c r="C745" s="789"/>
      <c r="D745" s="1912"/>
      <c r="E745" s="1912"/>
      <c r="F745" s="1912"/>
      <c r="G745" s="849"/>
      <c r="H745" s="847"/>
      <c r="I745" s="847"/>
      <c r="J745" s="847"/>
      <c r="K745" s="847"/>
    </row>
    <row r="746" spans="1:11" s="792" customFormat="1">
      <c r="A746" s="789"/>
      <c r="B746" s="789"/>
      <c r="C746" s="789"/>
      <c r="D746" s="1912"/>
      <c r="E746" s="1912"/>
      <c r="F746" s="1912"/>
      <c r="G746" s="849"/>
      <c r="H746" s="847"/>
      <c r="I746" s="847"/>
      <c r="J746" s="847"/>
      <c r="K746" s="847"/>
    </row>
    <row r="747" spans="1:11">
      <c r="D747" s="1912"/>
      <c r="E747" s="1912"/>
      <c r="F747" s="1912"/>
      <c r="G747" s="849"/>
      <c r="H747" s="844"/>
      <c r="I747" s="844"/>
      <c r="J747" s="844"/>
      <c r="K747" s="844"/>
    </row>
    <row r="748" spans="1:11">
      <c r="A748" s="802"/>
      <c r="B748" s="802"/>
      <c r="C748" s="802"/>
      <c r="D748" s="1912"/>
      <c r="E748" s="1912"/>
      <c r="F748" s="1912"/>
      <c r="G748" s="850"/>
      <c r="H748" s="844"/>
      <c r="I748" s="844"/>
      <c r="J748" s="844"/>
      <c r="K748" s="844"/>
    </row>
    <row r="749" spans="1:11" ht="15.6" customHeight="1">
      <c r="A749" s="802"/>
      <c r="B749" s="802"/>
      <c r="C749" s="802"/>
      <c r="D749" s="1912"/>
      <c r="E749" s="1912"/>
      <c r="F749" s="1912"/>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2554</v>
      </c>
      <c r="C751" s="853"/>
      <c r="D751" s="1869" t="s">
        <v>1466</v>
      </c>
      <c r="E751" s="1869"/>
      <c r="F751" s="1869"/>
      <c r="G751" s="854"/>
    </row>
    <row r="752" spans="1:11" s="855" customFormat="1">
      <c r="A752" s="853"/>
      <c r="B752" s="853"/>
      <c r="C752" s="853"/>
      <c r="D752" s="1869"/>
      <c r="E752" s="1869"/>
      <c r="F752" s="1869"/>
      <c r="G752" s="854"/>
    </row>
    <row r="753" spans="1:11" s="855" customFormat="1">
      <c r="A753" s="853"/>
      <c r="B753" s="853"/>
      <c r="C753" s="853"/>
      <c r="D753" s="1869"/>
      <c r="E753" s="1869"/>
      <c r="F753" s="1869"/>
      <c r="G753" s="854"/>
    </row>
    <row r="754" spans="1:11" s="855" customFormat="1">
      <c r="A754" s="853"/>
      <c r="B754" s="853"/>
      <c r="C754" s="853"/>
      <c r="D754" s="1869"/>
      <c r="E754" s="1869"/>
      <c r="F754" s="1869"/>
      <c r="G754" s="854"/>
    </row>
    <row r="755" spans="1:11" s="855" customFormat="1">
      <c r="A755" s="853"/>
      <c r="B755" s="853"/>
      <c r="C755" s="853"/>
      <c r="D755" s="839"/>
      <c r="E755" s="854"/>
      <c r="F755" s="854"/>
      <c r="G755" s="854"/>
    </row>
    <row r="756" spans="1:11" s="855" customFormat="1" ht="14.25">
      <c r="A756" s="798"/>
      <c r="B756" s="799" t="s">
        <v>2553</v>
      </c>
      <c r="C756" s="853"/>
      <c r="D756" s="1979" t="s">
        <v>1467</v>
      </c>
      <c r="E756" s="1979"/>
      <c r="F756" s="1979"/>
      <c r="G756" s="854"/>
    </row>
    <row r="757" spans="1:11" s="855" customFormat="1">
      <c r="A757" s="853"/>
      <c r="B757" s="853"/>
      <c r="C757" s="853"/>
      <c r="D757" s="1979"/>
      <c r="E757" s="1979"/>
      <c r="F757" s="1979"/>
      <c r="G757" s="854"/>
    </row>
    <row r="758" spans="1:11" s="855" customFormat="1">
      <c r="A758" s="853"/>
      <c r="B758" s="853"/>
      <c r="C758" s="853"/>
      <c r="D758" s="1979"/>
      <c r="E758" s="1979"/>
      <c r="F758" s="1979"/>
      <c r="G758" s="854"/>
    </row>
    <row r="759" spans="1:11">
      <c r="A759" s="802"/>
      <c r="B759" s="802"/>
      <c r="C759" s="802"/>
      <c r="D759" s="839"/>
      <c r="E759" s="851"/>
      <c r="F759" s="851"/>
      <c r="G759" s="850"/>
      <c r="H759" s="844"/>
      <c r="I759" s="844"/>
      <c r="J759" s="844"/>
      <c r="K759" s="844"/>
    </row>
    <row r="760" spans="1:11" ht="14.25">
      <c r="A760" s="798"/>
      <c r="B760" s="799" t="s">
        <v>2553</v>
      </c>
      <c r="C760" s="802"/>
      <c r="D760" s="1869" t="s">
        <v>1409</v>
      </c>
      <c r="E760" s="1869"/>
      <c r="F760" s="1869"/>
      <c r="G760" s="850"/>
      <c r="H760" s="844"/>
      <c r="I760" s="844"/>
      <c r="J760" s="844"/>
      <c r="K760" s="844"/>
    </row>
    <row r="761" spans="1:11">
      <c r="A761" s="802"/>
      <c r="B761" s="802"/>
      <c r="C761" s="802"/>
      <c r="D761" s="1869"/>
      <c r="E761" s="1869"/>
      <c r="F761" s="186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2553</v>
      </c>
      <c r="C763" s="802"/>
      <c r="D763" s="1869" t="s">
        <v>1431</v>
      </c>
      <c r="E763" s="1869"/>
      <c r="F763" s="1869"/>
      <c r="G763" s="850"/>
      <c r="H763" s="844"/>
      <c r="I763" s="844"/>
      <c r="J763" s="844"/>
      <c r="K763" s="844"/>
    </row>
    <row r="764" spans="1:11">
      <c r="A764" s="802"/>
      <c r="B764" s="802"/>
      <c r="C764" s="802"/>
      <c r="D764" s="1869"/>
      <c r="E764" s="1869"/>
      <c r="F764" s="1869"/>
      <c r="G764" s="850"/>
      <c r="H764" s="844"/>
      <c r="I764" s="844"/>
      <c r="J764" s="844"/>
      <c r="K764" s="844"/>
    </row>
    <row r="765" spans="1:11">
      <c r="A765" s="802"/>
      <c r="B765" s="802"/>
      <c r="C765" s="802"/>
      <c r="D765" s="1869"/>
      <c r="E765" s="1869"/>
      <c r="F765" s="1869"/>
      <c r="G765" s="850"/>
      <c r="H765" s="844"/>
      <c r="I765" s="844"/>
      <c r="J765" s="844"/>
      <c r="K765" s="844"/>
    </row>
    <row r="766" spans="1:11">
      <c r="A766" s="802"/>
      <c r="B766" s="802"/>
      <c r="C766" s="802"/>
      <c r="D766" s="782"/>
      <c r="E766" s="782"/>
      <c r="F766" s="782"/>
      <c r="G766" s="850"/>
      <c r="H766" s="844"/>
      <c r="I766" s="844"/>
      <c r="J766" s="844"/>
      <c r="K766" s="844"/>
    </row>
    <row r="767" spans="1:11">
      <c r="A767" s="1960" t="s">
        <v>2381</v>
      </c>
      <c r="B767" s="1960"/>
      <c r="C767" s="1960"/>
      <c r="D767" s="1960"/>
      <c r="E767" s="1960"/>
      <c r="F767" s="1960"/>
      <c r="G767" s="1960"/>
    </row>
    <row r="768" spans="1:11">
      <c r="A768" s="93"/>
      <c r="B768" s="93"/>
      <c r="C768" s="1739"/>
      <c r="D768" s="155"/>
      <c r="E768" s="155"/>
      <c r="F768" s="155"/>
      <c r="G768" s="687"/>
    </row>
    <row r="769" spans="1:7">
      <c r="A769" s="93"/>
      <c r="B769" s="93"/>
      <c r="C769" s="1739"/>
      <c r="D769" s="1961" t="s">
        <v>2448</v>
      </c>
      <c r="E769" s="1961"/>
      <c r="F769" s="1961"/>
      <c r="G769" s="687"/>
    </row>
    <row r="770" spans="1:7">
      <c r="A770" s="93"/>
      <c r="B770" s="93"/>
      <c r="C770" s="1739"/>
      <c r="D770" s="1962" t="s">
        <v>2284</v>
      </c>
      <c r="E770" s="1962"/>
      <c r="F770" s="1962"/>
      <c r="G770" s="687"/>
    </row>
    <row r="771" spans="1:7">
      <c r="A771" s="93"/>
      <c r="B771" s="93"/>
      <c r="C771" s="1739"/>
      <c r="D771" s="734"/>
      <c r="E771" s="734"/>
      <c r="F771" s="734"/>
      <c r="G771" s="687"/>
    </row>
    <row r="772" spans="1:7">
      <c r="A772" s="93"/>
      <c r="B772" s="799" t="s">
        <v>2554</v>
      </c>
      <c r="C772" s="1739"/>
      <c r="D772" s="1896" t="s">
        <v>2285</v>
      </c>
      <c r="E772" s="1896"/>
      <c r="F772" s="1896"/>
      <c r="G772" s="687"/>
    </row>
    <row r="773" spans="1:7">
      <c r="A773" s="93"/>
      <c r="B773" s="93"/>
      <c r="C773" s="1739"/>
      <c r="D773" s="1896"/>
      <c r="E773" s="1896"/>
      <c r="F773" s="1896"/>
      <c r="G773" s="687"/>
    </row>
    <row r="774" spans="1:7">
      <c r="A774" s="721"/>
      <c r="B774" s="721"/>
      <c r="C774" s="314"/>
      <c r="D774" s="1896"/>
      <c r="E774" s="1896"/>
      <c r="F774" s="1896"/>
      <c r="G774" s="1740"/>
    </row>
    <row r="775" spans="1:7">
      <c r="A775" s="1733"/>
      <c r="B775" s="1733"/>
      <c r="C775" s="1741"/>
      <c r="D775" s="1716"/>
      <c r="E775" s="687"/>
      <c r="F775" s="687"/>
      <c r="G775" s="687"/>
    </row>
    <row r="776" spans="1:7">
      <c r="A776" s="267"/>
      <c r="B776" s="799" t="s">
        <v>2553</v>
      </c>
      <c r="C776" s="1742"/>
      <c r="D776" s="1896" t="s">
        <v>2286</v>
      </c>
      <c r="E776" s="1896"/>
      <c r="F776" s="1896"/>
      <c r="G776" s="687"/>
    </row>
    <row r="777" spans="1:7">
      <c r="A777" s="1743"/>
      <c r="B777" s="1743"/>
      <c r="C777" s="1744"/>
      <c r="D777" s="1896"/>
      <c r="E777" s="1896"/>
      <c r="F777" s="1896"/>
      <c r="G777" s="687"/>
    </row>
    <row r="778" spans="1:7">
      <c r="A778" s="267"/>
      <c r="B778" s="267"/>
      <c r="C778" s="1742"/>
      <c r="D778" s="1896"/>
      <c r="E778" s="1896"/>
      <c r="F778" s="1896"/>
      <c r="G778" s="687"/>
    </row>
    <row r="779" spans="1:7">
      <c r="A779" s="721"/>
      <c r="B779" s="721"/>
      <c r="C779" s="314"/>
      <c r="D779" s="6"/>
      <c r="E779" s="1745"/>
      <c r="F779" s="1745"/>
      <c r="G779" s="1746"/>
    </row>
    <row r="780" spans="1:7" ht="14.25">
      <c r="A780" s="715"/>
      <c r="B780" s="799" t="s">
        <v>2553</v>
      </c>
      <c r="C780" s="1747"/>
      <c r="D780" s="1896" t="s">
        <v>2287</v>
      </c>
      <c r="E780" s="1896"/>
      <c r="F780" s="1896"/>
      <c r="G780" s="1746"/>
    </row>
    <row r="781" spans="1:7" ht="14.25">
      <c r="A781" s="715"/>
      <c r="B781" s="715"/>
      <c r="C781" s="1747"/>
      <c r="D781" s="1896"/>
      <c r="E781" s="1896"/>
      <c r="F781" s="1896"/>
      <c r="G781" s="1746"/>
    </row>
    <row r="782" spans="1:7" ht="14.25">
      <c r="A782" s="715"/>
      <c r="B782" s="715"/>
      <c r="C782" s="1747"/>
      <c r="D782" s="1896"/>
      <c r="E782" s="1896"/>
      <c r="F782" s="1896"/>
      <c r="G782" s="1746"/>
    </row>
    <row r="783" spans="1:7" ht="14.25">
      <c r="A783" s="715"/>
      <c r="B783" s="715"/>
      <c r="C783" s="1747"/>
      <c r="D783" s="1713"/>
      <c r="E783" s="6"/>
      <c r="F783" s="6"/>
      <c r="G783" s="1746"/>
    </row>
    <row r="784" spans="1:7" ht="14.25">
      <c r="A784" s="715"/>
      <c r="B784" s="799" t="s">
        <v>2553</v>
      </c>
      <c r="C784" s="1747"/>
      <c r="D784" s="1896" t="s">
        <v>2288</v>
      </c>
      <c r="E784" s="1896"/>
      <c r="F784" s="1896"/>
      <c r="G784" s="1746"/>
    </row>
    <row r="785" spans="1:7" ht="14.25">
      <c r="A785" s="715"/>
      <c r="B785" s="715"/>
      <c r="C785" s="1747"/>
      <c r="D785" s="1896"/>
      <c r="E785" s="1896"/>
      <c r="F785" s="1896"/>
      <c r="G785" s="1746"/>
    </row>
    <row r="786" spans="1:7" ht="14.25">
      <c r="A786" s="715"/>
      <c r="B786" s="715"/>
      <c r="C786" s="1747"/>
      <c r="D786" s="1896"/>
      <c r="E786" s="1896"/>
      <c r="F786" s="1896"/>
      <c r="G786" s="1746"/>
    </row>
    <row r="787" spans="1:7" ht="14.25">
      <c r="A787" s="715"/>
      <c r="B787" s="715"/>
      <c r="C787" s="1747"/>
      <c r="D787" s="1896"/>
      <c r="E787" s="1896"/>
      <c r="F787" s="1896"/>
      <c r="G787" s="1746"/>
    </row>
    <row r="788" spans="1:7" ht="14.25">
      <c r="A788" s="715"/>
      <c r="B788" s="715"/>
      <c r="C788" s="1747"/>
      <c r="D788" s="1896"/>
      <c r="E788" s="1896"/>
      <c r="F788" s="1896"/>
      <c r="G788" s="1746"/>
    </row>
    <row r="789" spans="1:7" ht="14.25">
      <c r="A789" s="715"/>
      <c r="B789" s="715"/>
      <c r="C789" s="1747"/>
      <c r="D789" s="1896"/>
      <c r="E789" s="1896"/>
      <c r="F789" s="1896"/>
      <c r="G789" s="1746"/>
    </row>
    <row r="790" spans="1:7" ht="14.25">
      <c r="A790" s="715"/>
      <c r="B790" s="715"/>
      <c r="C790" s="1747"/>
      <c r="D790" s="1896" t="s">
        <v>2382</v>
      </c>
      <c r="E790" s="1896"/>
      <c r="F790" s="1896"/>
      <c r="G790" s="1746"/>
    </row>
    <row r="791" spans="1:7" ht="14.25">
      <c r="A791" s="715"/>
      <c r="B791" s="715"/>
      <c r="C791" s="1747"/>
      <c r="D791" s="1896"/>
      <c r="E791" s="1896"/>
      <c r="F791" s="1896"/>
      <c r="G791" s="1746"/>
    </row>
    <row r="792" spans="1:7" ht="14.25">
      <c r="A792" s="715"/>
      <c r="B792" s="715"/>
      <c r="C792" s="1747"/>
      <c r="D792" s="1896"/>
      <c r="E792" s="1896"/>
      <c r="F792" s="1896"/>
      <c r="G792" s="1746"/>
    </row>
    <row r="793" spans="1:7" ht="14.25">
      <c r="A793" s="715"/>
      <c r="B793" s="557"/>
      <c r="C793" s="1747"/>
      <c r="D793" s="1748"/>
      <c r="E793" s="1748"/>
      <c r="F793" s="1748"/>
      <c r="G793" s="1746"/>
    </row>
    <row r="794" spans="1:7" ht="14.25">
      <c r="A794" s="715"/>
      <c r="B794" s="799" t="s">
        <v>2553</v>
      </c>
      <c r="C794" s="1747"/>
      <c r="D794" s="1896" t="s">
        <v>2289</v>
      </c>
      <c r="E794" s="1896"/>
      <c r="F794" s="1896"/>
      <c r="G794" s="1746"/>
    </row>
    <row r="795" spans="1:7" ht="14.25">
      <c r="A795" s="715"/>
      <c r="B795" s="715"/>
      <c r="C795" s="1747"/>
      <c r="D795" s="1896"/>
      <c r="E795" s="1896"/>
      <c r="F795" s="1896"/>
      <c r="G795" s="1746"/>
    </row>
    <row r="796" spans="1:7" ht="14.25">
      <c r="A796" s="715"/>
      <c r="B796" s="715"/>
      <c r="C796" s="1747"/>
      <c r="D796" s="1896"/>
      <c r="E796" s="1896"/>
      <c r="F796" s="1896"/>
      <c r="G796" s="1746"/>
    </row>
    <row r="797" spans="1:7" ht="14.25">
      <c r="A797" s="715"/>
      <c r="B797" s="715"/>
      <c r="C797" s="1747"/>
      <c r="D797" s="1896"/>
      <c r="E797" s="1896"/>
      <c r="F797" s="1896"/>
      <c r="G797" s="1746"/>
    </row>
    <row r="798" spans="1:7" ht="14.25">
      <c r="A798" s="715"/>
      <c r="B798" s="715"/>
      <c r="C798" s="1747"/>
      <c r="D798" s="1896"/>
      <c r="E798" s="1896"/>
      <c r="F798" s="1896"/>
      <c r="G798" s="1746"/>
    </row>
    <row r="799" spans="1:7" ht="14.25">
      <c r="A799" s="715"/>
      <c r="B799" s="715"/>
      <c r="C799" s="1747"/>
      <c r="D799" s="1896"/>
      <c r="E799" s="1896"/>
      <c r="F799" s="1896"/>
      <c r="G799" s="1746"/>
    </row>
    <row r="800" spans="1:7" ht="14.25">
      <c r="A800" s="715"/>
      <c r="B800" s="715"/>
      <c r="C800" s="1747"/>
      <c r="D800" s="1724"/>
      <c r="E800" s="1724"/>
      <c r="F800" s="1724"/>
      <c r="G800" s="1746"/>
    </row>
    <row r="801" spans="1:7" ht="14.25">
      <c r="A801" s="715"/>
      <c r="B801" s="799" t="s">
        <v>2554</v>
      </c>
      <c r="C801" s="1747"/>
      <c r="D801" s="1896" t="s">
        <v>2290</v>
      </c>
      <c r="E801" s="1896"/>
      <c r="F801" s="1896"/>
      <c r="G801" s="1746"/>
    </row>
    <row r="802" spans="1:7" ht="14.25">
      <c r="A802" s="715"/>
      <c r="B802" s="715"/>
      <c r="C802" s="1747"/>
      <c r="D802" s="1896"/>
      <c r="E802" s="1896"/>
      <c r="F802" s="1896"/>
      <c r="G802" s="1746"/>
    </row>
    <row r="803" spans="1:7" ht="14.25">
      <c r="A803" s="715"/>
      <c r="B803" s="715"/>
      <c r="C803" s="1747"/>
      <c r="D803" s="1896"/>
      <c r="E803" s="1896"/>
      <c r="F803" s="1896"/>
      <c r="G803" s="1746"/>
    </row>
    <row r="804" spans="1:7" ht="14.25">
      <c r="A804" s="715"/>
      <c r="B804" s="715"/>
      <c r="C804" s="1747"/>
      <c r="D804" s="1896"/>
      <c r="E804" s="1896"/>
      <c r="F804" s="1896"/>
      <c r="G804" s="1746"/>
    </row>
    <row r="805" spans="1:7" ht="14.25">
      <c r="A805" s="715"/>
      <c r="B805" s="715"/>
      <c r="C805" s="1747"/>
      <c r="D805" s="1896"/>
      <c r="E805" s="1896"/>
      <c r="F805" s="1896"/>
      <c r="G805" s="1746"/>
    </row>
    <row r="806" spans="1:7" ht="14.25">
      <c r="A806" s="715"/>
      <c r="B806" s="715"/>
      <c r="C806" s="1747"/>
      <c r="D806" s="1896"/>
      <c r="E806" s="1896"/>
      <c r="F806" s="1896"/>
      <c r="G806" s="1746"/>
    </row>
    <row r="807" spans="1:7" ht="14.25">
      <c r="A807" s="715"/>
      <c r="B807" s="715"/>
      <c r="C807" s="1747"/>
      <c r="D807" s="1724"/>
      <c r="E807" s="1724"/>
      <c r="F807" s="1724"/>
      <c r="G807" s="1746"/>
    </row>
    <row r="808" spans="1:7" ht="14.25">
      <c r="A808" s="715"/>
      <c r="B808" s="799" t="s">
        <v>2553</v>
      </c>
      <c r="C808" s="1747"/>
      <c r="D808" s="1909" t="s">
        <v>2291</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886" t="s">
        <v>2292</v>
      </c>
      <c r="B815" s="1886"/>
      <c r="C815" s="1886"/>
      <c r="D815" s="1886"/>
      <c r="E815" s="1886"/>
      <c r="F815" s="1886"/>
      <c r="G815" s="1886"/>
    </row>
    <row r="816" spans="1:7" ht="12.75" customHeight="1">
      <c r="A816" s="1721"/>
      <c r="B816" s="1721"/>
      <c r="C816" s="1747"/>
      <c r="D816" s="1745"/>
      <c r="E816" s="1745"/>
      <c r="F816" s="1745"/>
      <c r="G816" s="1746"/>
    </row>
    <row r="817" spans="1:7" ht="12.75" customHeight="1">
      <c r="A817" s="715"/>
      <c r="B817" s="715"/>
      <c r="C817" s="557"/>
      <c r="D817" s="1893" t="s">
        <v>2383</v>
      </c>
      <c r="E817" s="1893"/>
      <c r="F817" s="1893"/>
      <c r="G817" s="679"/>
    </row>
    <row r="818" spans="1:7" ht="14.25" customHeight="1">
      <c r="A818" s="715"/>
      <c r="B818" s="715"/>
      <c r="C818" s="557"/>
      <c r="D818" s="1851" t="s">
        <v>2293</v>
      </c>
      <c r="E818" s="1851"/>
      <c r="F818" s="1851"/>
      <c r="G818" s="679"/>
    </row>
    <row r="819" spans="1:7" ht="12.75" customHeight="1">
      <c r="A819" s="715"/>
      <c r="B819" s="715"/>
      <c r="C819" s="557"/>
      <c r="D819" s="1707"/>
      <c r="E819" s="1707"/>
      <c r="F819" s="1707"/>
      <c r="G819" s="679"/>
    </row>
    <row r="820" spans="1:7" ht="12.75" customHeight="1">
      <c r="A820" s="1749"/>
      <c r="B820" s="799" t="s">
        <v>2554</v>
      </c>
      <c r="C820" s="1747"/>
      <c r="D820" s="1851" t="s">
        <v>2294</v>
      </c>
      <c r="E820" s="1851"/>
      <c r="F820" s="1851"/>
      <c r="G820" s="679"/>
    </row>
    <row r="821" spans="1:7" ht="14.25" customHeight="1">
      <c r="A821" s="1732"/>
      <c r="B821" s="1732"/>
      <c r="C821" s="1747"/>
      <c r="D821" s="5" t="s">
        <v>2270</v>
      </c>
      <c r="E821" s="1855" t="s">
        <v>2295</v>
      </c>
      <c r="F821" s="1855"/>
      <c r="G821" s="679"/>
    </row>
    <row r="822" spans="1:7" ht="12.75" customHeight="1">
      <c r="A822" s="1732"/>
      <c r="B822" s="1732"/>
      <c r="C822" s="1747"/>
      <c r="D822" s="1750"/>
      <c r="E822" s="6"/>
      <c r="F822" s="6"/>
      <c r="G822" s="679"/>
    </row>
    <row r="823" spans="1:7" ht="14.25" hidden="1" customHeight="1">
      <c r="A823" s="1732"/>
      <c r="B823" s="799" t="s">
        <v>317</v>
      </c>
      <c r="C823" s="1747"/>
      <c r="D823" s="1982" t="s">
        <v>2296</v>
      </c>
      <c r="E823" s="1982"/>
      <c r="F823" s="1982"/>
      <c r="G823" s="679"/>
    </row>
    <row r="824" spans="1:7" ht="12.75" hidden="1" customHeight="1">
      <c r="A824" s="1732"/>
      <c r="B824" s="1732"/>
      <c r="C824" s="1747"/>
      <c r="D824" s="1982"/>
      <c r="E824" s="1982"/>
      <c r="F824" s="1982"/>
      <c r="G824" s="679"/>
    </row>
    <row r="825" spans="1:7" ht="12.75" hidden="1" customHeight="1">
      <c r="A825" s="1732"/>
      <c r="B825" s="1732"/>
      <c r="C825" s="1747"/>
      <c r="D825" s="1982"/>
      <c r="E825" s="1982"/>
      <c r="F825" s="1982"/>
      <c r="G825" s="679"/>
    </row>
    <row r="826" spans="1:7" ht="12.75" hidden="1" customHeight="1">
      <c r="A826" s="1732"/>
      <c r="B826" s="1732"/>
      <c r="C826" s="1747"/>
      <c r="D826" s="1982"/>
      <c r="E826" s="1982"/>
      <c r="F826" s="1982"/>
      <c r="G826" s="679"/>
    </row>
    <row r="827" spans="1:7" ht="12.75" hidden="1" customHeight="1">
      <c r="A827" s="1732"/>
      <c r="B827" s="1732"/>
      <c r="C827" s="1747"/>
      <c r="D827" s="1982"/>
      <c r="E827" s="1982"/>
      <c r="F827" s="1982"/>
      <c r="G827" s="679"/>
    </row>
    <row r="828" spans="1:7" ht="12.75" hidden="1" customHeight="1">
      <c r="A828" s="1732"/>
      <c r="B828" s="1732"/>
      <c r="C828" s="1747"/>
      <c r="D828" s="1982"/>
      <c r="E828" s="1982"/>
      <c r="F828" s="1982"/>
      <c r="G828" s="679"/>
    </row>
    <row r="829" spans="1:7" ht="12.75" hidden="1" customHeight="1">
      <c r="A829" s="1732"/>
      <c r="B829" s="1732"/>
      <c r="C829" s="1747"/>
      <c r="D829" s="1982"/>
      <c r="E829" s="1982"/>
      <c r="F829" s="1982"/>
      <c r="G829" s="679"/>
    </row>
    <row r="830" spans="1:7" ht="12.75" hidden="1" customHeight="1">
      <c r="A830" s="1732"/>
      <c r="B830" s="1732"/>
      <c r="C830" s="1747"/>
      <c r="D830" s="1982"/>
      <c r="E830" s="1982"/>
      <c r="F830" s="1982"/>
      <c r="G830" s="679"/>
    </row>
    <row r="831" spans="1:7" ht="12.75" hidden="1" customHeight="1">
      <c r="A831" s="1732"/>
      <c r="B831" s="1732"/>
      <c r="C831" s="1747"/>
      <c r="D831" s="1982"/>
      <c r="E831" s="1982"/>
      <c r="F831" s="1982"/>
      <c r="G831" s="679"/>
    </row>
    <row r="832" spans="1:7" ht="12.75" hidden="1" customHeight="1">
      <c r="A832" s="1732"/>
      <c r="B832" s="1732"/>
      <c r="C832" s="1747"/>
      <c r="D832" s="1982"/>
      <c r="E832" s="1982"/>
      <c r="F832" s="1982"/>
      <c r="G832" s="679"/>
    </row>
    <row r="833" spans="1:7" ht="12.75" hidden="1" customHeight="1">
      <c r="A833" s="1732"/>
      <c r="B833" s="1732"/>
      <c r="C833" s="1747"/>
      <c r="D833" s="1750"/>
      <c r="E833" s="6"/>
      <c r="F833" s="6"/>
      <c r="G833" s="679"/>
    </row>
    <row r="834" spans="1:7" ht="12.75" customHeight="1">
      <c r="A834" s="715"/>
      <c r="B834" s="799" t="s">
        <v>2554</v>
      </c>
      <c r="C834" s="1747"/>
      <c r="D834" s="1851" t="s">
        <v>2297</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2553</v>
      </c>
      <c r="C838" s="1751"/>
      <c r="D838" s="1983" t="s">
        <v>2298</v>
      </c>
      <c r="E838" s="1983"/>
      <c r="F838" s="1983"/>
      <c r="G838" s="679"/>
    </row>
    <row r="839" spans="1:7" ht="12.75" customHeight="1">
      <c r="A839" s="557"/>
      <c r="B839" s="1752"/>
      <c r="C839" s="1751"/>
      <c r="D839" s="1983"/>
      <c r="E839" s="1983"/>
      <c r="F839" s="1983"/>
      <c r="G839" s="679"/>
    </row>
    <row r="840" spans="1:7" ht="12.75" customHeight="1">
      <c r="A840" s="404"/>
      <c r="B840" s="557"/>
      <c r="C840" s="1751"/>
      <c r="D840" s="1853" t="s">
        <v>2299</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2554</v>
      </c>
      <c r="C847" s="1751"/>
      <c r="D847" s="1853" t="s">
        <v>2300</v>
      </c>
      <c r="E847" s="1853"/>
      <c r="F847" s="1853"/>
      <c r="G847" s="679"/>
    </row>
    <row r="848" spans="1:7" ht="12.75" customHeight="1">
      <c r="A848" s="404"/>
      <c r="B848" s="404"/>
      <c r="C848" s="1751"/>
      <c r="D848" s="1853" t="s">
        <v>2301</v>
      </c>
      <c r="E848" s="1853"/>
      <c r="F848" s="1853"/>
      <c r="G848" s="679"/>
    </row>
    <row r="849" spans="1:7" ht="12.75" customHeight="1">
      <c r="A849" s="404"/>
      <c r="B849" s="404"/>
      <c r="C849" s="1751"/>
      <c r="D849" s="183" t="s">
        <v>2267</v>
      </c>
      <c r="E849" s="1984" t="s">
        <v>2302</v>
      </c>
      <c r="F849" s="1984"/>
      <c r="G849" s="679"/>
    </row>
    <row r="850" spans="1:7" ht="12.75" customHeight="1">
      <c r="A850" s="404"/>
      <c r="B850" s="404"/>
      <c r="C850" s="1751"/>
      <c r="D850" s="1728"/>
      <c r="E850" s="679"/>
      <c r="F850" s="679"/>
      <c r="G850" s="679"/>
    </row>
    <row r="851" spans="1:7" ht="12.75" customHeight="1">
      <c r="A851" s="404"/>
      <c r="B851" s="799" t="s">
        <v>2553</v>
      </c>
      <c r="C851" s="1751"/>
      <c r="D851" s="1853" t="s">
        <v>2303</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2384</v>
      </c>
      <c r="E858" s="1875"/>
      <c r="F858" s="1875"/>
      <c r="G858" s="1746"/>
    </row>
    <row r="859" spans="1:7" ht="12.75" customHeight="1">
      <c r="A859" s="1749"/>
      <c r="B859" s="1749"/>
      <c r="C859" s="314"/>
      <c r="D859" s="1985" t="s">
        <v>2305</v>
      </c>
      <c r="E859" s="1985"/>
      <c r="F859" s="1985"/>
      <c r="G859" s="1746"/>
    </row>
    <row r="860" spans="1:7" ht="12.75" customHeight="1">
      <c r="A860" s="1749"/>
      <c r="B860" s="1749"/>
      <c r="C860" s="314"/>
      <c r="D860" s="1757"/>
      <c r="E860" s="1757"/>
      <c r="F860" s="1757"/>
      <c r="G860" s="1746"/>
    </row>
    <row r="861" spans="1:7" ht="12.75" customHeight="1">
      <c r="A861" s="715"/>
      <c r="B861" s="799" t="s">
        <v>2554</v>
      </c>
      <c r="C861" s="557"/>
      <c r="D861" s="1876" t="s">
        <v>2306</v>
      </c>
      <c r="E861" s="1876"/>
      <c r="F861" s="1876"/>
      <c r="G861" s="1746"/>
    </row>
    <row r="862" spans="1:7" ht="12.75" customHeight="1">
      <c r="A862" s="1749"/>
      <c r="B862" s="1749"/>
      <c r="C862" s="557"/>
      <c r="D862" s="5" t="s">
        <v>2267</v>
      </c>
      <c r="E862" s="1987" t="s">
        <v>2302</v>
      </c>
      <c r="F862" s="1987"/>
      <c r="G862" s="1746"/>
    </row>
    <row r="863" spans="1:7" ht="12.75" customHeight="1">
      <c r="A863" s="1749"/>
      <c r="B863" s="1749"/>
      <c r="C863" s="557"/>
      <c r="D863" s="1713"/>
      <c r="E863" s="1745"/>
      <c r="F863" s="1745"/>
      <c r="G863" s="1746"/>
    </row>
    <row r="864" spans="1:7" ht="12.75" customHeight="1">
      <c r="A864" s="715"/>
      <c r="B864" s="799" t="s">
        <v>2554</v>
      </c>
      <c r="C864" s="557"/>
      <c r="D864" s="1851" t="s">
        <v>2307</v>
      </c>
      <c r="E864" s="1925"/>
      <c r="F864" s="1925"/>
      <c r="G864" s="679"/>
    </row>
    <row r="865" spans="1:7" ht="12.75" customHeight="1">
      <c r="A865" s="1749"/>
      <c r="B865" s="1749"/>
      <c r="C865" s="557"/>
      <c r="D865" s="1925"/>
      <c r="E865" s="1925"/>
      <c r="F865" s="1925"/>
      <c r="G865" s="679"/>
    </row>
    <row r="866" spans="1:7" ht="12.75" customHeight="1">
      <c r="A866" s="1749"/>
      <c r="B866" s="1749"/>
      <c r="C866" s="557"/>
      <c r="D866" s="1713"/>
      <c r="E866" s="6"/>
      <c r="F866" s="6"/>
      <c r="G866" s="679"/>
    </row>
    <row r="867" spans="1:7" ht="12.75" customHeight="1">
      <c r="A867" s="557"/>
      <c r="B867" s="799" t="s">
        <v>2553</v>
      </c>
      <c r="C867" s="558"/>
      <c r="D867" s="1988" t="s">
        <v>2308</v>
      </c>
      <c r="E867" s="1988"/>
      <c r="F867" s="1988"/>
      <c r="G867" s="1746"/>
    </row>
    <row r="868" spans="1:7" ht="12.75" customHeight="1">
      <c r="A868" s="557"/>
      <c r="B868" s="1758"/>
      <c r="C868" s="558"/>
      <c r="D868" s="1988"/>
      <c r="E868" s="1988"/>
      <c r="F868" s="1988"/>
      <c r="G868" s="1746"/>
    </row>
    <row r="869" spans="1:7" ht="12.75" customHeight="1">
      <c r="A869" s="715"/>
      <c r="B869" s="678"/>
      <c r="C869" s="557"/>
      <c r="D869" s="1853" t="s">
        <v>2299</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2553</v>
      </c>
      <c r="C876" s="557"/>
      <c r="D876" s="1880" t="s">
        <v>2300</v>
      </c>
      <c r="E876" s="1880"/>
      <c r="F876" s="1880"/>
      <c r="G876" s="1746"/>
    </row>
    <row r="877" spans="1:7" ht="12.75" customHeight="1">
      <c r="A877" s="715"/>
      <c r="B877" s="715"/>
      <c r="C877" s="557"/>
      <c r="D877" s="1880" t="s">
        <v>2301</v>
      </c>
      <c r="E877" s="1880"/>
      <c r="F877" s="1880"/>
      <c r="G877" s="1746"/>
    </row>
    <row r="878" spans="1:7" ht="12.75" customHeight="1">
      <c r="A878" s="715"/>
      <c r="B878" s="715"/>
      <c r="C878" s="557"/>
      <c r="D878" s="5" t="s">
        <v>1512</v>
      </c>
      <c r="E878" s="1989" t="s">
        <v>2302</v>
      </c>
      <c r="F878" s="1989"/>
      <c r="G878" s="1746"/>
    </row>
    <row r="879" spans="1:7" ht="12.75" customHeight="1">
      <c r="A879" s="715"/>
      <c r="B879" s="715"/>
      <c r="C879" s="557"/>
      <c r="D879" s="1713"/>
      <c r="E879" s="1745"/>
      <c r="F879" s="1745"/>
      <c r="G879" s="1746"/>
    </row>
    <row r="880" spans="1:7" ht="12.75" customHeight="1">
      <c r="A880" s="715"/>
      <c r="B880" s="799" t="s">
        <v>2553</v>
      </c>
      <c r="C880" s="557"/>
      <c r="D880" s="1851" t="s">
        <v>2303</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886" t="s">
        <v>2385</v>
      </c>
      <c r="B885" s="1886"/>
      <c r="C885" s="1886"/>
      <c r="D885" s="1886"/>
      <c r="E885" s="1886"/>
      <c r="F885" s="1886"/>
      <c r="G885" s="1886"/>
    </row>
    <row r="886" spans="1:7" s="1790" customFormat="1" ht="12.75" customHeight="1">
      <c r="A886" s="93"/>
      <c r="B886" s="93"/>
      <c r="C886" s="93"/>
      <c r="D886" s="93"/>
      <c r="E886" s="93"/>
      <c r="F886" s="93"/>
      <c r="G886" s="93"/>
    </row>
    <row r="887" spans="1:7" s="1790" customFormat="1" ht="12.75" customHeight="1">
      <c r="A887" s="93"/>
      <c r="B887" s="93"/>
      <c r="C887" s="93"/>
      <c r="D887" s="1895" t="s">
        <v>2391</v>
      </c>
      <c r="E887" s="1895"/>
      <c r="F887" s="1895"/>
      <c r="G887" s="93"/>
    </row>
    <row r="888" spans="1:7" s="1790" customFormat="1" ht="12.75" customHeight="1">
      <c r="A888" s="93"/>
      <c r="B888" s="93"/>
      <c r="C888" s="93"/>
      <c r="D888" s="1723"/>
      <c r="E888" s="1723"/>
      <c r="F888" s="1723"/>
      <c r="G888" s="93"/>
    </row>
    <row r="889" spans="1:7" s="1790" customFormat="1" ht="12.75" customHeight="1">
      <c r="A889" s="93"/>
      <c r="B889" s="1793" t="s">
        <v>2554</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5" t="s">
        <v>2386</v>
      </c>
      <c r="E891" s="1895"/>
      <c r="F891" s="1895"/>
      <c r="G891" s="1746"/>
    </row>
    <row r="892" spans="1:7" ht="12.75" customHeight="1">
      <c r="A892" s="1721"/>
      <c r="B892" s="1721"/>
      <c r="C892" s="1753"/>
      <c r="D892" s="1876" t="s">
        <v>2309</v>
      </c>
      <c r="E892" s="1876"/>
      <c r="F892" s="1876"/>
      <c r="G892" s="1746"/>
    </row>
    <row r="893" spans="1:7" ht="12.75" customHeight="1">
      <c r="A893" s="1721"/>
      <c r="B893" s="1721"/>
      <c r="C893" s="1753"/>
      <c r="D893" s="6"/>
      <c r="E893" s="6"/>
      <c r="F893" s="1745"/>
      <c r="G893" s="1746"/>
    </row>
    <row r="894" spans="1:7" ht="12.75" customHeight="1">
      <c r="A894" s="404"/>
      <c r="B894" s="799" t="s">
        <v>2554</v>
      </c>
      <c r="C894" s="487"/>
      <c r="D894" s="1984" t="s">
        <v>2310</v>
      </c>
      <c r="E894" s="1984"/>
      <c r="F894" s="1984"/>
      <c r="G894" s="1746"/>
    </row>
    <row r="895" spans="1:7" ht="12.75" customHeight="1">
      <c r="A895" s="404"/>
      <c r="B895" s="404"/>
      <c r="C895" s="487"/>
      <c r="D895" s="1984"/>
      <c r="E895" s="1984"/>
      <c r="F895" s="1984"/>
      <c r="G895" s="1746"/>
    </row>
    <row r="896" spans="1:7" ht="12.75" customHeight="1">
      <c r="A896" s="404"/>
      <c r="B896" s="404"/>
      <c r="C896" s="487"/>
      <c r="D896" s="1984"/>
      <c r="E896" s="1984"/>
      <c r="F896" s="1984"/>
      <c r="G896" s="1746"/>
    </row>
    <row r="897" spans="1:7" ht="12.75" customHeight="1">
      <c r="A897" s="404"/>
      <c r="B897" s="404"/>
      <c r="C897" s="487"/>
      <c r="D897" s="1984"/>
      <c r="E897" s="1984"/>
      <c r="F897" s="1984"/>
      <c r="G897" s="1746"/>
    </row>
    <row r="898" spans="1:7" ht="12.75" customHeight="1">
      <c r="A898" s="488"/>
      <c r="B898" s="488"/>
      <c r="C898" s="487"/>
      <c r="D898" s="1984"/>
      <c r="E898" s="1984"/>
      <c r="F898" s="1984"/>
      <c r="G898" s="1746"/>
    </row>
    <row r="899" spans="1:7" ht="12.75" customHeight="1">
      <c r="A899" s="488"/>
      <c r="B899" s="488"/>
      <c r="C899" s="487"/>
      <c r="D899" s="1984"/>
      <c r="E899" s="1984"/>
      <c r="F899" s="1984"/>
      <c r="G899" s="1746"/>
    </row>
    <row r="900" spans="1:7" ht="12.75" customHeight="1">
      <c r="A900" s="488"/>
      <c r="B900" s="488"/>
      <c r="C900" s="487"/>
      <c r="D900" s="1984"/>
      <c r="E900" s="1984"/>
      <c r="F900" s="1984"/>
      <c r="G900" s="1746"/>
    </row>
    <row r="901" spans="1:7" ht="12.75" customHeight="1">
      <c r="A901" s="488"/>
      <c r="B901" s="488"/>
      <c r="C901" s="487"/>
      <c r="D901" s="183"/>
      <c r="E901" s="679"/>
      <c r="F901" s="1746"/>
      <c r="G901" s="1746"/>
    </row>
    <row r="902" spans="1:7" ht="12.75" customHeight="1">
      <c r="A902" s="1759"/>
      <c r="B902" s="799" t="s">
        <v>2554</v>
      </c>
      <c r="C902" s="1760"/>
      <c r="D902" s="1984" t="s">
        <v>2311</v>
      </c>
      <c r="E902" s="1984"/>
      <c r="F902" s="1984"/>
      <c r="G902" s="1761"/>
    </row>
    <row r="903" spans="1:7" ht="12.75" customHeight="1">
      <c r="A903" s="1759"/>
      <c r="B903" s="1759"/>
      <c r="C903" s="1760"/>
      <c r="D903" s="1984"/>
      <c r="E903" s="1984"/>
      <c r="F903" s="1984"/>
      <c r="G903" s="1761"/>
    </row>
    <row r="904" spans="1:7" ht="12.75" customHeight="1">
      <c r="A904" s="1759"/>
      <c r="B904" s="1759"/>
      <c r="C904" s="1760"/>
      <c r="D904" s="1984"/>
      <c r="E904" s="1984"/>
      <c r="F904" s="1984"/>
      <c r="G904" s="1761"/>
    </row>
    <row r="905" spans="1:7" ht="12.75" customHeight="1">
      <c r="A905" s="1759"/>
      <c r="B905" s="1759"/>
      <c r="C905" s="1760"/>
      <c r="D905" s="1984"/>
      <c r="E905" s="1984"/>
      <c r="F905" s="1984"/>
      <c r="G905" s="1761"/>
    </row>
    <row r="906" spans="1:7" ht="12.75" customHeight="1">
      <c r="A906" s="1759"/>
      <c r="B906" s="1759"/>
      <c r="C906" s="1760"/>
      <c r="D906" s="1984"/>
      <c r="E906" s="1984"/>
      <c r="F906" s="1984"/>
      <c r="G906" s="1761"/>
    </row>
    <row r="907" spans="1:7" ht="12.75" customHeight="1">
      <c r="A907" s="1759"/>
      <c r="B907" s="1759"/>
      <c r="C907" s="1760"/>
      <c r="D907" s="1984"/>
      <c r="E907" s="1984"/>
      <c r="F907" s="1984"/>
      <c r="G907" s="1761"/>
    </row>
    <row r="908" spans="1:7" ht="12.75" customHeight="1">
      <c r="A908" s="1759"/>
      <c r="B908" s="1759"/>
      <c r="C908" s="1760"/>
      <c r="D908" s="1984"/>
      <c r="E908" s="1984"/>
      <c r="F908" s="1984"/>
      <c r="G908" s="1761"/>
    </row>
    <row r="909" spans="1:7" ht="12.75" customHeight="1">
      <c r="A909" s="1759"/>
      <c r="B909" s="1759"/>
      <c r="C909" s="1760"/>
      <c r="D909" s="1984"/>
      <c r="E909" s="1984"/>
      <c r="F909" s="1984"/>
      <c r="G909" s="1761"/>
    </row>
    <row r="910" spans="1:7" ht="12.75" customHeight="1">
      <c r="A910" s="1759"/>
      <c r="B910" s="1759"/>
      <c r="C910" s="1760"/>
      <c r="D910" s="1984"/>
      <c r="E910" s="1984"/>
      <c r="F910" s="1984"/>
      <c r="G910" s="1761"/>
    </row>
    <row r="911" spans="1:7" ht="12.75" customHeight="1">
      <c r="A911" s="488"/>
      <c r="B911" s="488"/>
      <c r="C911" s="487"/>
      <c r="D911" s="183"/>
      <c r="E911" s="679"/>
      <c r="F911" s="1746"/>
      <c r="G911" s="1746"/>
    </row>
    <row r="912" spans="1:7" ht="12.75" customHeight="1">
      <c r="A912" s="404"/>
      <c r="B912" s="799" t="s">
        <v>2554</v>
      </c>
      <c r="C912" s="487"/>
      <c r="D912" s="1986" t="s">
        <v>2312</v>
      </c>
      <c r="E912" s="1986"/>
      <c r="F912" s="1986"/>
      <c r="G912" s="1746"/>
    </row>
    <row r="913" spans="1:7" ht="12.75" customHeight="1">
      <c r="A913" s="404"/>
      <c r="B913" s="404"/>
      <c r="C913" s="487"/>
      <c r="D913" s="1986"/>
      <c r="E913" s="1986"/>
      <c r="F913" s="1986"/>
      <c r="G913" s="1746"/>
    </row>
    <row r="914" spans="1:7" ht="12.75" customHeight="1">
      <c r="A914" s="404"/>
      <c r="B914" s="404"/>
      <c r="C914" s="487"/>
      <c r="D914" s="1986"/>
      <c r="E914" s="1986"/>
      <c r="F914" s="1986"/>
      <c r="G914" s="1746"/>
    </row>
    <row r="915" spans="1:7" ht="12.75" customHeight="1">
      <c r="A915" s="404"/>
      <c r="B915" s="404"/>
      <c r="C915" s="487"/>
      <c r="D915" s="1986"/>
      <c r="E915" s="1986"/>
      <c r="F915" s="1986"/>
      <c r="G915" s="1746"/>
    </row>
    <row r="916" spans="1:7" ht="12.75" customHeight="1">
      <c r="A916" s="404"/>
      <c r="B916" s="404"/>
      <c r="C916" s="487"/>
      <c r="D916" s="1986"/>
      <c r="E916" s="1986"/>
      <c r="F916" s="1986"/>
      <c r="G916" s="1746"/>
    </row>
    <row r="917" spans="1:7" ht="12.75" customHeight="1">
      <c r="A917" s="404"/>
      <c r="B917" s="404"/>
      <c r="C917" s="487"/>
      <c r="D917" s="1986"/>
      <c r="E917" s="1986"/>
      <c r="F917" s="1986"/>
      <c r="G917" s="1746"/>
    </row>
    <row r="918" spans="1:7" ht="12.75" customHeight="1">
      <c r="A918" s="404"/>
      <c r="B918" s="404"/>
      <c r="C918" s="487"/>
      <c r="D918" s="1986"/>
      <c r="E918" s="1986"/>
      <c r="F918" s="1986"/>
      <c r="G918" s="1746"/>
    </row>
    <row r="919" spans="1:7" ht="12.75" customHeight="1">
      <c r="A919" s="404"/>
      <c r="B919" s="404"/>
      <c r="C919" s="487"/>
      <c r="D919" s="1762"/>
      <c r="E919" s="679"/>
      <c r="F919" s="1746"/>
      <c r="G919" s="1746"/>
    </row>
    <row r="920" spans="1:7" ht="12.75" customHeight="1">
      <c r="A920" s="404"/>
      <c r="B920" s="799" t="s">
        <v>2553</v>
      </c>
      <c r="C920" s="487"/>
      <c r="D920" s="1984" t="s">
        <v>2313</v>
      </c>
      <c r="E920" s="1984"/>
      <c r="F920" s="1984"/>
      <c r="G920" s="1746"/>
    </row>
    <row r="921" spans="1:7" ht="12.75" customHeight="1">
      <c r="A921" s="404"/>
      <c r="B921" s="404"/>
      <c r="C921" s="487"/>
      <c r="D921" s="1984"/>
      <c r="E921" s="1984"/>
      <c r="F921" s="1984"/>
      <c r="G921" s="1746"/>
    </row>
    <row r="922" spans="1:7" ht="12.75" customHeight="1">
      <c r="A922" s="404"/>
      <c r="B922" s="404"/>
      <c r="C922" s="487"/>
      <c r="D922" s="1984"/>
      <c r="E922" s="1984"/>
      <c r="F922" s="1984"/>
      <c r="G922" s="1746"/>
    </row>
    <row r="923" spans="1:7" ht="12.75" customHeight="1">
      <c r="A923" s="404"/>
      <c r="B923" s="404"/>
      <c r="C923" s="487"/>
      <c r="D923" s="1984"/>
      <c r="E923" s="1984"/>
      <c r="F923" s="1984"/>
      <c r="G923" s="1746"/>
    </row>
    <row r="924" spans="1:7" ht="12.75" customHeight="1">
      <c r="A924" s="404"/>
      <c r="B924" s="404"/>
      <c r="C924" s="487"/>
      <c r="D924" s="183"/>
      <c r="E924" s="679"/>
      <c r="F924" s="1746"/>
      <c r="G924" s="1746"/>
    </row>
    <row r="925" spans="1:7" ht="12.75" customHeight="1">
      <c r="A925" s="1732"/>
      <c r="B925" s="1732"/>
      <c r="C925" s="1747"/>
      <c r="D925" s="1851" t="s">
        <v>2314</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2554</v>
      </c>
      <c r="C928" s="557"/>
      <c r="D928" s="1851" t="s">
        <v>2315</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895" t="s">
        <v>2316</v>
      </c>
      <c r="E931" s="1895"/>
      <c r="F931" s="1895"/>
      <c r="G931" s="1746"/>
    </row>
    <row r="932" spans="1:7" ht="12.75" customHeight="1">
      <c r="A932" s="721"/>
      <c r="B932" s="721"/>
      <c r="C932" s="314"/>
      <c r="D932" s="1717"/>
      <c r="E932" s="6"/>
      <c r="F932" s="1745"/>
      <c r="G932" s="1746"/>
    </row>
    <row r="933" spans="1:7" ht="12.75" customHeight="1">
      <c r="A933" s="715"/>
      <c r="B933" s="799" t="s">
        <v>2553</v>
      </c>
      <c r="C933" s="1747"/>
      <c r="D933" s="1900" t="s">
        <v>2317</v>
      </c>
      <c r="E933" s="1900"/>
      <c r="F933" s="1900"/>
      <c r="G933" s="1746"/>
    </row>
    <row r="934" spans="1:7" ht="12.75" customHeight="1">
      <c r="A934" s="1763"/>
      <c r="B934" s="1763"/>
      <c r="C934" s="1747"/>
      <c r="D934" s="1900"/>
      <c r="E934" s="1900"/>
      <c r="F934" s="1900"/>
      <c r="G934" s="1746"/>
    </row>
    <row r="935" spans="1:7" ht="12.75" customHeight="1">
      <c r="A935" s="1763"/>
      <c r="B935" s="1763"/>
      <c r="C935" s="1747"/>
      <c r="D935" s="1900"/>
      <c r="E935" s="1900"/>
      <c r="F935" s="1900"/>
      <c r="G935" s="1746"/>
    </row>
    <row r="936" spans="1:7" ht="12.75" customHeight="1">
      <c r="A936" s="1763"/>
      <c r="B936" s="1763"/>
      <c r="C936" s="1747"/>
      <c r="D936" s="1900"/>
      <c r="E936" s="1900"/>
      <c r="F936" s="1900"/>
      <c r="G936" s="1746"/>
    </row>
    <row r="937" spans="1:7" ht="12.75" customHeight="1">
      <c r="A937" s="1763"/>
      <c r="B937" s="1763"/>
      <c r="C937" s="1747"/>
      <c r="D937" s="1900"/>
      <c r="E937" s="1900"/>
      <c r="F937" s="1900"/>
      <c r="G937" s="1746"/>
    </row>
    <row r="938" spans="1:7" ht="12.75" customHeight="1">
      <c r="A938" s="1763"/>
      <c r="B938" s="1763"/>
      <c r="C938" s="1747"/>
      <c r="D938" s="1900"/>
      <c r="E938" s="1900"/>
      <c r="F938" s="1900"/>
      <c r="G938" s="1746"/>
    </row>
    <row r="939" spans="1:7" ht="12.75" customHeight="1">
      <c r="A939" s="1763"/>
      <c r="B939" s="1763"/>
      <c r="C939" s="1747"/>
      <c r="D939" s="1715"/>
      <c r="E939" s="1715"/>
      <c r="F939" s="1715"/>
      <c r="G939" s="1746"/>
    </row>
    <row r="940" spans="1:7" ht="12.75" customHeight="1">
      <c r="A940" s="715"/>
      <c r="B940" s="799" t="s">
        <v>2553</v>
      </c>
      <c r="C940" s="1747"/>
      <c r="D940" s="1900" t="s">
        <v>2318</v>
      </c>
      <c r="E940" s="1900"/>
      <c r="F940" s="1900"/>
      <c r="G940" s="1746"/>
    </row>
    <row r="941" spans="1:7" ht="12.75" customHeight="1">
      <c r="A941" s="1763"/>
      <c r="B941" s="1763"/>
      <c r="C941" s="1747"/>
      <c r="D941" s="1900"/>
      <c r="E941" s="1900"/>
      <c r="F941" s="1900"/>
      <c r="G941" s="1746"/>
    </row>
    <row r="942" spans="1:7" ht="12.75" customHeight="1">
      <c r="A942" s="1763"/>
      <c r="B942" s="1763"/>
      <c r="C942" s="1747"/>
      <c r="D942" s="1900"/>
      <c r="E942" s="1900"/>
      <c r="F942" s="1900"/>
      <c r="G942" s="1746"/>
    </row>
    <row r="943" spans="1:7" ht="12.75" customHeight="1">
      <c r="A943" s="1763"/>
      <c r="B943" s="1763"/>
      <c r="C943" s="1747"/>
      <c r="D943" s="1900"/>
      <c r="E943" s="1900"/>
      <c r="F943" s="1900"/>
      <c r="G943" s="1746"/>
    </row>
    <row r="944" spans="1:7" ht="12.75" customHeight="1">
      <c r="A944" s="1763"/>
      <c r="B944" s="1763"/>
      <c r="C944" s="1747"/>
      <c r="D944" s="1900"/>
      <c r="E944" s="1900"/>
      <c r="F944" s="1900"/>
      <c r="G944" s="1746"/>
    </row>
    <row r="945" spans="1:7" ht="12.75" customHeight="1">
      <c r="A945" s="1763"/>
      <c r="B945" s="1763"/>
      <c r="C945" s="1747"/>
      <c r="D945" s="1764"/>
      <c r="E945" s="1745"/>
      <c r="F945" s="1745"/>
      <c r="G945" s="1746"/>
    </row>
    <row r="946" spans="1:7" ht="12.75" customHeight="1">
      <c r="A946" s="715"/>
      <c r="B946" s="799" t="s">
        <v>2553</v>
      </c>
      <c r="C946" s="1747"/>
      <c r="D946" s="1900" t="s">
        <v>2319</v>
      </c>
      <c r="E946" s="1900"/>
      <c r="F946" s="1900"/>
      <c r="G946" s="1746"/>
    </row>
    <row r="947" spans="1:7" ht="12.75" customHeight="1">
      <c r="A947" s="1763"/>
      <c r="B947" s="1763"/>
      <c r="C947" s="1747"/>
      <c r="D947" s="1900"/>
      <c r="E947" s="1900"/>
      <c r="F947" s="1900"/>
      <c r="G947" s="1746"/>
    </row>
    <row r="948" spans="1:7" ht="12.75" customHeight="1">
      <c r="A948" s="1763"/>
      <c r="B948" s="1763"/>
      <c r="C948" s="1747"/>
      <c r="D948" s="1900"/>
      <c r="E948" s="1900"/>
      <c r="F948" s="1900"/>
      <c r="G948" s="1746"/>
    </row>
    <row r="949" spans="1:7" ht="12.75" customHeight="1">
      <c r="A949" s="1763"/>
      <c r="B949" s="1763"/>
      <c r="C949" s="1747"/>
      <c r="D949" s="1900"/>
      <c r="E949" s="1900"/>
      <c r="F949" s="1900"/>
      <c r="G949" s="1746"/>
    </row>
    <row r="950" spans="1:7" ht="12.75" customHeight="1">
      <c r="A950" s="1763"/>
      <c r="B950" s="1763"/>
      <c r="C950" s="1747"/>
      <c r="D950" s="1900"/>
      <c r="E950" s="1900"/>
      <c r="F950" s="1900"/>
      <c r="G950" s="1746"/>
    </row>
    <row r="951" spans="1:7" ht="12.75" customHeight="1">
      <c r="A951" s="1763"/>
      <c r="B951" s="1763"/>
      <c r="C951" s="1747"/>
      <c r="D951" s="1764"/>
      <c r="E951" s="1745"/>
      <c r="F951" s="1745"/>
      <c r="G951" s="1746"/>
    </row>
    <row r="952" spans="1:7" ht="12.75" customHeight="1">
      <c r="A952" s="715"/>
      <c r="B952" s="799" t="s">
        <v>2554</v>
      </c>
      <c r="C952" s="1747"/>
      <c r="D952" s="1900" t="s">
        <v>2320</v>
      </c>
      <c r="E952" s="1900"/>
      <c r="F952" s="1900"/>
      <c r="G952" s="1746"/>
    </row>
    <row r="953" spans="1:7" ht="12.75" customHeight="1">
      <c r="A953" s="1763"/>
      <c r="B953" s="1763"/>
      <c r="C953" s="1747"/>
      <c r="D953" s="1900"/>
      <c r="E953" s="1900"/>
      <c r="F953" s="1900"/>
      <c r="G953" s="1746"/>
    </row>
    <row r="954" spans="1:7" ht="12.75" customHeight="1">
      <c r="A954" s="1763"/>
      <c r="B954" s="1763"/>
      <c r="C954" s="1747"/>
      <c r="D954" s="1900"/>
      <c r="E954" s="1900"/>
      <c r="F954" s="1900"/>
      <c r="G954" s="1746"/>
    </row>
    <row r="955" spans="1:7" ht="12.75" customHeight="1">
      <c r="A955" s="1763"/>
      <c r="B955" s="1763"/>
      <c r="C955" s="1747"/>
      <c r="D955" s="1715"/>
      <c r="E955" s="1715"/>
      <c r="F955" s="1715"/>
      <c r="G955" s="1746"/>
    </row>
    <row r="956" spans="1:7" ht="12.75" customHeight="1">
      <c r="A956" s="715"/>
      <c r="B956" s="799" t="s">
        <v>2553</v>
      </c>
      <c r="C956" s="1747"/>
      <c r="D956" s="1900" t="s">
        <v>2321</v>
      </c>
      <c r="E956" s="1900"/>
      <c r="F956" s="1900"/>
      <c r="G956" s="1746"/>
    </row>
    <row r="957" spans="1:7" ht="12.75" customHeight="1">
      <c r="A957" s="1763"/>
      <c r="B957" s="1763"/>
      <c r="C957" s="1747"/>
      <c r="D957" s="1900"/>
      <c r="E957" s="1900"/>
      <c r="F957" s="1900"/>
      <c r="G957" s="1746"/>
    </row>
    <row r="958" spans="1:7" ht="12.75" customHeight="1">
      <c r="A958" s="1763"/>
      <c r="B958" s="1763"/>
      <c r="C958" s="1747"/>
      <c r="D958" s="1764"/>
      <c r="E958" s="1745"/>
      <c r="F958" s="1745"/>
      <c r="G958" s="1746"/>
    </row>
    <row r="959" spans="1:7" ht="12.75" customHeight="1">
      <c r="A959" s="1763"/>
      <c r="B959" s="799" t="s">
        <v>2553</v>
      </c>
      <c r="C959" s="1747"/>
      <c r="D959" s="1851" t="s">
        <v>2322</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2553</v>
      </c>
      <c r="C962" s="1747"/>
      <c r="D962" s="1909" t="s">
        <v>2323</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2553</v>
      </c>
      <c r="C967" s="1747"/>
      <c r="D967" s="1876" t="s">
        <v>2324</v>
      </c>
      <c r="E967" s="1876"/>
      <c r="F967" s="1876"/>
      <c r="G967" s="1746"/>
    </row>
    <row r="968" spans="1:7" ht="12.75" customHeight="1">
      <c r="A968" s="1763"/>
      <c r="B968" s="1763"/>
      <c r="C968" s="1747"/>
      <c r="D968" s="1713"/>
      <c r="E968" s="1745"/>
      <c r="F968" s="1745"/>
      <c r="G968" s="1746"/>
    </row>
    <row r="969" spans="1:7" ht="12.75" customHeight="1">
      <c r="A969" s="1763"/>
      <c r="B969" s="799" t="s">
        <v>2553</v>
      </c>
      <c r="C969" s="1747"/>
      <c r="D969" s="1876" t="s">
        <v>2325</v>
      </c>
      <c r="E969" s="1876"/>
      <c r="F969" s="1876"/>
      <c r="G969" s="1746"/>
    </row>
    <row r="970" spans="1:7" ht="12.75" customHeight="1">
      <c r="A970" s="1763"/>
      <c r="B970" s="1763"/>
      <c r="C970" s="1747"/>
      <c r="D970" s="1745"/>
      <c r="E970" s="1745"/>
      <c r="F970" s="1745"/>
      <c r="G970" s="1746"/>
    </row>
    <row r="971" spans="1:7" ht="12.75" customHeight="1">
      <c r="A971" s="1763"/>
      <c r="B971" s="557"/>
      <c r="C971" s="1747"/>
      <c r="D971" s="1875" t="s">
        <v>2326</v>
      </c>
      <c r="E971" s="1875"/>
      <c r="F971" s="1875"/>
      <c r="G971" s="1746"/>
    </row>
    <row r="972" spans="1:7" ht="12.75" customHeight="1">
      <c r="A972" s="1763"/>
      <c r="B972" s="557"/>
      <c r="C972" s="1747"/>
      <c r="D972" s="1717"/>
      <c r="E972" s="1745"/>
      <c r="F972" s="1745"/>
      <c r="G972" s="1746"/>
    </row>
    <row r="973" spans="1:7" ht="12.75" customHeight="1">
      <c r="A973" s="715"/>
      <c r="B973" s="799" t="s">
        <v>2554</v>
      </c>
      <c r="C973" s="1747"/>
      <c r="D973" s="1853" t="s">
        <v>2327</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2553</v>
      </c>
      <c r="C979" s="1747"/>
      <c r="D979" s="1853" t="s">
        <v>2328</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2329</v>
      </c>
      <c r="E985" s="1875"/>
      <c r="F985" s="1875"/>
      <c r="G985" s="1746"/>
    </row>
    <row r="986" spans="1:7" ht="12.75" customHeight="1">
      <c r="A986" s="1763"/>
      <c r="B986" s="1763"/>
      <c r="C986" s="1747"/>
      <c r="D986" s="1717"/>
      <c r="E986" s="1745"/>
      <c r="F986" s="1745"/>
      <c r="G986" s="1746"/>
    </row>
    <row r="987" spans="1:7" ht="12.75" customHeight="1">
      <c r="A987" s="715"/>
      <c r="B987" s="799" t="s">
        <v>2553</v>
      </c>
      <c r="C987" s="1747"/>
      <c r="D987" s="1853" t="s">
        <v>2330</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2553</v>
      </c>
      <c r="C991" s="1747"/>
      <c r="D991" s="1853" t="s">
        <v>2331</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2332</v>
      </c>
      <c r="E995" s="1875"/>
      <c r="F995" s="1875"/>
      <c r="G995" s="1746"/>
    </row>
    <row r="996" spans="1:7" ht="12.75" customHeight="1">
      <c r="A996" s="1763"/>
      <c r="B996" s="1763"/>
      <c r="C996" s="1747"/>
      <c r="D996" s="1717"/>
      <c r="E996" s="1745"/>
      <c r="F996" s="1745"/>
      <c r="G996" s="1746"/>
    </row>
    <row r="997" spans="1:7" ht="12.75" customHeight="1">
      <c r="A997" s="715"/>
      <c r="B997" s="799" t="s">
        <v>2554</v>
      </c>
      <c r="C997" s="1747"/>
      <c r="D997" s="1990" t="s">
        <v>2333</v>
      </c>
      <c r="E997" s="1990"/>
      <c r="F997" s="1990"/>
      <c r="G997" s="1765"/>
    </row>
    <row r="998" spans="1:7" ht="12.75" customHeight="1">
      <c r="A998" s="1763"/>
      <c r="B998" s="1763"/>
      <c r="C998" s="1747"/>
      <c r="D998" s="1990"/>
      <c r="E998" s="1990"/>
      <c r="F998" s="1990"/>
      <c r="G998" s="1765"/>
    </row>
    <row r="999" spans="1:7" ht="12.75" customHeight="1">
      <c r="A999" s="1763"/>
      <c r="B999" s="1763"/>
      <c r="C999" s="1747"/>
      <c r="D999" s="1990"/>
      <c r="E999" s="1990"/>
      <c r="F999" s="1990"/>
      <c r="G999" s="1765"/>
    </row>
    <row r="1000" spans="1:7" ht="12.75" customHeight="1">
      <c r="A1000" s="1763"/>
      <c r="B1000" s="1763"/>
      <c r="C1000" s="1747"/>
      <c r="D1000" s="1766"/>
      <c r="E1000" s="1766"/>
      <c r="F1000" s="1766"/>
      <c r="G1000" s="1766"/>
    </row>
    <row r="1001" spans="1:7" ht="12.75" customHeight="1">
      <c r="A1001" s="1763"/>
      <c r="B1001" s="799" t="s">
        <v>2553</v>
      </c>
      <c r="C1001" s="1747"/>
      <c r="D1001" s="1990" t="s">
        <v>2334</v>
      </c>
      <c r="E1001" s="1990"/>
      <c r="F1001" s="1990"/>
      <c r="G1001" s="1766"/>
    </row>
    <row r="1002" spans="1:7" ht="12.75" customHeight="1">
      <c r="A1002" s="1763"/>
      <c r="B1002" s="1763"/>
      <c r="C1002" s="1747"/>
      <c r="D1002" s="1990"/>
      <c r="E1002" s="1990"/>
      <c r="F1002" s="1990"/>
      <c r="G1002" s="1766"/>
    </row>
    <row r="1003" spans="1:7" ht="12.75" customHeight="1">
      <c r="A1003" s="1763"/>
      <c r="B1003" s="1763"/>
      <c r="C1003" s="1747"/>
      <c r="D1003" s="1990"/>
      <c r="E1003" s="1990"/>
      <c r="F1003" s="1990"/>
      <c r="G1003" s="1766"/>
    </row>
    <row r="1004" spans="1:7" ht="12.75" customHeight="1">
      <c r="A1004" s="1763"/>
      <c r="B1004" s="1763"/>
      <c r="C1004" s="1747"/>
      <c r="D1004" s="1713"/>
      <c r="E1004" s="1745"/>
      <c r="F1004" s="1745"/>
      <c r="G1004" s="1746"/>
    </row>
    <row r="1005" spans="1:7" ht="12.75" customHeight="1">
      <c r="A1005" s="1763"/>
      <c r="B1005" s="799" t="s">
        <v>2553</v>
      </c>
      <c r="C1005" s="1747"/>
      <c r="D1005" s="1991" t="s">
        <v>2335</v>
      </c>
      <c r="E1005" s="1991"/>
      <c r="F1005" s="1991"/>
      <c r="G1005" s="1767"/>
    </row>
    <row r="1006" spans="1:7" ht="12.75" customHeight="1">
      <c r="A1006" s="1763"/>
      <c r="B1006" s="1763"/>
      <c r="C1006" s="1747"/>
      <c r="D1006" s="1991"/>
      <c r="E1006" s="1991"/>
      <c r="F1006" s="1991"/>
      <c r="G1006" s="1767"/>
    </row>
    <row r="1007" spans="1:7" ht="12.75" customHeight="1">
      <c r="A1007" s="1763"/>
      <c r="B1007" s="1763"/>
      <c r="C1007" s="1747"/>
      <c r="D1007" s="1991"/>
      <c r="E1007" s="1991"/>
      <c r="F1007" s="1991"/>
      <c r="G1007" s="1767"/>
    </row>
    <row r="1008" spans="1:7" ht="12.75" customHeight="1">
      <c r="A1008" s="1763"/>
      <c r="B1008" s="1763"/>
      <c r="C1008" s="1747"/>
      <c r="D1008" s="1745"/>
      <c r="E1008" s="1745"/>
      <c r="F1008" s="1745"/>
      <c r="G1008" s="1746"/>
    </row>
    <row r="1009" spans="1:7" ht="12.75" customHeight="1">
      <c r="A1009" s="1763"/>
      <c r="B1009" s="799" t="s">
        <v>2553</v>
      </c>
      <c r="C1009" s="1747"/>
      <c r="D1009" s="1990" t="s">
        <v>2336</v>
      </c>
      <c r="E1009" s="1990"/>
      <c r="F1009" s="1990"/>
      <c r="G1009" s="1767"/>
    </row>
    <row r="1010" spans="1:7" ht="12.75" customHeight="1">
      <c r="A1010" s="1763"/>
      <c r="B1010" s="1763"/>
      <c r="C1010" s="1747"/>
      <c r="D1010" s="1990"/>
      <c r="E1010" s="1990"/>
      <c r="F1010" s="1990"/>
      <c r="G1010" s="1767"/>
    </row>
    <row r="1011" spans="1:7" ht="12.75" customHeight="1">
      <c r="A1011" s="1763"/>
      <c r="B1011" s="1763"/>
      <c r="C1011" s="1747"/>
      <c r="D1011" s="1990"/>
      <c r="E1011" s="1990"/>
      <c r="F1011" s="1990"/>
      <c r="G1011" s="1767"/>
    </row>
    <row r="1012" spans="1:7" ht="12.75" customHeight="1">
      <c r="A1012" s="715"/>
      <c r="B1012" s="715"/>
      <c r="C1012" s="1747"/>
      <c r="D1012" s="1713"/>
      <c r="E1012" s="1745"/>
      <c r="F1012" s="1745"/>
      <c r="G1012" s="1746"/>
    </row>
    <row r="1013" spans="1:7" ht="12.75" customHeight="1">
      <c r="A1013" s="1763"/>
      <c r="B1013" s="799" t="s">
        <v>2553</v>
      </c>
      <c r="C1013" s="1747"/>
      <c r="D1013" s="1990" t="s">
        <v>2337</v>
      </c>
      <c r="E1013" s="1990"/>
      <c r="F1013" s="1990"/>
      <c r="G1013" s="1767"/>
    </row>
    <row r="1014" spans="1:7" ht="12.75" customHeight="1">
      <c r="A1014" s="1763"/>
      <c r="B1014" s="1763"/>
      <c r="C1014" s="1747"/>
      <c r="D1014" s="1990"/>
      <c r="E1014" s="1990"/>
      <c r="F1014" s="1990"/>
      <c r="G1014" s="1767"/>
    </row>
    <row r="1015" spans="1:7" ht="12.75" customHeight="1">
      <c r="A1015" s="1763"/>
      <c r="B1015" s="1763"/>
      <c r="C1015" s="1747"/>
      <c r="D1015" s="1990"/>
      <c r="E1015" s="1990"/>
      <c r="F1015" s="1990"/>
      <c r="G1015" s="1767"/>
    </row>
    <row r="1016" spans="1:7" ht="12.75" customHeight="1">
      <c r="A1016" s="1763"/>
      <c r="B1016" s="1763"/>
      <c r="C1016" s="1747"/>
      <c r="D1016" s="1713"/>
      <c r="E1016" s="1745"/>
      <c r="F1016" s="1745"/>
      <c r="G1016" s="1746"/>
    </row>
    <row r="1017" spans="1:7" ht="12.75" customHeight="1">
      <c r="A1017" s="1763"/>
      <c r="B1017" s="799" t="s">
        <v>2553</v>
      </c>
      <c r="C1017" s="1747"/>
      <c r="D1017" s="1990" t="s">
        <v>2338</v>
      </c>
      <c r="E1017" s="1990"/>
      <c r="F1017" s="1990"/>
      <c r="G1017" s="1765"/>
    </row>
    <row r="1018" spans="1:7" ht="12.75" customHeight="1">
      <c r="A1018" s="1763"/>
      <c r="B1018" s="1763"/>
      <c r="C1018" s="1747"/>
      <c r="D1018" s="1990"/>
      <c r="E1018" s="1990"/>
      <c r="F1018" s="1990"/>
      <c r="G1018" s="1765"/>
    </row>
    <row r="1019" spans="1:7" ht="12.75" customHeight="1">
      <c r="A1019" s="1763"/>
      <c r="B1019" s="1763"/>
      <c r="C1019" s="1747"/>
      <c r="D1019" s="1990"/>
      <c r="E1019" s="1990"/>
      <c r="F1019" s="1990"/>
      <c r="G1019" s="1765"/>
    </row>
    <row r="1020" spans="1:7" ht="12.75" customHeight="1">
      <c r="A1020" s="1763"/>
      <c r="B1020" s="1763"/>
      <c r="C1020" s="1747"/>
      <c r="D1020" s="1765"/>
      <c r="E1020" s="1765"/>
      <c r="F1020" s="1765"/>
      <c r="G1020" s="1765"/>
    </row>
    <row r="1021" spans="1:7" ht="12.75" customHeight="1">
      <c r="A1021" s="1763"/>
      <c r="B1021" s="799" t="s">
        <v>2553</v>
      </c>
      <c r="C1021" s="1747"/>
      <c r="D1021" s="1990" t="s">
        <v>2339</v>
      </c>
      <c r="E1021" s="1990"/>
      <c r="F1021" s="1990"/>
      <c r="G1021" s="1765"/>
    </row>
    <row r="1022" spans="1:7" ht="12.75" customHeight="1">
      <c r="A1022" s="1763"/>
      <c r="B1022" s="1763"/>
      <c r="C1022" s="1747"/>
      <c r="D1022" s="1990"/>
      <c r="E1022" s="1990"/>
      <c r="F1022" s="1990"/>
      <c r="G1022" s="1765"/>
    </row>
    <row r="1023" spans="1:7" ht="12.75" customHeight="1">
      <c r="A1023" s="1763"/>
      <c r="B1023" s="1763"/>
      <c r="C1023" s="1747"/>
      <c r="D1023" s="1990"/>
      <c r="E1023" s="1990"/>
      <c r="F1023" s="1990"/>
      <c r="G1023" s="1765"/>
    </row>
    <row r="1024" spans="1:7" ht="12.75" customHeight="1">
      <c r="A1024" s="1763"/>
      <c r="B1024" s="1763"/>
      <c r="C1024" s="1747"/>
      <c r="D1024" s="1768"/>
      <c r="E1024" s="1768"/>
      <c r="F1024" s="1768"/>
      <c r="G1024" s="1769"/>
    </row>
    <row r="1025" spans="1:7" ht="12.75" customHeight="1">
      <c r="A1025" s="1770"/>
      <c r="B1025" s="799" t="s">
        <v>2553</v>
      </c>
      <c r="C1025" s="1751"/>
      <c r="D1025" s="1992" t="s">
        <v>2340</v>
      </c>
      <c r="E1025" s="1992"/>
      <c r="F1025" s="1992"/>
      <c r="G1025" s="1771"/>
    </row>
    <row r="1026" spans="1:7" ht="12.75" customHeight="1">
      <c r="A1026" s="1770"/>
      <c r="B1026" s="1770"/>
      <c r="C1026" s="1751"/>
      <c r="D1026" s="1992"/>
      <c r="E1026" s="1992"/>
      <c r="F1026" s="1992"/>
      <c r="G1026" s="1771"/>
    </row>
    <row r="1027" spans="1:7" ht="12.75" customHeight="1">
      <c r="A1027" s="1770"/>
      <c r="B1027" s="1770"/>
      <c r="C1027" s="1751"/>
      <c r="D1027" s="1992"/>
      <c r="E1027" s="1992"/>
      <c r="F1027" s="1992"/>
      <c r="G1027" s="1771"/>
    </row>
    <row r="1028" spans="1:7" ht="12.75" customHeight="1">
      <c r="A1028" s="1770"/>
      <c r="B1028" s="1770"/>
      <c r="C1028" s="1751"/>
      <c r="D1028" s="1992"/>
      <c r="E1028" s="1992"/>
      <c r="F1028" s="1992"/>
      <c r="G1028" s="1771"/>
    </row>
    <row r="1029" spans="1:7" ht="12.75" customHeight="1">
      <c r="A1029" s="1770"/>
      <c r="B1029" s="1770"/>
      <c r="C1029" s="1751"/>
      <c r="D1029" s="1992"/>
      <c r="E1029" s="1992"/>
      <c r="F1029" s="1992"/>
      <c r="G1029" s="1771"/>
    </row>
    <row r="1030" spans="1:7" ht="12.75" customHeight="1">
      <c r="A1030" s="1770"/>
      <c r="B1030" s="1770"/>
      <c r="C1030" s="1751"/>
      <c r="D1030" s="1992"/>
      <c r="E1030" s="1992"/>
      <c r="F1030" s="1992"/>
      <c r="G1030" s="1771"/>
    </row>
    <row r="1031" spans="1:7" ht="12.75" customHeight="1">
      <c r="A1031" s="1770"/>
      <c r="B1031" s="1770"/>
      <c r="C1031" s="1751"/>
      <c r="D1031" s="1992"/>
      <c r="E1031" s="1992"/>
      <c r="F1031" s="1992"/>
      <c r="G1031" s="1771"/>
    </row>
    <row r="1032" spans="1:7" ht="12.75" customHeight="1">
      <c r="A1032" s="1770"/>
      <c r="B1032" s="1770"/>
      <c r="C1032" s="1751"/>
      <c r="D1032" s="1992"/>
      <c r="E1032" s="1992"/>
      <c r="F1032" s="1992"/>
      <c r="G1032" s="1771"/>
    </row>
    <row r="1033" spans="1:7" ht="12.75" customHeight="1">
      <c r="A1033" s="1770"/>
      <c r="B1033" s="1770"/>
      <c r="C1033" s="1751"/>
      <c r="D1033" s="1992"/>
      <c r="E1033" s="1992"/>
      <c r="F1033" s="1992"/>
      <c r="G1033" s="1771"/>
    </row>
    <row r="1034" spans="1:7" ht="12.75" customHeight="1">
      <c r="A1034" s="1770"/>
      <c r="B1034" s="1770"/>
      <c r="C1034" s="1751"/>
      <c r="D1034" s="1992"/>
      <c r="E1034" s="1992"/>
      <c r="F1034" s="1992"/>
      <c r="G1034" s="1771"/>
    </row>
    <row r="1035" spans="1:7" ht="12.75" customHeight="1">
      <c r="A1035" s="1770"/>
      <c r="B1035" s="1770"/>
      <c r="C1035" s="1751"/>
      <c r="D1035" s="1992"/>
      <c r="E1035" s="1992"/>
      <c r="F1035" s="1992"/>
      <c r="G1035" s="1771"/>
    </row>
    <row r="1036" spans="1:7" ht="12.75" customHeight="1">
      <c r="A1036" s="1770"/>
      <c r="B1036" s="1770"/>
      <c r="C1036" s="1751"/>
      <c r="D1036" s="1709"/>
      <c r="E1036" s="1709"/>
      <c r="F1036" s="1709"/>
      <c r="G1036" s="1709"/>
    </row>
    <row r="1037" spans="1:7" ht="12.75" customHeight="1">
      <c r="A1037" s="1763"/>
      <c r="B1037" s="1763"/>
      <c r="C1037" s="1747"/>
      <c r="D1037" s="1875" t="s">
        <v>2341</v>
      </c>
      <c r="E1037" s="1875"/>
      <c r="F1037" s="1875"/>
      <c r="G1037" s="1709"/>
    </row>
    <row r="1038" spans="1:7" ht="12.75" customHeight="1">
      <c r="A1038" s="1763"/>
      <c r="B1038" s="1763"/>
      <c r="C1038" s="1747"/>
      <c r="D1038" s="1717"/>
      <c r="E1038" s="1711"/>
      <c r="F1038" s="1711"/>
      <c r="G1038" s="1709"/>
    </row>
    <row r="1039" spans="1:7" ht="12.75" customHeight="1">
      <c r="A1039" s="715"/>
      <c r="B1039" s="799" t="s">
        <v>2554</v>
      </c>
      <c r="C1039" s="1747"/>
      <c r="D1039" s="1851" t="s">
        <v>2342</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2553</v>
      </c>
      <c r="C1044" s="1747"/>
      <c r="D1044" s="1851" t="s">
        <v>2343</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2553</v>
      </c>
      <c r="C1049" s="1747"/>
      <c r="D1049" s="1993" t="s">
        <v>2344</v>
      </c>
      <c r="E1049" s="1993"/>
      <c r="F1049" s="1993"/>
      <c r="G1049" s="1746"/>
    </row>
    <row r="1050" spans="1:7" ht="12.75" customHeight="1">
      <c r="A1050" s="1763"/>
      <c r="B1050" s="1763"/>
      <c r="C1050" s="1747"/>
      <c r="D1050" s="1993"/>
      <c r="E1050" s="1993"/>
      <c r="F1050" s="1993"/>
      <c r="G1050" s="1746"/>
    </row>
    <row r="1051" spans="1:7" ht="12.75" customHeight="1">
      <c r="A1051" s="1763"/>
      <c r="B1051" s="1763"/>
      <c r="C1051" s="1747"/>
      <c r="D1051" s="1993"/>
      <c r="E1051" s="1993"/>
      <c r="F1051" s="1993"/>
      <c r="G1051" s="1746"/>
    </row>
    <row r="1052" spans="1:7" ht="12.75" customHeight="1">
      <c r="A1052" s="1763"/>
      <c r="B1052" s="1763"/>
      <c r="C1052" s="1747"/>
      <c r="D1052" s="1745"/>
      <c r="E1052" s="1745"/>
      <c r="F1052" s="1745"/>
      <c r="G1052" s="1746"/>
    </row>
    <row r="1053" spans="1:7" ht="12.75" customHeight="1">
      <c r="A1053" s="715"/>
      <c r="B1053" s="799" t="s">
        <v>2553</v>
      </c>
      <c r="C1053" s="1772"/>
      <c r="D1053" s="1910" t="s">
        <v>2345</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2346</v>
      </c>
      <c r="E1057" s="1875"/>
      <c r="F1057" s="1875"/>
      <c r="G1057" s="1746"/>
    </row>
    <row r="1058" spans="1:7" ht="12.75" customHeight="1">
      <c r="A1058" s="557"/>
      <c r="B1058" s="557"/>
      <c r="C1058" s="1747"/>
      <c r="D1058" s="1717"/>
      <c r="E1058" s="1745"/>
      <c r="F1058" s="1745"/>
      <c r="G1058" s="1746"/>
    </row>
    <row r="1059" spans="1:7" ht="12.75" customHeight="1">
      <c r="A1059" s="1763"/>
      <c r="B1059" s="799" t="s">
        <v>2553</v>
      </c>
      <c r="C1059" s="1747"/>
      <c r="D1059" s="1853" t="s">
        <v>2347</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2553</v>
      </c>
      <c r="C1063" s="1747"/>
      <c r="D1063" s="1853" t="s">
        <v>2348</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2349</v>
      </c>
      <c r="E1067" s="1875"/>
      <c r="F1067" s="1875"/>
      <c r="G1067" s="1746"/>
    </row>
    <row r="1068" spans="1:7" ht="12.75" customHeight="1">
      <c r="A1068" s="1763"/>
      <c r="B1068" s="1763"/>
      <c r="C1068" s="1747"/>
      <c r="D1068" s="1876" t="s">
        <v>2350</v>
      </c>
      <c r="E1068" s="1876"/>
      <c r="F1068" s="1876"/>
      <c r="G1068" s="1746"/>
    </row>
    <row r="1069" spans="1:7" ht="12.75" customHeight="1">
      <c r="A1069" s="1763"/>
      <c r="B1069" s="1763"/>
      <c r="C1069" s="1747"/>
      <c r="D1069" s="1775"/>
      <c r="E1069" s="1745"/>
      <c r="F1069" s="1745"/>
      <c r="G1069" s="1746"/>
    </row>
    <row r="1070" spans="1:7" ht="12.75" customHeight="1">
      <c r="A1070" s="715"/>
      <c r="B1070" s="799" t="s">
        <v>2553</v>
      </c>
      <c r="C1070" s="1747"/>
      <c r="D1070" s="1851" t="s">
        <v>2351</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2553</v>
      </c>
      <c r="C1073" s="1747"/>
      <c r="D1073" s="1851" t="s">
        <v>2352</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5" t="s">
        <v>2353</v>
      </c>
      <c r="E1076" s="1875"/>
      <c r="F1076" s="1875"/>
      <c r="G1076" s="1746"/>
    </row>
    <row r="1077" spans="1:7" ht="12.75" customHeight="1">
      <c r="A1077" s="1763"/>
      <c r="B1077" s="1763"/>
      <c r="C1077" s="1747"/>
      <c r="D1077" s="1717"/>
      <c r="E1077" s="1745"/>
      <c r="F1077" s="1745"/>
      <c r="G1077" s="1746"/>
    </row>
    <row r="1078" spans="1:7" ht="12.75" customHeight="1">
      <c r="A1078" s="715"/>
      <c r="B1078" s="799" t="s">
        <v>2554</v>
      </c>
      <c r="C1078" s="1747"/>
      <c r="D1078" s="1851" t="s">
        <v>2354</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2553</v>
      </c>
      <c r="C1086" s="1747"/>
      <c r="D1086" s="1851" t="s">
        <v>2355</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2553</v>
      </c>
      <c r="C1094" s="1747"/>
      <c r="D1094" s="1993" t="s">
        <v>2356</v>
      </c>
      <c r="E1094" s="1993"/>
      <c r="F1094" s="1993"/>
      <c r="G1094" s="1746"/>
    </row>
    <row r="1095" spans="1:7" ht="12.75" customHeight="1">
      <c r="A1095" s="1763"/>
      <c r="B1095" s="1763"/>
      <c r="C1095" s="1747"/>
      <c r="D1095" s="1993"/>
      <c r="E1095" s="1993"/>
      <c r="F1095" s="1993"/>
      <c r="G1095" s="1746"/>
    </row>
    <row r="1096" spans="1:7" ht="12.75" customHeight="1">
      <c r="A1096" s="1763"/>
      <c r="B1096" s="1763"/>
      <c r="C1096" s="1747"/>
      <c r="D1096" s="1993"/>
      <c r="E1096" s="1993"/>
      <c r="F1096" s="1993"/>
      <c r="G1096" s="1746"/>
    </row>
    <row r="1097" spans="1:7" ht="12.75" customHeight="1">
      <c r="A1097" s="1763"/>
      <c r="B1097" s="1763"/>
      <c r="C1097" s="1747"/>
      <c r="D1097" s="1776"/>
      <c r="E1097" s="1776"/>
      <c r="F1097" s="1776"/>
      <c r="G1097" s="1746"/>
    </row>
    <row r="1098" spans="1:7" ht="12.75" customHeight="1">
      <c r="A1098" s="1749"/>
      <c r="B1098" s="1749"/>
      <c r="C1098" s="557"/>
      <c r="D1098" s="1875" t="s">
        <v>2357</v>
      </c>
      <c r="E1098" s="1875"/>
      <c r="F1098" s="1875"/>
      <c r="G1098" s="679"/>
    </row>
    <row r="1099" spans="1:7" ht="12.75" customHeight="1">
      <c r="A1099" s="1749"/>
      <c r="B1099" s="1749"/>
      <c r="C1099" s="557"/>
      <c r="D1099" s="1717"/>
      <c r="E1099" s="6"/>
      <c r="F1099" s="6"/>
      <c r="G1099" s="679"/>
    </row>
    <row r="1100" spans="1:7" ht="12.75" customHeight="1">
      <c r="A1100" s="715"/>
      <c r="B1100" s="799" t="s">
        <v>2554</v>
      </c>
      <c r="C1100" s="557"/>
      <c r="D1100" s="1853" t="s">
        <v>2358</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2553</v>
      </c>
      <c r="C1103" s="557"/>
      <c r="D1103" s="1853" t="s">
        <v>2359</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2360</v>
      </c>
      <c r="E1106" s="1875"/>
      <c r="F1106" s="1875"/>
      <c r="G1106" s="679"/>
    </row>
    <row r="1107" spans="1:7" ht="12.75" customHeight="1">
      <c r="A1107" s="1749"/>
      <c r="B1107" s="1749"/>
      <c r="C1107" s="557"/>
      <c r="D1107" s="1717"/>
      <c r="E1107" s="6"/>
      <c r="F1107" s="6"/>
      <c r="G1107" s="679"/>
    </row>
    <row r="1108" spans="1:7" ht="12.75" customHeight="1">
      <c r="A1108" s="715"/>
      <c r="B1108" s="799" t="s">
        <v>2553</v>
      </c>
      <c r="C1108" s="557"/>
      <c r="D1108" s="1876" t="s">
        <v>2387</v>
      </c>
      <c r="E1108" s="1876"/>
      <c r="F1108" s="1876"/>
      <c r="G1108" s="679"/>
    </row>
    <row r="1109" spans="1:7" ht="12.75" customHeight="1">
      <c r="A1109" s="1749"/>
      <c r="B1109" s="1749"/>
      <c r="C1109" s="557"/>
      <c r="D1109" s="6"/>
      <c r="E1109" s="6"/>
      <c r="F1109" s="6"/>
      <c r="G1109" s="679"/>
    </row>
    <row r="1110" spans="1:7" ht="12.75" customHeight="1">
      <c r="A1110" s="715"/>
      <c r="B1110" s="799" t="s">
        <v>2553</v>
      </c>
      <c r="C1110" s="557"/>
      <c r="D1110" s="1851" t="s">
        <v>2361</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5" t="s">
        <v>2362</v>
      </c>
      <c r="E1113" s="1875"/>
      <c r="F1113" s="1875"/>
      <c r="G1113" s="678"/>
    </row>
    <row r="1114" spans="1:7" ht="12.75" customHeight="1">
      <c r="A1114" s="1749"/>
      <c r="B1114" s="1749"/>
      <c r="C1114" s="557"/>
      <c r="D1114" s="1717"/>
      <c r="E1114" s="6"/>
      <c r="F1114" s="6"/>
      <c r="G1114" s="678"/>
    </row>
    <row r="1115" spans="1:7" ht="12.75" customHeight="1">
      <c r="A1115" s="715"/>
      <c r="B1115" s="799" t="s">
        <v>2554</v>
      </c>
      <c r="C1115" s="557"/>
      <c r="D1115" s="1851" t="s">
        <v>2363</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886" t="s">
        <v>2364</v>
      </c>
      <c r="B1130" s="1886"/>
      <c r="C1130" s="1886"/>
      <c r="D1130" s="1886"/>
      <c r="E1130" s="1886"/>
      <c r="F1130" s="1886"/>
      <c r="G1130" s="1886"/>
    </row>
    <row r="1131" spans="1:7" ht="12.75" customHeight="1">
      <c r="A1131" s="1714"/>
      <c r="B1131" s="1714"/>
      <c r="C1131" s="557"/>
      <c r="D1131" s="6"/>
      <c r="E1131" s="6"/>
      <c r="F1131" s="6"/>
      <c r="G1131" s="679"/>
    </row>
    <row r="1132" spans="1:7" ht="12.75" customHeight="1">
      <c r="A1132" s="1749"/>
      <c r="B1132" s="1749"/>
      <c r="C1132" s="1747"/>
      <c r="D1132" s="1875" t="s">
        <v>2388</v>
      </c>
      <c r="E1132" s="1875"/>
      <c r="F1132" s="1875"/>
      <c r="G1132" s="679"/>
    </row>
    <row r="1133" spans="1:7" ht="12.75" customHeight="1">
      <c r="A1133" s="1721"/>
      <c r="B1133" s="1721"/>
      <c r="C1133" s="1753"/>
      <c r="D1133" s="1876" t="s">
        <v>2365</v>
      </c>
      <c r="E1133" s="1876"/>
      <c r="F1133" s="1876"/>
      <c r="G1133" s="679"/>
    </row>
    <row r="1134" spans="1:7" ht="12.75" customHeight="1">
      <c r="A1134" s="1721"/>
      <c r="B1134" s="1721"/>
      <c r="C1134" s="1753"/>
      <c r="D1134" s="6"/>
      <c r="E1134" s="6"/>
      <c r="F1134" s="1745"/>
      <c r="G1134" s="678"/>
    </row>
    <row r="1135" spans="1:7" ht="12.75" customHeight="1">
      <c r="A1135" s="1749"/>
      <c r="B1135" s="799" t="s">
        <v>2554</v>
      </c>
      <c r="C1135" s="557"/>
      <c r="D1135" s="1855" t="s">
        <v>2366</v>
      </c>
      <c r="E1135" s="1855"/>
      <c r="F1135" s="1855"/>
      <c r="G1135" s="678"/>
    </row>
    <row r="1136" spans="1:7" ht="12.75" customHeight="1">
      <c r="A1136" s="1749"/>
      <c r="B1136" s="1749"/>
      <c r="C1136" s="557"/>
      <c r="D1136" s="1855"/>
      <c r="E1136" s="1855"/>
      <c r="F1136" s="1855"/>
      <c r="G1136" s="678"/>
    </row>
    <row r="1137" spans="1:7" ht="12.75" customHeight="1">
      <c r="A1137" s="1749"/>
      <c r="B1137" s="1749"/>
      <c r="C1137" s="557"/>
      <c r="D1137" s="1855"/>
      <c r="E1137" s="1855"/>
      <c r="F1137" s="1855"/>
      <c r="G1137" s="678"/>
    </row>
    <row r="1138" spans="1:7" ht="12.75" customHeight="1">
      <c r="A1138" s="1749"/>
      <c r="B1138" s="1749"/>
      <c r="C1138" s="557"/>
      <c r="D1138" s="1855"/>
      <c r="E1138" s="1855"/>
      <c r="F1138" s="1855"/>
      <c r="G1138" s="678"/>
    </row>
    <row r="1139" spans="1:7" ht="12.75" customHeight="1">
      <c r="A1139" s="1733"/>
      <c r="B1139" s="1733"/>
      <c r="C1139" s="558"/>
      <c r="D1139" s="1855"/>
      <c r="E1139" s="1855"/>
      <c r="F1139" s="1855"/>
      <c r="G1139" s="678"/>
    </row>
    <row r="1140" spans="1:7" ht="12.75" customHeight="1">
      <c r="A1140" s="1733"/>
      <c r="B1140" s="1733"/>
      <c r="C1140" s="558"/>
      <c r="D1140" s="1855"/>
      <c r="E1140" s="1855"/>
      <c r="F1140" s="1855"/>
      <c r="G1140" s="678"/>
    </row>
    <row r="1141" spans="1:7" ht="12.75" customHeight="1">
      <c r="A1141" s="721"/>
      <c r="B1141" s="721"/>
      <c r="C1141" s="314"/>
      <c r="D1141" s="1855"/>
      <c r="E1141" s="1855"/>
      <c r="F1141" s="1855"/>
      <c r="G1141" s="678"/>
    </row>
    <row r="1142" spans="1:7" ht="12.75" customHeight="1">
      <c r="A1142" s="721"/>
      <c r="B1142" s="721"/>
      <c r="C1142" s="314"/>
      <c r="D1142" s="1855"/>
      <c r="E1142" s="1855"/>
      <c r="F1142" s="1855"/>
      <c r="G1142" s="678"/>
    </row>
    <row r="1143" spans="1:7" ht="12.75" customHeight="1">
      <c r="A1143" s="721"/>
      <c r="B1143" s="721"/>
      <c r="C1143" s="314"/>
      <c r="D1143" s="1710"/>
      <c r="E1143" s="1710"/>
      <c r="F1143" s="1710"/>
      <c r="G1143" s="678"/>
    </row>
    <row r="1144" spans="1:7" ht="12.75" customHeight="1">
      <c r="A1144" s="721"/>
      <c r="B1144" s="799" t="s">
        <v>2553</v>
      </c>
      <c r="C1144" s="314"/>
      <c r="D1144" s="1853" t="s">
        <v>2367</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2553</v>
      </c>
      <c r="C1149" s="314"/>
      <c r="D1149" s="1853" t="s">
        <v>2368</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2554</v>
      </c>
      <c r="C1152" s="557"/>
      <c r="D1152" s="1876" t="s">
        <v>2369</v>
      </c>
      <c r="E1152" s="1876"/>
      <c r="F1152" s="1876"/>
      <c r="G1152" s="678"/>
    </row>
    <row r="1153" spans="1:7" ht="12.75" customHeight="1">
      <c r="A1153" s="1749"/>
      <c r="B1153" s="1749"/>
      <c r="C1153" s="557"/>
      <c r="D1153" s="6"/>
      <c r="E1153" s="6"/>
      <c r="F1153" s="6"/>
      <c r="G1153" s="678"/>
    </row>
    <row r="1154" spans="1:7" ht="12.75" customHeight="1">
      <c r="A1154" s="715"/>
      <c r="B1154" s="799" t="s">
        <v>2553</v>
      </c>
      <c r="C1154" s="557"/>
      <c r="D1154" s="1876" t="s">
        <v>2370</v>
      </c>
      <c r="E1154" s="1876"/>
      <c r="F1154" s="1876"/>
      <c r="G1154" s="678"/>
    </row>
    <row r="1155" spans="1:7" ht="12.75" customHeight="1">
      <c r="A1155" s="1749"/>
      <c r="B1155" s="1749"/>
      <c r="C1155" s="557"/>
      <c r="D1155" s="1713"/>
      <c r="E1155" s="6"/>
      <c r="F1155" s="6"/>
      <c r="G1155" s="678"/>
    </row>
    <row r="1156" spans="1:7" ht="12.75" customHeight="1">
      <c r="A1156" s="715"/>
      <c r="B1156" s="799" t="s">
        <v>2554</v>
      </c>
      <c r="C1156" s="557"/>
      <c r="D1156" s="1876" t="s">
        <v>2371</v>
      </c>
      <c r="E1156" s="1876"/>
      <c r="F1156" s="1876"/>
      <c r="G1156" s="678"/>
    </row>
    <row r="1157" spans="1:7" ht="12.75" customHeight="1">
      <c r="A1157" s="1749"/>
      <c r="B1157" s="1749"/>
      <c r="C1157" s="557"/>
      <c r="D1157" s="1713"/>
      <c r="E1157" s="6"/>
      <c r="F1157" s="6"/>
      <c r="G1157" s="678"/>
    </row>
    <row r="1158" spans="1:7" ht="12.75" customHeight="1">
      <c r="A1158" s="715"/>
      <c r="B1158" s="799" t="s">
        <v>2553</v>
      </c>
      <c r="C1158" s="557"/>
      <c r="D1158" s="1851" t="s">
        <v>2372</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2553</v>
      </c>
      <c r="C1161" s="1777"/>
      <c r="D1161" s="1894" t="s">
        <v>2373</v>
      </c>
      <c r="E1161" s="1894"/>
      <c r="F1161" s="1894"/>
      <c r="G1161" s="1778"/>
    </row>
    <row r="1162" spans="1:7" ht="12.75" customHeight="1">
      <c r="A1162" s="1777"/>
      <c r="B1162" s="1777"/>
      <c r="C1162" s="1777"/>
      <c r="D1162" s="1894"/>
      <c r="E1162" s="1894"/>
      <c r="F1162" s="1894"/>
      <c r="G1162" s="1778"/>
    </row>
    <row r="1163" spans="1:7" ht="12.75" customHeight="1">
      <c r="A1163" s="1777"/>
      <c r="B1163" s="1777"/>
      <c r="C1163" s="1777"/>
      <c r="D1163" s="1779"/>
      <c r="E1163" s="1780"/>
      <c r="F1163" s="1780"/>
      <c r="G1163" s="1778"/>
    </row>
    <row r="1164" spans="1:7" ht="12.75" customHeight="1">
      <c r="A1164" s="408"/>
      <c r="B1164" s="799" t="s">
        <v>2553</v>
      </c>
      <c r="C1164" s="1777"/>
      <c r="D1164" s="1999" t="s">
        <v>2374</v>
      </c>
      <c r="E1164" s="1999"/>
      <c r="F1164" s="1999"/>
      <c r="G1164" s="1778"/>
    </row>
    <row r="1165" spans="1:7" ht="12.75" customHeight="1">
      <c r="A1165" s="1777"/>
      <c r="B1165" s="1777"/>
      <c r="C1165" s="1777"/>
      <c r="D1165" s="1779"/>
      <c r="E1165" s="1780"/>
      <c r="F1165" s="1780"/>
      <c r="G1165" s="1778"/>
    </row>
    <row r="1166" spans="1:7" ht="12.75" customHeight="1">
      <c r="A1166" s="715"/>
      <c r="B1166" s="799" t="s">
        <v>2553</v>
      </c>
      <c r="C1166" s="557"/>
      <c r="D1166" s="1876" t="s">
        <v>2375</v>
      </c>
      <c r="E1166" s="1876"/>
      <c r="F1166" s="1876"/>
      <c r="G1166" s="679"/>
    </row>
    <row r="1167" spans="1:7" ht="12.75" customHeight="1">
      <c r="A1167" s="715"/>
      <c r="B1167" s="715"/>
      <c r="C1167" s="557"/>
      <c r="D1167" s="1713"/>
      <c r="E1167" s="6"/>
      <c r="F1167" s="6"/>
      <c r="G1167" s="679"/>
    </row>
    <row r="1168" spans="1:7" ht="12.75" customHeight="1">
      <c r="A1168" s="715"/>
      <c r="B1168" s="799" t="s">
        <v>2553</v>
      </c>
      <c r="C1168" s="557"/>
      <c r="D1168" s="1851" t="s">
        <v>2376</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886" t="s">
        <v>2377</v>
      </c>
      <c r="B1171" s="1886"/>
      <c r="C1171" s="1886"/>
      <c r="D1171" s="1886"/>
      <c r="E1171" s="1886"/>
      <c r="F1171" s="1886"/>
      <c r="G1171" s="1886"/>
    </row>
    <row r="1172" spans="1:7" ht="12.75" customHeight="1">
      <c r="A1172" s="1749"/>
      <c r="B1172" s="1749"/>
      <c r="C1172" s="557"/>
      <c r="D1172" s="6"/>
      <c r="E1172" s="6"/>
      <c r="F1172" s="6"/>
      <c r="G1172" s="679"/>
    </row>
    <row r="1173" spans="1:7" ht="12.75" customHeight="1">
      <c r="A1173" s="1733"/>
      <c r="B1173" s="1733"/>
      <c r="C1173" s="558"/>
      <c r="D1173" s="1895" t="s">
        <v>2378</v>
      </c>
      <c r="E1173" s="1895"/>
      <c r="F1173" s="1895"/>
      <c r="G1173" s="679"/>
    </row>
    <row r="1174" spans="1:7" ht="12.75" customHeight="1">
      <c r="A1174" s="1733"/>
      <c r="B1174" s="1733"/>
      <c r="C1174" s="558"/>
      <c r="D1174" s="1998" t="s">
        <v>2379</v>
      </c>
      <c r="E1174" s="1998"/>
      <c r="F1174" s="1998"/>
      <c r="G1174" s="679"/>
    </row>
    <row r="1175" spans="1:7" ht="12.75" customHeight="1">
      <c r="A1175" s="675"/>
      <c r="B1175" s="675"/>
      <c r="C1175" s="1722"/>
      <c r="D1175" s="679"/>
      <c r="E1175" s="679"/>
      <c r="F1175" s="679"/>
      <c r="G1175" s="679"/>
    </row>
    <row r="1176" spans="1:7" ht="12.75" customHeight="1">
      <c r="A1176" s="715"/>
      <c r="B1176" s="715"/>
      <c r="C1176" s="314"/>
      <c r="D1176" s="1895" t="s">
        <v>2393</v>
      </c>
      <c r="E1176" s="1895"/>
      <c r="F1176" s="1895"/>
      <c r="G1176" s="679"/>
    </row>
    <row r="1177" spans="1:7" ht="12.75" customHeight="1">
      <c r="A1177" s="1749"/>
      <c r="B1177" s="799" t="s">
        <v>2554</v>
      </c>
      <c r="C1177" s="557"/>
      <c r="D1177" s="1998" t="s">
        <v>1513</v>
      </c>
      <c r="E1177" s="1998"/>
      <c r="F1177" s="1998"/>
      <c r="G1177" s="679"/>
    </row>
    <row r="1178" spans="1:7" s="1790" customFormat="1" ht="12.75" customHeight="1">
      <c r="A1178" s="1749"/>
      <c r="B1178" s="715"/>
      <c r="C1178" s="557"/>
      <c r="D1178" s="1994" t="s">
        <v>2380</v>
      </c>
      <c r="E1178" s="1994"/>
      <c r="F1178" s="1994"/>
      <c r="G1178" s="679"/>
    </row>
    <row r="1179" spans="1:7" ht="12.75" customHeight="1">
      <c r="A1179" s="1749"/>
      <c r="B1179" s="1749"/>
      <c r="C1179" s="557"/>
      <c r="D1179" s="1998"/>
      <c r="E1179" s="1998"/>
      <c r="F1179" s="1998"/>
      <c r="G1179" s="679"/>
    </row>
    <row r="1180" spans="1:7" ht="12.75" customHeight="1">
      <c r="A1180" s="1995" t="s">
        <v>2389</v>
      </c>
      <c r="B1180" s="1995"/>
      <c r="C1180" s="1995"/>
      <c r="D1180" s="1995"/>
      <c r="E1180" s="1995"/>
      <c r="F1180" s="1995"/>
      <c r="G1180" s="1995"/>
    </row>
    <row r="1181" spans="1:7" ht="12.75" customHeight="1">
      <c r="A1181" s="254"/>
      <c r="B1181" s="254"/>
      <c r="C1181" s="1741"/>
      <c r="D1181" s="687"/>
      <c r="E1181" s="687"/>
      <c r="F1181" s="687"/>
      <c r="G1181" s="687"/>
    </row>
    <row r="1182" spans="1:7" ht="12.75" customHeight="1">
      <c r="A1182" s="254"/>
      <c r="B1182" s="1787"/>
      <c r="C1182" s="1794"/>
      <c r="D1182" s="1889" t="s">
        <v>1514</v>
      </c>
      <c r="E1182" s="1889"/>
      <c r="F1182" s="1889"/>
      <c r="G1182" s="687"/>
    </row>
    <row r="1183" spans="1:7" ht="12.75" customHeight="1">
      <c r="A1183" s="254"/>
      <c r="B1183" s="1793" t="s">
        <v>2553</v>
      </c>
      <c r="C1183" s="1794"/>
      <c r="D1183" s="1868" t="s">
        <v>1513</v>
      </c>
      <c r="E1183" s="1868"/>
      <c r="F1183" s="1868"/>
      <c r="G1183" s="687"/>
    </row>
    <row r="1184" spans="1:7" ht="12.75" customHeight="1">
      <c r="A1184" s="254"/>
      <c r="B1184" s="1790"/>
      <c r="C1184" s="1794"/>
      <c r="D1184" s="1868" t="s">
        <v>2390</v>
      </c>
      <c r="E1184" s="1868"/>
      <c r="F1184" s="1868"/>
      <c r="G1184" s="687"/>
    </row>
    <row r="1185" spans="1:7" s="1790" customFormat="1" ht="12.75" customHeight="1">
      <c r="A1185" s="254"/>
      <c r="C1185" s="1794"/>
      <c r="D1185" s="1788"/>
      <c r="E1185" s="1788"/>
      <c r="F1185" s="1788"/>
      <c r="G1185" s="687"/>
    </row>
    <row r="1186" spans="1:7" ht="12.75" customHeight="1">
      <c r="A1186" s="254"/>
      <c r="B1186" s="254"/>
      <c r="C1186" s="1741"/>
      <c r="D1186" s="1996" t="s">
        <v>1187</v>
      </c>
      <c r="E1186" s="1996"/>
      <c r="F1186" s="1996"/>
      <c r="G1186" s="687"/>
    </row>
    <row r="1187" spans="1:7" ht="12.75" customHeight="1">
      <c r="A1187" s="504"/>
      <c r="B1187" s="504"/>
      <c r="C1187" s="503"/>
      <c r="D1187" s="1997" t="s">
        <v>1204</v>
      </c>
      <c r="E1187" s="1997"/>
      <c r="F1187" s="1997"/>
      <c r="G1187" s="1781"/>
    </row>
    <row r="1188" spans="1:7" ht="12.75" customHeight="1">
      <c r="A1188" s="715"/>
      <c r="B1188" s="1793" t="s">
        <v>2553</v>
      </c>
      <c r="C1188" s="558"/>
      <c r="D1188" s="1880" t="s">
        <v>1072</v>
      </c>
      <c r="E1188" s="1880"/>
      <c r="F1188" s="1880"/>
      <c r="G1188" s="679"/>
    </row>
    <row r="1189" spans="1:7" ht="12.75" customHeight="1">
      <c r="A1189" s="1733"/>
      <c r="B1189" s="1733"/>
      <c r="C1189" s="558"/>
      <c r="D1189" s="6"/>
      <c r="E1189" s="1981" t="s">
        <v>1188</v>
      </c>
      <c r="F1189" s="1981"/>
      <c r="G1189" s="679"/>
    </row>
    <row r="1190" spans="1:7">
      <c r="A1190" s="791"/>
      <c r="B1190" s="791"/>
      <c r="C1190" s="791"/>
      <c r="D1190" s="791"/>
      <c r="E1190" s="791"/>
      <c r="F1190" s="791"/>
      <c r="G1190" s="791"/>
    </row>
    <row r="1191" spans="1:7">
      <c r="A1191" s="1995" t="s">
        <v>2415</v>
      </c>
      <c r="B1191" s="1995"/>
      <c r="C1191" s="1995"/>
      <c r="D1191" s="1995"/>
      <c r="E1191" s="1995"/>
      <c r="F1191" s="1995"/>
      <c r="G1191" s="1995"/>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2553</v>
      </c>
      <c r="C1196" s="791"/>
      <c r="D1196" s="2002" t="s">
        <v>2394</v>
      </c>
      <c r="E1196" s="2002"/>
      <c r="F1196" s="2002"/>
      <c r="G1196" s="791"/>
    </row>
    <row r="1197" spans="1:7">
      <c r="A1197" s="791"/>
      <c r="B1197" s="791"/>
      <c r="C1197" s="791"/>
      <c r="D1197" s="2002"/>
      <c r="E1197" s="2002"/>
      <c r="F1197" s="2002"/>
      <c r="G1197" s="791"/>
    </row>
    <row r="1198" spans="1:7">
      <c r="A1198" s="791"/>
      <c r="B1198" s="791"/>
      <c r="C1198" s="791"/>
      <c r="D1198" s="2002"/>
      <c r="E1198" s="2002"/>
      <c r="F1198" s="2002"/>
      <c r="G1198" s="791"/>
    </row>
    <row r="1199" spans="1:7">
      <c r="A1199" s="791"/>
      <c r="B1199" s="791"/>
      <c r="C1199" s="791"/>
      <c r="D1199" s="2002"/>
      <c r="E1199" s="2002"/>
      <c r="F1199" s="2002"/>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2554</v>
      </c>
      <c r="C1204" s="791"/>
      <c r="D1204" s="1790" t="s">
        <v>2392</v>
      </c>
      <c r="E1204" s="791"/>
      <c r="F1204" s="791"/>
      <c r="G1204" s="791"/>
    </row>
    <row r="1205" spans="1:7">
      <c r="A1205" s="791"/>
      <c r="B1205" s="791"/>
      <c r="C1205" s="791"/>
      <c r="D1205" s="791"/>
      <c r="E1205" s="791"/>
      <c r="F1205" s="791"/>
      <c r="G1205" s="791"/>
    </row>
    <row r="1206" spans="1:7">
      <c r="A1206" s="791"/>
      <c r="B1206" s="1793" t="s">
        <v>2554</v>
      </c>
      <c r="C1206" s="791"/>
      <c r="D1206" s="2002" t="s">
        <v>2398</v>
      </c>
      <c r="E1206" s="2002"/>
      <c r="F1206" s="2002"/>
      <c r="G1206" s="791"/>
    </row>
    <row r="1207" spans="1:7">
      <c r="A1207" s="791"/>
      <c r="B1207" s="791"/>
      <c r="C1207" s="791"/>
      <c r="D1207" s="2002"/>
      <c r="E1207" s="2002"/>
      <c r="F1207" s="2002"/>
      <c r="G1207" s="791"/>
    </row>
    <row r="1208" spans="1:7">
      <c r="A1208" s="791"/>
      <c r="B1208" s="791"/>
      <c r="C1208" s="791"/>
      <c r="D1208" s="2002"/>
      <c r="E1208" s="2002"/>
      <c r="F1208" s="2002"/>
      <c r="G1208" s="791"/>
    </row>
    <row r="1209" spans="1:7">
      <c r="A1209" s="791"/>
      <c r="B1209" s="791"/>
      <c r="C1209" s="791"/>
      <c r="D1209" s="2002"/>
      <c r="E1209" s="2002"/>
      <c r="F1209" s="2002"/>
      <c r="G1209" s="791"/>
    </row>
    <row r="1210" spans="1:7">
      <c r="A1210" s="791"/>
      <c r="B1210" s="791"/>
      <c r="C1210" s="791"/>
      <c r="D1210" s="2002"/>
      <c r="E1210" s="2002"/>
      <c r="F1210" s="2002"/>
      <c r="G1210" s="791"/>
    </row>
    <row r="1211" spans="1:7">
      <c r="A1211" s="791"/>
      <c r="B1211" s="791"/>
      <c r="C1211" s="791"/>
      <c r="D1211" s="791"/>
      <c r="E1211" s="791"/>
      <c r="F1211" s="791"/>
      <c r="G1211" s="791"/>
    </row>
    <row r="1212" spans="1:7">
      <c r="A1212" s="1995" t="s">
        <v>2399</v>
      </c>
      <c r="B1212" s="1995"/>
      <c r="C1212" s="1995"/>
      <c r="D1212" s="1995"/>
      <c r="E1212" s="1995"/>
      <c r="F1212" s="1995"/>
      <c r="G1212" s="199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2554</v>
      </c>
      <c r="C1215" s="791"/>
      <c r="D1215" s="1785" t="s">
        <v>2402</v>
      </c>
      <c r="E1215" s="1789"/>
      <c r="F1215" s="791"/>
      <c r="G1215" s="791"/>
    </row>
    <row r="1216" spans="1:7">
      <c r="A1216" s="791"/>
      <c r="B1216" s="791"/>
      <c r="C1216" s="791"/>
      <c r="D1216" s="1785" t="s">
        <v>2407</v>
      </c>
      <c r="E1216" s="1789"/>
      <c r="F1216" s="791"/>
      <c r="G1216" s="791"/>
    </row>
    <row r="1217" spans="2:6" s="1790" customFormat="1">
      <c r="D1217" s="1785"/>
      <c r="E1217" s="1789"/>
    </row>
    <row r="1218" spans="2:6" s="791" customFormat="1">
      <c r="B1218" s="1793" t="s">
        <v>2554</v>
      </c>
      <c r="D1218" s="1785" t="s">
        <v>2403</v>
      </c>
      <c r="E1218" s="1789"/>
    </row>
    <row r="1219" spans="2:6" s="1790" customFormat="1">
      <c r="D1219" s="1785"/>
      <c r="E1219" s="1792" t="s">
        <v>2404</v>
      </c>
    </row>
    <row r="1220" spans="2:6" s="1790" customFormat="1">
      <c r="D1220" s="1785" t="s">
        <v>2406</v>
      </c>
      <c r="E1220" s="1789"/>
    </row>
    <row r="1221" spans="2:6" s="1790" customFormat="1">
      <c r="D1221" s="1785"/>
      <c r="E1221" s="1789"/>
    </row>
    <row r="1222" spans="2:6" s="791" customFormat="1">
      <c r="B1222" s="1793" t="s">
        <v>2554</v>
      </c>
      <c r="D1222" s="1785" t="s">
        <v>2408</v>
      </c>
      <c r="E1222" s="1789"/>
    </row>
    <row r="1223" spans="2:6" s="1790" customFormat="1">
      <c r="D1223" s="1785" t="s">
        <v>2405</v>
      </c>
      <c r="E1223" s="1789"/>
    </row>
    <row r="1224" spans="2:6" s="1790" customFormat="1">
      <c r="D1224" s="1785"/>
      <c r="E1224" s="1789"/>
    </row>
    <row r="1225" spans="2:6" s="791" customFormat="1">
      <c r="B1225" s="1793" t="s">
        <v>2553</v>
      </c>
      <c r="D1225" s="1785" t="s">
        <v>2410</v>
      </c>
      <c r="E1225" s="1789"/>
    </row>
    <row r="1226" spans="2:6" s="1790" customFormat="1">
      <c r="D1226" s="1785" t="s">
        <v>2409</v>
      </c>
      <c r="E1226" s="1789"/>
    </row>
    <row r="1227" spans="2:6" s="1790" customFormat="1">
      <c r="D1227" s="1785"/>
      <c r="E1227" s="1789"/>
    </row>
    <row r="1228" spans="2:6" s="791" customFormat="1">
      <c r="B1228" s="1793" t="s">
        <v>2553</v>
      </c>
      <c r="D1228" s="1784" t="s">
        <v>2413</v>
      </c>
      <c r="E1228" s="1789"/>
    </row>
    <row r="1229" spans="2:6" s="1790" customFormat="1">
      <c r="D1229" s="2003" t="s">
        <v>2414</v>
      </c>
      <c r="E1229" s="2003"/>
      <c r="F1229" s="2003"/>
    </row>
    <row r="1230" spans="2:6" s="1790" customFormat="1">
      <c r="D1230" s="2003"/>
      <c r="E1230" s="2003"/>
      <c r="F1230" s="2003"/>
    </row>
    <row r="1231" spans="2:6" s="1790" customFormat="1">
      <c r="D1231" s="2003"/>
      <c r="E1231" s="2003"/>
      <c r="F1231" s="2003"/>
    </row>
    <row r="1232" spans="2:6" s="1790" customFormat="1">
      <c r="D1232" s="2003"/>
      <c r="E1232" s="2003"/>
      <c r="F1232" s="2003"/>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2553</v>
      </c>
      <c r="C1236" s="791"/>
      <c r="D1236" s="2000" t="s">
        <v>2401</v>
      </c>
      <c r="E1236" s="2000"/>
      <c r="F1236" s="2000"/>
      <c r="G1236" s="791"/>
    </row>
    <row r="1237" spans="1:7" s="1790" customFormat="1">
      <c r="D1237" s="2000"/>
      <c r="E1237" s="2000"/>
      <c r="F1237" s="2000"/>
    </row>
    <row r="1238" spans="1:7" s="1790" customFormat="1">
      <c r="D1238" s="2000"/>
      <c r="E1238" s="2000"/>
      <c r="F1238" s="2000"/>
    </row>
    <row r="1239" spans="1:7" s="1790" customFormat="1">
      <c r="D1239" s="2000"/>
      <c r="E1239" s="2000"/>
      <c r="F1239" s="2000"/>
    </row>
    <row r="1240" spans="1:7">
      <c r="A1240" s="791"/>
      <c r="B1240" s="791"/>
      <c r="C1240" s="791"/>
      <c r="D1240" s="2000"/>
      <c r="E1240" s="2000"/>
      <c r="F1240" s="2000"/>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5" t="s">
        <v>2416</v>
      </c>
      <c r="B1243" s="1995"/>
      <c r="C1243" s="1995"/>
      <c r="D1243" s="1995"/>
      <c r="E1243" s="1995"/>
      <c r="F1243" s="1995"/>
      <c r="G1243" s="199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2553</v>
      </c>
      <c r="C1246" s="791"/>
      <c r="D1246" s="2000" t="s">
        <v>2417</v>
      </c>
      <c r="E1246" s="2000"/>
      <c r="F1246" s="2000"/>
      <c r="G1246" s="791"/>
    </row>
    <row r="1247" spans="1:7" s="1790" customFormat="1">
      <c r="D1247" s="2000"/>
      <c r="E1247" s="2000"/>
      <c r="F1247" s="2000"/>
    </row>
    <row r="1248" spans="1:7" s="1790" customFormat="1">
      <c r="D1248" s="2000"/>
      <c r="E1248" s="2000"/>
      <c r="F1248" s="2000"/>
    </row>
    <row r="1249" spans="2:6" s="1790" customFormat="1">
      <c r="D1249" s="1785"/>
    </row>
    <row r="1250" spans="2:6" s="791" customFormat="1">
      <c r="B1250" s="1793" t="s">
        <v>2553</v>
      </c>
      <c r="D1250" s="2000" t="s">
        <v>2418</v>
      </c>
      <c r="E1250" s="2000"/>
      <c r="F1250" s="2000"/>
    </row>
    <row r="1251" spans="2:6" s="1790" customFormat="1">
      <c r="D1251" s="2000"/>
      <c r="E1251" s="2000"/>
      <c r="F1251" s="2000"/>
    </row>
    <row r="1252" spans="2:6" s="1790" customFormat="1">
      <c r="D1252" s="1785"/>
    </row>
    <row r="1253" spans="2:6" s="791" customFormat="1">
      <c r="B1253" s="1793" t="s">
        <v>2553</v>
      </c>
      <c r="D1253" s="2000" t="s">
        <v>2419</v>
      </c>
      <c r="E1253" s="2000"/>
      <c r="F1253" s="2000"/>
    </row>
    <row r="1254" spans="2:6" s="1790" customFormat="1">
      <c r="D1254" s="2000"/>
      <c r="E1254" s="2000"/>
      <c r="F1254" s="2000"/>
    </row>
    <row r="1255" spans="2:6" s="1790" customFormat="1">
      <c r="D1255" s="2000"/>
      <c r="E1255" s="2000"/>
      <c r="F1255" s="2000"/>
    </row>
    <row r="1256" spans="2:6" s="1790" customFormat="1">
      <c r="D1256" s="2000"/>
      <c r="E1256" s="2000"/>
      <c r="F1256" s="2000"/>
    </row>
    <row r="1257" spans="2:6" s="1790" customFormat="1">
      <c r="D1257" s="2000"/>
      <c r="E1257" s="2000"/>
      <c r="F1257" s="2000"/>
    </row>
    <row r="1258" spans="2:6" s="1791" customFormat="1">
      <c r="B1258" s="1790"/>
      <c r="D1258" s="1785"/>
    </row>
    <row r="1259" spans="2:6" s="791" customFormat="1">
      <c r="B1259" s="1793" t="s">
        <v>2553</v>
      </c>
      <c r="D1259" s="2000" t="s">
        <v>2420</v>
      </c>
      <c r="E1259" s="2000"/>
      <c r="F1259" s="2000"/>
    </row>
    <row r="1260" spans="2:6" s="1790" customFormat="1">
      <c r="D1260" s="2000"/>
      <c r="E1260" s="2000"/>
      <c r="F1260" s="2000"/>
    </row>
    <row r="1261" spans="2:6" s="1790" customFormat="1">
      <c r="D1261" s="2000"/>
      <c r="E1261" s="2000"/>
      <c r="F1261" s="2000"/>
    </row>
    <row r="1262" spans="2:6" s="1790" customFormat="1">
      <c r="D1262" s="1785"/>
    </row>
    <row r="1263" spans="2:6" s="791" customFormat="1">
      <c r="B1263" s="1793" t="s">
        <v>2554</v>
      </c>
      <c r="D1263" s="2001" t="s">
        <v>2421</v>
      </c>
      <c r="E1263" s="2001"/>
      <c r="F1263" s="2001"/>
    </row>
    <row r="1264" spans="2:6" s="791" customFormat="1">
      <c r="D1264" s="2001"/>
      <c r="E1264" s="2001"/>
      <c r="F1264" s="2001"/>
    </row>
    <row r="1265" spans="4:6" s="791" customFormat="1">
      <c r="D1265" s="2001"/>
      <c r="E1265" s="2001"/>
      <c r="F1265" s="2001"/>
    </row>
    <row r="1266" spans="4:6" s="791" customFormat="1"/>
    <row r="1267" spans="4:6" s="791" customFormat="1"/>
    <row r="1268" spans="4:6" s="791" customFormat="1"/>
    <row r="1269" spans="4:6" s="791" customFormat="1"/>
    <row r="1270" spans="4:6" s="791" customFormat="1"/>
    <row r="1271" spans="4:6" s="791" customFormat="1"/>
    <row r="1272" spans="4:6" s="791" customFormat="1"/>
    <row r="1273" spans="4:6" s="791" customFormat="1"/>
    <row r="1274" spans="4:6" s="791" customFormat="1"/>
    <row r="1275" spans="4:6" s="791" customFormat="1"/>
    <row r="1276" spans="4:6" s="791" customFormat="1"/>
    <row r="1277" spans="4:6" s="791" customFormat="1"/>
    <row r="1278" spans="4:6" s="791" customFormat="1"/>
    <row r="1279" spans="4:6" s="791" customFormat="1"/>
    <row r="1280" spans="4:6"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7"/>
      <c r="H1680" s="1867"/>
      <c r="I1680" s="186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48" zoomScaleNormal="100" zoomScaleSheetLayoutView="130" workbookViewId="0">
      <selection activeCell="W471" sqref="W471:Y471"/>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7" t="s">
        <v>105</v>
      </c>
      <c r="B8" s="2417"/>
      <c r="C8" s="2417"/>
      <c r="D8" s="2417"/>
      <c r="E8" s="2417"/>
      <c r="F8" s="2417"/>
      <c r="G8" s="2417"/>
      <c r="H8" s="2417"/>
      <c r="I8" s="2417"/>
      <c r="J8" s="2417"/>
      <c r="K8" s="2417"/>
      <c r="L8" s="2417"/>
      <c r="M8" s="2417"/>
      <c r="N8" s="2417"/>
      <c r="O8" s="2417"/>
      <c r="P8" s="2417"/>
      <c r="Q8" s="2417"/>
      <c r="R8" s="2417"/>
      <c r="S8" s="2417"/>
      <c r="T8" s="2417"/>
      <c r="U8" s="2417"/>
      <c r="V8" s="2417"/>
      <c r="W8" s="2417"/>
      <c r="X8" s="2417"/>
      <c r="Y8" s="2417"/>
      <c r="Z8" s="2417"/>
      <c r="AA8" s="2417"/>
      <c r="AB8" s="2417"/>
      <c r="AC8" s="2417"/>
      <c r="AD8" s="2417"/>
      <c r="AE8" s="2417"/>
      <c r="AF8" s="2417"/>
      <c r="AG8" s="2417"/>
      <c r="AH8" s="2417"/>
      <c r="AI8" s="2417"/>
      <c r="AJ8" s="2417"/>
      <c r="AK8" s="2417"/>
      <c r="AL8" s="2417"/>
      <c r="AM8" s="1573"/>
      <c r="AN8" s="1573"/>
      <c r="AO8" s="1573"/>
      <c r="AP8" s="1573"/>
      <c r="AQ8" s="1573"/>
      <c r="AR8" s="1573"/>
      <c r="AS8" s="1573"/>
      <c r="AT8" s="1573"/>
      <c r="AU8" s="1573"/>
      <c r="AV8" s="1573"/>
      <c r="AW8" s="1573"/>
      <c r="AX8" s="1573"/>
      <c r="AY8" s="1573"/>
    </row>
    <row r="9" spans="1:96" s="720" customFormat="1" ht="12.75">
      <c r="A9" s="2076" t="s">
        <v>2005</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c r="AM9" s="1512"/>
      <c r="AN9" s="1512"/>
      <c r="AO9" s="1512"/>
      <c r="AP9" s="1512"/>
      <c r="AQ9" s="1512"/>
      <c r="AR9" s="1512"/>
      <c r="AS9" s="1512"/>
      <c r="AT9" s="1512"/>
      <c r="AU9" s="1512"/>
      <c r="AV9" s="1512"/>
      <c r="AW9" s="1512"/>
      <c r="AX9" s="1512"/>
      <c r="AY9" s="1512"/>
      <c r="CR9" s="25"/>
    </row>
    <row r="10" spans="1:96" ht="15" customHeight="1">
      <c r="A10" s="2226" t="s">
        <v>2006</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76" t="s">
        <v>2026</v>
      </c>
      <c r="B11" s="2076"/>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c r="AM11" s="1512"/>
      <c r="AN11" s="1512"/>
      <c r="AO11" s="1512"/>
      <c r="AP11" s="1512"/>
      <c r="AQ11" s="1512"/>
      <c r="AR11" s="1512"/>
      <c r="AS11" s="1512"/>
      <c r="AT11" s="1512"/>
      <c r="AU11" s="1512"/>
      <c r="AV11" s="1512"/>
      <c r="AW11" s="1512"/>
      <c r="AX11" s="1512"/>
      <c r="AY11" s="1512"/>
    </row>
    <row r="12" spans="1:96" ht="12.75">
      <c r="A12" s="2231" t="s">
        <v>2462</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8"/>
      <c r="AN12" s="1518"/>
      <c r="AO12" s="1518"/>
      <c r="AP12" s="1518"/>
      <c r="AQ12" s="1518"/>
      <c r="AR12" s="1518"/>
      <c r="AS12" s="1518"/>
      <c r="AT12" s="1518"/>
      <c r="AU12" s="1518"/>
      <c r="AV12" s="1518"/>
      <c r="AW12" s="1518"/>
      <c r="AX12" s="1518"/>
      <c r="AY12" s="1518"/>
    </row>
    <row r="13" spans="1:96" ht="12.75">
      <c r="A13" s="1863" t="s">
        <v>1389</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4"/>
      <c r="AN13" s="1574"/>
      <c r="AO13" s="1574"/>
      <c r="AP13" s="1574"/>
      <c r="AQ13" s="1574"/>
      <c r="AR13" s="1574"/>
      <c r="AS13" s="1574"/>
      <c r="AT13" s="1574"/>
      <c r="AU13" s="1574"/>
      <c r="AV13" s="1574"/>
      <c r="AW13" s="1574"/>
      <c r="AX13" s="1574"/>
      <c r="AY13" s="1574"/>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01" t="s">
        <v>2477</v>
      </c>
      <c r="I16" s="2197"/>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2197"/>
    </row>
    <row r="17" spans="1:96" ht="12.75" customHeight="1"/>
    <row r="18" spans="1:96" ht="12.75" customHeight="1">
      <c r="A18" s="134" t="s">
        <v>106</v>
      </c>
      <c r="C18" s="7"/>
      <c r="D18" s="7"/>
      <c r="E18" s="7"/>
      <c r="F18" s="7"/>
      <c r="G18" s="7"/>
      <c r="H18" s="2060" t="s">
        <v>2590</v>
      </c>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row>
    <row r="19" spans="1:96" ht="12.75" customHeight="1"/>
    <row r="20" spans="1:96" ht="14.25" customHeight="1">
      <c r="A20" s="2228" t="s">
        <v>939</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6"/>
      <c r="AN20" s="1576"/>
      <c r="AO20" s="1576"/>
      <c r="AP20" s="1576"/>
      <c r="AQ20" s="1576"/>
      <c r="AR20" s="1576"/>
      <c r="AS20" s="1576"/>
      <c r="AT20" s="1576"/>
      <c r="AU20" s="1576"/>
      <c r="AV20" s="1576"/>
      <c r="AW20" s="1576"/>
      <c r="AX20" s="1576"/>
      <c r="AY20" s="1576"/>
    </row>
    <row r="21" spans="1:96" ht="12.75" customHeight="1">
      <c r="A21" s="2216" t="s">
        <v>1118</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4">
        <f>'Basis &amp; Credits'!AB56</f>
        <v>909509</v>
      </c>
      <c r="N26" s="2224"/>
      <c r="O26" s="2224"/>
      <c r="P26" s="2224"/>
      <c r="Q26" s="2224"/>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5">
        <f>'Basis &amp; Credits'!AB77</f>
        <v>0</v>
      </c>
      <c r="N27" s="2285"/>
      <c r="O27" s="2285"/>
      <c r="P27" s="2285"/>
      <c r="Q27" s="2285"/>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39" t="s">
        <v>707</v>
      </c>
      <c r="P33" s="2039"/>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29"/>
      <c r="H122" s="2229"/>
      <c r="I122" s="239" t="s">
        <v>186</v>
      </c>
      <c r="L122" s="2229"/>
      <c r="M122" s="2229"/>
      <c r="N122" s="2229"/>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5"/>
      <c r="D124" s="2215"/>
      <c r="E124" s="2215"/>
      <c r="F124" s="2215"/>
      <c r="G124" s="2215"/>
      <c r="H124" s="2215"/>
      <c r="I124" s="2215"/>
      <c r="J124" s="2215"/>
      <c r="K124" s="221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29"/>
      <c r="Z126" s="2229"/>
      <c r="AA126" s="2229"/>
      <c r="AB126" s="2229"/>
      <c r="AC126" s="2229"/>
      <c r="AD126" s="2229"/>
      <c r="AE126" s="2229"/>
      <c r="AF126" s="2229"/>
      <c r="AG126" s="2229"/>
      <c r="AH126" s="2229"/>
      <c r="AI126" s="2229"/>
      <c r="AJ126" s="2229"/>
      <c r="AK126" s="2229"/>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30"/>
      <c r="Z129" s="2230"/>
      <c r="AA129" s="2230"/>
      <c r="AB129" s="2230"/>
      <c r="AC129" s="2230"/>
      <c r="AD129" s="2230"/>
      <c r="AE129" s="2230"/>
      <c r="AF129" s="2230"/>
      <c r="AG129" s="2230"/>
      <c r="AH129" s="2230"/>
      <c r="AI129" s="2230"/>
      <c r="AJ129" s="2230"/>
      <c r="AK129" s="223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30"/>
      <c r="Z132" s="2230"/>
      <c r="AA132" s="2230"/>
      <c r="AB132" s="2230"/>
      <c r="AC132" s="2230"/>
      <c r="AD132" s="2230"/>
      <c r="AE132" s="2230"/>
      <c r="AF132" s="2230"/>
      <c r="AG132" s="2230"/>
      <c r="AH132" s="2230"/>
      <c r="AI132" s="2230"/>
      <c r="AJ132" s="2230"/>
      <c r="AK132" s="223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60" t="s">
        <v>2577</v>
      </c>
      <c r="P153" s="2194"/>
      <c r="Q153" s="2194"/>
      <c r="R153" s="2194"/>
      <c r="S153" s="2194"/>
      <c r="T153" s="2194"/>
      <c r="U153" s="2194"/>
      <c r="V153" s="2194"/>
      <c r="W153" s="2194"/>
      <c r="X153" s="2194"/>
      <c r="Y153" s="2194"/>
      <c r="Z153" s="2194"/>
      <c r="AA153" s="2194"/>
      <c r="AB153" s="2194"/>
      <c r="AC153" s="2194"/>
      <c r="AD153" s="2194"/>
      <c r="AE153" s="2194"/>
      <c r="AF153" s="2194"/>
      <c r="AG153" s="2194"/>
      <c r="AH153" s="2194"/>
    </row>
    <row r="154" spans="1:96" ht="12.75" customHeight="1">
      <c r="D154" s="467" t="s">
        <v>463</v>
      </c>
      <c r="F154" s="32"/>
      <c r="G154" s="32"/>
      <c r="H154" s="32"/>
      <c r="I154" s="32"/>
      <c r="J154" s="32"/>
      <c r="K154" s="32"/>
      <c r="L154" s="32"/>
      <c r="M154" s="32"/>
      <c r="N154" s="32"/>
      <c r="O154" s="2070" t="s">
        <v>2574</v>
      </c>
      <c r="P154" s="2122"/>
      <c r="Q154" s="2122"/>
      <c r="R154" s="2122"/>
      <c r="S154" s="2122"/>
      <c r="T154" s="2122"/>
      <c r="U154" s="2122"/>
      <c r="V154" s="2122"/>
      <c r="W154" s="2122"/>
      <c r="X154" s="2122"/>
      <c r="Y154" s="2122"/>
      <c r="Z154" s="2122"/>
      <c r="AA154" s="2122"/>
      <c r="AB154" s="2122"/>
      <c r="AC154" s="2122"/>
      <c r="AD154" s="2122"/>
      <c r="AE154" s="2122"/>
      <c r="AF154" s="2122"/>
      <c r="AG154" s="2122"/>
      <c r="AH154" s="2122"/>
      <c r="AZ154" s="25"/>
    </row>
    <row r="155" spans="1:96" ht="12.75">
      <c r="D155" s="13" t="s">
        <v>465</v>
      </c>
      <c r="F155" s="13"/>
      <c r="G155" s="13"/>
      <c r="H155" s="13"/>
      <c r="I155" s="13"/>
      <c r="J155" s="13"/>
      <c r="K155" s="13"/>
      <c r="L155" s="13"/>
      <c r="M155" s="13"/>
      <c r="N155" s="13"/>
      <c r="O155" s="2234" t="s">
        <v>464</v>
      </c>
      <c r="P155" s="2234"/>
      <c r="Q155" s="2234"/>
      <c r="R155" s="2234"/>
      <c r="S155" s="2234"/>
      <c r="T155" s="2234"/>
      <c r="U155" s="2234"/>
      <c r="V155" s="2234"/>
      <c r="W155" s="2234"/>
      <c r="X155" s="2234"/>
      <c r="Y155" s="2234"/>
      <c r="Z155" s="2234"/>
      <c r="AA155" s="2234"/>
      <c r="AB155" s="2234"/>
      <c r="AC155" s="2234"/>
      <c r="AD155" s="2234"/>
      <c r="AE155" s="2234"/>
      <c r="AF155" s="2234"/>
      <c r="AG155" s="2234"/>
      <c r="AH155" s="2234"/>
      <c r="AZ155" s="25"/>
    </row>
    <row r="156" spans="1:96" ht="12.75">
      <c r="D156" s="32" t="s">
        <v>323</v>
      </c>
      <c r="F156" s="32"/>
      <c r="G156" s="32"/>
      <c r="H156" s="32"/>
      <c r="I156" s="32"/>
      <c r="J156" s="32"/>
      <c r="K156" s="32"/>
      <c r="L156" s="32"/>
      <c r="M156" s="32"/>
      <c r="N156" s="32"/>
      <c r="O156" s="2060" t="s">
        <v>2578</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317</v>
      </c>
    </row>
    <row r="157" spans="1:96" ht="12.75">
      <c r="D157" s="32" t="s">
        <v>324</v>
      </c>
      <c r="F157" s="32"/>
      <c r="G157" s="32"/>
      <c r="H157" s="32"/>
      <c r="I157" s="32"/>
      <c r="J157" s="32"/>
      <c r="K157" s="32"/>
      <c r="L157" s="32"/>
      <c r="M157" s="32"/>
      <c r="N157" s="32"/>
      <c r="O157" s="2060" t="s">
        <v>2468</v>
      </c>
      <c r="P157" s="2194"/>
      <c r="Q157" s="2194"/>
      <c r="R157" s="2194"/>
      <c r="S157" s="2194"/>
      <c r="T157" s="2194"/>
      <c r="U157" s="2194"/>
      <c r="V157" s="2194"/>
      <c r="W157" s="2194"/>
      <c r="X157" s="2194"/>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0" t="s">
        <v>2472</v>
      </c>
      <c r="P158" s="2221"/>
      <c r="Q158" s="2221"/>
      <c r="R158" s="2221"/>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192" t="s">
        <v>2575</v>
      </c>
      <c r="P159" s="2195"/>
      <c r="Q159" s="2195"/>
      <c r="R159" s="2195"/>
      <c r="S159" s="2195"/>
      <c r="T159" s="2195"/>
      <c r="V159" s="146" t="s">
        <v>278</v>
      </c>
      <c r="W159" s="2222"/>
      <c r="X159" s="2222"/>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195"/>
      <c r="P160" s="2195"/>
      <c r="Q160" s="2195"/>
      <c r="R160" s="2195"/>
      <c r="S160" s="2195"/>
      <c r="T160" s="2195"/>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196" t="s">
        <v>2576</v>
      </c>
      <c r="P161" s="2196"/>
      <c r="Q161" s="2196"/>
      <c r="R161" s="2196"/>
      <c r="S161" s="2196"/>
      <c r="T161" s="2196"/>
      <c r="U161" s="2196"/>
      <c r="V161" s="2196"/>
      <c r="W161" s="2196"/>
      <c r="X161" s="2196"/>
      <c r="Y161" s="2196"/>
      <c r="Z161" s="2196"/>
      <c r="AA161" s="2196"/>
      <c r="AB161" s="2196"/>
      <c r="AC161" s="2196"/>
      <c r="AD161" s="2196"/>
      <c r="AE161" s="2196"/>
      <c r="AF161" s="2196"/>
      <c r="AG161" s="2196"/>
      <c r="AH161" s="2196"/>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23" t="s">
        <v>1463</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58" t="s">
        <v>573</v>
      </c>
      <c r="B169" s="2058"/>
      <c r="C169" s="2058"/>
      <c r="D169" s="2058"/>
      <c r="E169" s="2058"/>
      <c r="F169" s="2058"/>
      <c r="G169" s="2058"/>
      <c r="H169" s="2058"/>
      <c r="I169" s="2058"/>
      <c r="J169" s="2058"/>
      <c r="K169" s="2058"/>
      <c r="L169" s="2058"/>
      <c r="M169" s="2058"/>
      <c r="N169" s="2058"/>
      <c r="O169" s="2058"/>
      <c r="P169" s="2058"/>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59"/>
      <c r="B170" s="2059"/>
      <c r="C170" s="2059"/>
      <c r="D170" s="2059"/>
      <c r="E170" s="2059"/>
      <c r="F170" s="2059"/>
      <c r="G170" s="2059"/>
      <c r="H170" s="2059"/>
      <c r="I170" s="2059"/>
      <c r="J170" s="2059"/>
      <c r="K170" s="2059"/>
      <c r="L170" s="2059"/>
      <c r="M170" s="2059"/>
      <c r="N170" s="2059"/>
      <c r="O170" s="2059"/>
      <c r="P170" s="2059"/>
      <c r="Q170" s="2059"/>
      <c r="R170" s="2059"/>
      <c r="S170" s="2059"/>
      <c r="T170" s="2059"/>
      <c r="U170" s="2059"/>
      <c r="V170" s="2059"/>
      <c r="W170" s="2059"/>
      <c r="X170" s="2059"/>
      <c r="Y170" s="2059"/>
      <c r="Z170" s="2059"/>
      <c r="AA170" s="2059"/>
      <c r="AB170" s="2059"/>
      <c r="AC170" s="2059"/>
      <c r="AD170" s="2059"/>
      <c r="AE170" s="2059"/>
      <c r="AF170" s="2059"/>
      <c r="AG170" s="2059"/>
      <c r="AH170" s="2059"/>
      <c r="AI170" s="2059"/>
      <c r="AJ170" s="2059"/>
      <c r="AK170" s="2059"/>
      <c r="AL170" s="2059"/>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214" t="s">
        <v>390</v>
      </c>
      <c r="K173" s="2214"/>
      <c r="L173" s="2214"/>
      <c r="M173" s="2214"/>
      <c r="N173" s="2214"/>
      <c r="O173" s="2214"/>
      <c r="P173" s="2214"/>
      <c r="Q173" s="2214"/>
      <c r="R173" s="2214"/>
      <c r="S173" s="221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1415</v>
      </c>
      <c r="E174" s="25"/>
      <c r="F174" s="25"/>
      <c r="G174" s="25"/>
      <c r="H174" s="25"/>
      <c r="I174" s="25"/>
      <c r="J174" s="2031" t="s">
        <v>2466</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39" t="s">
        <v>707</v>
      </c>
      <c r="V175" s="203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57"/>
      <c r="V176" s="2157"/>
      <c r="W176" s="4" t="s">
        <v>316</v>
      </c>
      <c r="X176" s="2208"/>
      <c r="Y176" s="220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39" t="s">
        <v>707</v>
      </c>
      <c r="S177" s="203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24"/>
      <c r="AG178" s="2424"/>
      <c r="AH178" s="4" t="s">
        <v>316</v>
      </c>
      <c r="AI178" s="2089"/>
      <c r="AJ178" s="2089"/>
      <c r="AK178" s="2089"/>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39" t="s">
        <v>707</v>
      </c>
      <c r="Y180" s="2039"/>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073" t="str">
        <f>H18</f>
        <v>Allegheny Apartments (FKA Beaumont 2)</v>
      </c>
      <c r="J184" s="2073"/>
      <c r="K184" s="2073"/>
      <c r="L184" s="2073"/>
      <c r="M184" s="2073"/>
      <c r="N184" s="2073"/>
      <c r="O184" s="2073"/>
      <c r="P184" s="2073"/>
      <c r="Q184" s="2073"/>
      <c r="R184" s="2073"/>
      <c r="S184" s="2073"/>
      <c r="T184" s="2073"/>
      <c r="U184" s="2073"/>
      <c r="V184" s="2073"/>
      <c r="W184" s="2073"/>
      <c r="X184" s="2073"/>
      <c r="Y184" s="2073"/>
      <c r="Z184" s="2073"/>
      <c r="AA184" s="2073"/>
      <c r="AB184" s="2073"/>
      <c r="AC184" s="2073"/>
      <c r="AD184" s="2073"/>
      <c r="AE184" s="2073"/>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70" t="s">
        <v>2611</v>
      </c>
      <c r="J185" s="2071"/>
      <c r="K185" s="2071"/>
      <c r="L185" s="2071"/>
      <c r="M185" s="2071"/>
      <c r="N185" s="2071"/>
      <c r="O185" s="2071"/>
      <c r="P185" s="2071"/>
      <c r="Q185" s="2071"/>
      <c r="R185" s="2071"/>
      <c r="S185" s="2071"/>
      <c r="T185" s="2071"/>
      <c r="U185" s="2071"/>
      <c r="V185" s="2071"/>
      <c r="W185" s="2071"/>
      <c r="X185" s="2071"/>
      <c r="Y185" s="2071"/>
      <c r="Z185" s="2071"/>
      <c r="AA185" s="2071"/>
      <c r="AB185" s="2071"/>
      <c r="AC185" s="2071"/>
      <c r="AD185" s="2071"/>
      <c r="AE185" s="2071"/>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103" t="s">
        <v>2467</v>
      </c>
      <c r="F187" s="2103"/>
      <c r="G187" s="2103"/>
      <c r="H187" s="2103"/>
      <c r="I187" s="2103"/>
      <c r="J187" s="2103"/>
      <c r="K187" s="2103"/>
      <c r="L187" s="2103"/>
      <c r="M187" s="2103"/>
      <c r="N187" s="2103"/>
      <c r="O187" s="2103"/>
      <c r="P187" s="2103"/>
      <c r="Q187" s="2103"/>
      <c r="R187" s="2103"/>
      <c r="S187" s="2103"/>
      <c r="T187" s="2103"/>
      <c r="U187" s="2103"/>
      <c r="V187" s="2103"/>
      <c r="W187" s="2103"/>
      <c r="X187" s="2103"/>
      <c r="Y187" s="2103"/>
      <c r="Z187" s="2103"/>
      <c r="AA187" s="2103"/>
      <c r="AB187" s="2103"/>
      <c r="AC187" s="2103"/>
      <c r="AD187" s="2103"/>
      <c r="AE187" s="2103"/>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104"/>
      <c r="F188" s="2104"/>
      <c r="G188" s="2104"/>
      <c r="H188" s="2104"/>
      <c r="I188" s="2104"/>
      <c r="J188" s="2104"/>
      <c r="K188" s="2104"/>
      <c r="L188" s="2104"/>
      <c r="M188" s="2104"/>
      <c r="N188" s="2104"/>
      <c r="O188" s="2104"/>
      <c r="P188" s="2104"/>
      <c r="Q188" s="2104"/>
      <c r="R188" s="2104"/>
      <c r="S188" s="2104"/>
      <c r="T188" s="2104"/>
      <c r="U188" s="2104"/>
      <c r="V188" s="2104"/>
      <c r="W188" s="2104"/>
      <c r="X188" s="2104"/>
      <c r="Y188" s="2104"/>
      <c r="Z188" s="2104"/>
      <c r="AA188" s="2104"/>
      <c r="AB188" s="2104"/>
      <c r="AC188" s="2104"/>
      <c r="AD188" s="2104"/>
      <c r="AE188" s="2104"/>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60" t="s">
        <v>2468</v>
      </c>
      <c r="J189" s="2031"/>
      <c r="K189" s="2031"/>
      <c r="L189" s="2031"/>
      <c r="M189" s="2031"/>
      <c r="N189" s="2031"/>
      <c r="O189" s="2031"/>
      <c r="P189" s="2031"/>
      <c r="Q189" s="25" t="s">
        <v>618</v>
      </c>
      <c r="T189" s="2031" t="s">
        <v>70</v>
      </c>
      <c r="U189" s="2031"/>
      <c r="V189" s="2031"/>
      <c r="W189" s="2031"/>
      <c r="X189" s="2031"/>
      <c r="Y189" s="2031"/>
      <c r="Z189" s="2031"/>
      <c r="AA189" s="2031"/>
      <c r="AB189" s="2031"/>
      <c r="AC189" s="2031"/>
      <c r="AD189" s="2031"/>
      <c r="AE189" s="2031"/>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71">
        <v>92223</v>
      </c>
      <c r="J190" s="2071"/>
      <c r="K190" s="2071"/>
      <c r="L190" s="2071"/>
      <c r="M190" s="2071"/>
      <c r="N190" s="2071"/>
      <c r="O190" s="25" t="s">
        <v>621</v>
      </c>
      <c r="P190" s="25"/>
      <c r="Q190" s="25"/>
      <c r="R190" s="25"/>
      <c r="S190" s="25"/>
      <c r="T190" s="2217">
        <v>438.18</v>
      </c>
      <c r="U190" s="2217"/>
      <c r="V190" s="2217"/>
      <c r="W190" s="2217"/>
      <c r="X190" s="2217"/>
      <c r="Y190" s="2217"/>
      <c r="Z190" s="2217"/>
      <c r="AA190" s="2217"/>
      <c r="AB190" s="2217"/>
      <c r="AC190" s="2217"/>
      <c r="AD190" s="2217"/>
      <c r="AE190" s="2217"/>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210" t="s">
        <v>2610</v>
      </c>
      <c r="O191" s="2103"/>
      <c r="P191" s="2103"/>
      <c r="Q191" s="2103"/>
      <c r="R191" s="2103"/>
      <c r="S191" s="2103"/>
      <c r="T191" s="2103"/>
      <c r="U191" s="2103"/>
      <c r="V191" s="2103"/>
      <c r="W191" s="2103"/>
      <c r="X191" s="2103"/>
      <c r="Y191" s="2103"/>
      <c r="Z191" s="2103"/>
      <c r="AA191" s="2103"/>
      <c r="AB191" s="2103"/>
      <c r="AC191" s="2103"/>
      <c r="AD191" s="2103"/>
      <c r="AE191" s="2103"/>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104"/>
      <c r="O192" s="2104"/>
      <c r="P192" s="2104"/>
      <c r="Q192" s="2104"/>
      <c r="R192" s="2104"/>
      <c r="S192" s="2104"/>
      <c r="T192" s="2104"/>
      <c r="U192" s="2104"/>
      <c r="V192" s="2104"/>
      <c r="W192" s="2104"/>
      <c r="X192" s="2104"/>
      <c r="Y192" s="2104"/>
      <c r="Z192" s="2104"/>
      <c r="AA192" s="2104"/>
      <c r="AB192" s="2104"/>
      <c r="AC192" s="2104"/>
      <c r="AD192" s="2104"/>
      <c r="AE192" s="2104"/>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199" t="s">
        <v>2469</v>
      </c>
      <c r="U193" s="2199"/>
      <c r="V193" s="2199"/>
      <c r="W193" s="2199"/>
      <c r="X193" s="2199"/>
      <c r="Y193" s="2199"/>
      <c r="Z193" s="2199"/>
      <c r="AA193" s="2199"/>
      <c r="AB193" s="2199"/>
      <c r="AC193" s="2199"/>
      <c r="AD193" s="2199"/>
      <c r="AE193" s="2199"/>
      <c r="AF193" s="2199"/>
      <c r="AG193" s="2199"/>
      <c r="AH193" s="2199"/>
      <c r="AI193" s="2199"/>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39" t="s">
        <v>707</v>
      </c>
      <c r="U194" s="2039"/>
      <c r="W194" s="25" t="s">
        <v>723</v>
      </c>
      <c r="X194" s="25"/>
      <c r="Y194" s="25"/>
      <c r="Z194" s="25"/>
      <c r="AA194" s="25"/>
      <c r="AB194" s="25"/>
      <c r="AC194" s="25"/>
      <c r="AD194" s="25"/>
      <c r="AE194" s="25"/>
      <c r="AF194" s="25"/>
      <c r="AG194" s="25"/>
      <c r="AH194" s="2039">
        <v>36</v>
      </c>
      <c r="AI194" s="2039"/>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72" t="s">
        <v>707</v>
      </c>
      <c r="U195" s="2072"/>
      <c r="V195" s="12"/>
      <c r="W195" s="25" t="s">
        <v>724</v>
      </c>
      <c r="X195" s="25"/>
      <c r="Y195" s="25"/>
      <c r="Z195" s="25"/>
      <c r="AA195" s="25"/>
      <c r="AB195" s="25"/>
      <c r="AC195" s="25"/>
      <c r="AD195" s="25"/>
      <c r="AE195" s="25"/>
      <c r="AF195" s="25"/>
      <c r="AG195" s="25"/>
      <c r="AH195" s="2039">
        <v>42</v>
      </c>
      <c r="AI195" s="2039"/>
      <c r="AJ195" s="3"/>
      <c r="AK195" s="3"/>
      <c r="AL195" s="3"/>
      <c r="AM195" s="682"/>
      <c r="AN195" s="682"/>
      <c r="AO195" s="682"/>
      <c r="AP195" s="682"/>
      <c r="AQ195" s="682"/>
      <c r="AR195" s="682"/>
      <c r="AS195" s="682"/>
      <c r="AT195" s="682"/>
      <c r="AU195" s="682"/>
      <c r="AV195" s="682"/>
      <c r="AW195" s="682"/>
      <c r="AX195" s="682"/>
      <c r="AY195" s="682"/>
      <c r="BC195" s="720" t="s">
        <v>2450</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72" t="s">
        <v>707</v>
      </c>
      <c r="U196" s="2072"/>
      <c r="W196" s="25" t="s">
        <v>725</v>
      </c>
      <c r="X196" s="25"/>
      <c r="Y196" s="25"/>
      <c r="Z196" s="25"/>
      <c r="AA196" s="25"/>
      <c r="AB196" s="25"/>
      <c r="AC196" s="25"/>
      <c r="AD196" s="25"/>
      <c r="AE196" s="25"/>
      <c r="AF196" s="25"/>
      <c r="AG196" s="25"/>
      <c r="AH196" s="2039">
        <v>23</v>
      </c>
      <c r="AI196" s="2039"/>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72"/>
      <c r="U197" s="207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39" t="s">
        <v>707</v>
      </c>
      <c r="Z198" s="203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200</v>
      </c>
    </row>
    <row r="203" spans="1:96" ht="12.75" customHeight="1">
      <c r="A203" s="25"/>
      <c r="C203" s="25"/>
      <c r="D203" s="2073" t="s">
        <v>404</v>
      </c>
      <c r="E203" s="2073"/>
      <c r="F203" s="2073"/>
      <c r="G203" s="2073"/>
      <c r="H203" s="2073"/>
      <c r="I203" s="2073"/>
      <c r="J203" s="2073"/>
      <c r="K203" s="2073"/>
      <c r="L203" s="2073"/>
      <c r="M203" s="2073"/>
      <c r="P203" s="2227">
        <f>M26</f>
        <v>909509</v>
      </c>
      <c r="Q203" s="2211"/>
      <c r="R203" s="2211"/>
      <c r="S203" s="2211"/>
      <c r="T203" s="2211"/>
      <c r="U203" s="2211"/>
      <c r="V203" s="25"/>
      <c r="W203" s="25"/>
      <c r="X203" s="25"/>
      <c r="Y203" s="25"/>
      <c r="Z203" s="2218" t="s">
        <v>1386</v>
      </c>
      <c r="AA203" s="2218"/>
      <c r="AB203" s="2218"/>
      <c r="AC203" s="2218"/>
      <c r="AD203" s="2218"/>
      <c r="AE203" s="2218"/>
      <c r="AF203" s="221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201</v>
      </c>
    </row>
    <row r="204" spans="1:96" ht="12.75" customHeight="1">
      <c r="A204" s="25"/>
      <c r="C204" s="45"/>
      <c r="D204" s="2200" t="s">
        <v>1485</v>
      </c>
      <c r="E204" s="2073"/>
      <c r="F204" s="2073"/>
      <c r="G204" s="2073"/>
      <c r="H204" s="2073"/>
      <c r="I204" s="2073"/>
      <c r="J204" s="2073"/>
      <c r="K204" s="2073"/>
      <c r="L204" s="2073"/>
      <c r="M204" s="2073"/>
      <c r="P204" s="2211">
        <f>M27</f>
        <v>0</v>
      </c>
      <c r="Q204" s="2211"/>
      <c r="R204" s="2211"/>
      <c r="S204" s="2211"/>
      <c r="T204" s="2211"/>
      <c r="U204" s="2211"/>
      <c r="V204" s="47"/>
      <c r="W204" s="58" t="s">
        <v>2234</v>
      </c>
      <c r="Z204" s="2218"/>
      <c r="AA204" s="2218"/>
      <c r="AB204" s="2218"/>
      <c r="AC204" s="2218"/>
      <c r="AD204" s="2218"/>
      <c r="AE204" s="2218"/>
      <c r="AF204" s="2218"/>
      <c r="AG204" s="25" t="s">
        <v>1486</v>
      </c>
      <c r="AH204" s="25"/>
      <c r="AI204" s="25"/>
      <c r="AJ204" s="25"/>
      <c r="AK204" s="25"/>
      <c r="AL204" s="25"/>
      <c r="AM204" s="25"/>
      <c r="AN204" s="25"/>
      <c r="AO204" s="25"/>
      <c r="AP204" s="2039" t="s">
        <v>707</v>
      </c>
      <c r="AQ204" s="2039"/>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75">
      <c r="A207" s="25"/>
      <c r="C207" s="45"/>
      <c r="D207" s="2194" t="s">
        <v>2588</v>
      </c>
      <c r="E207" s="2194"/>
      <c r="F207" s="2194"/>
      <c r="G207" s="2194"/>
      <c r="H207" s="2194"/>
      <c r="I207" s="2194"/>
      <c r="J207" s="2194"/>
      <c r="K207" s="2194"/>
      <c r="L207" s="2194"/>
      <c r="M207" s="21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194" t="s">
        <v>1157</v>
      </c>
      <c r="E210" s="2194"/>
      <c r="F210" s="2194"/>
      <c r="G210" s="2194"/>
      <c r="H210" s="2194"/>
      <c r="I210" s="2194"/>
      <c r="J210" s="2194"/>
      <c r="K210" s="2194"/>
      <c r="L210" s="2194"/>
      <c r="M210" s="219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39"/>
      <c r="Z211" s="203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077" t="s">
        <v>627</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46"/>
      <c r="AC214" s="2046"/>
      <c r="AD214" s="2046"/>
      <c r="AE214" s="2046"/>
      <c r="AF214" s="2046"/>
      <c r="AG214" s="2046"/>
      <c r="AH214" s="2046"/>
      <c r="AI214" s="2046"/>
      <c r="AJ214" s="2046"/>
      <c r="AK214" s="2046"/>
      <c r="AL214" s="2046"/>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046"/>
      <c r="AC215" s="2046"/>
      <c r="AD215" s="2046"/>
      <c r="AE215" s="2046"/>
      <c r="AF215" s="2046"/>
      <c r="AG215" s="2046"/>
      <c r="AH215" s="2046"/>
      <c r="AI215" s="2046"/>
      <c r="AJ215" s="2046"/>
      <c r="AK215" s="2046"/>
      <c r="AL215" s="2046"/>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194" t="s">
        <v>1183</v>
      </c>
      <c r="E219" s="2194"/>
      <c r="F219" s="2194"/>
      <c r="G219" s="2194"/>
      <c r="H219" s="2194"/>
      <c r="I219" s="2194"/>
      <c r="J219" s="2194"/>
      <c r="K219" s="2194"/>
      <c r="L219" s="2194"/>
      <c r="M219" s="2194"/>
      <c r="N219" s="2194"/>
      <c r="O219" s="2194"/>
      <c r="P219" s="2194"/>
      <c r="Q219" s="2194"/>
      <c r="R219" s="2194"/>
      <c r="S219" s="2194"/>
      <c r="T219" s="2194"/>
      <c r="U219" s="2194"/>
      <c r="V219" s="2194"/>
      <c r="W219" s="2194"/>
      <c r="X219" s="2194"/>
      <c r="Y219" s="2194"/>
      <c r="Z219" s="219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58" t="s">
        <v>574</v>
      </c>
      <c r="B221" s="2058"/>
      <c r="C221" s="2058"/>
      <c r="D221" s="2058"/>
      <c r="E221" s="2058"/>
      <c r="F221" s="2058"/>
      <c r="G221" s="2058"/>
      <c r="H221" s="2058"/>
      <c r="I221" s="2058"/>
      <c r="J221" s="2058"/>
      <c r="K221" s="2058"/>
      <c r="L221" s="2058"/>
      <c r="M221" s="2058"/>
      <c r="N221" s="2058"/>
      <c r="O221" s="2058"/>
      <c r="P221" s="2058"/>
      <c r="Q221" s="2058"/>
      <c r="R221" s="2058"/>
      <c r="S221" s="2058"/>
      <c r="T221" s="2058"/>
      <c r="U221" s="2058"/>
      <c r="V221" s="2058"/>
      <c r="W221" s="2058"/>
      <c r="X221" s="2058"/>
      <c r="Y221" s="2058"/>
      <c r="Z221" s="2058"/>
      <c r="AA221" s="2058"/>
      <c r="AB221" s="2058"/>
      <c r="AC221" s="2058"/>
      <c r="AD221" s="2058"/>
      <c r="AE221" s="2058"/>
      <c r="AF221" s="2058"/>
      <c r="AG221" s="2058"/>
      <c r="AH221" s="2058"/>
      <c r="AI221" s="2058"/>
      <c r="AJ221" s="2058"/>
      <c r="AK221" s="2058"/>
      <c r="AL221" s="2058"/>
      <c r="AM221" s="144"/>
      <c r="AN221" s="144"/>
      <c r="AO221" s="144"/>
      <c r="AP221" s="144"/>
      <c r="AQ221" s="144"/>
      <c r="AR221" s="144"/>
      <c r="AS221" s="144"/>
      <c r="AT221" s="144"/>
      <c r="AU221" s="144"/>
      <c r="AV221" s="144"/>
      <c r="AW221" s="144"/>
      <c r="AX221" s="144"/>
      <c r="AY221" s="144"/>
      <c r="BA221" s="58"/>
    </row>
    <row r="222" spans="1:96" ht="13.5" thickBot="1">
      <c r="A222" s="2059"/>
      <c r="B222" s="2059"/>
      <c r="C222" s="2059"/>
      <c r="D222" s="2059"/>
      <c r="E222" s="2059"/>
      <c r="F222" s="2059"/>
      <c r="G222" s="2059"/>
      <c r="H222" s="2059"/>
      <c r="I222" s="2059"/>
      <c r="J222" s="2059"/>
      <c r="K222" s="2059"/>
      <c r="L222" s="2059"/>
      <c r="M222" s="2059"/>
      <c r="N222" s="2059"/>
      <c r="O222" s="2059"/>
      <c r="P222" s="2059"/>
      <c r="Q222" s="2059"/>
      <c r="R222" s="2059"/>
      <c r="S222" s="2059"/>
      <c r="T222" s="2059"/>
      <c r="U222" s="2059"/>
      <c r="V222" s="2059"/>
      <c r="W222" s="2059"/>
      <c r="X222" s="2059"/>
      <c r="Y222" s="2059"/>
      <c r="Z222" s="2059"/>
      <c r="AA222" s="2059"/>
      <c r="AB222" s="2059"/>
      <c r="AC222" s="2059"/>
      <c r="AD222" s="2059"/>
      <c r="AE222" s="2059"/>
      <c r="AF222" s="2059"/>
      <c r="AG222" s="2059"/>
      <c r="AH222" s="2059"/>
      <c r="AI222" s="2059"/>
      <c r="AJ222" s="2059"/>
      <c r="AK222" s="2059"/>
      <c r="AL222" s="205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627</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579</v>
      </c>
      <c r="AJ226" s="2039"/>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627</v>
      </c>
      <c r="AJ227" s="2039"/>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627</v>
      </c>
      <c r="AJ228" s="2039"/>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5" t="str">
        <f>H16</f>
        <v>LINC-Beaumont 2 APTS, LLC</v>
      </c>
      <c r="N231" s="2225"/>
      <c r="O231" s="2225"/>
      <c r="P231" s="2225"/>
      <c r="Q231" s="2225"/>
      <c r="R231" s="2225"/>
      <c r="S231" s="2225"/>
      <c r="T231" s="2225"/>
      <c r="U231" s="2225"/>
      <c r="V231" s="2225"/>
      <c r="W231" s="2225"/>
      <c r="X231" s="2225"/>
      <c r="Y231" s="2225"/>
      <c r="Z231" s="2225"/>
      <c r="AA231" s="2225"/>
      <c r="AB231" s="2225"/>
      <c r="AC231" s="2225"/>
      <c r="AD231" s="2225"/>
      <c r="AE231" s="2225"/>
      <c r="AF231" s="2225"/>
      <c r="AG231" s="2225"/>
      <c r="AH231" s="2225"/>
      <c r="AI231" s="2225"/>
      <c r="AJ231" s="2225"/>
      <c r="AK231" s="2225"/>
      <c r="BA231" s="58"/>
      <c r="BB231" s="385"/>
      <c r="BG231" s="388"/>
      <c r="BQ231" s="61"/>
    </row>
    <row r="232" spans="1:69" ht="12.75">
      <c r="D232" s="57" t="s">
        <v>90</v>
      </c>
      <c r="E232" s="57"/>
      <c r="F232" s="57"/>
      <c r="G232" s="57"/>
      <c r="H232" s="57"/>
      <c r="I232" s="57"/>
      <c r="J232" s="57"/>
      <c r="K232" s="7"/>
      <c r="M232" s="2204" t="s">
        <v>2470</v>
      </c>
      <c r="N232" s="2204"/>
      <c r="O232" s="2204"/>
      <c r="P232" s="2204"/>
      <c r="Q232" s="2204"/>
      <c r="R232" s="2204"/>
      <c r="S232" s="2204"/>
      <c r="T232" s="2204"/>
      <c r="U232" s="2204"/>
      <c r="V232" s="2204"/>
      <c r="W232" s="2204"/>
      <c r="X232" s="2204"/>
      <c r="Y232" s="2204"/>
      <c r="Z232" s="2204"/>
      <c r="AA232" s="2204"/>
      <c r="AB232" s="2204"/>
      <c r="AC232" s="2204"/>
      <c r="AD232" s="2204"/>
      <c r="AE232" s="2204"/>
      <c r="AZ232" s="7"/>
      <c r="BA232" s="58"/>
      <c r="BB232" s="335" t="s">
        <v>572</v>
      </c>
      <c r="BG232" s="390">
        <f>IF(AND(AND($M$248="nonprofit",$M$256="nonprofit",$M$264="for profit")),2,0)</f>
        <v>0</v>
      </c>
      <c r="BQ232" s="61"/>
    </row>
    <row r="233" spans="1:69" ht="12.75">
      <c r="D233" s="57" t="s">
        <v>616</v>
      </c>
      <c r="E233" s="57"/>
      <c r="M233" s="2198" t="s">
        <v>2471</v>
      </c>
      <c r="N233" s="2198"/>
      <c r="O233" s="2198"/>
      <c r="P233" s="2198"/>
      <c r="Q233" s="2198"/>
      <c r="R233" s="2198"/>
      <c r="S233" s="2198"/>
      <c r="T233" s="2198"/>
      <c r="V233" s="59" t="s">
        <v>91</v>
      </c>
      <c r="W233" s="2070" t="s">
        <v>2472</v>
      </c>
      <c r="X233" s="2122"/>
      <c r="Y233" s="57" t="s">
        <v>619</v>
      </c>
      <c r="AC233" s="2194">
        <v>90807</v>
      </c>
      <c r="AD233" s="2194"/>
      <c r="AE233" s="2194"/>
      <c r="BB233" s="335" t="s">
        <v>572</v>
      </c>
      <c r="BG233" s="390">
        <f>IF(AND(AND($M$248="nonprofit",$M$256="for profit",$M$264="nonprofit")),2,0)</f>
        <v>0</v>
      </c>
    </row>
    <row r="234" spans="1:69" ht="12.75">
      <c r="D234" s="60" t="s">
        <v>92</v>
      </c>
      <c r="E234" s="7"/>
      <c r="F234" s="7"/>
      <c r="G234" s="7"/>
      <c r="H234" s="7"/>
      <c r="I234" s="7"/>
      <c r="J234" s="7"/>
      <c r="K234" s="29"/>
      <c r="M234" s="2060" t="s">
        <v>2473</v>
      </c>
      <c r="N234" s="2194"/>
      <c r="O234" s="2194"/>
      <c r="P234" s="2194"/>
      <c r="Q234" s="2194"/>
      <c r="R234" s="2194"/>
      <c r="S234" s="2194"/>
      <c r="T234" s="2194"/>
      <c r="U234" s="2194"/>
      <c r="V234" s="2194"/>
      <c r="W234" s="2194"/>
      <c r="X234" s="2194"/>
      <c r="Y234" s="2194"/>
      <c r="Z234" s="2194"/>
      <c r="AA234" s="2194"/>
      <c r="AB234" s="2194"/>
      <c r="AC234" s="2194"/>
      <c r="AD234" s="2194"/>
      <c r="AE234" s="219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72" t="s">
        <v>2474</v>
      </c>
      <c r="N235" s="2086"/>
      <c r="O235" s="2086"/>
      <c r="P235" s="2086"/>
      <c r="Q235" s="2086"/>
      <c r="R235" s="2086"/>
      <c r="S235" s="7" t="s">
        <v>211</v>
      </c>
      <c r="T235" s="7"/>
      <c r="U235" s="2122"/>
      <c r="V235" s="2122"/>
      <c r="W235" s="2122"/>
      <c r="X235" s="7" t="s">
        <v>94</v>
      </c>
      <c r="Z235" s="2086"/>
      <c r="AA235" s="2086"/>
      <c r="AB235" s="2086"/>
      <c r="AC235" s="2086"/>
      <c r="AD235" s="2086"/>
      <c r="AE235" s="2086"/>
      <c r="BB235" s="386"/>
      <c r="BG235" s="387"/>
    </row>
    <row r="236" spans="1:69" ht="12.75">
      <c r="D236" s="60" t="s">
        <v>95</v>
      </c>
      <c r="E236" s="7"/>
      <c r="F236" s="7"/>
      <c r="M236" s="2233" t="s">
        <v>2475</v>
      </c>
      <c r="N236" s="2233"/>
      <c r="O236" s="2233"/>
      <c r="P236" s="2233"/>
      <c r="Q236" s="2233"/>
      <c r="R236" s="2233"/>
      <c r="S236" s="2233"/>
      <c r="T236" s="2233"/>
      <c r="U236" s="2233"/>
      <c r="V236" s="2233"/>
      <c r="W236" s="2233"/>
      <c r="X236" s="2233"/>
      <c r="Y236" s="2233"/>
      <c r="Z236" s="2233"/>
      <c r="AA236" s="2233"/>
      <c r="AB236" s="2233"/>
      <c r="AC236" s="2233"/>
      <c r="AD236" s="2233"/>
      <c r="AE236" s="22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1</v>
      </c>
    </row>
    <row r="237" spans="1:69" ht="12.75">
      <c r="A237" s="50" t="s">
        <v>622</v>
      </c>
      <c r="C237" s="37" t="s">
        <v>559</v>
      </c>
      <c r="M237" s="2071" t="s">
        <v>396</v>
      </c>
      <c r="N237" s="2071"/>
      <c r="O237" s="2071"/>
      <c r="P237" s="2071"/>
      <c r="Q237" s="2071"/>
      <c r="R237" s="2071"/>
      <c r="S237" s="2071"/>
      <c r="T237" s="2071"/>
      <c r="U237" s="388" t="s">
        <v>978</v>
      </c>
      <c r="V237" s="326"/>
      <c r="W237" s="326"/>
      <c r="X237" s="326"/>
      <c r="Y237" s="326"/>
      <c r="Z237" s="326"/>
      <c r="AA237" s="2205" t="s">
        <v>2612</v>
      </c>
      <c r="AB237" s="2206"/>
      <c r="AC237" s="2206"/>
      <c r="AD237" s="2206"/>
      <c r="AE237" s="2206"/>
      <c r="AF237" s="2206"/>
      <c r="AG237" s="2206"/>
      <c r="AH237" s="2206"/>
      <c r="AI237" s="2206"/>
      <c r="AJ237" s="2206"/>
      <c r="AK237" s="220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01" t="s">
        <v>2477</v>
      </c>
      <c r="N242" s="2197"/>
      <c r="O242" s="2197"/>
      <c r="P242" s="2197"/>
      <c r="Q242" s="2197"/>
      <c r="R242" s="2197"/>
      <c r="S242" s="2197"/>
      <c r="T242" s="2197"/>
      <c r="U242" s="2197"/>
      <c r="V242" s="2197"/>
      <c r="W242" s="2197"/>
      <c r="X242" s="2197"/>
      <c r="Y242" s="2197"/>
      <c r="Z242" s="2197"/>
      <c r="AA242" s="2197"/>
      <c r="AB242" s="2197"/>
      <c r="AC242" s="2197"/>
      <c r="AD242" s="2197"/>
      <c r="AE242" s="2197"/>
      <c r="AF242" s="2197" t="s">
        <v>2476</v>
      </c>
      <c r="AG242" s="2197"/>
      <c r="AH242" s="2197"/>
      <c r="AI242" s="2197"/>
      <c r="AJ242" s="2197"/>
      <c r="AK242" s="219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04" t="s">
        <v>2470</v>
      </c>
      <c r="N243" s="2204"/>
      <c r="O243" s="2204"/>
      <c r="P243" s="2204"/>
      <c r="Q243" s="2204"/>
      <c r="R243" s="2204"/>
      <c r="S243" s="2204"/>
      <c r="T243" s="2204"/>
      <c r="U243" s="2204"/>
      <c r="V243" s="2204"/>
      <c r="W243" s="2204"/>
      <c r="X243" s="2204"/>
      <c r="Y243" s="2204"/>
      <c r="Z243" s="2204"/>
      <c r="AA243" s="2204"/>
      <c r="AB243" s="2204"/>
      <c r="AC243" s="2204"/>
      <c r="AD243" s="2204"/>
      <c r="AE243" s="2204"/>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198" t="s">
        <v>2471</v>
      </c>
      <c r="N244" s="2198"/>
      <c r="O244" s="2198"/>
      <c r="P244" s="2198"/>
      <c r="Q244" s="2198"/>
      <c r="R244" s="2198"/>
      <c r="S244" s="2198"/>
      <c r="T244" s="2198"/>
      <c r="V244" s="59" t="s">
        <v>91</v>
      </c>
      <c r="W244" s="2070" t="s">
        <v>2472</v>
      </c>
      <c r="X244" s="2122"/>
      <c r="Y244" s="57" t="s">
        <v>619</v>
      </c>
      <c r="AC244" s="2194">
        <v>90807</v>
      </c>
      <c r="AD244" s="2194"/>
      <c r="AE244" s="2194"/>
      <c r="AF244" s="58" t="s">
        <v>1382</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60" t="s">
        <v>2473</v>
      </c>
      <c r="N245" s="2194"/>
      <c r="O245" s="2194"/>
      <c r="P245" s="2194"/>
      <c r="Q245" s="2194"/>
      <c r="R245" s="2194"/>
      <c r="S245" s="2194"/>
      <c r="T245" s="2194"/>
      <c r="U245" s="2194"/>
      <c r="V245" s="2194"/>
      <c r="W245" s="2194"/>
      <c r="X245" s="2194"/>
      <c r="Y245" s="2194"/>
      <c r="Z245" s="2194"/>
      <c r="AA245" s="2194"/>
      <c r="AB245" s="2194"/>
      <c r="AC245" s="2194"/>
      <c r="AD245" s="2194"/>
      <c r="AE245" s="2194"/>
      <c r="AH245" s="2087">
        <v>7.4999999999999997E-3</v>
      </c>
      <c r="AI245" s="2087"/>
      <c r="AJ245" s="2087"/>
      <c r="AK245" s="2087"/>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172" t="s">
        <v>2474</v>
      </c>
      <c r="N246" s="2086"/>
      <c r="O246" s="2086"/>
      <c r="P246" s="2086"/>
      <c r="Q246" s="2086"/>
      <c r="R246" s="2086"/>
      <c r="S246" s="7" t="s">
        <v>211</v>
      </c>
      <c r="T246" s="7"/>
      <c r="U246" s="2122"/>
      <c r="V246" s="2122"/>
      <c r="W246" s="2122"/>
      <c r="X246" s="7" t="s">
        <v>94</v>
      </c>
      <c r="Z246" s="2086"/>
      <c r="AA246" s="2086"/>
      <c r="AB246" s="2086"/>
      <c r="AC246" s="2086"/>
      <c r="AD246" s="2086"/>
      <c r="AE246" s="2086"/>
      <c r="BB246" s="7" t="s">
        <v>177</v>
      </c>
      <c r="BG246" s="12">
        <v>3</v>
      </c>
      <c r="BH246" s="12" t="s">
        <v>570</v>
      </c>
      <c r="BN246" s="391"/>
      <c r="BO246" s="39"/>
    </row>
    <row r="247" spans="1:72" ht="12.75">
      <c r="A247" s="29"/>
      <c r="B247" s="7"/>
      <c r="C247" s="7"/>
      <c r="D247" s="60" t="s">
        <v>95</v>
      </c>
      <c r="E247" s="7"/>
      <c r="F247" s="7"/>
      <c r="M247" s="2233" t="s">
        <v>2475</v>
      </c>
      <c r="N247" s="2233"/>
      <c r="O247" s="2233"/>
      <c r="P247" s="2233"/>
      <c r="Q247" s="2233"/>
      <c r="R247" s="2233"/>
      <c r="S247" s="2233"/>
      <c r="T247" s="2233"/>
      <c r="U247" s="2233"/>
      <c r="V247" s="2233"/>
      <c r="W247" s="2233"/>
      <c r="X247" s="2233"/>
      <c r="Y247" s="2233"/>
      <c r="Z247" s="2233"/>
      <c r="AA247" s="2233"/>
      <c r="AB247" s="2233"/>
      <c r="AC247" s="2233"/>
      <c r="AD247" s="2233"/>
      <c r="AE247" s="223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71" t="s">
        <v>568</v>
      </c>
      <c r="N248" s="2071"/>
      <c r="O248" s="2071"/>
      <c r="P248" s="2071"/>
      <c r="Q248" s="2071"/>
      <c r="R248" s="2071"/>
      <c r="S248" s="2071"/>
      <c r="T248" s="2071"/>
      <c r="U248" s="388" t="s">
        <v>978</v>
      </c>
      <c r="V248" s="326"/>
      <c r="W248" s="326"/>
      <c r="X248" s="326"/>
      <c r="Y248" s="326"/>
      <c r="Z248" s="326"/>
      <c r="AA248" s="2205" t="s">
        <v>2478</v>
      </c>
      <c r="AB248" s="2206"/>
      <c r="AC248" s="2206"/>
      <c r="AD248" s="2206"/>
      <c r="AE248" s="2206"/>
      <c r="AF248" s="2206"/>
      <c r="AG248" s="2206"/>
      <c r="AH248" s="2206"/>
      <c r="AI248" s="2206"/>
      <c r="AJ248" s="2206"/>
      <c r="AK248" s="220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01" t="s">
        <v>2602</v>
      </c>
      <c r="N250" s="2197"/>
      <c r="O250" s="2197"/>
      <c r="P250" s="2197"/>
      <c r="Q250" s="2197"/>
      <c r="R250" s="2197"/>
      <c r="S250" s="2197"/>
      <c r="T250" s="2197"/>
      <c r="U250" s="2197"/>
      <c r="V250" s="2197"/>
      <c r="W250" s="2197"/>
      <c r="X250" s="2197"/>
      <c r="Y250" s="2197"/>
      <c r="Z250" s="2197"/>
      <c r="AA250" s="2197"/>
      <c r="AB250" s="2197"/>
      <c r="AC250" s="2197"/>
      <c r="AD250" s="2197"/>
      <c r="AE250" s="2197"/>
      <c r="AF250" s="2197" t="s">
        <v>2601</v>
      </c>
      <c r="AG250" s="2197"/>
      <c r="AH250" s="2197"/>
      <c r="AI250" s="2197"/>
      <c r="AJ250" s="2197"/>
      <c r="AK250" s="2197"/>
      <c r="BN250" s="61"/>
    </row>
    <row r="251" spans="1:72" ht="12.75">
      <c r="A251" s="29"/>
      <c r="B251" s="7"/>
      <c r="C251" s="7"/>
      <c r="D251" s="57" t="s">
        <v>90</v>
      </c>
      <c r="E251" s="57"/>
      <c r="F251" s="57"/>
      <c r="G251" s="57"/>
      <c r="H251" s="57"/>
      <c r="I251" s="57"/>
      <c r="J251" s="57"/>
      <c r="K251" s="57"/>
      <c r="L251" s="7"/>
      <c r="M251" s="2060" t="s">
        <v>2603</v>
      </c>
      <c r="N251" s="2194"/>
      <c r="O251" s="2194"/>
      <c r="P251" s="2194"/>
      <c r="Q251" s="2194"/>
      <c r="R251" s="2194"/>
      <c r="S251" s="2194"/>
      <c r="T251" s="2194"/>
      <c r="U251" s="2194"/>
      <c r="V251" s="2194"/>
      <c r="W251" s="2194"/>
      <c r="X251" s="2194"/>
      <c r="Y251" s="2194"/>
      <c r="Z251" s="2194"/>
      <c r="AA251" s="2194"/>
      <c r="AB251" s="2194"/>
      <c r="AC251" s="2194"/>
      <c r="AD251" s="2194"/>
      <c r="AE251" s="2194"/>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60" t="s">
        <v>2604</v>
      </c>
      <c r="N252" s="2194"/>
      <c r="O252" s="2194"/>
      <c r="P252" s="2194"/>
      <c r="Q252" s="2194"/>
      <c r="R252" s="2194"/>
      <c r="S252" s="2194"/>
      <c r="T252" s="2194"/>
      <c r="V252" s="59" t="s">
        <v>91</v>
      </c>
      <c r="W252" s="2070" t="s">
        <v>2472</v>
      </c>
      <c r="X252" s="2122"/>
      <c r="Y252" s="57" t="s">
        <v>619</v>
      </c>
      <c r="AC252" s="2194">
        <v>92504</v>
      </c>
      <c r="AD252" s="2194"/>
      <c r="AE252" s="2194"/>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060" t="s">
        <v>2605</v>
      </c>
      <c r="N253" s="2194"/>
      <c r="O253" s="2194"/>
      <c r="P253" s="2194"/>
      <c r="Q253" s="2194"/>
      <c r="R253" s="2194"/>
      <c r="S253" s="2194"/>
      <c r="T253" s="2194"/>
      <c r="U253" s="2194"/>
      <c r="V253" s="2194"/>
      <c r="W253" s="2194"/>
      <c r="X253" s="2194"/>
      <c r="Y253" s="2194"/>
      <c r="Z253" s="2194"/>
      <c r="AA253" s="2194"/>
      <c r="AB253" s="2194"/>
      <c r="AC253" s="2194"/>
      <c r="AD253" s="2194"/>
      <c r="AE253" s="2194"/>
      <c r="AF253" s="720"/>
      <c r="AG253" s="720"/>
      <c r="AH253" s="2087">
        <v>2.5000000000000001E-3</v>
      </c>
      <c r="AI253" s="2087"/>
      <c r="AJ253" s="2087"/>
      <c r="AK253" s="208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2" t="s">
        <v>2607</v>
      </c>
      <c r="N254" s="2086"/>
      <c r="O254" s="2086"/>
      <c r="P254" s="2086"/>
      <c r="Q254" s="2086"/>
      <c r="R254" s="2086"/>
      <c r="S254" s="7" t="s">
        <v>211</v>
      </c>
      <c r="T254" s="7"/>
      <c r="U254" s="2122"/>
      <c r="V254" s="2122"/>
      <c r="W254" s="2122"/>
      <c r="X254" s="7" t="s">
        <v>94</v>
      </c>
      <c r="Z254" s="2086"/>
      <c r="AA254" s="2086"/>
      <c r="AB254" s="2086"/>
      <c r="AC254" s="2086"/>
      <c r="AD254" s="2086"/>
      <c r="AE254" s="2086"/>
    </row>
    <row r="255" spans="1:72" ht="12.75">
      <c r="A255" s="29"/>
      <c r="B255" s="7"/>
      <c r="C255" s="7"/>
      <c r="D255" s="60" t="s">
        <v>95</v>
      </c>
      <c r="E255" s="7"/>
      <c r="F255" s="7"/>
      <c r="M255" s="2196" t="s">
        <v>2606</v>
      </c>
      <c r="N255" s="2196"/>
      <c r="O255" s="2196"/>
      <c r="P255" s="2196"/>
      <c r="Q255" s="2196"/>
      <c r="R255" s="2196"/>
      <c r="S255" s="2196"/>
      <c r="T255" s="2196"/>
      <c r="U255" s="2196"/>
      <c r="V255" s="2196"/>
      <c r="W255" s="2196"/>
      <c r="X255" s="2196"/>
      <c r="Y255" s="2196"/>
      <c r="Z255" s="2196"/>
      <c r="AA255" s="2196"/>
      <c r="AB255" s="2196"/>
      <c r="AC255" s="2196"/>
      <c r="AD255" s="2196"/>
      <c r="AE255" s="219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71" t="s">
        <v>568</v>
      </c>
      <c r="N256" s="2071"/>
      <c r="O256" s="2071"/>
      <c r="P256" s="2071"/>
      <c r="Q256" s="2071"/>
      <c r="R256" s="2071"/>
      <c r="S256" s="2071"/>
      <c r="T256" s="2071"/>
      <c r="U256" s="388" t="s">
        <v>978</v>
      </c>
      <c r="V256" s="326"/>
      <c r="W256" s="326"/>
      <c r="X256" s="326"/>
      <c r="Y256" s="326"/>
      <c r="Z256" s="326"/>
      <c r="AA256" s="2205" t="s">
        <v>2624</v>
      </c>
      <c r="AB256" s="2206"/>
      <c r="AC256" s="2206"/>
      <c r="AD256" s="2206"/>
      <c r="AE256" s="2206"/>
      <c r="AF256" s="2206"/>
      <c r="AG256" s="2206"/>
      <c r="AH256" s="2206"/>
      <c r="AI256" s="2206"/>
      <c r="AJ256" s="2206"/>
      <c r="AK256" s="220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197"/>
      <c r="N258" s="2197"/>
      <c r="O258" s="2197"/>
      <c r="P258" s="2197"/>
      <c r="Q258" s="2197"/>
      <c r="R258" s="2197"/>
      <c r="S258" s="2197"/>
      <c r="T258" s="2197"/>
      <c r="U258" s="2197"/>
      <c r="V258" s="2197"/>
      <c r="W258" s="2197"/>
      <c r="X258" s="2197"/>
      <c r="Y258" s="2197"/>
      <c r="Z258" s="2197"/>
      <c r="AA258" s="2197"/>
      <c r="AB258" s="2197"/>
      <c r="AC258" s="2197"/>
      <c r="AD258" s="2197"/>
      <c r="AE258" s="2197"/>
      <c r="AF258" s="2197" t="s">
        <v>317</v>
      </c>
      <c r="AG258" s="2197"/>
      <c r="AH258" s="2197"/>
      <c r="AI258" s="2197"/>
      <c r="AJ258" s="2197"/>
      <c r="AK258" s="219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4"/>
      <c r="N259" s="2194"/>
      <c r="O259" s="2194"/>
      <c r="P259" s="2194"/>
      <c r="Q259" s="2194"/>
      <c r="R259" s="2194"/>
      <c r="S259" s="2194"/>
      <c r="T259" s="2194"/>
      <c r="U259" s="2194"/>
      <c r="V259" s="2194"/>
      <c r="W259" s="2194"/>
      <c r="X259" s="2194"/>
      <c r="Y259" s="2194"/>
      <c r="Z259" s="2194"/>
      <c r="AA259" s="2194"/>
      <c r="AB259" s="2194"/>
      <c r="AC259" s="2194"/>
      <c r="AD259" s="2194"/>
      <c r="AE259" s="2194"/>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94"/>
      <c r="N260" s="2194"/>
      <c r="O260" s="2194"/>
      <c r="P260" s="2194"/>
      <c r="Q260" s="2194"/>
      <c r="R260" s="2194"/>
      <c r="S260" s="2194"/>
      <c r="T260" s="2194"/>
      <c r="V260" s="59" t="s">
        <v>91</v>
      </c>
      <c r="W260" s="2122"/>
      <c r="X260" s="2122"/>
      <c r="Y260" s="57" t="s">
        <v>619</v>
      </c>
      <c r="AC260" s="2194"/>
      <c r="AD260" s="2194"/>
      <c r="AE260" s="2194"/>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4"/>
      <c r="N261" s="2194"/>
      <c r="O261" s="2194"/>
      <c r="P261" s="2194"/>
      <c r="Q261" s="2194"/>
      <c r="R261" s="2194"/>
      <c r="S261" s="2194"/>
      <c r="T261" s="2194"/>
      <c r="U261" s="2194"/>
      <c r="V261" s="2194"/>
      <c r="W261" s="2194"/>
      <c r="X261" s="2194"/>
      <c r="Y261" s="2194"/>
      <c r="Z261" s="2194"/>
      <c r="AA261" s="2194"/>
      <c r="AB261" s="2194"/>
      <c r="AC261" s="2194"/>
      <c r="AD261" s="2194"/>
      <c r="AE261" s="2194"/>
      <c r="AF261" s="720"/>
      <c r="AG261" s="720"/>
      <c r="AH261" s="2087"/>
      <c r="AI261" s="2087"/>
      <c r="AJ261" s="2087"/>
      <c r="AK261" s="208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6"/>
      <c r="N262" s="2086"/>
      <c r="O262" s="2086"/>
      <c r="P262" s="2086"/>
      <c r="Q262" s="2086"/>
      <c r="R262" s="2086"/>
      <c r="S262" s="7" t="s">
        <v>211</v>
      </c>
      <c r="T262" s="7"/>
      <c r="U262" s="2122"/>
      <c r="V262" s="2122"/>
      <c r="W262" s="2122"/>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96"/>
      <c r="N263" s="2196"/>
      <c r="O263" s="2196"/>
      <c r="P263" s="2196"/>
      <c r="Q263" s="2196"/>
      <c r="R263" s="2196"/>
      <c r="S263" s="2196"/>
      <c r="T263" s="2196"/>
      <c r="U263" s="2196"/>
      <c r="V263" s="2196"/>
      <c r="W263" s="2196"/>
      <c r="X263" s="2196"/>
      <c r="Y263" s="2196"/>
      <c r="Z263" s="2196"/>
      <c r="AA263" s="2212"/>
      <c r="AB263" s="2212"/>
      <c r="AC263" s="2212"/>
      <c r="AD263" s="2212"/>
      <c r="AE263" s="221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71" t="s">
        <v>317</v>
      </c>
      <c r="N264" s="2071"/>
      <c r="O264" s="2071"/>
      <c r="P264" s="2071"/>
      <c r="Q264" s="2071"/>
      <c r="R264" s="2071"/>
      <c r="S264" s="2071"/>
      <c r="T264" s="2071"/>
      <c r="U264" s="388" t="s">
        <v>978</v>
      </c>
      <c r="V264" s="326"/>
      <c r="W264" s="326"/>
      <c r="X264" s="326"/>
      <c r="Y264" s="326"/>
      <c r="Z264" s="326"/>
      <c r="AA264" s="2213"/>
      <c r="AB264" s="2213"/>
      <c r="AC264" s="2213"/>
      <c r="AD264" s="2213"/>
      <c r="AE264" s="2213"/>
      <c r="AF264" s="2213"/>
      <c r="AG264" s="2213"/>
      <c r="AH264" s="2213"/>
      <c r="AI264" s="2213"/>
      <c r="AJ264" s="2213"/>
      <c r="AK264" s="221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07" t="str">
        <f>BO245</f>
        <v>Nonprofit</v>
      </c>
      <c r="U266" s="2207"/>
      <c r="V266" s="2207"/>
      <c r="W266" s="2207"/>
      <c r="X266" s="220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194" t="s">
        <v>287</v>
      </c>
      <c r="E269" s="2194"/>
      <c r="F269" s="2194"/>
      <c r="G269" s="2194"/>
      <c r="H269" s="2194"/>
      <c r="J269" s="12" t="s">
        <v>286</v>
      </c>
      <c r="X269" s="2209"/>
      <c r="Y269" s="2209"/>
      <c r="Z269" s="2209"/>
      <c r="AA269" s="2209"/>
      <c r="AB269" s="2209"/>
      <c r="AC269" s="2209"/>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01" t="s">
        <v>2477</v>
      </c>
      <c r="M273" s="2197"/>
      <c r="N273" s="2197"/>
      <c r="O273" s="2197"/>
      <c r="P273" s="2197"/>
      <c r="Q273" s="2197"/>
      <c r="R273" s="2197"/>
      <c r="S273" s="2197"/>
      <c r="T273" s="2197"/>
      <c r="U273" s="2197"/>
      <c r="V273" s="2197"/>
      <c r="W273" s="2197"/>
      <c r="X273" s="2197"/>
      <c r="Y273" s="2197"/>
      <c r="Z273" s="2197"/>
      <c r="AA273" s="2197"/>
      <c r="AB273" s="2197"/>
      <c r="AC273" s="2197"/>
      <c r="AD273" s="2197"/>
      <c r="AE273" s="2197"/>
      <c r="AF273" s="2197"/>
      <c r="AG273" s="2197"/>
      <c r="AH273" s="2197"/>
      <c r="AI273" s="2197"/>
      <c r="AJ273" s="219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4" t="s">
        <v>2470</v>
      </c>
      <c r="M274" s="2204"/>
      <c r="N274" s="2204"/>
      <c r="O274" s="2204"/>
      <c r="P274" s="2204"/>
      <c r="Q274" s="2204"/>
      <c r="R274" s="2204"/>
      <c r="S274" s="2204"/>
      <c r="T274" s="2204"/>
      <c r="U274" s="2204"/>
      <c r="V274" s="2204"/>
      <c r="W274" s="2204"/>
      <c r="X274" s="2204"/>
      <c r="Y274" s="2204"/>
      <c r="Z274" s="2204"/>
      <c r="AA274" s="2204"/>
      <c r="AB274" s="2204"/>
      <c r="AC274" s="2204"/>
      <c r="AD274" s="2204"/>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60" t="s">
        <v>2471</v>
      </c>
      <c r="M275" s="2194"/>
      <c r="N275" s="2194"/>
      <c r="O275" s="2194"/>
      <c r="P275" s="2194"/>
      <c r="Q275" s="2194"/>
      <c r="R275" s="2194"/>
      <c r="S275" s="2194"/>
      <c r="U275" s="59" t="s">
        <v>91</v>
      </c>
      <c r="V275" s="2070" t="s">
        <v>2472</v>
      </c>
      <c r="W275" s="2122"/>
      <c r="X275" s="57" t="s">
        <v>619</v>
      </c>
      <c r="AB275" s="2194">
        <v>90807</v>
      </c>
      <c r="AC275" s="2194"/>
      <c r="AD275" s="21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0" t="s">
        <v>2473</v>
      </c>
      <c r="M276" s="2194"/>
      <c r="N276" s="2194"/>
      <c r="O276" s="2194"/>
      <c r="P276" s="2194"/>
      <c r="Q276" s="2194"/>
      <c r="R276" s="2194"/>
      <c r="S276" s="2194"/>
      <c r="T276" s="2194"/>
      <c r="U276" s="2194"/>
      <c r="V276" s="2194"/>
      <c r="W276" s="2194"/>
      <c r="X276" s="2194"/>
      <c r="Y276" s="2194"/>
      <c r="Z276" s="2194"/>
      <c r="AA276" s="2194"/>
      <c r="AB276" s="2194"/>
      <c r="AC276" s="2194"/>
      <c r="AD276" s="219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2" t="s">
        <v>2474</v>
      </c>
      <c r="M277" s="2086"/>
      <c r="N277" s="2086"/>
      <c r="O277" s="2086"/>
      <c r="P277" s="2086"/>
      <c r="Q277" s="2086"/>
      <c r="R277" s="7" t="s">
        <v>211</v>
      </c>
      <c r="S277" s="7"/>
      <c r="T277" s="2122"/>
      <c r="U277" s="2122"/>
      <c r="V277" s="2122"/>
      <c r="W277" s="7" t="s">
        <v>94</v>
      </c>
      <c r="Y277" s="2086"/>
      <c r="Z277" s="2086"/>
      <c r="AA277" s="2086"/>
      <c r="AB277" s="2086"/>
      <c r="AC277" s="2086"/>
      <c r="AD277" s="2086"/>
      <c r="BN277" s="61"/>
    </row>
    <row r="278" spans="1:66" ht="12.75">
      <c r="D278" s="60" t="s">
        <v>95</v>
      </c>
      <c r="E278" s="7"/>
      <c r="F278" s="7"/>
      <c r="L278" s="2196" t="s">
        <v>2475</v>
      </c>
      <c r="M278" s="2196"/>
      <c r="N278" s="2196"/>
      <c r="O278" s="2196"/>
      <c r="P278" s="2196"/>
      <c r="Q278" s="2196"/>
      <c r="R278" s="2196"/>
      <c r="S278" s="2196"/>
      <c r="T278" s="2196"/>
      <c r="U278" s="2196"/>
      <c r="V278" s="2196"/>
      <c r="W278" s="2196"/>
      <c r="X278" s="2196"/>
      <c r="Y278" s="2196"/>
      <c r="Z278" s="2196"/>
      <c r="AA278" s="2196"/>
      <c r="AB278" s="2196"/>
      <c r="AC278" s="2196"/>
      <c r="AD278" s="2196"/>
      <c r="AF278" s="7"/>
      <c r="AG278" s="7"/>
      <c r="AH278" s="7"/>
      <c r="AI278" s="7"/>
      <c r="AJ278" s="7"/>
      <c r="BN278" s="61"/>
    </row>
    <row r="279" spans="1:66" ht="12.75">
      <c r="D279" s="58" t="s">
        <v>659</v>
      </c>
      <c r="E279" s="58"/>
      <c r="F279" s="58"/>
      <c r="G279" s="58"/>
      <c r="H279" s="58"/>
      <c r="I279" s="58"/>
      <c r="L279" s="2070" t="s">
        <v>2613</v>
      </c>
      <c r="M279" s="2070"/>
      <c r="N279" s="2070"/>
      <c r="O279" s="2070"/>
      <c r="P279" s="2070"/>
      <c r="Q279" s="2070"/>
      <c r="R279" s="2070"/>
      <c r="S279" s="2070"/>
      <c r="T279" s="2070"/>
      <c r="U279" s="2070"/>
      <c r="V279" s="2070"/>
      <c r="W279" s="2070"/>
      <c r="X279" s="2070"/>
      <c r="Y279" s="2070"/>
      <c r="Z279" s="2070"/>
      <c r="AA279" s="2070"/>
      <c r="AB279" s="2070"/>
      <c r="AC279" s="2070"/>
      <c r="AD279" s="2070"/>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58" t="s">
        <v>575</v>
      </c>
      <c r="B281" s="2058"/>
      <c r="C281" s="2058"/>
      <c r="D281" s="2058"/>
      <c r="E281" s="2058"/>
      <c r="F281" s="2058"/>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8"/>
      <c r="AE281" s="2058"/>
      <c r="AF281" s="2058"/>
      <c r="AG281" s="2058"/>
      <c r="AH281" s="2058"/>
      <c r="AI281" s="2058"/>
      <c r="AJ281" s="2058"/>
      <c r="AK281" s="2058"/>
      <c r="AL281" s="2058"/>
      <c r="AM281" s="144"/>
      <c r="AN281" s="144"/>
      <c r="AO281" s="144"/>
      <c r="AP281" s="144"/>
      <c r="AQ281" s="144"/>
      <c r="AR281" s="144"/>
      <c r="AS281" s="144"/>
      <c r="AT281" s="144"/>
      <c r="AU281" s="144"/>
      <c r="AV281" s="144"/>
      <c r="AW281" s="144"/>
      <c r="AX281" s="144"/>
      <c r="AY281" s="144"/>
      <c r="BN281" s="61"/>
    </row>
    <row r="282" spans="1:66" ht="13.5" thickBot="1">
      <c r="A282" s="2059"/>
      <c r="B282" s="2059"/>
      <c r="C282" s="2059"/>
      <c r="D282" s="2059"/>
      <c r="E282" s="2059"/>
      <c r="F282" s="2059"/>
      <c r="G282" s="2059"/>
      <c r="H282" s="2059"/>
      <c r="I282" s="2059"/>
      <c r="J282" s="2059"/>
      <c r="K282" s="2059"/>
      <c r="L282" s="2059"/>
      <c r="M282" s="2059"/>
      <c r="N282" s="2059"/>
      <c r="O282" s="2059"/>
      <c r="P282" s="2059"/>
      <c r="Q282" s="2059"/>
      <c r="R282" s="2059"/>
      <c r="S282" s="2059"/>
      <c r="T282" s="2059"/>
      <c r="U282" s="2059"/>
      <c r="V282" s="2059"/>
      <c r="W282" s="2059"/>
      <c r="X282" s="2059"/>
      <c r="Y282" s="2059"/>
      <c r="Z282" s="2059"/>
      <c r="AA282" s="2059"/>
      <c r="AB282" s="2059"/>
      <c r="AC282" s="2059"/>
      <c r="AD282" s="2059"/>
      <c r="AE282" s="2059"/>
      <c r="AF282" s="2059"/>
      <c r="AG282" s="2059"/>
      <c r="AH282" s="2059"/>
      <c r="AI282" s="2059"/>
      <c r="AJ282" s="2059"/>
      <c r="AK282" s="2059"/>
      <c r="AL282" s="205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60" t="s">
        <v>2478</v>
      </c>
      <c r="I286" s="2031"/>
      <c r="J286" s="2031"/>
      <c r="K286" s="2031"/>
      <c r="L286" s="2031"/>
      <c r="M286" s="2031"/>
      <c r="N286" s="2031"/>
      <c r="O286" s="2031"/>
      <c r="P286" s="2031"/>
      <c r="Q286" s="2031"/>
      <c r="R286" s="2031"/>
      <c r="T286" s="58" t="s">
        <v>601</v>
      </c>
      <c r="V286" s="58"/>
      <c r="W286" s="58"/>
      <c r="X286" s="58"/>
      <c r="Y286" s="58"/>
      <c r="AA286" s="2060" t="s">
        <v>2508</v>
      </c>
      <c r="AB286" s="2031"/>
      <c r="AC286" s="2031"/>
      <c r="AD286" s="2031"/>
      <c r="AE286" s="2031"/>
      <c r="AF286" s="2031"/>
      <c r="AG286" s="2031"/>
      <c r="AH286" s="2031"/>
      <c r="AI286" s="2031"/>
      <c r="AJ286" s="2031"/>
      <c r="AK286" s="2031"/>
      <c r="BN286" s="61"/>
    </row>
    <row r="287" spans="1:66" ht="12.75">
      <c r="B287" s="58" t="s">
        <v>505</v>
      </c>
      <c r="C287" s="58"/>
      <c r="D287" s="58"/>
      <c r="E287" s="58"/>
      <c r="F287" s="58"/>
      <c r="H287" s="2070" t="s">
        <v>2470</v>
      </c>
      <c r="I287" s="2071"/>
      <c r="J287" s="2071"/>
      <c r="K287" s="2071"/>
      <c r="L287" s="2071"/>
      <c r="M287" s="2071"/>
      <c r="N287" s="2071"/>
      <c r="O287" s="2071"/>
      <c r="P287" s="2071"/>
      <c r="Q287" s="2071"/>
      <c r="R287" s="2071"/>
      <c r="T287" s="58" t="s">
        <v>505</v>
      </c>
      <c r="V287" s="58"/>
      <c r="W287" s="58"/>
      <c r="X287" s="58"/>
      <c r="Y287" s="58"/>
      <c r="AA287" s="2070" t="s">
        <v>2506</v>
      </c>
      <c r="AB287" s="2071"/>
      <c r="AC287" s="2071"/>
      <c r="AD287" s="2071"/>
      <c r="AE287" s="2071"/>
      <c r="AF287" s="2071"/>
      <c r="AG287" s="2071"/>
      <c r="AH287" s="2071"/>
      <c r="AI287" s="2071"/>
      <c r="AJ287" s="2071"/>
      <c r="AK287" s="2071"/>
      <c r="BN287" s="61"/>
    </row>
    <row r="288" spans="1:66" ht="12.75">
      <c r="B288" s="58" t="s">
        <v>506</v>
      </c>
      <c r="C288" s="58"/>
      <c r="D288" s="58"/>
      <c r="E288" s="58"/>
      <c r="F288" s="58"/>
      <c r="H288" s="2070" t="s">
        <v>2479</v>
      </c>
      <c r="I288" s="2071"/>
      <c r="J288" s="2071"/>
      <c r="K288" s="2071"/>
      <c r="L288" s="2071"/>
      <c r="M288" s="2071"/>
      <c r="N288" s="2071"/>
      <c r="O288" s="2071"/>
      <c r="P288" s="2071"/>
      <c r="Q288" s="2071"/>
      <c r="R288" s="2071"/>
      <c r="T288" s="58" t="s">
        <v>79</v>
      </c>
      <c r="V288" s="58"/>
      <c r="W288" s="58"/>
      <c r="X288" s="58"/>
      <c r="Y288" s="58"/>
      <c r="AA288" s="2070" t="s">
        <v>2507</v>
      </c>
      <c r="AB288" s="2071"/>
      <c r="AC288" s="2071"/>
      <c r="AD288" s="2071"/>
      <c r="AE288" s="2071"/>
      <c r="AF288" s="2071"/>
      <c r="AG288" s="2071"/>
      <c r="AH288" s="2071"/>
      <c r="AI288" s="2071"/>
      <c r="AJ288" s="2071"/>
      <c r="AK288" s="2071"/>
      <c r="BN288" s="61"/>
    </row>
    <row r="289" spans="2:66" ht="12.75" customHeight="1">
      <c r="B289" s="58" t="s">
        <v>92</v>
      </c>
      <c r="C289" s="58"/>
      <c r="D289" s="58"/>
      <c r="E289" s="58"/>
      <c r="F289" s="58"/>
      <c r="H289" s="2070" t="s">
        <v>2473</v>
      </c>
      <c r="I289" s="2071"/>
      <c r="J289" s="2071"/>
      <c r="K289" s="2071"/>
      <c r="L289" s="2071"/>
      <c r="M289" s="2071"/>
      <c r="N289" s="2071"/>
      <c r="O289" s="2071"/>
      <c r="P289" s="2071"/>
      <c r="Q289" s="2071"/>
      <c r="R289" s="2071"/>
      <c r="T289" s="58" t="s">
        <v>92</v>
      </c>
      <c r="V289" s="58"/>
      <c r="W289" s="58"/>
      <c r="X289" s="58"/>
      <c r="Y289" s="58"/>
      <c r="AA289" s="2070" t="s">
        <v>2614</v>
      </c>
      <c r="AB289" s="2071"/>
      <c r="AC289" s="2071"/>
      <c r="AD289" s="2071"/>
      <c r="AE289" s="2071"/>
      <c r="AF289" s="2071"/>
      <c r="AG289" s="2071"/>
      <c r="AH289" s="2071"/>
      <c r="AI289" s="2071"/>
      <c r="AJ289" s="2071"/>
      <c r="AK289" s="2071"/>
      <c r="BN289" s="61"/>
    </row>
    <row r="290" spans="2:66" ht="12.75" customHeight="1">
      <c r="B290" s="58" t="s">
        <v>93</v>
      </c>
      <c r="C290" s="58"/>
      <c r="D290" s="58"/>
      <c r="E290" s="58"/>
      <c r="F290" s="58"/>
      <c r="G290" s="58"/>
      <c r="H290" s="2192" t="s">
        <v>2474</v>
      </c>
      <c r="I290" s="2193"/>
      <c r="J290" s="2193"/>
      <c r="K290" s="2193"/>
      <c r="L290" s="2193"/>
      <c r="M290" s="2193"/>
      <c r="N290" s="7" t="s">
        <v>211</v>
      </c>
      <c r="O290" s="7"/>
      <c r="P290" s="2194"/>
      <c r="Q290" s="2194"/>
      <c r="R290" s="2194"/>
      <c r="S290" s="58"/>
      <c r="T290" s="58" t="s">
        <v>93</v>
      </c>
      <c r="V290" s="58"/>
      <c r="W290" s="58"/>
      <c r="X290" s="58"/>
      <c r="Y290" s="58"/>
      <c r="AA290" s="2192" t="s">
        <v>2505</v>
      </c>
      <c r="AB290" s="2193"/>
      <c r="AC290" s="2193"/>
      <c r="AD290" s="2193"/>
      <c r="AE290" s="2193"/>
      <c r="AF290" s="2193"/>
      <c r="AG290" s="7" t="s">
        <v>211</v>
      </c>
      <c r="AH290" s="7"/>
      <c r="AI290" s="2194"/>
      <c r="AJ290" s="2194"/>
      <c r="AK290" s="2194"/>
      <c r="BN290" s="61"/>
    </row>
    <row r="291" spans="2:66" ht="12.75" customHeight="1">
      <c r="B291" s="58" t="s">
        <v>94</v>
      </c>
      <c r="C291" s="58"/>
      <c r="D291" s="58"/>
      <c r="E291" s="58"/>
      <c r="F291" s="58"/>
      <c r="G291" s="58"/>
      <c r="H291" s="2086"/>
      <c r="I291" s="2086"/>
      <c r="J291" s="2086"/>
      <c r="K291" s="2086"/>
      <c r="L291" s="2086"/>
      <c r="M291" s="2086"/>
      <c r="N291" s="60"/>
      <c r="O291" s="60"/>
      <c r="P291" s="62"/>
      <c r="Q291" s="62"/>
      <c r="R291" s="62"/>
      <c r="S291" s="58"/>
      <c r="T291" s="58" t="s">
        <v>94</v>
      </c>
      <c r="V291" s="58"/>
      <c r="W291" s="58"/>
      <c r="X291" s="58"/>
      <c r="Y291" s="58"/>
      <c r="AA291" s="2086"/>
      <c r="AB291" s="2086"/>
      <c r="AC291" s="2086"/>
      <c r="AD291" s="2086"/>
      <c r="AE291" s="2086"/>
      <c r="AF291" s="2086"/>
      <c r="AG291" s="60"/>
      <c r="AH291" s="60"/>
      <c r="AI291" s="62"/>
      <c r="AJ291" s="62"/>
      <c r="AK291" s="62"/>
      <c r="BN291" s="61"/>
    </row>
    <row r="292" spans="2:66" ht="12.75" customHeight="1">
      <c r="B292" s="58" t="s">
        <v>80</v>
      </c>
      <c r="C292" s="58"/>
      <c r="D292" s="58"/>
      <c r="E292" s="58"/>
      <c r="F292" s="58"/>
      <c r="G292" s="58"/>
      <c r="H292" s="2070" t="s">
        <v>2475</v>
      </c>
      <c r="I292" s="2071"/>
      <c r="J292" s="2071"/>
      <c r="K292" s="2071"/>
      <c r="L292" s="2071"/>
      <c r="M292" s="2071"/>
      <c r="N292" s="2031"/>
      <c r="O292" s="2031"/>
      <c r="P292" s="2031"/>
      <c r="Q292" s="2031"/>
      <c r="R292" s="2031"/>
      <c r="S292" s="58"/>
      <c r="T292" s="58" t="s">
        <v>80</v>
      </c>
      <c r="V292" s="58"/>
      <c r="W292" s="58"/>
      <c r="X292" s="58"/>
      <c r="Y292" s="58"/>
      <c r="AA292" s="2070" t="s">
        <v>2509</v>
      </c>
      <c r="AB292" s="2071"/>
      <c r="AC292" s="2071"/>
      <c r="AD292" s="2071"/>
      <c r="AE292" s="2071"/>
      <c r="AF292" s="2071"/>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60" t="s">
        <v>2560</v>
      </c>
      <c r="I294" s="2031"/>
      <c r="J294" s="2031"/>
      <c r="K294" s="2031"/>
      <c r="L294" s="2031"/>
      <c r="M294" s="2031"/>
      <c r="N294" s="2031"/>
      <c r="O294" s="2031"/>
      <c r="P294" s="2031"/>
      <c r="Q294" s="2031"/>
      <c r="R294" s="2031"/>
      <c r="T294" s="58" t="s">
        <v>375</v>
      </c>
      <c r="V294" s="58"/>
      <c r="W294" s="58"/>
      <c r="X294" s="58"/>
      <c r="Y294" s="58"/>
      <c r="AA294" s="2060" t="s">
        <v>2615</v>
      </c>
      <c r="AB294" s="2031"/>
      <c r="AC294" s="2031"/>
      <c r="AD294" s="2031"/>
      <c r="AE294" s="2031"/>
      <c r="AF294" s="2031"/>
      <c r="AG294" s="2031"/>
      <c r="AH294" s="2031"/>
      <c r="AI294" s="2031"/>
      <c r="AJ294" s="2031"/>
      <c r="AK294" s="2031"/>
      <c r="BN294" s="61"/>
    </row>
    <row r="295" spans="2:66" ht="12.75">
      <c r="B295" s="58" t="s">
        <v>505</v>
      </c>
      <c r="C295" s="58"/>
      <c r="D295" s="58"/>
      <c r="E295" s="58"/>
      <c r="F295" s="58"/>
      <c r="H295" s="2070" t="s">
        <v>2561</v>
      </c>
      <c r="I295" s="2071"/>
      <c r="J295" s="2071"/>
      <c r="K295" s="2071"/>
      <c r="L295" s="2071"/>
      <c r="M295" s="2071"/>
      <c r="N295" s="2071"/>
      <c r="O295" s="2071"/>
      <c r="P295" s="2071"/>
      <c r="Q295" s="2071"/>
      <c r="R295" s="2071"/>
      <c r="T295" s="58" t="s">
        <v>505</v>
      </c>
      <c r="V295" s="58"/>
      <c r="W295" s="58"/>
      <c r="X295" s="58"/>
      <c r="Y295" s="58"/>
      <c r="AA295" s="2070" t="s">
        <v>2617</v>
      </c>
      <c r="AB295" s="2071"/>
      <c r="AC295" s="2071"/>
      <c r="AD295" s="2071"/>
      <c r="AE295" s="2071"/>
      <c r="AF295" s="2071"/>
      <c r="AG295" s="2071"/>
      <c r="AH295" s="2071"/>
      <c r="AI295" s="2071"/>
      <c r="AJ295" s="2071"/>
      <c r="AK295" s="2071"/>
      <c r="BN295" s="61"/>
    </row>
    <row r="296" spans="2:66" ht="12.75">
      <c r="B296" s="58" t="s">
        <v>506</v>
      </c>
      <c r="C296" s="58"/>
      <c r="D296" s="58"/>
      <c r="E296" s="58"/>
      <c r="F296" s="58"/>
      <c r="H296" s="2070" t="s">
        <v>2562</v>
      </c>
      <c r="I296" s="2071"/>
      <c r="J296" s="2071"/>
      <c r="K296" s="2071"/>
      <c r="L296" s="2071"/>
      <c r="M296" s="2071"/>
      <c r="N296" s="2071"/>
      <c r="O296" s="2071"/>
      <c r="P296" s="2071"/>
      <c r="Q296" s="2071"/>
      <c r="R296" s="2071"/>
      <c r="T296" s="58" t="s">
        <v>79</v>
      </c>
      <c r="V296" s="58"/>
      <c r="W296" s="58"/>
      <c r="X296" s="58"/>
      <c r="Y296" s="58"/>
      <c r="AA296" s="2070" t="s">
        <v>2618</v>
      </c>
      <c r="AB296" s="2071"/>
      <c r="AC296" s="2071"/>
      <c r="AD296" s="2071"/>
      <c r="AE296" s="2071"/>
      <c r="AF296" s="2071"/>
      <c r="AG296" s="2071"/>
      <c r="AH296" s="2071"/>
      <c r="AI296" s="2071"/>
      <c r="AJ296" s="2071"/>
      <c r="AK296" s="2071"/>
      <c r="BN296" s="61"/>
    </row>
    <row r="297" spans="2:66" ht="12.75">
      <c r="B297" s="58" t="s">
        <v>92</v>
      </c>
      <c r="C297" s="58"/>
      <c r="D297" s="58"/>
      <c r="E297" s="58"/>
      <c r="F297" s="58"/>
      <c r="H297" s="2070" t="s">
        <v>2563</v>
      </c>
      <c r="I297" s="2071"/>
      <c r="J297" s="2071"/>
      <c r="K297" s="2071"/>
      <c r="L297" s="2071"/>
      <c r="M297" s="2071"/>
      <c r="N297" s="2071"/>
      <c r="O297" s="2071"/>
      <c r="P297" s="2071"/>
      <c r="Q297" s="2071"/>
      <c r="R297" s="2071"/>
      <c r="T297" s="58" t="s">
        <v>92</v>
      </c>
      <c r="V297" s="58"/>
      <c r="W297" s="58"/>
      <c r="X297" s="58"/>
      <c r="Y297" s="58"/>
      <c r="AA297" s="2070" t="s">
        <v>2616</v>
      </c>
      <c r="AB297" s="2071"/>
      <c r="AC297" s="2071"/>
      <c r="AD297" s="2071"/>
      <c r="AE297" s="2071"/>
      <c r="AF297" s="2071"/>
      <c r="AG297" s="2071"/>
      <c r="AH297" s="2071"/>
      <c r="AI297" s="2071"/>
      <c r="AJ297" s="2071"/>
      <c r="AK297" s="2071"/>
      <c r="BN297" s="61"/>
    </row>
    <row r="298" spans="2:66" ht="12.75">
      <c r="B298" s="58" t="s">
        <v>93</v>
      </c>
      <c r="C298" s="58"/>
      <c r="D298" s="58"/>
      <c r="E298" s="58"/>
      <c r="F298" s="58"/>
      <c r="G298" s="58"/>
      <c r="H298" s="2192" t="s">
        <v>2564</v>
      </c>
      <c r="I298" s="2193"/>
      <c r="J298" s="2193"/>
      <c r="K298" s="2193"/>
      <c r="L298" s="2193"/>
      <c r="M298" s="2193"/>
      <c r="N298" s="7" t="s">
        <v>211</v>
      </c>
      <c r="O298" s="7"/>
      <c r="P298" s="2194"/>
      <c r="Q298" s="2194"/>
      <c r="R298" s="2194"/>
      <c r="S298" s="58"/>
      <c r="T298" s="58" t="s">
        <v>93</v>
      </c>
      <c r="V298" s="58"/>
      <c r="W298" s="58"/>
      <c r="X298" s="58"/>
      <c r="Y298" s="58"/>
      <c r="AA298" s="2192" t="s">
        <v>2619</v>
      </c>
      <c r="AB298" s="2193"/>
      <c r="AC298" s="2193"/>
      <c r="AD298" s="2193"/>
      <c r="AE298" s="2193"/>
      <c r="AF298" s="2193"/>
      <c r="AG298" s="7" t="s">
        <v>211</v>
      </c>
      <c r="AH298" s="7"/>
      <c r="AI298" s="2194">
        <v>305</v>
      </c>
      <c r="AJ298" s="2194"/>
      <c r="AK298" s="2194"/>
      <c r="BN298" s="61"/>
    </row>
    <row r="299" spans="2:66" ht="12.75" customHeight="1">
      <c r="B299" s="58" t="s">
        <v>94</v>
      </c>
      <c r="C299" s="58"/>
      <c r="D299" s="58"/>
      <c r="E299" s="58"/>
      <c r="F299" s="58"/>
      <c r="G299" s="58"/>
      <c r="H299" s="2086"/>
      <c r="I299" s="2086"/>
      <c r="J299" s="2086"/>
      <c r="K299" s="2086"/>
      <c r="L299" s="2086"/>
      <c r="M299" s="2086"/>
      <c r="N299" s="60"/>
      <c r="O299" s="60"/>
      <c r="P299" s="62"/>
      <c r="Q299" s="62"/>
      <c r="R299" s="62"/>
      <c r="S299" s="58"/>
      <c r="T299" s="58" t="s">
        <v>94</v>
      </c>
      <c r="V299" s="58"/>
      <c r="W299" s="58"/>
      <c r="X299" s="58"/>
      <c r="Y299" s="58"/>
      <c r="AA299" s="2086"/>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70" t="s">
        <v>2565</v>
      </c>
      <c r="I300" s="2071"/>
      <c r="J300" s="2071"/>
      <c r="K300" s="2071"/>
      <c r="L300" s="2071"/>
      <c r="M300" s="2071"/>
      <c r="N300" s="2031"/>
      <c r="O300" s="2031"/>
      <c r="P300" s="2031"/>
      <c r="Q300" s="2031"/>
      <c r="R300" s="2031"/>
      <c r="S300" s="58"/>
      <c r="T300" s="58" t="s">
        <v>80</v>
      </c>
      <c r="V300" s="58"/>
      <c r="W300" s="58"/>
      <c r="X300" s="58"/>
      <c r="Y300" s="58"/>
      <c r="AA300" s="2070" t="s">
        <v>2620</v>
      </c>
      <c r="AB300" s="2071"/>
      <c r="AC300" s="2071"/>
      <c r="AD300" s="2071"/>
      <c r="AE300" s="2071"/>
      <c r="AF300" s="2071"/>
      <c r="AG300" s="2031"/>
      <c r="AH300" s="2031"/>
      <c r="AI300" s="2031"/>
      <c r="AJ300" s="2031"/>
      <c r="AK300" s="2031"/>
      <c r="BN300" s="61"/>
    </row>
    <row r="301" spans="2:66" ht="12.75" customHeight="1">
      <c r="BN301" s="61"/>
    </row>
    <row r="302" spans="2:66" ht="12.75" customHeight="1">
      <c r="B302" s="58" t="s">
        <v>81</v>
      </c>
      <c r="C302" s="58"/>
      <c r="D302" s="58"/>
      <c r="E302" s="58"/>
      <c r="F302" s="58"/>
      <c r="H302" s="2060" t="s">
        <v>2571</v>
      </c>
      <c r="I302" s="2031"/>
      <c r="J302" s="2031"/>
      <c r="K302" s="2031"/>
      <c r="L302" s="2031"/>
      <c r="M302" s="2031"/>
      <c r="N302" s="2031"/>
      <c r="O302" s="2031"/>
      <c r="P302" s="2031"/>
      <c r="Q302" s="2031"/>
      <c r="R302" s="2031"/>
      <c r="T302" s="7" t="s">
        <v>946</v>
      </c>
      <c r="V302" s="58"/>
      <c r="W302" s="58"/>
      <c r="X302" s="58"/>
      <c r="Y302" s="58"/>
      <c r="AA302" s="1847" t="s">
        <v>2499</v>
      </c>
      <c r="AB302" s="1847"/>
      <c r="AC302" s="1847"/>
      <c r="AD302" s="1847"/>
      <c r="AE302" s="1847"/>
      <c r="AF302" s="1847"/>
      <c r="AG302" s="1847"/>
      <c r="AH302" s="1847"/>
      <c r="AI302" s="1847"/>
      <c r="AJ302" s="1847"/>
      <c r="AK302" s="1849"/>
      <c r="BN302" s="61"/>
    </row>
    <row r="303" spans="2:66" ht="12.75">
      <c r="B303" s="58" t="s">
        <v>505</v>
      </c>
      <c r="C303" s="58"/>
      <c r="D303" s="58"/>
      <c r="E303" s="58"/>
      <c r="F303" s="58"/>
      <c r="H303" s="2070" t="s">
        <v>2568</v>
      </c>
      <c r="I303" s="2071"/>
      <c r="J303" s="2071"/>
      <c r="K303" s="2071"/>
      <c r="L303" s="2071"/>
      <c r="M303" s="2071"/>
      <c r="N303" s="2071"/>
      <c r="O303" s="2071"/>
      <c r="P303" s="2071"/>
      <c r="Q303" s="2071"/>
      <c r="R303" s="2071"/>
      <c r="T303" s="58" t="s">
        <v>505</v>
      </c>
      <c r="V303" s="58"/>
      <c r="W303" s="58"/>
      <c r="X303" s="58"/>
      <c r="Y303" s="58"/>
      <c r="AA303" s="1847" t="s">
        <v>2500</v>
      </c>
      <c r="AB303" s="1847"/>
      <c r="AC303" s="1847"/>
      <c r="AD303" s="1847"/>
      <c r="AE303" s="1847"/>
      <c r="AF303" s="1847"/>
      <c r="AG303" s="1847"/>
      <c r="AH303" s="1847"/>
      <c r="AI303" s="1847"/>
      <c r="AJ303" s="1847"/>
      <c r="AK303" s="1847"/>
      <c r="BN303" s="61"/>
    </row>
    <row r="304" spans="2:66" ht="12.75">
      <c r="B304" s="58" t="s">
        <v>506</v>
      </c>
      <c r="C304" s="58"/>
      <c r="D304" s="58"/>
      <c r="E304" s="58"/>
      <c r="F304" s="58"/>
      <c r="H304" s="2070" t="s">
        <v>2569</v>
      </c>
      <c r="I304" s="2071"/>
      <c r="J304" s="2071"/>
      <c r="K304" s="2071"/>
      <c r="L304" s="2071"/>
      <c r="M304" s="2071"/>
      <c r="N304" s="2071"/>
      <c r="O304" s="2071"/>
      <c r="P304" s="2071"/>
      <c r="Q304" s="2071"/>
      <c r="R304" s="2071"/>
      <c r="T304" s="58" t="s">
        <v>79</v>
      </c>
      <c r="V304" s="58"/>
      <c r="W304" s="58"/>
      <c r="X304" s="58"/>
      <c r="Y304" s="58"/>
      <c r="AA304" s="1847" t="s">
        <v>2501</v>
      </c>
      <c r="AB304" s="1847"/>
      <c r="AC304" s="1847"/>
      <c r="AD304" s="1847"/>
      <c r="AE304" s="1847"/>
      <c r="AF304" s="1847"/>
      <c r="AG304" s="1847"/>
      <c r="AH304" s="1847"/>
      <c r="AI304" s="1847"/>
      <c r="AJ304" s="1847"/>
      <c r="AK304" s="1847"/>
      <c r="BN304" s="61"/>
    </row>
    <row r="305" spans="2:66" ht="12.75">
      <c r="B305" s="58" t="s">
        <v>92</v>
      </c>
      <c r="C305" s="58"/>
      <c r="D305" s="58"/>
      <c r="E305" s="58"/>
      <c r="F305" s="58"/>
      <c r="H305" s="2070" t="s">
        <v>2567</v>
      </c>
      <c r="I305" s="2071"/>
      <c r="J305" s="2071"/>
      <c r="K305" s="2071"/>
      <c r="L305" s="2071"/>
      <c r="M305" s="2071"/>
      <c r="N305" s="2071"/>
      <c r="O305" s="2071"/>
      <c r="P305" s="2071"/>
      <c r="Q305" s="2071"/>
      <c r="R305" s="2071"/>
      <c r="T305" s="58" t="s">
        <v>92</v>
      </c>
      <c r="V305" s="58"/>
      <c r="W305" s="58"/>
      <c r="X305" s="58"/>
      <c r="Y305" s="58"/>
      <c r="AA305" s="1845" t="s">
        <v>2502</v>
      </c>
      <c r="AB305" s="1847"/>
      <c r="AC305" s="1847"/>
      <c r="AD305" s="1847"/>
      <c r="AE305" s="1847"/>
      <c r="AF305" s="1849"/>
      <c r="AG305" s="1847"/>
      <c r="AH305" s="1847"/>
      <c r="AI305" s="1847"/>
      <c r="AJ305" s="1849"/>
      <c r="AK305" s="1847"/>
      <c r="BN305" s="61"/>
    </row>
    <row r="306" spans="2:66" ht="12.75">
      <c r="B306" s="58" t="s">
        <v>93</v>
      </c>
      <c r="C306" s="58"/>
      <c r="D306" s="58"/>
      <c r="E306" s="58"/>
      <c r="F306" s="58"/>
      <c r="G306" s="58"/>
      <c r="H306" s="2192" t="s">
        <v>2570</v>
      </c>
      <c r="I306" s="2193"/>
      <c r="J306" s="2193"/>
      <c r="K306" s="2193"/>
      <c r="L306" s="2193"/>
      <c r="M306" s="2193"/>
      <c r="N306" s="7" t="s">
        <v>211</v>
      </c>
      <c r="O306" s="7"/>
      <c r="P306" s="2194"/>
      <c r="Q306" s="2194"/>
      <c r="R306" s="2194"/>
      <c r="S306" s="58"/>
      <c r="T306" s="58" t="s">
        <v>93</v>
      </c>
      <c r="V306" s="58"/>
      <c r="W306" s="58"/>
      <c r="X306" s="58"/>
      <c r="Y306" s="58"/>
      <c r="AA306" s="2192" t="s">
        <v>2503</v>
      </c>
      <c r="AB306" s="2193"/>
      <c r="AC306" s="2193"/>
      <c r="AD306" s="2193"/>
      <c r="AE306" s="2193"/>
      <c r="AF306" s="2193"/>
      <c r="AG306" s="7" t="s">
        <v>211</v>
      </c>
      <c r="AH306" s="7"/>
      <c r="AI306" s="2194"/>
      <c r="AJ306" s="2194"/>
      <c r="AK306" s="2194"/>
      <c r="BN306" s="61"/>
    </row>
    <row r="307" spans="2:66" ht="12.75">
      <c r="B307" s="58" t="s">
        <v>94</v>
      </c>
      <c r="C307" s="58"/>
      <c r="D307" s="58"/>
      <c r="E307" s="58"/>
      <c r="F307" s="58"/>
      <c r="G307" s="58"/>
      <c r="H307" s="2086"/>
      <c r="I307" s="2086"/>
      <c r="J307" s="2086"/>
      <c r="K307" s="2086"/>
      <c r="L307" s="2086"/>
      <c r="M307" s="2086"/>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2.75">
      <c r="B308" s="58" t="s">
        <v>80</v>
      </c>
      <c r="C308" s="58"/>
      <c r="D308" s="58"/>
      <c r="E308" s="58"/>
      <c r="F308" s="58"/>
      <c r="G308" s="58"/>
      <c r="H308" s="2070" t="s">
        <v>2566</v>
      </c>
      <c r="I308" s="2071"/>
      <c r="J308" s="2071"/>
      <c r="K308" s="2071"/>
      <c r="L308" s="2071"/>
      <c r="M308" s="2071"/>
      <c r="N308" s="2031"/>
      <c r="O308" s="2031"/>
      <c r="P308" s="2031"/>
      <c r="Q308" s="2031"/>
      <c r="R308" s="2031"/>
      <c r="S308" s="58"/>
      <c r="T308" s="58" t="s">
        <v>80</v>
      </c>
      <c r="V308" s="58"/>
      <c r="W308" s="58"/>
      <c r="X308" s="58"/>
      <c r="Y308" s="58"/>
      <c r="AA308" s="2070" t="s">
        <v>2504</v>
      </c>
      <c r="AB308" s="2071"/>
      <c r="AC308" s="2071"/>
      <c r="AD308" s="2071"/>
      <c r="AE308" s="2071"/>
      <c r="AF308" s="2071"/>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203" t="s">
        <v>2480</v>
      </c>
      <c r="I310" s="2203"/>
      <c r="J310" s="2203"/>
      <c r="K310" s="2203"/>
      <c r="L310" s="2203"/>
      <c r="M310" s="2203"/>
      <c r="N310" s="2203"/>
      <c r="O310" s="2203"/>
      <c r="P310" s="2203"/>
      <c r="Q310" s="2203"/>
      <c r="R310" s="2203"/>
      <c r="S310" s="58"/>
      <c r="T310" s="58" t="s">
        <v>376</v>
      </c>
      <c r="V310" s="58"/>
      <c r="W310" s="58"/>
      <c r="X310" s="58"/>
      <c r="Y310" s="58"/>
      <c r="AA310" s="2198" t="s">
        <v>2493</v>
      </c>
      <c r="AB310" s="2203"/>
      <c r="AC310" s="2203"/>
      <c r="AD310" s="2203"/>
      <c r="AE310" s="2203"/>
      <c r="AF310" s="2203"/>
      <c r="AG310" s="2203"/>
      <c r="AH310" s="2203"/>
      <c r="AI310" s="2203"/>
      <c r="AJ310" s="2203"/>
      <c r="AK310" s="2203"/>
      <c r="BN310" s="61"/>
    </row>
    <row r="311" spans="2:66" ht="12.75">
      <c r="B311" s="58" t="s">
        <v>505</v>
      </c>
      <c r="C311" s="58"/>
      <c r="D311" s="58"/>
      <c r="E311" s="58"/>
      <c r="F311" s="58"/>
      <c r="H311" s="2202" t="s">
        <v>2481</v>
      </c>
      <c r="I311" s="2202"/>
      <c r="J311" s="2202"/>
      <c r="K311" s="2202"/>
      <c r="L311" s="2202"/>
      <c r="M311" s="2202"/>
      <c r="N311" s="2202"/>
      <c r="O311" s="2202"/>
      <c r="P311" s="2202"/>
      <c r="Q311" s="2202"/>
      <c r="R311" s="2202"/>
      <c r="S311" s="58"/>
      <c r="T311" s="58" t="s">
        <v>505</v>
      </c>
      <c r="V311" s="58"/>
      <c r="W311" s="58"/>
      <c r="X311" s="58"/>
      <c r="Y311" s="58"/>
      <c r="AA311" s="2570" t="s">
        <v>2494</v>
      </c>
      <c r="AB311" s="2570"/>
      <c r="AC311" s="2570"/>
      <c r="AD311" s="2570"/>
      <c r="AE311" s="2570"/>
      <c r="AF311" s="2570"/>
      <c r="AG311" s="2570"/>
      <c r="AH311" s="2570"/>
      <c r="AI311" s="2570"/>
      <c r="AJ311" s="2570"/>
      <c r="AK311" s="2570"/>
      <c r="BN311" s="61"/>
    </row>
    <row r="312" spans="2:66" ht="12.75" customHeight="1">
      <c r="B312" s="58" t="s">
        <v>506</v>
      </c>
      <c r="C312" s="58"/>
      <c r="D312" s="58"/>
      <c r="E312" s="58"/>
      <c r="F312" s="58"/>
      <c r="H312" s="2202" t="s">
        <v>2482</v>
      </c>
      <c r="I312" s="2202"/>
      <c r="J312" s="2202"/>
      <c r="K312" s="2202"/>
      <c r="L312" s="2202"/>
      <c r="M312" s="2202"/>
      <c r="N312" s="2202"/>
      <c r="O312" s="2202"/>
      <c r="P312" s="2202"/>
      <c r="Q312" s="2202"/>
      <c r="R312" s="2202"/>
      <c r="S312" s="58"/>
      <c r="T312" s="58" t="s">
        <v>79</v>
      </c>
      <c r="V312" s="58"/>
      <c r="W312" s="58"/>
      <c r="X312" s="58"/>
      <c r="Y312" s="58"/>
      <c r="AA312" s="2570" t="s">
        <v>2495</v>
      </c>
      <c r="AB312" s="2570"/>
      <c r="AC312" s="2570"/>
      <c r="AD312" s="2570"/>
      <c r="AE312" s="2570"/>
      <c r="AF312" s="2570"/>
      <c r="AG312" s="2570"/>
      <c r="AH312" s="2570"/>
      <c r="AI312" s="2570"/>
      <c r="AJ312" s="2570"/>
      <c r="AK312" s="2570"/>
      <c r="BN312" s="61"/>
    </row>
    <row r="313" spans="2:66" ht="12.75">
      <c r="B313" s="58" t="s">
        <v>92</v>
      </c>
      <c r="C313" s="58"/>
      <c r="D313" s="58"/>
      <c r="E313" s="58"/>
      <c r="F313" s="58"/>
      <c r="H313" s="2202" t="s">
        <v>2483</v>
      </c>
      <c r="I313" s="2202"/>
      <c r="J313" s="2202"/>
      <c r="K313" s="2202"/>
      <c r="L313" s="2202"/>
      <c r="M313" s="2202"/>
      <c r="N313" s="2202"/>
      <c r="O313" s="2202"/>
      <c r="P313" s="2202"/>
      <c r="Q313" s="2202"/>
      <c r="R313" s="2202"/>
      <c r="S313" s="58"/>
      <c r="T313" s="58" t="s">
        <v>92</v>
      </c>
      <c r="V313" s="58"/>
      <c r="W313" s="58"/>
      <c r="X313" s="58"/>
      <c r="Y313" s="58"/>
      <c r="AA313" s="2570" t="s">
        <v>2496</v>
      </c>
      <c r="AB313" s="2570"/>
      <c r="AC313" s="2570"/>
      <c r="AD313" s="2570"/>
      <c r="AE313" s="2570"/>
      <c r="AF313" s="2570"/>
      <c r="AG313" s="2570"/>
      <c r="AH313" s="2570"/>
      <c r="AI313" s="2570"/>
      <c r="AJ313" s="2570"/>
      <c r="AK313" s="2570"/>
      <c r="BN313" s="61"/>
    </row>
    <row r="314" spans="2:66" ht="12.75">
      <c r="B314" s="58" t="s">
        <v>93</v>
      </c>
      <c r="C314" s="58"/>
      <c r="D314" s="58"/>
      <c r="E314" s="58"/>
      <c r="F314" s="58"/>
      <c r="G314" s="58"/>
      <c r="H314" s="2564" t="s">
        <v>2484</v>
      </c>
      <c r="I314" s="2564"/>
      <c r="J314" s="2564"/>
      <c r="K314" s="2564"/>
      <c r="L314" s="2564"/>
      <c r="M314" s="2564"/>
      <c r="N314" s="7" t="s">
        <v>211</v>
      </c>
      <c r="O314" s="7"/>
      <c r="P314" s="2194"/>
      <c r="Q314" s="2194"/>
      <c r="R314" s="2194"/>
      <c r="S314" s="58"/>
      <c r="T314" s="58" t="s">
        <v>93</v>
      </c>
      <c r="V314" s="58"/>
      <c r="W314" s="58"/>
      <c r="X314" s="58"/>
      <c r="Y314" s="58"/>
      <c r="AA314" s="1848" t="s">
        <v>2497</v>
      </c>
      <c r="AB314" s="1848"/>
      <c r="AC314" s="1848"/>
      <c r="AD314" s="1848"/>
      <c r="AE314" s="1848"/>
      <c r="AF314" s="1848"/>
      <c r="AG314" s="7" t="s">
        <v>211</v>
      </c>
      <c r="AH314" s="7"/>
      <c r="AI314" s="2194"/>
      <c r="AJ314" s="2194"/>
      <c r="AK314" s="2194"/>
      <c r="BN314" s="61"/>
    </row>
    <row r="315" spans="2:66" ht="12.75">
      <c r="B315" s="58" t="s">
        <v>94</v>
      </c>
      <c r="C315" s="58"/>
      <c r="D315" s="58"/>
      <c r="E315" s="58"/>
      <c r="F315" s="58"/>
      <c r="G315" s="58"/>
      <c r="H315" s="2565" t="s">
        <v>2485</v>
      </c>
      <c r="I315" s="2565"/>
      <c r="J315" s="2565"/>
      <c r="K315" s="2565"/>
      <c r="L315" s="2565"/>
      <c r="M315" s="2565"/>
      <c r="N315" s="60"/>
      <c r="O315" s="60"/>
      <c r="P315" s="62"/>
      <c r="Q315" s="62"/>
      <c r="R315" s="62"/>
      <c r="S315" s="58"/>
      <c r="T315" s="58" t="s">
        <v>94</v>
      </c>
      <c r="V315" s="58"/>
      <c r="W315" s="58"/>
      <c r="X315" s="58"/>
      <c r="Y315" s="58"/>
      <c r="AA315" s="2086"/>
      <c r="AB315" s="2086"/>
      <c r="AC315" s="2086"/>
      <c r="AD315" s="2086"/>
      <c r="AE315" s="2086"/>
      <c r="AF315" s="2086"/>
      <c r="AG315" s="60"/>
      <c r="AH315" s="60"/>
      <c r="AI315" s="62"/>
      <c r="AJ315" s="62"/>
      <c r="AK315" s="62"/>
      <c r="BN315" s="61"/>
    </row>
    <row r="316" spans="2:66" ht="12.75">
      <c r="B316" s="58" t="s">
        <v>80</v>
      </c>
      <c r="C316" s="58"/>
      <c r="D316" s="58"/>
      <c r="E316" s="58"/>
      <c r="F316" s="58"/>
      <c r="G316" s="58"/>
      <c r="H316" s="2566" t="s">
        <v>2486</v>
      </c>
      <c r="I316" s="2566"/>
      <c r="J316" s="2566"/>
      <c r="K316" s="2566"/>
      <c r="L316" s="2566"/>
      <c r="M316" s="2566"/>
      <c r="N316" s="2203"/>
      <c r="O316" s="2203"/>
      <c r="P316" s="2203"/>
      <c r="Q316" s="2203"/>
      <c r="R316" s="2203"/>
      <c r="S316" s="58"/>
      <c r="T316" s="58" t="s">
        <v>80</v>
      </c>
      <c r="V316" s="58"/>
      <c r="W316" s="58"/>
      <c r="X316" s="58"/>
      <c r="Y316" s="58"/>
      <c r="AA316" s="1847" t="s">
        <v>2498</v>
      </c>
      <c r="AB316" s="1847"/>
      <c r="AC316" s="1847"/>
      <c r="AD316" s="1847"/>
      <c r="AE316" s="1847"/>
      <c r="AF316" s="1847"/>
      <c r="AG316" s="1846"/>
      <c r="AH316" s="1846"/>
      <c r="AI316" s="1846"/>
      <c r="AJ316" s="1846"/>
      <c r="AK316" s="1846"/>
      <c r="BN316" s="61"/>
    </row>
    <row r="317" spans="2:66" ht="12.75">
      <c r="BN317" s="61"/>
    </row>
    <row r="318" spans="2:66" ht="12.75">
      <c r="B318" s="7" t="s">
        <v>980</v>
      </c>
      <c r="C318" s="58"/>
      <c r="D318" s="58"/>
      <c r="E318" s="58"/>
      <c r="F318" s="58"/>
      <c r="H318" s="2203" t="s">
        <v>2487</v>
      </c>
      <c r="I318" s="2203"/>
      <c r="J318" s="2203"/>
      <c r="K318" s="2203"/>
      <c r="L318" s="2203"/>
      <c r="M318" s="2203"/>
      <c r="N318" s="2203"/>
      <c r="O318" s="2203"/>
      <c r="P318" s="2203"/>
      <c r="Q318" s="2203"/>
      <c r="R318" s="2203"/>
      <c r="T318" s="58" t="s">
        <v>377</v>
      </c>
      <c r="V318" s="58"/>
      <c r="W318" s="58"/>
      <c r="X318" s="58"/>
      <c r="Y318" s="58"/>
      <c r="AA318" s="2031" t="s">
        <v>2548</v>
      </c>
      <c r="AB318" s="2031"/>
      <c r="AC318" s="2031"/>
      <c r="AD318" s="2031"/>
      <c r="AE318" s="2031"/>
      <c r="AF318" s="2031"/>
      <c r="AG318" s="2031"/>
      <c r="AH318" s="2031"/>
      <c r="AI318" s="2031"/>
      <c r="AJ318" s="2031"/>
      <c r="AK318" s="2031"/>
      <c r="BN318" s="61"/>
    </row>
    <row r="319" spans="2:66" ht="12.75">
      <c r="B319" s="58" t="s">
        <v>505</v>
      </c>
      <c r="C319" s="58"/>
      <c r="D319" s="58"/>
      <c r="E319" s="58"/>
      <c r="F319" s="58"/>
      <c r="H319" s="2566" t="s">
        <v>2488</v>
      </c>
      <c r="I319" s="2566"/>
      <c r="J319" s="2566"/>
      <c r="K319" s="2566"/>
      <c r="L319" s="2566"/>
      <c r="M319" s="2566"/>
      <c r="N319" s="2566"/>
      <c r="O319" s="2566"/>
      <c r="P319" s="2566"/>
      <c r="Q319" s="2566"/>
      <c r="R319" s="2566"/>
      <c r="T319" s="58" t="s">
        <v>505</v>
      </c>
      <c r="V319" s="58"/>
      <c r="W319" s="58"/>
      <c r="X319" s="58"/>
      <c r="Y319" s="58"/>
      <c r="AA319" s="2071" t="s">
        <v>2550</v>
      </c>
      <c r="AB319" s="2071"/>
      <c r="AC319" s="2071"/>
      <c r="AD319" s="2071"/>
      <c r="AE319" s="2071"/>
      <c r="AF319" s="2071"/>
      <c r="AG319" s="2071"/>
      <c r="AH319" s="2071"/>
      <c r="AI319" s="2071"/>
      <c r="AJ319" s="2071"/>
      <c r="AK319" s="2071"/>
      <c r="BN319" s="61"/>
    </row>
    <row r="320" spans="2:66" ht="12.75">
      <c r="B320" s="58" t="s">
        <v>506</v>
      </c>
      <c r="C320" s="58"/>
      <c r="D320" s="58"/>
      <c r="E320" s="58"/>
      <c r="F320" s="58"/>
      <c r="H320" s="2566" t="s">
        <v>2489</v>
      </c>
      <c r="I320" s="2566"/>
      <c r="J320" s="2566"/>
      <c r="K320" s="2566"/>
      <c r="L320" s="2566"/>
      <c r="M320" s="2566"/>
      <c r="N320" s="2566"/>
      <c r="O320" s="2566"/>
      <c r="P320" s="2566"/>
      <c r="Q320" s="2566"/>
      <c r="R320" s="2566"/>
      <c r="T320" s="58" t="s">
        <v>79</v>
      </c>
      <c r="V320" s="58"/>
      <c r="W320" s="58"/>
      <c r="X320" s="58"/>
      <c r="Y320" s="58"/>
      <c r="AA320" s="2071" t="s">
        <v>2551</v>
      </c>
      <c r="AB320" s="2071"/>
      <c r="AC320" s="2071"/>
      <c r="AD320" s="2071"/>
      <c r="AE320" s="2071"/>
      <c r="AF320" s="2071"/>
      <c r="AG320" s="2071"/>
      <c r="AH320" s="2071"/>
      <c r="AI320" s="2071"/>
      <c r="AJ320" s="2071"/>
      <c r="AK320" s="2071"/>
      <c r="BN320" s="61"/>
    </row>
    <row r="321" spans="1:66" ht="12.75" customHeight="1">
      <c r="A321" s="39"/>
      <c r="B321" s="58" t="s">
        <v>92</v>
      </c>
      <c r="C321" s="58"/>
      <c r="D321" s="58"/>
      <c r="E321" s="58"/>
      <c r="F321" s="58"/>
      <c r="H321" s="2567" t="s">
        <v>2490</v>
      </c>
      <c r="I321" s="2566"/>
      <c r="J321" s="2566"/>
      <c r="K321" s="2566"/>
      <c r="L321" s="2566"/>
      <c r="M321" s="2566"/>
      <c r="N321" s="2566"/>
      <c r="O321" s="2566"/>
      <c r="P321" s="2566"/>
      <c r="Q321" s="2566"/>
      <c r="R321" s="2566"/>
      <c r="T321" s="58" t="s">
        <v>92</v>
      </c>
      <c r="V321" s="58"/>
      <c r="W321" s="58"/>
      <c r="X321" s="58"/>
      <c r="Y321" s="58"/>
      <c r="AA321" s="2071" t="s">
        <v>2547</v>
      </c>
      <c r="AB321" s="2071"/>
      <c r="AC321" s="2071"/>
      <c r="AD321" s="2071"/>
      <c r="AE321" s="2071"/>
      <c r="AF321" s="2071"/>
      <c r="AG321" s="2071"/>
      <c r="AH321" s="2071"/>
      <c r="AI321" s="2071"/>
      <c r="AJ321" s="2071"/>
      <c r="AK321" s="2071"/>
      <c r="AL321" s="39"/>
      <c r="BN321" s="61"/>
    </row>
    <row r="322" spans="1:66" ht="12.75">
      <c r="A322" s="39"/>
      <c r="B322" s="58" t="s">
        <v>93</v>
      </c>
      <c r="C322" s="58"/>
      <c r="D322" s="58"/>
      <c r="E322" s="58"/>
      <c r="F322" s="58"/>
      <c r="G322" s="58"/>
      <c r="H322" s="2564" t="s">
        <v>2491</v>
      </c>
      <c r="I322" s="2564"/>
      <c r="J322" s="2564"/>
      <c r="K322" s="2564"/>
      <c r="L322" s="2564"/>
      <c r="M322" s="2564"/>
      <c r="N322" s="7" t="s">
        <v>211</v>
      </c>
      <c r="O322" s="7"/>
      <c r="P322" s="2194"/>
      <c r="Q322" s="2194"/>
      <c r="R322" s="2194"/>
      <c r="S322" s="58"/>
      <c r="T322" s="58" t="s">
        <v>93</v>
      </c>
      <c r="V322" s="58"/>
      <c r="W322" s="58"/>
      <c r="X322" s="58"/>
      <c r="Y322" s="58"/>
      <c r="AA322" s="2192" t="s">
        <v>2549</v>
      </c>
      <c r="AB322" s="2193"/>
      <c r="AC322" s="2193"/>
      <c r="AD322" s="2193"/>
      <c r="AE322" s="2193"/>
      <c r="AF322" s="2193"/>
      <c r="AG322" s="7" t="s">
        <v>211</v>
      </c>
      <c r="AH322" s="7"/>
      <c r="AI322" s="2194"/>
      <c r="AJ322" s="2194"/>
      <c r="AK322" s="2194"/>
      <c r="AL322" s="39"/>
      <c r="BN322" s="61"/>
    </row>
    <row r="323" spans="1:66" ht="12.75" customHeight="1">
      <c r="A323" s="39"/>
      <c r="B323" s="58" t="s">
        <v>94</v>
      </c>
      <c r="C323" s="58"/>
      <c r="D323" s="58"/>
      <c r="E323" s="58"/>
      <c r="F323" s="58"/>
      <c r="G323" s="58"/>
      <c r="H323" s="2086"/>
      <c r="I323" s="2086"/>
      <c r="J323" s="2086"/>
      <c r="K323" s="2086"/>
      <c r="L323" s="2086"/>
      <c r="M323" s="2086"/>
      <c r="N323" s="60"/>
      <c r="O323" s="60"/>
      <c r="P323" s="62"/>
      <c r="Q323" s="62"/>
      <c r="R323" s="62"/>
      <c r="S323" s="58"/>
      <c r="T323" s="58" t="s">
        <v>94</v>
      </c>
      <c r="V323" s="58"/>
      <c r="W323" s="58"/>
      <c r="X323" s="58"/>
      <c r="Y323" s="58"/>
      <c r="AA323" s="2086"/>
      <c r="AB323" s="2086"/>
      <c r="AC323" s="2086"/>
      <c r="AD323" s="2086"/>
      <c r="AE323" s="2086"/>
      <c r="AF323" s="2086"/>
      <c r="AG323" s="60"/>
      <c r="AH323" s="60"/>
      <c r="AI323" s="62"/>
      <c r="AJ323" s="62"/>
      <c r="AK323" s="62"/>
      <c r="AL323" s="39"/>
    </row>
    <row r="324" spans="1:66" ht="12.75">
      <c r="A324" s="39"/>
      <c r="B324" s="58" t="s">
        <v>80</v>
      </c>
      <c r="C324" s="58"/>
      <c r="D324" s="58"/>
      <c r="E324" s="58"/>
      <c r="F324" s="58"/>
      <c r="G324" s="58"/>
      <c r="H324" s="2568" t="s">
        <v>2492</v>
      </c>
      <c r="I324" s="2569"/>
      <c r="J324" s="2569"/>
      <c r="K324" s="2569"/>
      <c r="L324" s="2569"/>
      <c r="M324" s="2569"/>
      <c r="N324" s="2203"/>
      <c r="O324" s="2203"/>
      <c r="P324" s="2203"/>
      <c r="Q324" s="2203"/>
      <c r="R324" s="2203"/>
      <c r="S324" s="58"/>
      <c r="T324" s="58" t="s">
        <v>80</v>
      </c>
      <c r="V324" s="58"/>
      <c r="W324" s="58"/>
      <c r="X324" s="58"/>
      <c r="Y324" s="58"/>
      <c r="AA324" s="2071" t="s">
        <v>2552</v>
      </c>
      <c r="AB324" s="2071"/>
      <c r="AC324" s="2071"/>
      <c r="AD324" s="2071"/>
      <c r="AE324" s="2071"/>
      <c r="AF324" s="2071"/>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60" t="s">
        <v>2583</v>
      </c>
      <c r="I326" s="2031"/>
      <c r="J326" s="2031"/>
      <c r="K326" s="2031"/>
      <c r="L326" s="2031"/>
      <c r="M326" s="2031"/>
      <c r="N326" s="2031"/>
      <c r="O326" s="2031"/>
      <c r="P326" s="2031"/>
      <c r="Q326" s="2031"/>
      <c r="R326" s="2031"/>
      <c r="T326" s="58" t="s">
        <v>379</v>
      </c>
      <c r="V326" s="58"/>
      <c r="W326" s="58"/>
      <c r="X326" s="58"/>
      <c r="Y326" s="58"/>
      <c r="AA326" s="2060" t="s">
        <v>627</v>
      </c>
      <c r="AB326" s="2031"/>
      <c r="AC326" s="2031"/>
      <c r="AD326" s="2031"/>
      <c r="AE326" s="2031"/>
      <c r="AF326" s="2031"/>
      <c r="AG326" s="2031"/>
      <c r="AH326" s="2031"/>
      <c r="AI326" s="2031"/>
      <c r="AJ326" s="2031"/>
      <c r="AK326" s="2031"/>
      <c r="AL326" s="39"/>
    </row>
    <row r="327" spans="1:66" ht="12.75">
      <c r="A327" s="39"/>
      <c r="B327" s="58" t="s">
        <v>505</v>
      </c>
      <c r="C327" s="58"/>
      <c r="D327" s="58"/>
      <c r="E327" s="58"/>
      <c r="F327" s="58"/>
      <c r="H327" s="2070" t="s">
        <v>2579</v>
      </c>
      <c r="I327" s="2071"/>
      <c r="J327" s="2071"/>
      <c r="K327" s="2071"/>
      <c r="L327" s="2071"/>
      <c r="M327" s="2071"/>
      <c r="N327" s="2071"/>
      <c r="O327" s="2071"/>
      <c r="P327" s="2071"/>
      <c r="Q327" s="2071"/>
      <c r="R327" s="2071"/>
      <c r="T327" s="58" t="s">
        <v>505</v>
      </c>
      <c r="V327" s="58"/>
      <c r="W327" s="58"/>
      <c r="X327" s="58"/>
      <c r="Y327" s="58"/>
      <c r="AA327" s="2071"/>
      <c r="AB327" s="2071"/>
      <c r="AC327" s="2071"/>
      <c r="AD327" s="2071"/>
      <c r="AE327" s="2071"/>
      <c r="AF327" s="2071"/>
      <c r="AG327" s="2071"/>
      <c r="AH327" s="2071"/>
      <c r="AI327" s="2071"/>
      <c r="AJ327" s="2071"/>
      <c r="AK327" s="2071"/>
      <c r="AL327" s="39"/>
    </row>
    <row r="328" spans="1:66" ht="12.75">
      <c r="A328" s="39"/>
      <c r="B328" s="58" t="s">
        <v>506</v>
      </c>
      <c r="C328" s="58"/>
      <c r="D328" s="58"/>
      <c r="E328" s="58"/>
      <c r="F328" s="58"/>
      <c r="H328" s="2070" t="s">
        <v>2580</v>
      </c>
      <c r="I328" s="2071"/>
      <c r="J328" s="2071"/>
      <c r="K328" s="2071"/>
      <c r="L328" s="2071"/>
      <c r="M328" s="2071"/>
      <c r="N328" s="2071"/>
      <c r="O328" s="2071"/>
      <c r="P328" s="2071"/>
      <c r="Q328" s="2071"/>
      <c r="R328" s="2071"/>
      <c r="T328" s="58" t="s">
        <v>79</v>
      </c>
      <c r="V328" s="58"/>
      <c r="W328" s="58"/>
      <c r="X328" s="58"/>
      <c r="Y328" s="58"/>
      <c r="AA328" s="2071"/>
      <c r="AB328" s="2071"/>
      <c r="AC328" s="2071"/>
      <c r="AD328" s="2071"/>
      <c r="AE328" s="2071"/>
      <c r="AF328" s="2071"/>
      <c r="AG328" s="2071"/>
      <c r="AH328" s="2071"/>
      <c r="AI328" s="2071"/>
      <c r="AJ328" s="2071"/>
      <c r="AK328" s="2071"/>
      <c r="AL328" s="39"/>
    </row>
    <row r="329" spans="1:66" ht="12.75">
      <c r="A329" s="39"/>
      <c r="B329" s="58" t="s">
        <v>92</v>
      </c>
      <c r="C329" s="58"/>
      <c r="D329" s="58"/>
      <c r="E329" s="58"/>
      <c r="F329" s="58"/>
      <c r="H329" s="2070" t="s">
        <v>2582</v>
      </c>
      <c r="I329" s="2071"/>
      <c r="J329" s="2071"/>
      <c r="K329" s="2071"/>
      <c r="L329" s="2071"/>
      <c r="M329" s="2071"/>
      <c r="N329" s="2071"/>
      <c r="O329" s="2071"/>
      <c r="P329" s="2071"/>
      <c r="Q329" s="2071"/>
      <c r="R329" s="2071"/>
      <c r="T329" s="58" t="s">
        <v>92</v>
      </c>
      <c r="V329" s="58"/>
      <c r="W329" s="58"/>
      <c r="X329" s="58"/>
      <c r="Y329" s="58"/>
      <c r="AA329" s="2071"/>
      <c r="AB329" s="2071"/>
      <c r="AC329" s="2071"/>
      <c r="AD329" s="2071"/>
      <c r="AE329" s="2071"/>
      <c r="AF329" s="2071"/>
      <c r="AG329" s="2071"/>
      <c r="AH329" s="2071"/>
      <c r="AI329" s="2071"/>
      <c r="AJ329" s="2071"/>
      <c r="AK329" s="2071"/>
      <c r="AL329" s="39"/>
    </row>
    <row r="330" spans="1:66" ht="12.75" customHeight="1">
      <c r="A330" s="39"/>
      <c r="B330" s="58" t="s">
        <v>93</v>
      </c>
      <c r="C330" s="58"/>
      <c r="D330" s="58"/>
      <c r="E330" s="58"/>
      <c r="F330" s="58"/>
      <c r="G330" s="58"/>
      <c r="H330" s="2192" t="s">
        <v>2581</v>
      </c>
      <c r="I330" s="2193"/>
      <c r="J330" s="2193"/>
      <c r="K330" s="2193"/>
      <c r="L330" s="2193"/>
      <c r="M330" s="2193"/>
      <c r="N330" s="7" t="s">
        <v>211</v>
      </c>
      <c r="O330" s="7"/>
      <c r="P330" s="2194"/>
      <c r="Q330" s="2194"/>
      <c r="R330" s="2194"/>
      <c r="S330" s="58"/>
      <c r="T330" s="58" t="s">
        <v>93</v>
      </c>
      <c r="V330" s="58"/>
      <c r="W330" s="58"/>
      <c r="X330" s="58"/>
      <c r="Y330" s="58"/>
      <c r="AA330" s="2193"/>
      <c r="AB330" s="2193"/>
      <c r="AC330" s="2193"/>
      <c r="AD330" s="2193"/>
      <c r="AE330" s="2193"/>
      <c r="AF330" s="2193"/>
      <c r="AG330" s="7" t="s">
        <v>211</v>
      </c>
      <c r="AH330" s="7"/>
      <c r="AI330" s="2194"/>
      <c r="AJ330" s="2194"/>
      <c r="AK330" s="2194"/>
      <c r="AL330" s="39"/>
    </row>
    <row r="331" spans="1:66" ht="12.75">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2.75">
      <c r="A332" s="39"/>
      <c r="B332" s="58" t="s">
        <v>80</v>
      </c>
      <c r="C332" s="58"/>
      <c r="D332" s="58"/>
      <c r="E332" s="58"/>
      <c r="F332" s="58"/>
      <c r="G332" s="58"/>
      <c r="H332" s="2070" t="s">
        <v>2584</v>
      </c>
      <c r="I332" s="2071"/>
      <c r="J332" s="2071"/>
      <c r="K332" s="2071"/>
      <c r="L332" s="2071"/>
      <c r="M332" s="2071"/>
      <c r="N332" s="2031"/>
      <c r="O332" s="2031"/>
      <c r="P332" s="2031"/>
      <c r="Q332" s="2031"/>
      <c r="R332" s="2031"/>
      <c r="S332" s="58"/>
      <c r="T332" s="58" t="s">
        <v>80</v>
      </c>
      <c r="V332" s="58"/>
      <c r="W332" s="58"/>
      <c r="X332" s="58"/>
      <c r="Y332" s="58"/>
      <c r="AA332" s="2071"/>
      <c r="AB332" s="2071"/>
      <c r="AC332" s="2071"/>
      <c r="AD332" s="2071"/>
      <c r="AE332" s="2071"/>
      <c r="AF332" s="2071"/>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60" t="s">
        <v>2519</v>
      </c>
      <c r="I334" s="2031"/>
      <c r="J334" s="2031"/>
      <c r="K334" s="2031"/>
      <c r="L334" s="2031"/>
      <c r="M334" s="2031"/>
      <c r="N334" s="2031"/>
      <c r="O334" s="2031"/>
      <c r="P334" s="2031"/>
      <c r="Q334" s="2031"/>
      <c r="R334" s="2031"/>
      <c r="T334" s="406" t="s">
        <v>955</v>
      </c>
      <c r="V334" s="58"/>
      <c r="W334" s="58"/>
      <c r="X334" s="58"/>
      <c r="Y334" s="58"/>
      <c r="AA334" s="2060" t="s">
        <v>2513</v>
      </c>
      <c r="AB334" s="2031"/>
      <c r="AC334" s="2031"/>
      <c r="AD334" s="2031"/>
      <c r="AE334" s="2031"/>
      <c r="AF334" s="2031"/>
      <c r="AG334" s="2031"/>
      <c r="AH334" s="2031"/>
      <c r="AI334" s="2031"/>
      <c r="AJ334" s="2031"/>
      <c r="AK334" s="2031"/>
      <c r="AL334" s="39"/>
    </row>
    <row r="335" spans="1:66" ht="12.75" customHeight="1">
      <c r="B335" s="58" t="s">
        <v>505</v>
      </c>
      <c r="C335" s="240"/>
      <c r="D335" s="240"/>
      <c r="E335" s="240"/>
      <c r="F335" s="240"/>
      <c r="G335" s="3"/>
      <c r="H335" s="2070" t="s">
        <v>2517</v>
      </c>
      <c r="I335" s="2071"/>
      <c r="J335" s="2071"/>
      <c r="K335" s="2071"/>
      <c r="L335" s="2071"/>
      <c r="M335" s="2071"/>
      <c r="N335" s="2071"/>
      <c r="O335" s="2071"/>
      <c r="P335" s="2071"/>
      <c r="Q335" s="2071"/>
      <c r="R335" s="2071"/>
      <c r="T335" s="58" t="s">
        <v>505</v>
      </c>
      <c r="V335" s="58"/>
      <c r="W335" s="58"/>
      <c r="X335" s="58"/>
      <c r="Y335" s="58"/>
      <c r="AA335" s="2070" t="s">
        <v>2512</v>
      </c>
      <c r="AB335" s="2071"/>
      <c r="AC335" s="2071"/>
      <c r="AD335" s="2071"/>
      <c r="AE335" s="2071"/>
      <c r="AF335" s="2071"/>
      <c r="AG335" s="2071"/>
      <c r="AH335" s="2071"/>
      <c r="AI335" s="2071"/>
      <c r="AJ335" s="2071"/>
      <c r="AK335" s="2071"/>
      <c r="AL335" s="39"/>
    </row>
    <row r="336" spans="1:66" ht="12.75" customHeight="1">
      <c r="B336" s="58" t="s">
        <v>79</v>
      </c>
      <c r="C336" s="240"/>
      <c r="D336" s="240"/>
      <c r="E336" s="240"/>
      <c r="F336" s="240"/>
      <c r="G336" s="3"/>
      <c r="H336" s="2070" t="s">
        <v>2518</v>
      </c>
      <c r="I336" s="2071"/>
      <c r="J336" s="2071"/>
      <c r="K336" s="2071"/>
      <c r="L336" s="2071"/>
      <c r="M336" s="2071"/>
      <c r="N336" s="2071"/>
      <c r="O336" s="2071"/>
      <c r="P336" s="2071"/>
      <c r="Q336" s="2071"/>
      <c r="R336" s="2071"/>
      <c r="T336" s="58" t="s">
        <v>79</v>
      </c>
      <c r="V336" s="58"/>
      <c r="W336" s="58"/>
      <c r="X336" s="58"/>
      <c r="Y336" s="58"/>
      <c r="AA336" s="2070" t="s">
        <v>2489</v>
      </c>
      <c r="AB336" s="2071"/>
      <c r="AC336" s="2071"/>
      <c r="AD336" s="2071"/>
      <c r="AE336" s="2071"/>
      <c r="AF336" s="2071"/>
      <c r="AG336" s="2071"/>
      <c r="AH336" s="2071"/>
      <c r="AI336" s="2071"/>
      <c r="AJ336" s="2071"/>
      <c r="AK336" s="2071"/>
      <c r="AL336" s="39"/>
    </row>
    <row r="337" spans="1:66" ht="12.75" customHeight="1">
      <c r="A337" s="39"/>
      <c r="B337" s="58" t="s">
        <v>92</v>
      </c>
      <c r="C337" s="240"/>
      <c r="D337" s="240"/>
      <c r="E337" s="240"/>
      <c r="F337" s="240"/>
      <c r="G337" s="240"/>
      <c r="H337" s="2070" t="s">
        <v>2515</v>
      </c>
      <c r="I337" s="2071"/>
      <c r="J337" s="2071"/>
      <c r="K337" s="2071"/>
      <c r="L337" s="2071"/>
      <c r="M337" s="2071"/>
      <c r="N337" s="2071"/>
      <c r="O337" s="2071"/>
      <c r="P337" s="2071"/>
      <c r="Q337" s="2071"/>
      <c r="R337" s="2071"/>
      <c r="T337" s="58" t="s">
        <v>92</v>
      </c>
      <c r="V337" s="58"/>
      <c r="W337" s="58"/>
      <c r="X337" s="58"/>
      <c r="Y337" s="58"/>
      <c r="AA337" s="2070" t="s">
        <v>2510</v>
      </c>
      <c r="AB337" s="2071"/>
      <c r="AC337" s="2071"/>
      <c r="AD337" s="2071"/>
      <c r="AE337" s="2071"/>
      <c r="AF337" s="2071"/>
      <c r="AG337" s="2071"/>
      <c r="AH337" s="2071"/>
      <c r="AI337" s="2071"/>
      <c r="AJ337" s="2071"/>
      <c r="AK337" s="2071"/>
      <c r="AL337" s="39"/>
    </row>
    <row r="338" spans="1:66" ht="12.75" customHeight="1">
      <c r="A338" s="39"/>
      <c r="B338" s="58" t="s">
        <v>93</v>
      </c>
      <c r="C338" s="240"/>
      <c r="D338" s="240"/>
      <c r="E338" s="240"/>
      <c r="F338" s="240"/>
      <c r="G338" s="240"/>
      <c r="H338" s="2192" t="s">
        <v>2516</v>
      </c>
      <c r="I338" s="2193"/>
      <c r="J338" s="2193"/>
      <c r="K338" s="2193"/>
      <c r="L338" s="2193"/>
      <c r="M338" s="2193"/>
      <c r="N338" s="7" t="s">
        <v>211</v>
      </c>
      <c r="O338" s="7"/>
      <c r="P338" s="2194"/>
      <c r="Q338" s="2194"/>
      <c r="R338" s="2194"/>
      <c r="S338" s="58"/>
      <c r="T338" s="58" t="s">
        <v>93</v>
      </c>
      <c r="V338" s="58"/>
      <c r="W338" s="58"/>
      <c r="X338" s="58"/>
      <c r="Y338" s="58"/>
      <c r="AA338" s="2192" t="s">
        <v>2514</v>
      </c>
      <c r="AB338" s="2193"/>
      <c r="AC338" s="2193"/>
      <c r="AD338" s="2193"/>
      <c r="AE338" s="2193"/>
      <c r="AF338" s="2193"/>
      <c r="AG338" s="7" t="s">
        <v>211</v>
      </c>
      <c r="AH338" s="7"/>
      <c r="AI338" s="2194"/>
      <c r="AJ338" s="2194"/>
      <c r="AK338" s="2194"/>
      <c r="AL338" s="39"/>
    </row>
    <row r="339" spans="1:66" ht="12.75">
      <c r="A339" s="39"/>
      <c r="B339" s="58" t="s">
        <v>94</v>
      </c>
      <c r="C339" s="240"/>
      <c r="D339" s="240"/>
      <c r="E339" s="240"/>
      <c r="F339" s="240"/>
      <c r="G339" s="240"/>
      <c r="H339" s="2086"/>
      <c r="I339" s="2086"/>
      <c r="J339" s="2086"/>
      <c r="K339" s="2086"/>
      <c r="L339" s="2086"/>
      <c r="M339" s="2086"/>
      <c r="N339" s="60"/>
      <c r="O339" s="60"/>
      <c r="P339" s="62"/>
      <c r="Q339" s="62"/>
      <c r="R339" s="62"/>
      <c r="S339" s="58"/>
      <c r="T339" s="58" t="s">
        <v>94</v>
      </c>
      <c r="V339" s="58"/>
      <c r="W339" s="58"/>
      <c r="X339" s="58"/>
      <c r="Y339" s="58"/>
      <c r="AA339" s="2086"/>
      <c r="AB339" s="2086"/>
      <c r="AC339" s="2086"/>
      <c r="AD339" s="2086"/>
      <c r="AE339" s="2086"/>
      <c r="AF339" s="2086"/>
      <c r="AG339" s="60"/>
      <c r="AH339" s="60"/>
      <c r="AI339" s="62"/>
      <c r="AJ339" s="62"/>
      <c r="AK339" s="62"/>
      <c r="AL339" s="39"/>
    </row>
    <row r="340" spans="1:66" ht="12.75">
      <c r="A340" s="39"/>
      <c r="B340" s="58" t="s">
        <v>80</v>
      </c>
      <c r="C340" s="237"/>
      <c r="D340" s="237"/>
      <c r="E340" s="237"/>
      <c r="F340" s="237"/>
      <c r="G340" s="237"/>
      <c r="H340" s="2070" t="s">
        <v>2520</v>
      </c>
      <c r="I340" s="2071"/>
      <c r="J340" s="2071"/>
      <c r="K340" s="2071"/>
      <c r="L340" s="2071"/>
      <c r="M340" s="2071"/>
      <c r="N340" s="2031"/>
      <c r="O340" s="2031"/>
      <c r="P340" s="2031"/>
      <c r="Q340" s="2031"/>
      <c r="R340" s="2031"/>
      <c r="S340" s="58"/>
      <c r="T340" s="58" t="s">
        <v>80</v>
      </c>
      <c r="V340" s="58"/>
      <c r="W340" s="58"/>
      <c r="X340" s="58"/>
      <c r="Y340" s="58"/>
      <c r="AA340" s="2070" t="s">
        <v>2511</v>
      </c>
      <c r="AB340" s="2071"/>
      <c r="AC340" s="2071"/>
      <c r="AD340" s="2071"/>
      <c r="AE340" s="2071"/>
      <c r="AF340" s="2071"/>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60" t="s">
        <v>627</v>
      </c>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627</v>
      </c>
    </row>
    <row r="343" spans="1:66" ht="12.75">
      <c r="A343" s="3"/>
      <c r="B343" s="60"/>
      <c r="C343" s="60"/>
      <c r="D343" s="60"/>
      <c r="E343" s="60"/>
      <c r="F343" s="60"/>
      <c r="G343" s="3"/>
      <c r="H343" s="88"/>
      <c r="I343" s="7" t="s">
        <v>505</v>
      </c>
      <c r="P343" s="2071"/>
      <c r="Q343" s="2071"/>
      <c r="R343" s="2071"/>
      <c r="S343" s="2071"/>
      <c r="T343" s="2071"/>
      <c r="U343" s="2071"/>
      <c r="V343" s="2071"/>
      <c r="W343" s="2071"/>
      <c r="X343" s="2071"/>
      <c r="Y343" s="2071"/>
      <c r="Z343" s="2071"/>
      <c r="AA343" s="2071"/>
      <c r="AB343" s="2071"/>
      <c r="AC343" s="2071"/>
      <c r="AD343" s="2071"/>
      <c r="AE343" s="2071"/>
      <c r="AF343" s="88"/>
      <c r="AG343" s="88"/>
      <c r="AH343" s="88"/>
      <c r="AI343" s="88"/>
      <c r="AJ343" s="88"/>
      <c r="AK343" s="88"/>
      <c r="AL343" s="39"/>
      <c r="BN343" s="12" t="s">
        <v>707</v>
      </c>
    </row>
    <row r="344" spans="1:66" ht="12.75">
      <c r="A344" s="3"/>
      <c r="B344" s="60"/>
      <c r="C344" s="60"/>
      <c r="D344" s="60"/>
      <c r="E344" s="60"/>
      <c r="F344" s="60"/>
      <c r="G344" s="3"/>
      <c r="H344" s="88"/>
      <c r="I344" s="7" t="s">
        <v>79</v>
      </c>
      <c r="P344" s="2071"/>
      <c r="Q344" s="2071"/>
      <c r="R344" s="2071"/>
      <c r="S344" s="2071"/>
      <c r="T344" s="2071"/>
      <c r="U344" s="2071"/>
      <c r="V344" s="2071"/>
      <c r="W344" s="2071"/>
      <c r="X344" s="2071"/>
      <c r="Y344" s="2071"/>
      <c r="Z344" s="2071"/>
      <c r="AA344" s="2071"/>
      <c r="AB344" s="2071"/>
      <c r="AC344" s="2071"/>
      <c r="AD344" s="2071"/>
      <c r="AE344" s="2071"/>
      <c r="AF344" s="88"/>
      <c r="AG344" s="88"/>
      <c r="AH344" s="88"/>
      <c r="AI344" s="88"/>
      <c r="AJ344" s="88"/>
      <c r="AK344" s="88"/>
      <c r="AL344" s="39"/>
      <c r="BN344" s="12" t="s">
        <v>579</v>
      </c>
    </row>
    <row r="345" spans="1:66" ht="12.75">
      <c r="A345" s="3"/>
      <c r="B345" s="60"/>
      <c r="C345" s="60"/>
      <c r="D345" s="60"/>
      <c r="E345" s="60"/>
      <c r="F345" s="60"/>
      <c r="G345" s="60"/>
      <c r="H345" s="88"/>
      <c r="I345" s="7" t="s">
        <v>92</v>
      </c>
      <c r="P345" s="2071"/>
      <c r="Q345" s="2071"/>
      <c r="R345" s="2071"/>
      <c r="S345" s="2071"/>
      <c r="T345" s="2071"/>
      <c r="U345" s="2071"/>
      <c r="V345" s="2071"/>
      <c r="W345" s="2071"/>
      <c r="X345" s="2071"/>
      <c r="Y345" s="2071"/>
      <c r="Z345" s="2071"/>
      <c r="AA345" s="2071"/>
      <c r="AB345" s="2071"/>
      <c r="AC345" s="2071"/>
      <c r="AD345" s="2071"/>
      <c r="AE345" s="2071"/>
      <c r="AF345" s="88"/>
      <c r="AG345" s="88"/>
      <c r="AH345" s="88"/>
      <c r="AI345" s="88"/>
      <c r="AJ345" s="88"/>
      <c r="AK345" s="88"/>
      <c r="AL345" s="39"/>
    </row>
    <row r="346" spans="1:66" ht="12.75">
      <c r="A346" s="3"/>
      <c r="B346" s="60"/>
      <c r="C346" s="60"/>
      <c r="D346" s="60"/>
      <c r="E346" s="60"/>
      <c r="F346" s="60"/>
      <c r="G346" s="60"/>
      <c r="H346" s="466"/>
      <c r="I346" s="7" t="s">
        <v>93</v>
      </c>
      <c r="P346" s="2086"/>
      <c r="Q346" s="2086"/>
      <c r="R346" s="2086"/>
      <c r="S346" s="2086"/>
      <c r="T346" s="2086"/>
      <c r="U346" s="2086"/>
      <c r="V346" s="2086"/>
      <c r="W346" s="2086"/>
      <c r="X346" s="2086"/>
      <c r="Y346" s="2086"/>
      <c r="Z346" s="2086"/>
      <c r="AA346" s="7" t="s">
        <v>211</v>
      </c>
      <c r="AB346" s="7"/>
      <c r="AC346" s="2122"/>
      <c r="AD346" s="2122"/>
      <c r="AE346" s="2122"/>
      <c r="AF346" s="466"/>
      <c r="AG346" s="60"/>
      <c r="AH346" s="60"/>
      <c r="AI346" s="407"/>
      <c r="AJ346" s="407"/>
      <c r="AK346" s="407"/>
      <c r="AL346" s="39"/>
    </row>
    <row r="347" spans="1:66" ht="12.75" customHeight="1">
      <c r="A347" s="3"/>
      <c r="B347" s="60"/>
      <c r="C347" s="60"/>
      <c r="D347" s="60"/>
      <c r="E347" s="60"/>
      <c r="F347" s="60"/>
      <c r="G347" s="60"/>
      <c r="H347" s="466"/>
      <c r="I347" s="7" t="s">
        <v>94</v>
      </c>
      <c r="P347" s="2086"/>
      <c r="Q347" s="2086"/>
      <c r="R347" s="2086"/>
      <c r="S347" s="2086"/>
      <c r="T347" s="2086"/>
      <c r="U347" s="2086"/>
      <c r="V347" s="2086"/>
      <c r="W347" s="2086"/>
      <c r="X347" s="2086"/>
      <c r="Y347" s="2086"/>
      <c r="Z347" s="2086"/>
      <c r="AF347" s="466"/>
      <c r="AG347" s="60"/>
      <c r="AH347" s="60"/>
      <c r="AI347" s="62"/>
      <c r="AJ347" s="62"/>
      <c r="AK347" s="62"/>
      <c r="AL347" s="39"/>
    </row>
    <row r="348" spans="1:66" ht="12.75">
      <c r="A348" s="3"/>
      <c r="B348" s="60"/>
      <c r="C348" s="407"/>
      <c r="D348" s="407"/>
      <c r="E348" s="407"/>
      <c r="F348" s="407"/>
      <c r="G348" s="407"/>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8" t="s">
        <v>576</v>
      </c>
      <c r="B350" s="2058"/>
      <c r="C350" s="2058"/>
      <c r="D350" s="2058"/>
      <c r="E350" s="2058"/>
      <c r="F350" s="2058"/>
      <c r="G350" s="2058"/>
      <c r="H350" s="2058"/>
      <c r="I350" s="2058"/>
      <c r="J350" s="2058"/>
      <c r="K350" s="2058"/>
      <c r="L350" s="2058"/>
      <c r="M350" s="2058"/>
      <c r="N350" s="2058"/>
      <c r="O350" s="2058"/>
      <c r="P350" s="2058"/>
      <c r="Q350" s="2058"/>
      <c r="R350" s="2058"/>
      <c r="S350" s="2058"/>
      <c r="T350" s="2058"/>
      <c r="U350" s="2058"/>
      <c r="V350" s="2058"/>
      <c r="W350" s="2058"/>
      <c r="X350" s="2058"/>
      <c r="Y350" s="2058"/>
      <c r="Z350" s="2058"/>
      <c r="AA350" s="2058"/>
      <c r="AB350" s="2058"/>
      <c r="AC350" s="2058"/>
      <c r="AD350" s="2058"/>
      <c r="AE350" s="2058"/>
      <c r="AF350" s="2058"/>
      <c r="AG350" s="2058"/>
      <c r="AH350" s="2058"/>
      <c r="AI350" s="2058"/>
      <c r="AJ350" s="2058"/>
      <c r="AK350" s="2058"/>
      <c r="AL350" s="2058"/>
      <c r="AM350" s="144"/>
      <c r="AN350" s="144"/>
      <c r="AO350" s="144"/>
      <c r="AP350" s="144"/>
      <c r="AQ350" s="144"/>
      <c r="AR350" s="144"/>
      <c r="AS350" s="144"/>
      <c r="AT350" s="144"/>
      <c r="AU350" s="144"/>
      <c r="AV350" s="144"/>
      <c r="AW350" s="144"/>
      <c r="AX350" s="144"/>
      <c r="AY350" s="144"/>
    </row>
    <row r="351" spans="1:66" ht="13.5" thickBot="1">
      <c r="A351" s="2059"/>
      <c r="B351" s="2059"/>
      <c r="C351" s="2059"/>
      <c r="D351" s="2059"/>
      <c r="E351" s="2059"/>
      <c r="F351" s="2059"/>
      <c r="G351" s="2059"/>
      <c r="H351" s="2059"/>
      <c r="I351" s="2059"/>
      <c r="J351" s="2059"/>
      <c r="K351" s="2059"/>
      <c r="L351" s="2059"/>
      <c r="M351" s="2059"/>
      <c r="N351" s="2059"/>
      <c r="O351" s="2059"/>
      <c r="P351" s="2059"/>
      <c r="Q351" s="2059"/>
      <c r="R351" s="2059"/>
      <c r="S351" s="2059"/>
      <c r="T351" s="2059"/>
      <c r="U351" s="2059"/>
      <c r="V351" s="2059"/>
      <c r="W351" s="2059"/>
      <c r="X351" s="2059"/>
      <c r="Y351" s="2059"/>
      <c r="Z351" s="2059"/>
      <c r="AA351" s="2059"/>
      <c r="AB351" s="2059"/>
      <c r="AC351" s="2059"/>
      <c r="AD351" s="2059"/>
      <c r="AE351" s="2059"/>
      <c r="AF351" s="2059"/>
      <c r="AG351" s="2059"/>
      <c r="AH351" s="2059"/>
      <c r="AI351" s="2059"/>
      <c r="AJ351" s="2059"/>
      <c r="AK351" s="2059"/>
      <c r="AL351" s="205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39" t="s">
        <v>579</v>
      </c>
      <c r="N354" s="2039"/>
      <c r="P354" s="12" t="s">
        <v>2018</v>
      </c>
      <c r="AJ354" s="2039" t="s">
        <v>707</v>
      </c>
      <c r="AK354" s="2039"/>
    </row>
    <row r="355" spans="1:37" ht="12.75" customHeight="1">
      <c r="D355" s="58" t="s">
        <v>2007</v>
      </c>
      <c r="M355" s="2039" t="s">
        <v>627</v>
      </c>
      <c r="N355" s="2039"/>
      <c r="P355" s="58" t="s">
        <v>2233</v>
      </c>
      <c r="AJ355" s="2386" t="s">
        <v>627</v>
      </c>
      <c r="AK355" s="2134"/>
    </row>
    <row r="356" spans="1:37" ht="12.75" customHeight="1">
      <c r="D356" s="12" t="s">
        <v>748</v>
      </c>
      <c r="M356" s="2039" t="s">
        <v>627</v>
      </c>
      <c r="N356" s="2039"/>
      <c r="P356" s="720" t="s">
        <v>2017</v>
      </c>
      <c r="AJ356" s="2039" t="s">
        <v>627</v>
      </c>
      <c r="AK356" s="2039"/>
    </row>
    <row r="357" spans="1:37" ht="12.75" customHeight="1">
      <c r="D357" s="12" t="s">
        <v>749</v>
      </c>
      <c r="M357" s="2039" t="s">
        <v>627</v>
      </c>
      <c r="N357" s="2039"/>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9" t="s">
        <v>627</v>
      </c>
      <c r="O362" s="2039"/>
      <c r="P362" s="69"/>
      <c r="Q362" s="69"/>
      <c r="R362" s="69"/>
      <c r="S362" s="69"/>
      <c r="T362" s="69"/>
      <c r="U362" s="69"/>
      <c r="V362" s="69"/>
      <c r="W362" s="69"/>
      <c r="X362" s="69"/>
      <c r="Y362" s="70"/>
      <c r="Z362" s="70"/>
      <c r="AC362" s="69"/>
      <c r="AD362" s="69"/>
      <c r="AE362" s="69"/>
    </row>
    <row r="363" spans="1:37" ht="12.75" customHeight="1">
      <c r="E363" s="12" t="s">
        <v>382</v>
      </c>
      <c r="Y363" s="2039" t="s">
        <v>627</v>
      </c>
      <c r="Z363" s="2039"/>
    </row>
    <row r="364" spans="1:37" ht="12.75" customHeight="1">
      <c r="D364" s="7" t="s">
        <v>1061</v>
      </c>
      <c r="Q364" s="2031" t="s">
        <v>627</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9" t="s">
        <v>627</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750</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480</v>
      </c>
      <c r="F369" s="7"/>
      <c r="G369" s="7"/>
      <c r="H369" s="7"/>
      <c r="I369" s="7"/>
      <c r="J369" s="7"/>
      <c r="K369" s="7"/>
      <c r="L369" s="7"/>
      <c r="N369" s="2062"/>
      <c r="O369" s="2062"/>
      <c r="P369" s="2062"/>
      <c r="Q369" s="2062"/>
      <c r="R369" s="7"/>
      <c r="U369" s="7" t="s">
        <v>481</v>
      </c>
      <c r="V369" s="7"/>
      <c r="W369" s="7"/>
      <c r="X369" s="7"/>
      <c r="Y369" s="7"/>
      <c r="Z369" s="7"/>
      <c r="AA369" s="7"/>
      <c r="AB369" s="7"/>
      <c r="AC369" s="2062"/>
      <c r="AD369" s="2062"/>
      <c r="AE369" s="2062"/>
      <c r="AF369" s="2062"/>
    </row>
    <row r="370" spans="1:36" ht="12.75" customHeight="1">
      <c r="E370" s="7" t="s">
        <v>482</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244"/>
      <c r="O372" s="2244"/>
      <c r="P372" s="2244"/>
      <c r="Q372" s="2244"/>
      <c r="R372" s="2244"/>
      <c r="S372" s="2244"/>
      <c r="T372" s="2244"/>
      <c r="U372" s="2244"/>
      <c r="V372" s="2244"/>
      <c r="W372" s="2244"/>
      <c r="X372" s="2244"/>
      <c r="Y372" s="2244"/>
      <c r="Z372" s="2244"/>
      <c r="AA372" s="2244"/>
      <c r="AB372" s="2244"/>
      <c r="AC372" s="2244"/>
      <c r="AD372" s="2244"/>
      <c r="AE372" s="2244"/>
      <c r="AF372" s="2244"/>
    </row>
    <row r="373" spans="1:36" ht="12.75" customHeight="1">
      <c r="E373" s="7"/>
      <c r="F373" s="7"/>
      <c r="G373" s="7"/>
      <c r="H373" s="7"/>
      <c r="I373" s="7"/>
      <c r="J373" s="7"/>
      <c r="K373" s="7"/>
      <c r="L373" s="7"/>
      <c r="N373" s="2245"/>
      <c r="O373" s="2245"/>
      <c r="P373" s="2245"/>
      <c r="Q373" s="2245"/>
      <c r="R373" s="2245"/>
      <c r="S373" s="2245"/>
      <c r="T373" s="2245"/>
      <c r="U373" s="2245"/>
      <c r="V373" s="2245"/>
      <c r="W373" s="2245"/>
      <c r="X373" s="2245"/>
      <c r="Y373" s="2245"/>
      <c r="Z373" s="2245"/>
      <c r="AA373" s="2245"/>
      <c r="AB373" s="2245"/>
      <c r="AC373" s="2245"/>
      <c r="AD373" s="2245"/>
      <c r="AE373" s="2245"/>
      <c r="AF373" s="2245"/>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061"/>
      <c r="T376" s="2061"/>
      <c r="U376" s="4" t="s">
        <v>316</v>
      </c>
      <c r="V376" s="2061"/>
      <c r="W376" s="2061"/>
      <c r="Y376" s="25" t="s">
        <v>314</v>
      </c>
      <c r="AA376" s="25"/>
      <c r="AB376" s="25" t="s">
        <v>315</v>
      </c>
      <c r="AD376" s="2061"/>
      <c r="AE376" s="2061"/>
      <c r="AF376" s="4" t="s">
        <v>316</v>
      </c>
      <c r="AG376" s="2061"/>
      <c r="AH376" s="2061"/>
    </row>
    <row r="377" spans="1:36" ht="12.75" customHeight="1">
      <c r="E377" s="7" t="s">
        <v>1092</v>
      </c>
      <c r="F377" s="7"/>
      <c r="G377" s="7"/>
      <c r="H377" s="7"/>
      <c r="I377" s="7"/>
      <c r="J377" s="7"/>
      <c r="K377" s="7"/>
      <c r="L377" s="7"/>
      <c r="N377" s="2061"/>
      <c r="O377" s="2061"/>
      <c r="P377" s="2061"/>
    </row>
    <row r="378" spans="1:36" ht="12.75" customHeight="1">
      <c r="E378" s="383" t="s">
        <v>1093</v>
      </c>
      <c r="F378" s="7"/>
      <c r="G378" s="7"/>
      <c r="H378" s="7"/>
      <c r="I378" s="7"/>
      <c r="J378" s="7"/>
      <c r="K378" s="7"/>
      <c r="L378" s="7"/>
      <c r="AG378" s="2089" t="s">
        <v>627</v>
      </c>
      <c r="AH378" s="2089"/>
    </row>
    <row r="379" spans="1:36" ht="12.75" customHeight="1">
      <c r="E379" s="7"/>
      <c r="F379" s="7"/>
      <c r="G379" s="7" t="s">
        <v>1114</v>
      </c>
      <c r="H379" s="7"/>
      <c r="I379" s="7"/>
      <c r="J379" s="7"/>
      <c r="K379" s="7"/>
      <c r="L379" s="7"/>
      <c r="AG379" s="2089" t="s">
        <v>627</v>
      </c>
      <c r="AH379" s="2089"/>
    </row>
    <row r="380" spans="1:36" ht="12.75" customHeight="1">
      <c r="E380" s="7"/>
      <c r="F380" s="7"/>
      <c r="G380" s="510" t="s">
        <v>1094</v>
      </c>
      <c r="H380" s="7"/>
      <c r="I380" s="7"/>
      <c r="J380" s="7"/>
      <c r="K380" s="7"/>
      <c r="L380" s="7"/>
      <c r="V380" s="2039" t="s">
        <v>627</v>
      </c>
      <c r="W380" s="2039"/>
      <c r="Y380" s="35" t="s">
        <v>1063</v>
      </c>
    </row>
    <row r="381" spans="1:36" ht="12.75" customHeight="1">
      <c r="E381" s="7" t="s">
        <v>1064</v>
      </c>
      <c r="F381" s="7"/>
      <c r="G381" s="7"/>
      <c r="H381" s="7"/>
      <c r="I381" s="7"/>
      <c r="J381" s="7"/>
      <c r="K381" s="7"/>
      <c r="L381" s="7"/>
      <c r="V381" s="2039" t="s">
        <v>627</v>
      </c>
      <c r="W381" s="2039"/>
      <c r="Y381" s="7" t="s">
        <v>1065</v>
      </c>
    </row>
    <row r="382" spans="1:36" ht="12.75" customHeight="1"/>
    <row r="383" spans="1:36" ht="12.75" customHeight="1">
      <c r="A383" s="50" t="s">
        <v>82</v>
      </c>
      <c r="B383" s="50"/>
    </row>
    <row r="384" spans="1:36" ht="12.75" customHeight="1">
      <c r="D384" s="12" t="s">
        <v>450</v>
      </c>
      <c r="J384" s="2060" t="s">
        <v>2521</v>
      </c>
      <c r="K384" s="2031"/>
      <c r="L384" s="2031"/>
      <c r="M384" s="2031"/>
      <c r="N384" s="2031"/>
      <c r="O384" s="2031"/>
      <c r="P384" s="2031"/>
      <c r="Q384" s="2031"/>
      <c r="R384" s="2031"/>
      <c r="S384" s="2031"/>
      <c r="T384" s="2031"/>
      <c r="U384" s="2031"/>
      <c r="V384" s="14" t="s">
        <v>88</v>
      </c>
      <c r="W384" s="14"/>
      <c r="X384" s="14"/>
      <c r="Y384" s="14"/>
      <c r="Z384" s="14"/>
      <c r="AA384" s="14"/>
      <c r="AB384" s="14"/>
      <c r="AC384" s="2060" t="str">
        <f>J384</f>
        <v>Vincent Leo Danise</v>
      </c>
      <c r="AD384" s="2031"/>
      <c r="AE384" s="2031"/>
      <c r="AF384" s="2031"/>
      <c r="AG384" s="2031"/>
      <c r="AH384" s="2031"/>
      <c r="AI384" s="2031"/>
      <c r="AJ384" s="2031"/>
    </row>
    <row r="385" spans="1:96" ht="12.75" customHeight="1">
      <c r="A385" s="720"/>
      <c r="B385" s="720"/>
      <c r="C385" s="720"/>
      <c r="D385" s="58" t="s">
        <v>1384</v>
      </c>
      <c r="E385" s="720"/>
      <c r="F385" s="720"/>
      <c r="G385" s="720"/>
      <c r="H385" s="720"/>
      <c r="I385" s="720"/>
      <c r="J385" s="2060" t="s">
        <v>2521</v>
      </c>
      <c r="K385" s="2031"/>
      <c r="L385" s="2031"/>
      <c r="M385" s="2031"/>
      <c r="N385" s="2031"/>
      <c r="O385" s="2031"/>
      <c r="P385" s="2031"/>
      <c r="Q385" s="2031"/>
      <c r="R385" s="2031"/>
      <c r="S385" s="2031"/>
      <c r="T385" s="2031"/>
      <c r="U385" s="2031"/>
      <c r="V385" s="58" t="s">
        <v>1384</v>
      </c>
      <c r="W385" s="14"/>
      <c r="X385" s="14"/>
      <c r="Y385" s="14"/>
      <c r="Z385" s="14"/>
      <c r="AA385" s="14"/>
      <c r="AB385" s="14"/>
      <c r="AC385" s="2060" t="s">
        <v>627</v>
      </c>
      <c r="AD385" s="2031"/>
      <c r="AE385" s="2031"/>
      <c r="AF385" s="2031"/>
      <c r="AG385" s="2031"/>
      <c r="AH385" s="2031"/>
      <c r="AI385" s="2031"/>
      <c r="AJ385" s="2031"/>
      <c r="AK385" s="720"/>
      <c r="AL385" s="720"/>
    </row>
    <row r="386" spans="1:96" ht="12.75" customHeight="1">
      <c r="A386" s="720"/>
      <c r="B386" s="720"/>
      <c r="C386" s="720"/>
      <c r="D386" s="58" t="s">
        <v>465</v>
      </c>
      <c r="E386" s="720"/>
      <c r="F386" s="720"/>
      <c r="G386" s="720"/>
      <c r="H386" s="720"/>
      <c r="I386" s="720"/>
      <c r="J386" s="2070" t="s">
        <v>627</v>
      </c>
      <c r="K386" s="2071"/>
      <c r="L386" s="2071"/>
      <c r="M386" s="2071"/>
      <c r="N386" s="2071"/>
      <c r="O386" s="2071"/>
      <c r="P386" s="2071"/>
      <c r="Q386" s="2071"/>
      <c r="R386" s="2071"/>
      <c r="S386" s="2071"/>
      <c r="T386" s="2071"/>
      <c r="U386" s="2071"/>
      <c r="V386" s="58" t="s">
        <v>465</v>
      </c>
      <c r="W386" s="14"/>
      <c r="X386" s="14"/>
      <c r="Y386" s="14"/>
      <c r="Z386" s="14"/>
      <c r="AA386" s="14"/>
      <c r="AB386" s="14"/>
      <c r="AC386" s="2031"/>
      <c r="AD386" s="2031"/>
      <c r="AE386" s="2031"/>
      <c r="AF386" s="2031"/>
      <c r="AG386" s="2031"/>
      <c r="AH386" s="2031"/>
      <c r="AI386" s="2031"/>
      <c r="AJ386" s="2031"/>
      <c r="AK386" s="720"/>
      <c r="AL386" s="720"/>
    </row>
    <row r="387" spans="1:96" ht="12.75" customHeight="1">
      <c r="A387" s="720"/>
      <c r="B387" s="720"/>
      <c r="C387" s="720"/>
      <c r="D387" s="480" t="s">
        <v>1380</v>
      </c>
      <c r="E387" s="720"/>
      <c r="F387" s="720"/>
      <c r="G387" s="720"/>
      <c r="H387" s="720"/>
      <c r="I387" s="88"/>
      <c r="J387" s="2072" t="s">
        <v>2523</v>
      </c>
      <c r="K387" s="2072"/>
      <c r="L387" s="2072"/>
      <c r="M387" s="2072"/>
      <c r="N387" s="2072"/>
      <c r="O387" s="2072"/>
      <c r="P387" s="2072"/>
      <c r="Q387" s="2072"/>
      <c r="R387" s="2072"/>
      <c r="S387" s="2072"/>
      <c r="T387" s="2072"/>
      <c r="U387" s="2072"/>
      <c r="V387" s="2060" t="s">
        <v>2522</v>
      </c>
      <c r="W387" s="2031"/>
      <c r="X387" s="2031"/>
      <c r="Y387" s="2031"/>
      <c r="Z387" s="2031"/>
      <c r="AA387" s="2031"/>
      <c r="AB387" s="2031"/>
      <c r="AC387" s="2031"/>
      <c r="AD387" s="2031"/>
      <c r="AE387" s="2031"/>
      <c r="AF387" s="2031"/>
      <c r="AG387" s="2031"/>
      <c r="AH387" s="2031"/>
      <c r="AI387" s="2031"/>
      <c r="AJ387" s="2031"/>
      <c r="AK387" s="720"/>
      <c r="AL387" s="720"/>
    </row>
    <row r="388" spans="1:96" ht="12.75" customHeight="1">
      <c r="D388" s="12" t="s">
        <v>4</v>
      </c>
      <c r="Q388" s="2240">
        <v>43474</v>
      </c>
      <c r="R388" s="2240"/>
      <c r="S388" s="2240"/>
      <c r="T388" s="2240"/>
      <c r="U388" s="2240"/>
      <c r="V388" s="12" t="s">
        <v>319</v>
      </c>
      <c r="AI388" s="2039" t="s">
        <v>707</v>
      </c>
      <c r="AJ388" s="2039"/>
    </row>
    <row r="389" spans="1:96" ht="12.75" customHeight="1">
      <c r="D389" s="12" t="s">
        <v>5</v>
      </c>
      <c r="Q389" s="2289">
        <v>44375</v>
      </c>
      <c r="R389" s="2381"/>
      <c r="S389" s="2381"/>
      <c r="T389" s="2381"/>
      <c r="U389" s="2381"/>
      <c r="W389" s="33" t="s">
        <v>78</v>
      </c>
      <c r="AG389" s="2037"/>
      <c r="AH389" s="2037"/>
      <c r="AI389" s="2037"/>
      <c r="AJ389" s="2037"/>
    </row>
    <row r="390" spans="1:96" ht="12.75" customHeight="1">
      <c r="D390" s="12" t="s">
        <v>449</v>
      </c>
      <c r="Q390" s="2237">
        <v>420000</v>
      </c>
      <c r="R390" s="2237"/>
      <c r="S390" s="2237"/>
      <c r="T390" s="2237"/>
      <c r="U390" s="2237"/>
      <c r="V390" s="58" t="s">
        <v>1383</v>
      </c>
      <c r="AG390" s="2243">
        <v>44374</v>
      </c>
      <c r="AH390" s="2243"/>
      <c r="AI390" s="2243"/>
      <c r="AJ390" s="2243"/>
    </row>
    <row r="391" spans="1:96" ht="12.75" customHeight="1">
      <c r="D391" s="12" t="s">
        <v>93</v>
      </c>
      <c r="I391" s="2192" t="s">
        <v>2625</v>
      </c>
      <c r="J391" s="2193"/>
      <c r="K391" s="2193"/>
      <c r="L391" s="2193"/>
      <c r="M391" s="2193"/>
      <c r="N391" s="2193"/>
      <c r="Q391" s="57" t="s">
        <v>211</v>
      </c>
      <c r="S391" s="2239"/>
      <c r="T391" s="2239"/>
      <c r="U391" s="2239"/>
      <c r="V391" s="12" t="s">
        <v>77</v>
      </c>
      <c r="AI391" s="2039" t="s">
        <v>707</v>
      </c>
      <c r="AJ391" s="2039"/>
    </row>
    <row r="392" spans="1:96" ht="12.75" customHeight="1">
      <c r="D392" s="12" t="s">
        <v>320</v>
      </c>
      <c r="Q392" s="2014">
        <v>0</v>
      </c>
      <c r="R392" s="2014"/>
      <c r="S392" s="2014"/>
      <c r="T392" s="2014"/>
      <c r="U392" s="2014"/>
      <c r="V392" s="12" t="s">
        <v>321</v>
      </c>
      <c r="AG392" s="2242" t="s">
        <v>2609</v>
      </c>
      <c r="AH392" s="2037"/>
      <c r="AI392" s="2037"/>
      <c r="AJ392" s="2037"/>
    </row>
    <row r="393" spans="1:96" ht="12.75" customHeight="1">
      <c r="D393" s="12" t="s">
        <v>322</v>
      </c>
      <c r="Q393" s="2241">
        <v>0</v>
      </c>
      <c r="R393" s="2241"/>
      <c r="S393" s="2241"/>
      <c r="T393" s="2241"/>
      <c r="U393" s="2241"/>
      <c r="V393" s="720" t="s">
        <v>1360</v>
      </c>
      <c r="AG393" s="2037">
        <v>0</v>
      </c>
      <c r="AH393" s="2037"/>
      <c r="AI393" s="2037"/>
      <c r="AJ393" s="2037"/>
    </row>
    <row r="394" spans="1:96" ht="12.75">
      <c r="D394" s="720" t="s">
        <v>1359</v>
      </c>
      <c r="V394" s="720"/>
      <c r="AG394" s="2037">
        <v>0</v>
      </c>
      <c r="AH394" s="2037"/>
      <c r="AI394" s="2037"/>
      <c r="AJ394" s="2037"/>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39" t="s">
        <v>707</v>
      </c>
      <c r="AJ396" s="2039"/>
      <c r="AM396" s="39"/>
      <c r="AN396" s="39"/>
      <c r="AO396" s="39"/>
      <c r="AP396" s="39"/>
      <c r="AQ396" s="39"/>
      <c r="AR396" s="39"/>
      <c r="AS396" s="39"/>
      <c r="AT396" s="39"/>
      <c r="AU396" s="39"/>
      <c r="AV396" s="39"/>
      <c r="AW396" s="39"/>
      <c r="AX396" s="39"/>
      <c r="AY396" s="39"/>
      <c r="CR396" s="25"/>
    </row>
    <row r="397" spans="1:96" s="720" customFormat="1" ht="12.75">
      <c r="D397" s="58" t="s">
        <v>2038</v>
      </c>
      <c r="T397" s="2088" t="s">
        <v>627</v>
      </c>
      <c r="U397" s="2038"/>
      <c r="V397" s="2038"/>
      <c r="W397" s="2038"/>
      <c r="X397" s="2038"/>
      <c r="Y397" s="2038"/>
      <c r="Z397" s="2038"/>
      <c r="AA397" s="2038"/>
      <c r="AB397" s="2038"/>
      <c r="AC397" s="2038"/>
      <c r="AD397" s="2038"/>
      <c r="AE397" s="2038"/>
      <c r="AF397" s="2038"/>
      <c r="AG397" s="2038"/>
      <c r="AH397" s="2038"/>
      <c r="AI397" s="2038"/>
      <c r="AJ397" s="2038"/>
      <c r="AM397" s="39"/>
      <c r="AN397" s="39"/>
      <c r="AO397" s="39"/>
      <c r="AP397" s="39"/>
      <c r="AQ397" s="39"/>
      <c r="AR397" s="39"/>
      <c r="AS397" s="39"/>
      <c r="AT397" s="39"/>
      <c r="AU397" s="39"/>
      <c r="AV397" s="39"/>
      <c r="AW397" s="39"/>
      <c r="AX397" s="39"/>
      <c r="AY397" s="39"/>
      <c r="CR397" s="25"/>
    </row>
    <row r="398" spans="1:96" s="720" customFormat="1" ht="12.75">
      <c r="D398" s="58" t="s">
        <v>2037</v>
      </c>
      <c r="T398" s="2088" t="s">
        <v>627</v>
      </c>
      <c r="U398" s="2038"/>
      <c r="V398" s="2038"/>
      <c r="W398" s="2038"/>
      <c r="X398" s="2038"/>
      <c r="Y398" s="2038"/>
      <c r="Z398" s="2038"/>
      <c r="AA398" s="2038"/>
      <c r="AB398" s="2038"/>
      <c r="AC398" s="2038"/>
      <c r="AD398" s="2038"/>
      <c r="AE398" s="2038"/>
      <c r="AF398" s="2038"/>
      <c r="AG398" s="2038"/>
      <c r="AH398" s="2038"/>
      <c r="AI398" s="2038"/>
      <c r="AJ398" s="203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38" t="s">
        <v>707</v>
      </c>
      <c r="T400" s="2038"/>
      <c r="U400" s="2038"/>
      <c r="V400" s="480" t="s">
        <v>2031</v>
      </c>
      <c r="W400" s="720"/>
      <c r="X400" s="720"/>
      <c r="Y400" s="720"/>
      <c r="Z400" s="720"/>
      <c r="AA400" s="720"/>
      <c r="AB400" s="39"/>
      <c r="AC400" s="39"/>
      <c r="AD400" s="39"/>
      <c r="AE400" s="39"/>
      <c r="AF400" s="39"/>
      <c r="AG400" s="2074"/>
      <c r="AH400" s="2074"/>
      <c r="AI400" s="2074"/>
      <c r="AJ400" s="2074"/>
      <c r="AK400" s="39"/>
      <c r="AL400" s="720"/>
    </row>
    <row r="401" spans="1:96" s="720" customFormat="1" ht="12.75">
      <c r="D401" s="58" t="s">
        <v>2027</v>
      </c>
      <c r="S401" s="2038" t="s">
        <v>627</v>
      </c>
      <c r="T401" s="2038"/>
      <c r="U401" s="2038"/>
      <c r="V401" s="480" t="s">
        <v>2033</v>
      </c>
      <c r="AB401" s="39"/>
      <c r="AC401" s="39"/>
      <c r="AD401" s="39"/>
      <c r="AE401" s="2045"/>
      <c r="AF401" s="2045"/>
      <c r="AG401" s="2045"/>
      <c r="AH401" s="2045"/>
      <c r="AI401" s="2045"/>
      <c r="AJ401" s="2045"/>
      <c r="AK401" s="39"/>
      <c r="AM401" s="39"/>
      <c r="AN401" s="39"/>
      <c r="AO401" s="39"/>
      <c r="AP401" s="39"/>
      <c r="AQ401" s="39"/>
      <c r="AR401" s="39"/>
      <c r="AS401" s="39"/>
      <c r="AT401" s="39"/>
      <c r="AU401" s="39"/>
      <c r="AV401" s="39"/>
      <c r="AW401" s="39"/>
      <c r="AX401" s="39"/>
      <c r="AY401" s="39"/>
      <c r="CR401" s="25"/>
    </row>
    <row r="402" spans="1:96" s="720" customFormat="1" ht="12.75">
      <c r="D402" s="58" t="s">
        <v>2029</v>
      </c>
      <c r="K402" s="2046"/>
      <c r="L402" s="2046"/>
      <c r="M402" s="2046"/>
      <c r="N402" s="2046"/>
      <c r="O402" s="2046"/>
      <c r="P402" s="2046"/>
      <c r="Q402" s="2046"/>
      <c r="R402" s="2046"/>
      <c r="S402" s="2046"/>
      <c r="T402" s="2046"/>
      <c r="U402" s="2046"/>
      <c r="V402" s="2046"/>
      <c r="W402" s="2046"/>
      <c r="X402" s="2046"/>
      <c r="Y402" s="2046"/>
      <c r="Z402" s="2046"/>
      <c r="AA402" s="2046"/>
      <c r="AB402" s="2046"/>
      <c r="AC402" s="2046"/>
      <c r="AD402" s="2046"/>
      <c r="AE402" s="2046"/>
      <c r="AF402" s="2046"/>
      <c r="AG402" s="2046"/>
      <c r="AH402" s="2046"/>
      <c r="AI402" s="2046"/>
      <c r="AJ402" s="2046"/>
      <c r="AK402" s="39"/>
      <c r="AM402" s="39"/>
      <c r="AN402" s="39"/>
      <c r="AO402" s="39"/>
      <c r="AP402" s="39"/>
      <c r="AQ402" s="39"/>
      <c r="AR402" s="39"/>
      <c r="AS402" s="39"/>
      <c r="AT402" s="39"/>
      <c r="AU402" s="39"/>
      <c r="AV402" s="39"/>
      <c r="AW402" s="39"/>
      <c r="AX402" s="39"/>
      <c r="AY402" s="39"/>
      <c r="CR402" s="25"/>
    </row>
    <row r="403" spans="1:96" s="720" customFormat="1" ht="12.75">
      <c r="D403" s="58" t="s">
        <v>2032</v>
      </c>
      <c r="K403" s="2046"/>
      <c r="L403" s="2046"/>
      <c r="M403" s="2046"/>
      <c r="N403" s="2046"/>
      <c r="O403" s="2046"/>
      <c r="P403" s="2046"/>
      <c r="Q403" s="2046"/>
      <c r="R403" s="2046"/>
      <c r="S403" s="2046"/>
      <c r="T403" s="2046"/>
      <c r="U403" s="2046"/>
      <c r="V403" s="2046"/>
      <c r="W403" s="2046"/>
      <c r="X403" s="2046"/>
      <c r="Y403" s="2046"/>
      <c r="Z403" s="2046"/>
      <c r="AA403" s="2046"/>
      <c r="AB403" s="2046"/>
      <c r="AC403" s="2046"/>
      <c r="AD403" s="2046"/>
      <c r="AE403" s="2046"/>
      <c r="AF403" s="2046"/>
      <c r="AG403" s="2046"/>
      <c r="AH403" s="2046"/>
      <c r="AI403" s="2046"/>
      <c r="AJ403" s="2046"/>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247" t="s">
        <v>1386</v>
      </c>
      <c r="T404" s="2247"/>
      <c r="U404" s="2247"/>
      <c r="V404" s="2247"/>
      <c r="W404" s="2247"/>
      <c r="X404" s="2247"/>
      <c r="Y404" s="2247"/>
      <c r="Z404" s="2247"/>
      <c r="AA404" s="2247"/>
      <c r="AB404" s="2247"/>
      <c r="AC404" s="2247"/>
      <c r="AD404" s="2247"/>
      <c r="AE404" s="2247"/>
      <c r="AF404" s="2247"/>
      <c r="AG404" s="2247"/>
      <c r="AH404" s="2247"/>
      <c r="AI404" s="2247"/>
      <c r="AJ404" s="2247"/>
      <c r="AK404" s="39"/>
      <c r="AL404" s="39"/>
      <c r="AM404" s="39"/>
      <c r="AN404" s="39"/>
      <c r="AO404" s="39"/>
      <c r="AP404" s="39"/>
      <c r="AQ404" s="39"/>
      <c r="AR404" s="39"/>
      <c r="AS404" s="39"/>
      <c r="AT404" s="39"/>
      <c r="AU404" s="39"/>
      <c r="AV404" s="39"/>
      <c r="AW404" s="39"/>
      <c r="AX404" s="39"/>
      <c r="AY404" s="39"/>
      <c r="CR404" s="25"/>
    </row>
    <row r="405" spans="1:96" s="720" customFormat="1" ht="12.75">
      <c r="D405" s="2047" t="s">
        <v>2034</v>
      </c>
      <c r="E405" s="2047"/>
      <c r="F405" s="2047"/>
      <c r="G405" s="2047"/>
      <c r="H405" s="2047"/>
      <c r="I405" s="2047"/>
      <c r="J405" s="2047"/>
      <c r="K405" s="2047"/>
      <c r="L405" s="2047"/>
      <c r="M405" s="2047"/>
      <c r="N405" s="2047"/>
      <c r="O405" s="2047"/>
      <c r="P405" s="2047"/>
      <c r="Q405" s="2047"/>
      <c r="R405" s="2047"/>
      <c r="S405" s="2047"/>
      <c r="T405" s="2047"/>
      <c r="U405" s="2047"/>
      <c r="V405" s="2047"/>
      <c r="W405" s="2047"/>
      <c r="X405" s="2047"/>
      <c r="Y405" s="2047"/>
      <c r="Z405" s="2047"/>
      <c r="AA405" s="2047"/>
      <c r="AB405" s="2047"/>
      <c r="AC405" s="2047"/>
      <c r="AD405" s="2047"/>
      <c r="AE405" s="2047"/>
      <c r="AF405" s="2047"/>
      <c r="AG405" s="2047"/>
      <c r="AH405" s="2047"/>
      <c r="AI405" s="2047"/>
      <c r="AJ405" s="2047"/>
      <c r="AK405" s="39"/>
      <c r="AL405" s="39"/>
      <c r="AM405" s="39"/>
      <c r="AN405" s="39"/>
      <c r="AO405" s="39"/>
      <c r="AP405" s="39"/>
      <c r="AQ405" s="39"/>
      <c r="AR405" s="39"/>
      <c r="AS405" s="39"/>
      <c r="AT405" s="39"/>
      <c r="AU405" s="39"/>
      <c r="AV405" s="39"/>
      <c r="AW405" s="39"/>
      <c r="AX405" s="39"/>
      <c r="AY405" s="39"/>
      <c r="CR405" s="25"/>
    </row>
    <row r="406" spans="1:96" s="720" customFormat="1" ht="12.75">
      <c r="D406" s="2047"/>
      <c r="E406" s="2047"/>
      <c r="F406" s="2047"/>
      <c r="G406" s="2047"/>
      <c r="H406" s="2047"/>
      <c r="I406" s="2047"/>
      <c r="J406" s="2047"/>
      <c r="K406" s="2047"/>
      <c r="L406" s="2047"/>
      <c r="M406" s="2047"/>
      <c r="N406" s="2047"/>
      <c r="O406" s="2047"/>
      <c r="P406" s="2047"/>
      <c r="Q406" s="2047"/>
      <c r="R406" s="2047"/>
      <c r="S406" s="2047"/>
      <c r="T406" s="2047"/>
      <c r="U406" s="2047"/>
      <c r="V406" s="2047"/>
      <c r="W406" s="2047"/>
      <c r="X406" s="2047"/>
      <c r="Y406" s="2047"/>
      <c r="Z406" s="2047"/>
      <c r="AA406" s="2047"/>
      <c r="AB406" s="2047"/>
      <c r="AC406" s="2047"/>
      <c r="AD406" s="2047"/>
      <c r="AE406" s="2047"/>
      <c r="AF406" s="2047"/>
      <c r="AG406" s="2047"/>
      <c r="AH406" s="2047"/>
      <c r="AI406" s="2047"/>
      <c r="AJ406" s="2047"/>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60" t="s">
        <v>2524</v>
      </c>
      <c r="J409" s="2060"/>
      <c r="K409" s="2060"/>
      <c r="L409" s="2060"/>
      <c r="M409" s="2060"/>
      <c r="N409" s="2060"/>
      <c r="O409" s="2060"/>
      <c r="P409" s="2060"/>
      <c r="Q409" s="2060"/>
      <c r="R409" s="2060"/>
      <c r="S409" s="2060"/>
      <c r="T409" s="2060"/>
      <c r="U409" s="2060"/>
      <c r="V409" s="2060"/>
      <c r="W409" s="2060"/>
      <c r="X409" s="2060"/>
      <c r="Y409" s="2060"/>
      <c r="Z409" s="2060"/>
      <c r="AA409" s="2060"/>
      <c r="AB409" s="2060"/>
      <c r="AC409" s="2060"/>
      <c r="AD409" s="2060"/>
      <c r="AE409" s="2060"/>
    </row>
    <row r="410" spans="1:96" ht="12.75" customHeight="1">
      <c r="C410" s="25"/>
      <c r="D410" s="25"/>
      <c r="E410" s="12" t="s">
        <v>111</v>
      </c>
      <c r="F410" s="25"/>
      <c r="G410" s="25"/>
      <c r="H410" s="25"/>
      <c r="I410" s="25"/>
      <c r="J410" s="25"/>
      <c r="K410" s="25"/>
      <c r="L410" s="25"/>
      <c r="M410" s="25"/>
      <c r="N410" s="25"/>
      <c r="O410" s="25"/>
      <c r="P410" s="720"/>
      <c r="Q410" s="720"/>
      <c r="R410" s="2039" t="s">
        <v>627</v>
      </c>
      <c r="S410" s="2039"/>
      <c r="T410" s="12" t="s">
        <v>605</v>
      </c>
      <c r="U410" s="720"/>
      <c r="V410" s="720"/>
      <c r="W410" s="720"/>
      <c r="X410" s="720"/>
      <c r="Y410" s="720"/>
      <c r="Z410" s="720"/>
      <c r="AA410" s="720"/>
      <c r="AB410" s="720"/>
      <c r="AC410" s="720"/>
      <c r="AD410" s="2062"/>
      <c r="AE410" s="2062"/>
      <c r="AF410" s="720"/>
    </row>
    <row r="411" spans="1:96" ht="12.75">
      <c r="C411" s="25"/>
      <c r="E411" s="12" t="s">
        <v>112</v>
      </c>
      <c r="F411" s="720"/>
      <c r="G411" s="720"/>
      <c r="H411" s="720"/>
      <c r="I411" s="720"/>
      <c r="J411" s="720"/>
      <c r="K411" s="720"/>
      <c r="L411" s="720"/>
      <c r="M411" s="720"/>
      <c r="N411" s="25"/>
      <c r="O411" s="25"/>
      <c r="P411" s="720"/>
      <c r="Q411" s="720"/>
      <c r="R411" s="2039" t="s">
        <v>579</v>
      </c>
      <c r="S411" s="2039"/>
      <c r="T411" s="12" t="s">
        <v>605</v>
      </c>
      <c r="U411" s="720"/>
      <c r="V411" s="720"/>
      <c r="W411" s="720"/>
      <c r="X411" s="720"/>
      <c r="Y411" s="720"/>
      <c r="Z411" s="720"/>
      <c r="AA411" s="720"/>
      <c r="AB411" s="720"/>
      <c r="AC411" s="720"/>
      <c r="AD411" s="2062">
        <v>3</v>
      </c>
      <c r="AE411" s="2062"/>
      <c r="AF411" s="720"/>
    </row>
    <row r="412" spans="1:96" ht="12.75" customHeight="1">
      <c r="C412" s="25"/>
      <c r="E412" s="12" t="s">
        <v>113</v>
      </c>
      <c r="F412" s="720"/>
      <c r="G412" s="720"/>
      <c r="H412" s="720"/>
      <c r="I412" s="720"/>
      <c r="J412" s="720"/>
      <c r="K412" s="720"/>
      <c r="L412" s="720"/>
      <c r="M412" s="720"/>
      <c r="N412" s="25"/>
      <c r="O412" s="25"/>
      <c r="P412" s="720"/>
      <c r="Q412" s="720"/>
      <c r="R412" s="720"/>
      <c r="S412" s="2039" t="s">
        <v>627</v>
      </c>
      <c r="T412" s="2039"/>
      <c r="U412" s="720"/>
      <c r="V412" s="720"/>
      <c r="W412" s="720"/>
      <c r="X412" s="720"/>
      <c r="Y412" s="720"/>
      <c r="Z412" s="720"/>
      <c r="AA412" s="720"/>
      <c r="AB412" s="720"/>
      <c r="AC412" s="720"/>
      <c r="AD412" s="720"/>
      <c r="AE412" s="720"/>
      <c r="AF412" s="720"/>
    </row>
    <row r="413" spans="1:96" ht="12.75" customHeight="1">
      <c r="E413" s="12" t="s">
        <v>174</v>
      </c>
      <c r="F413" s="720"/>
      <c r="G413" s="720"/>
      <c r="H413" s="2235" t="s">
        <v>344</v>
      </c>
      <c r="I413" s="2235"/>
      <c r="J413" s="2235"/>
      <c r="K413" s="2235"/>
      <c r="L413" s="2235"/>
      <c r="M413" s="2235"/>
      <c r="N413" s="2235"/>
      <c r="O413" s="2235"/>
      <c r="P413" s="2235"/>
      <c r="Q413" s="2235"/>
      <c r="R413" s="2235"/>
      <c r="S413" s="2235"/>
      <c r="T413" s="2235"/>
      <c r="U413" s="2235"/>
      <c r="V413" s="2235"/>
      <c r="W413" s="2235"/>
      <c r="X413" s="2235"/>
      <c r="Y413" s="2235"/>
      <c r="Z413" s="2235"/>
      <c r="AA413" s="2235"/>
      <c r="AB413" s="2235"/>
      <c r="AC413" s="2235"/>
      <c r="AD413" s="2235"/>
      <c r="AE413" s="2235"/>
      <c r="AF413" s="720"/>
    </row>
    <row r="414" spans="1:96" ht="12.75" customHeight="1">
      <c r="E414" s="25"/>
      <c r="F414" s="720"/>
      <c r="G414" s="720"/>
      <c r="H414" s="2236"/>
      <c r="I414" s="2236"/>
      <c r="J414" s="2236"/>
      <c r="K414" s="2236"/>
      <c r="L414" s="2236"/>
      <c r="M414" s="2236"/>
      <c r="N414" s="2236"/>
      <c r="O414" s="2236"/>
      <c r="P414" s="2236"/>
      <c r="Q414" s="2236"/>
      <c r="R414" s="2236"/>
      <c r="S414" s="2236"/>
      <c r="T414" s="2236"/>
      <c r="U414" s="2236"/>
      <c r="V414" s="2236"/>
      <c r="W414" s="2236"/>
      <c r="X414" s="2236"/>
      <c r="Y414" s="2236"/>
      <c r="Z414" s="2236"/>
      <c r="AA414" s="2236"/>
      <c r="AB414" s="2236"/>
      <c r="AC414" s="2236"/>
      <c r="AD414" s="2236"/>
      <c r="AE414" s="2236"/>
      <c r="AF414" s="720"/>
    </row>
    <row r="415" spans="1:96" ht="12.75" customHeight="1"/>
    <row r="416" spans="1:96" ht="12.75" customHeight="1">
      <c r="A416" s="50" t="s">
        <v>626</v>
      </c>
      <c r="B416" s="50"/>
      <c r="C416" s="50"/>
      <c r="D416" s="50" t="s">
        <v>119</v>
      </c>
      <c r="AF416" s="50" t="s">
        <v>1039</v>
      </c>
    </row>
    <row r="417" spans="1:96" ht="12.75" customHeight="1">
      <c r="E417" s="2061"/>
      <c r="F417" s="2061"/>
      <c r="G417" s="2061"/>
      <c r="H417" s="23" t="s">
        <v>120</v>
      </c>
      <c r="I417" s="2061"/>
      <c r="J417" s="2061"/>
      <c r="K417" s="2061"/>
      <c r="L417" s="12" t="s">
        <v>121</v>
      </c>
      <c r="N417" s="141" t="s">
        <v>611</v>
      </c>
      <c r="P417" s="2238">
        <v>1.48</v>
      </c>
      <c r="Q417" s="2238"/>
      <c r="R417" s="2238"/>
      <c r="S417" s="12" t="s">
        <v>122</v>
      </c>
      <c r="W417" s="2246">
        <f>IF(E417&gt;0,(E417*I417),(P417*43560))</f>
        <v>64468.799999999996</v>
      </c>
      <c r="X417" s="2246"/>
      <c r="Y417" s="2246"/>
      <c r="Z417" s="12" t="s">
        <v>123</v>
      </c>
      <c r="AF417" s="2238">
        <f>AG436/P417</f>
        <v>32.432432432432435</v>
      </c>
      <c r="AG417" s="2238"/>
      <c r="AH417" s="2238"/>
    </row>
    <row r="418" spans="1:96" ht="12.75">
      <c r="E418" s="12" t="s">
        <v>54</v>
      </c>
    </row>
    <row r="419" spans="1:96" ht="12.75" customHeight="1">
      <c r="E419" s="2102"/>
      <c r="F419" s="2102"/>
      <c r="G419" s="2102"/>
      <c r="H419" s="2102"/>
      <c r="I419" s="2102"/>
      <c r="J419" s="2102"/>
      <c r="K419" s="2102"/>
      <c r="L419" s="2102"/>
      <c r="M419" s="2102"/>
      <c r="N419" s="2102"/>
      <c r="O419" s="2102"/>
      <c r="P419" s="2102"/>
      <c r="Q419" s="2102"/>
      <c r="R419" s="2102"/>
      <c r="S419" s="2102"/>
      <c r="T419" s="2102"/>
      <c r="U419" s="2102"/>
      <c r="V419" s="2102"/>
      <c r="W419" s="2102"/>
      <c r="X419" s="2102"/>
      <c r="Y419" s="2102"/>
      <c r="Z419" s="2102"/>
      <c r="AA419" s="2102"/>
      <c r="AB419" s="2102"/>
      <c r="AC419" s="2102"/>
      <c r="AD419" s="2102"/>
      <c r="AE419" s="2102"/>
      <c r="AF419" s="2102"/>
      <c r="AG419" s="2102"/>
      <c r="AH419" s="2102"/>
      <c r="AI419" s="2102"/>
      <c r="AJ419" s="2102"/>
    </row>
    <row r="420" spans="1:96" s="39" customFormat="1" ht="12.75" customHeight="1">
      <c r="E420" s="254" t="s">
        <v>2250</v>
      </c>
      <c r="F420" s="1825"/>
      <c r="G420" s="1825"/>
      <c r="H420" s="1825"/>
      <c r="I420" s="2520">
        <v>1.48</v>
      </c>
      <c r="J420" s="2520"/>
      <c r="K420" s="2520"/>
      <c r="L420" s="1825"/>
      <c r="M420" s="254"/>
      <c r="N420" s="1825"/>
      <c r="O420" s="1825"/>
      <c r="P420" s="2521">
        <f>(CM636+CS644+CS661)/I420</f>
        <v>32.432432432432435</v>
      </c>
      <c r="Q420" s="2521"/>
      <c r="R420" s="2521"/>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39">
        <v>2</v>
      </c>
      <c r="Q423" s="2039"/>
      <c r="S423" s="12" t="s">
        <v>194</v>
      </c>
      <c r="AE423" s="2039">
        <v>2</v>
      </c>
      <c r="AF423" s="2039"/>
    </row>
    <row r="424" spans="1:96" ht="12.75">
      <c r="E424" s="12" t="s">
        <v>195</v>
      </c>
      <c r="P424" s="2039">
        <v>1</v>
      </c>
      <c r="Q424" s="2039"/>
      <c r="S424" s="12" t="s">
        <v>136</v>
      </c>
      <c r="AE424" s="2039" t="s">
        <v>627</v>
      </c>
      <c r="AF424" s="2039"/>
    </row>
    <row r="425" spans="1:96" ht="12.75">
      <c r="F425" s="67" t="s">
        <v>137</v>
      </c>
    </row>
    <row r="426" spans="1:96" ht="12.75">
      <c r="F426" s="2103"/>
      <c r="G426" s="2103"/>
      <c r="H426" s="2103"/>
      <c r="I426" s="2103"/>
      <c r="J426" s="2103"/>
      <c r="K426" s="2103"/>
      <c r="L426" s="2103"/>
      <c r="M426" s="2103"/>
      <c r="N426" s="2103"/>
      <c r="O426" s="2103"/>
      <c r="P426" s="2103"/>
      <c r="Q426" s="2103"/>
      <c r="R426" s="2103"/>
      <c r="S426" s="2103"/>
      <c r="T426" s="2103"/>
      <c r="U426" s="2103"/>
      <c r="V426" s="2103"/>
      <c r="W426" s="2103"/>
      <c r="X426" s="2103"/>
      <c r="Y426" s="2103"/>
      <c r="Z426" s="2103"/>
      <c r="AA426" s="2103"/>
      <c r="AB426" s="2103"/>
      <c r="AC426" s="2103"/>
      <c r="AD426" s="2103"/>
      <c r="AE426" s="2103"/>
      <c r="AF426" s="2103"/>
      <c r="AG426" s="2103"/>
      <c r="AH426" s="2103"/>
    </row>
    <row r="427" spans="1:96" ht="12.75" customHeight="1">
      <c r="F427" s="2104"/>
      <c r="G427" s="2104"/>
      <c r="H427" s="2104"/>
      <c r="I427" s="2104"/>
      <c r="J427" s="2104"/>
      <c r="K427" s="2104"/>
      <c r="L427" s="2104"/>
      <c r="M427" s="2104"/>
      <c r="N427" s="2104"/>
      <c r="O427" s="2104"/>
      <c r="P427" s="2104"/>
      <c r="Q427" s="2104"/>
      <c r="R427" s="2104"/>
      <c r="S427" s="2104"/>
      <c r="T427" s="2104"/>
      <c r="U427" s="2104"/>
      <c r="V427" s="2104"/>
      <c r="W427" s="2104"/>
      <c r="X427" s="2104"/>
      <c r="Y427" s="2104"/>
      <c r="Z427" s="2104"/>
      <c r="AA427" s="2104"/>
      <c r="AB427" s="2104"/>
      <c r="AC427" s="2104"/>
      <c r="AD427" s="2104"/>
      <c r="AE427" s="2104"/>
      <c r="AF427" s="2104"/>
      <c r="AG427" s="2104"/>
      <c r="AH427" s="2104"/>
    </row>
    <row r="428" spans="1:96" ht="12.75" customHeight="1">
      <c r="E428" s="12" t="s">
        <v>644</v>
      </c>
      <c r="N428" s="39"/>
      <c r="O428" s="39"/>
      <c r="P428" s="235"/>
      <c r="Q428" s="2039" t="s">
        <v>579</v>
      </c>
      <c r="R428" s="2039"/>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9" t="s">
        <v>627</v>
      </c>
      <c r="AG429" s="2069"/>
    </row>
    <row r="430" spans="1:96" ht="12.75" customHeight="1">
      <c r="S430" s="25"/>
      <c r="T430" s="25"/>
    </row>
    <row r="431" spans="1:96" ht="12.75" customHeight="1">
      <c r="A431" s="50"/>
      <c r="B431" s="50"/>
      <c r="C431" s="50"/>
      <c r="E431" s="7" t="s">
        <v>318</v>
      </c>
      <c r="Z431" s="2039" t="s">
        <v>707</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9" t="s">
        <v>627</v>
      </c>
      <c r="AA433" s="2039"/>
    </row>
    <row r="434" spans="1:110" ht="12.75" customHeight="1"/>
    <row r="435" spans="1:110" ht="12.75" customHeight="1">
      <c r="A435" s="50" t="s">
        <v>501</v>
      </c>
      <c r="B435" s="50"/>
      <c r="C435" s="50"/>
      <c r="D435" s="50" t="s">
        <v>825</v>
      </c>
      <c r="AF435" s="80"/>
    </row>
    <row r="436" spans="1:110" ht="12.75" customHeight="1">
      <c r="D436" s="2123" t="s">
        <v>46</v>
      </c>
      <c r="E436" s="2041"/>
      <c r="F436" s="2041"/>
      <c r="G436" s="2041"/>
      <c r="H436" s="2041"/>
      <c r="I436" s="2041"/>
      <c r="J436" s="2041"/>
      <c r="K436" s="2041"/>
      <c r="L436" s="2041"/>
      <c r="M436" s="2041"/>
      <c r="N436" s="2041"/>
      <c r="O436" s="2041"/>
      <c r="P436" s="2041"/>
      <c r="Q436" s="2041"/>
      <c r="R436" s="2041"/>
      <c r="S436" s="2041"/>
      <c r="T436" s="2041"/>
      <c r="U436" s="2041"/>
      <c r="V436" s="2041"/>
      <c r="W436" s="2041"/>
      <c r="X436" s="2041"/>
      <c r="Y436" s="2041"/>
      <c r="Z436" s="2041"/>
      <c r="AA436" s="2041"/>
      <c r="AB436" s="2041"/>
      <c r="AC436" s="2041"/>
      <c r="AD436" s="2041"/>
      <c r="AE436" s="2041"/>
      <c r="AF436" s="2042"/>
      <c r="AG436" s="2027">
        <v>48</v>
      </c>
      <c r="AH436" s="2027"/>
      <c r="AI436" s="2027"/>
      <c r="AJ436" s="2027"/>
    </row>
    <row r="437" spans="1:110" ht="12.75" customHeight="1">
      <c r="D437" s="2040" t="s">
        <v>1443</v>
      </c>
      <c r="E437" s="2054"/>
      <c r="F437" s="2054"/>
      <c r="G437" s="2054"/>
      <c r="H437" s="2054"/>
      <c r="I437" s="2054"/>
      <c r="J437" s="2054"/>
      <c r="K437" s="2054"/>
      <c r="L437" s="2054"/>
      <c r="M437" s="2054"/>
      <c r="N437" s="2054"/>
      <c r="O437" s="2054"/>
      <c r="P437" s="2054"/>
      <c r="Q437" s="2054"/>
      <c r="R437" s="2054"/>
      <c r="S437" s="2054"/>
      <c r="T437" s="2054"/>
      <c r="U437" s="2054"/>
      <c r="V437" s="2054"/>
      <c r="W437" s="2054"/>
      <c r="X437" s="2054"/>
      <c r="Y437" s="2054"/>
      <c r="Z437" s="2054"/>
      <c r="AA437" s="2054"/>
      <c r="AB437" s="2054"/>
      <c r="AC437" s="2054"/>
      <c r="AD437" s="2054"/>
      <c r="AE437" s="2054"/>
      <c r="AF437" s="2055"/>
      <c r="AG437" s="2056">
        <v>0</v>
      </c>
      <c r="AH437" s="2057"/>
      <c r="AI437" s="2057"/>
      <c r="AJ437" s="2057"/>
    </row>
    <row r="438" spans="1:110" ht="12.75" customHeight="1">
      <c r="D438" s="2040" t="s">
        <v>1147</v>
      </c>
      <c r="E438" s="2054"/>
      <c r="F438" s="2054"/>
      <c r="G438" s="2054"/>
      <c r="H438" s="2054"/>
      <c r="I438" s="2054"/>
      <c r="J438" s="2054"/>
      <c r="K438" s="2054"/>
      <c r="L438" s="2054"/>
      <c r="M438" s="2054"/>
      <c r="N438" s="2054"/>
      <c r="O438" s="2054"/>
      <c r="P438" s="2054"/>
      <c r="Q438" s="2054"/>
      <c r="R438" s="2054"/>
      <c r="S438" s="2054"/>
      <c r="T438" s="2054"/>
      <c r="U438" s="2054"/>
      <c r="V438" s="2054"/>
      <c r="W438" s="2054"/>
      <c r="X438" s="2054"/>
      <c r="Y438" s="2054"/>
      <c r="Z438" s="2054"/>
      <c r="AA438" s="2054"/>
      <c r="AB438" s="2054"/>
      <c r="AC438" s="2054"/>
      <c r="AD438" s="2054"/>
      <c r="AE438" s="2054"/>
      <c r="AF438" s="2055"/>
      <c r="AG438" s="2027">
        <v>47</v>
      </c>
      <c r="AH438" s="2027"/>
      <c r="AI438" s="2027"/>
      <c r="AJ438" s="2027"/>
    </row>
    <row r="439" spans="1:110" ht="12.75" customHeight="1">
      <c r="D439" s="2040" t="s">
        <v>1148</v>
      </c>
      <c r="E439" s="2054"/>
      <c r="F439" s="2054"/>
      <c r="G439" s="2054"/>
      <c r="H439" s="2054"/>
      <c r="I439" s="2054"/>
      <c r="J439" s="2054"/>
      <c r="K439" s="2054"/>
      <c r="L439" s="2054"/>
      <c r="M439" s="2054"/>
      <c r="N439" s="2054"/>
      <c r="O439" s="2054"/>
      <c r="P439" s="2054"/>
      <c r="Q439" s="2054"/>
      <c r="R439" s="2054"/>
      <c r="S439" s="2054"/>
      <c r="T439" s="2054"/>
      <c r="U439" s="2054"/>
      <c r="V439" s="2054"/>
      <c r="W439" s="2054"/>
      <c r="X439" s="2054"/>
      <c r="Y439" s="2054"/>
      <c r="Z439" s="2054"/>
      <c r="AA439" s="2054"/>
      <c r="AB439" s="2054"/>
      <c r="AC439" s="2054"/>
      <c r="AD439" s="2054"/>
      <c r="AE439" s="2054"/>
      <c r="AF439" s="2055"/>
      <c r="AG439" s="2027">
        <v>47</v>
      </c>
      <c r="AH439" s="2027"/>
      <c r="AI439" s="2027"/>
      <c r="AJ439" s="2027"/>
    </row>
    <row r="440" spans="1:110" ht="12.75" customHeight="1">
      <c r="D440" s="2040" t="s">
        <v>1150</v>
      </c>
      <c r="E440" s="2054"/>
      <c r="F440" s="2054"/>
      <c r="G440" s="2054"/>
      <c r="H440" s="2054"/>
      <c r="I440" s="2054"/>
      <c r="J440" s="2054"/>
      <c r="K440" s="2054"/>
      <c r="L440" s="2054"/>
      <c r="M440" s="2054"/>
      <c r="N440" s="2054"/>
      <c r="O440" s="2054"/>
      <c r="P440" s="2054"/>
      <c r="Q440" s="2054"/>
      <c r="R440" s="2054"/>
      <c r="S440" s="2054"/>
      <c r="T440" s="2054"/>
      <c r="U440" s="2054"/>
      <c r="V440" s="2054"/>
      <c r="W440" s="2054"/>
      <c r="X440" s="2054"/>
      <c r="Y440" s="2054"/>
      <c r="Z440" s="2054"/>
      <c r="AA440" s="2054"/>
      <c r="AB440" s="2054"/>
      <c r="AC440" s="2054"/>
      <c r="AD440" s="2054"/>
      <c r="AE440" s="2054"/>
      <c r="AF440" s="2055"/>
      <c r="AG440" s="2043">
        <f>IF(ISERROR(AG439/AG438),"",AG439/AG438)</f>
        <v>1</v>
      </c>
      <c r="AH440" s="2043"/>
      <c r="AI440" s="2043"/>
      <c r="AJ440" s="2043"/>
    </row>
    <row r="441" spans="1:110" ht="12.75" customHeight="1">
      <c r="D441" s="2040" t="s">
        <v>1149</v>
      </c>
      <c r="E441" s="2054"/>
      <c r="F441" s="2054"/>
      <c r="G441" s="2054"/>
      <c r="H441" s="2054"/>
      <c r="I441" s="2054"/>
      <c r="J441" s="2054"/>
      <c r="K441" s="2054"/>
      <c r="L441" s="2054"/>
      <c r="M441" s="2054"/>
      <c r="N441" s="2054"/>
      <c r="O441" s="2054"/>
      <c r="P441" s="2054"/>
      <c r="Q441" s="2054"/>
      <c r="R441" s="2054"/>
      <c r="S441" s="2054"/>
      <c r="T441" s="2054"/>
      <c r="U441" s="2054"/>
      <c r="V441" s="2054"/>
      <c r="W441" s="2054"/>
      <c r="X441" s="2054"/>
      <c r="Y441" s="2054"/>
      <c r="Z441" s="2054"/>
      <c r="AA441" s="2054"/>
      <c r="AB441" s="2054"/>
      <c r="AC441" s="2054"/>
      <c r="AD441" s="2054"/>
      <c r="AE441" s="2054"/>
      <c r="AF441" s="2055"/>
      <c r="AG441" s="2044">
        <v>49505</v>
      </c>
      <c r="AH441" s="2044"/>
      <c r="AI441" s="2044"/>
      <c r="AJ441" s="2044"/>
    </row>
    <row r="442" spans="1:110" ht="12.75" customHeight="1">
      <c r="D442" s="2040" t="s">
        <v>1151</v>
      </c>
      <c r="E442" s="2054"/>
      <c r="F442" s="2054"/>
      <c r="G442" s="2054"/>
      <c r="H442" s="2054"/>
      <c r="I442" s="2054"/>
      <c r="J442" s="2054"/>
      <c r="K442" s="2054"/>
      <c r="L442" s="2054"/>
      <c r="M442" s="2054"/>
      <c r="N442" s="2054"/>
      <c r="O442" s="2054"/>
      <c r="P442" s="2054"/>
      <c r="Q442" s="2054"/>
      <c r="R442" s="2054"/>
      <c r="S442" s="2054"/>
      <c r="T442" s="2054"/>
      <c r="U442" s="2054"/>
      <c r="V442" s="2054"/>
      <c r="W442" s="2054"/>
      <c r="X442" s="2054"/>
      <c r="Y442" s="2054"/>
      <c r="Z442" s="2054"/>
      <c r="AA442" s="2054"/>
      <c r="AB442" s="2054"/>
      <c r="AC442" s="2054"/>
      <c r="AD442" s="2054"/>
      <c r="AE442" s="2054"/>
      <c r="AF442" s="2055"/>
      <c r="AG442" s="2044">
        <v>49505</v>
      </c>
      <c r="AH442" s="2044"/>
      <c r="AI442" s="2044"/>
      <c r="AJ442" s="2044"/>
    </row>
    <row r="443" spans="1:110" ht="12.75" customHeight="1">
      <c r="D443" s="2040" t="s">
        <v>1152</v>
      </c>
      <c r="E443" s="2054"/>
      <c r="F443" s="2054"/>
      <c r="G443" s="2054"/>
      <c r="H443" s="2054"/>
      <c r="I443" s="2054"/>
      <c r="J443" s="2054"/>
      <c r="K443" s="2054"/>
      <c r="L443" s="2054"/>
      <c r="M443" s="2054"/>
      <c r="N443" s="2054"/>
      <c r="O443" s="2054"/>
      <c r="P443" s="2054"/>
      <c r="Q443" s="2054"/>
      <c r="R443" s="2054"/>
      <c r="S443" s="2054"/>
      <c r="T443" s="2054"/>
      <c r="U443" s="2054"/>
      <c r="V443" s="2054"/>
      <c r="W443" s="2054"/>
      <c r="X443" s="2054"/>
      <c r="Y443" s="2054"/>
      <c r="Z443" s="2054"/>
      <c r="AA443" s="2054"/>
      <c r="AB443" s="2054"/>
      <c r="AC443" s="2054"/>
      <c r="AD443" s="2054"/>
      <c r="AE443" s="2054"/>
      <c r="AF443" s="2055"/>
      <c r="AG443" s="2043">
        <f>IF(ISERROR(AG442/AG441),"",AG442/AG441)</f>
        <v>1</v>
      </c>
      <c r="AH443" s="2043"/>
      <c r="AI443" s="2043"/>
      <c r="AJ443" s="2043"/>
    </row>
    <row r="444" spans="1:110" ht="12.75" customHeight="1">
      <c r="D444" s="2040" t="s">
        <v>1153</v>
      </c>
      <c r="E444" s="2054"/>
      <c r="F444" s="2054"/>
      <c r="G444" s="2054"/>
      <c r="H444" s="2054"/>
      <c r="I444" s="2054"/>
      <c r="J444" s="2054"/>
      <c r="K444" s="2054"/>
      <c r="L444" s="2054"/>
      <c r="M444" s="2054"/>
      <c r="N444" s="2054"/>
      <c r="O444" s="2054"/>
      <c r="P444" s="2054"/>
      <c r="Q444" s="2054"/>
      <c r="R444" s="2054"/>
      <c r="S444" s="2054"/>
      <c r="T444" s="2054"/>
      <c r="U444" s="2054"/>
      <c r="V444" s="2054"/>
      <c r="W444" s="2054"/>
      <c r="X444" s="2054"/>
      <c r="Y444" s="2054"/>
      <c r="Z444" s="2054"/>
      <c r="AA444" s="2054"/>
      <c r="AB444" s="2054"/>
      <c r="AC444" s="2054"/>
      <c r="AD444" s="2054"/>
      <c r="AE444" s="2054"/>
      <c r="AF444" s="2055"/>
      <c r="AG444" s="2043">
        <f>MIN(IF(AG440&gt;AG443,AG443,AG440),1)</f>
        <v>1</v>
      </c>
      <c r="AH444" s="2043"/>
      <c r="AI444" s="2043"/>
      <c r="AJ444" s="2043"/>
    </row>
    <row r="445" spans="1:110" ht="12.75" customHeight="1">
      <c r="D445" s="2040" t="s">
        <v>1418</v>
      </c>
      <c r="E445" s="2041"/>
      <c r="F445" s="2041"/>
      <c r="G445" s="2041"/>
      <c r="H445" s="2041"/>
      <c r="I445" s="2041"/>
      <c r="J445" s="2041"/>
      <c r="K445" s="2041"/>
      <c r="L445" s="2041"/>
      <c r="M445" s="2041"/>
      <c r="N445" s="2041"/>
      <c r="O445" s="2041"/>
      <c r="P445" s="2041"/>
      <c r="Q445" s="2041"/>
      <c r="R445" s="2041"/>
      <c r="S445" s="2041"/>
      <c r="T445" s="2041"/>
      <c r="U445" s="2041"/>
      <c r="V445" s="2041"/>
      <c r="W445" s="2041"/>
      <c r="X445" s="2041"/>
      <c r="Y445" s="2041"/>
      <c r="Z445" s="2041"/>
      <c r="AA445" s="2041"/>
      <c r="AB445" s="2041"/>
      <c r="AC445" s="2041"/>
      <c r="AD445" s="2041"/>
      <c r="AE445" s="2041"/>
      <c r="AF445" s="2042"/>
      <c r="AG445" s="2044">
        <v>2328</v>
      </c>
      <c r="AH445" s="2044"/>
      <c r="AI445" s="2044"/>
      <c r="AJ445" s="2044"/>
    </row>
    <row r="446" spans="1:110" ht="12.75" customHeight="1">
      <c r="D446" s="2123" t="s">
        <v>603</v>
      </c>
      <c r="E446" s="2041"/>
      <c r="F446" s="2041"/>
      <c r="G446" s="2041"/>
      <c r="H446" s="2041"/>
      <c r="I446" s="2041"/>
      <c r="J446" s="2041"/>
      <c r="K446" s="2041"/>
      <c r="L446" s="2041"/>
      <c r="M446" s="2041"/>
      <c r="N446" s="2041"/>
      <c r="O446" s="2041"/>
      <c r="P446" s="2041"/>
      <c r="Q446" s="2041"/>
      <c r="R446" s="2041"/>
      <c r="S446" s="2041"/>
      <c r="T446" s="2041"/>
      <c r="U446" s="2041"/>
      <c r="V446" s="2041"/>
      <c r="W446" s="2041"/>
      <c r="X446" s="2041"/>
      <c r="Y446" s="2041"/>
      <c r="Z446" s="2041"/>
      <c r="AA446" s="2041"/>
      <c r="AB446" s="2041"/>
      <c r="AC446" s="2041"/>
      <c r="AD446" s="2041"/>
      <c r="AE446" s="2041"/>
      <c r="AF446" s="2042"/>
      <c r="AG446" s="2044">
        <v>0</v>
      </c>
      <c r="AH446" s="2044"/>
      <c r="AI446" s="2044"/>
      <c r="AJ446" s="20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40" t="s">
        <v>1419</v>
      </c>
      <c r="E447" s="2041"/>
      <c r="F447" s="2041"/>
      <c r="G447" s="2041"/>
      <c r="H447" s="2041"/>
      <c r="I447" s="2041"/>
      <c r="J447" s="2041"/>
      <c r="K447" s="2041"/>
      <c r="L447" s="2041"/>
      <c r="M447" s="2041"/>
      <c r="N447" s="2041"/>
      <c r="O447" s="2041"/>
      <c r="P447" s="2041"/>
      <c r="Q447" s="2041"/>
      <c r="R447" s="2041"/>
      <c r="S447" s="2041"/>
      <c r="T447" s="2041"/>
      <c r="U447" s="2041"/>
      <c r="V447" s="2041"/>
      <c r="W447" s="2041"/>
      <c r="X447" s="2041"/>
      <c r="Y447" s="2041"/>
      <c r="Z447" s="2041"/>
      <c r="AA447" s="2041"/>
      <c r="AB447" s="2041"/>
      <c r="AC447" s="2041"/>
      <c r="AD447" s="2041"/>
      <c r="AE447" s="2041"/>
      <c r="AF447" s="2042"/>
      <c r="AG447" s="2044">
        <v>12481</v>
      </c>
      <c r="AH447" s="2044"/>
      <c r="AI447" s="2044"/>
      <c r="AJ447" s="20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40" t="s">
        <v>1154</v>
      </c>
      <c r="E448" s="2041"/>
      <c r="F448" s="2041"/>
      <c r="G448" s="2041"/>
      <c r="H448" s="2041"/>
      <c r="I448" s="2041"/>
      <c r="J448" s="2041"/>
      <c r="K448" s="2041"/>
      <c r="L448" s="2041"/>
      <c r="M448" s="2041"/>
      <c r="N448" s="2041"/>
      <c r="O448" s="2041"/>
      <c r="P448" s="2041"/>
      <c r="Q448" s="2041"/>
      <c r="R448" s="2041"/>
      <c r="S448" s="2041"/>
      <c r="T448" s="2041"/>
      <c r="U448" s="2041"/>
      <c r="V448" s="2041"/>
      <c r="W448" s="2041"/>
      <c r="X448" s="2041"/>
      <c r="Y448" s="2041"/>
      <c r="Z448" s="2041"/>
      <c r="AA448" s="2041"/>
      <c r="AB448" s="2041"/>
      <c r="AC448" s="2041"/>
      <c r="AD448" s="2041"/>
      <c r="AE448" s="2041"/>
      <c r="AF448" s="2042"/>
      <c r="AG448" s="2044">
        <v>0</v>
      </c>
      <c r="AH448" s="2044"/>
      <c r="AI448" s="2044"/>
      <c r="AJ448" s="20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7" t="s">
        <v>1155</v>
      </c>
      <c r="E449" s="2188"/>
      <c r="F449" s="2188"/>
      <c r="G449" s="2188"/>
      <c r="H449" s="2188"/>
      <c r="I449" s="2188"/>
      <c r="J449" s="2188"/>
      <c r="K449" s="2188"/>
      <c r="L449" s="2188"/>
      <c r="M449" s="2188"/>
      <c r="N449" s="2188"/>
      <c r="O449" s="2188"/>
      <c r="P449" s="2188"/>
      <c r="Q449" s="2188"/>
      <c r="R449" s="2188"/>
      <c r="S449" s="2188"/>
      <c r="T449" s="2188"/>
      <c r="U449" s="2188"/>
      <c r="V449" s="2188"/>
      <c r="W449" s="2188"/>
      <c r="X449" s="2188"/>
      <c r="Y449" s="2188"/>
      <c r="Z449" s="2188"/>
      <c r="AA449" s="2188"/>
      <c r="AB449" s="2188"/>
      <c r="AC449" s="2188"/>
      <c r="AD449" s="2188"/>
      <c r="AE449" s="2188"/>
      <c r="AF449" s="2189"/>
      <c r="AG449" s="2085">
        <f>AG441+AG445+AG447+AG448</f>
        <v>64314</v>
      </c>
      <c r="AH449" s="2085"/>
      <c r="AI449" s="2085"/>
      <c r="AJ449" s="208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90" t="s">
        <v>1420</v>
      </c>
      <c r="E450" s="2190"/>
      <c r="F450" s="2190"/>
      <c r="G450" s="2190"/>
      <c r="H450" s="2190"/>
      <c r="I450" s="2190"/>
      <c r="J450" s="2190"/>
      <c r="K450" s="2190"/>
      <c r="L450" s="2190"/>
      <c r="M450" s="2190"/>
      <c r="N450" s="2190"/>
      <c r="O450" s="2190"/>
      <c r="P450" s="2190"/>
      <c r="Q450" s="2190"/>
      <c r="R450" s="2190"/>
      <c r="S450" s="2190"/>
      <c r="T450" s="2190"/>
      <c r="U450" s="2190"/>
      <c r="V450" s="2190"/>
      <c r="W450" s="2190"/>
      <c r="X450" s="2190"/>
      <c r="Y450" s="2190"/>
      <c r="Z450" s="2190"/>
      <c r="AA450" s="2190"/>
      <c r="AB450" s="2190"/>
      <c r="AC450" s="2190"/>
      <c r="AD450" s="2190"/>
      <c r="AE450" s="2190"/>
      <c r="AF450" s="2190"/>
      <c r="AG450" s="2190"/>
      <c r="AH450" s="2190"/>
      <c r="AI450" s="2190"/>
      <c r="AJ450" s="21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91"/>
      <c r="E451" s="2191"/>
      <c r="F451" s="2191"/>
      <c r="G451" s="2191"/>
      <c r="H451" s="2191"/>
      <c r="I451" s="2191"/>
      <c r="J451" s="2191"/>
      <c r="K451" s="2191"/>
      <c r="L451" s="2191"/>
      <c r="M451" s="2191"/>
      <c r="N451" s="2191"/>
      <c r="O451" s="2191"/>
      <c r="P451" s="2191"/>
      <c r="Q451" s="2191"/>
      <c r="R451" s="2191"/>
      <c r="S451" s="2191"/>
      <c r="T451" s="2191"/>
      <c r="U451" s="2191"/>
      <c r="V451" s="2191"/>
      <c r="W451" s="2191"/>
      <c r="X451" s="2191"/>
      <c r="Y451" s="2191"/>
      <c r="Z451" s="2191"/>
      <c r="AA451" s="2191"/>
      <c r="AB451" s="2191"/>
      <c r="AC451" s="2191"/>
      <c r="AD451" s="2191"/>
      <c r="AE451" s="2191"/>
      <c r="AF451" s="2191"/>
      <c r="AG451" s="2191"/>
      <c r="AH451" s="2191"/>
      <c r="AI451" s="2191"/>
      <c r="AJ451" s="21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5">
        <f>'Sources and Uses Budget'!B105/Application!AG436</f>
        <v>519290.6875</v>
      </c>
      <c r="AD453" s="2075"/>
      <c r="AE453" s="2075"/>
      <c r="AF453" s="207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5">
        <f>'Sources and Uses Budget'!C105/Application!AG436</f>
        <v>519290.6875</v>
      </c>
      <c r="AD454" s="2075"/>
      <c r="AE454" s="2075"/>
      <c r="AF454" s="207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5">
        <f>('Sources and Uses Budget'!$S$107+'Sources and Uses Budget'!$T$107)/Application!AG436</f>
        <v>473702.75</v>
      </c>
      <c r="AD455" s="2075"/>
      <c r="AE455" s="2075"/>
      <c r="AF455" s="207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6" t="s">
        <v>734</v>
      </c>
      <c r="E464" s="2067"/>
      <c r="F464" s="2067"/>
      <c r="G464" s="2067"/>
      <c r="H464" s="2067"/>
      <c r="I464" s="2067"/>
      <c r="J464" s="2067"/>
      <c r="K464" s="2067"/>
      <c r="L464" s="2067"/>
      <c r="M464" s="2067"/>
      <c r="N464" s="2067"/>
      <c r="O464" s="2067"/>
      <c r="P464" s="2067"/>
      <c r="Q464" s="2067"/>
      <c r="R464" s="2067"/>
      <c r="S464" s="2067"/>
      <c r="T464" s="2067"/>
      <c r="U464" s="2067"/>
      <c r="V464" s="2068"/>
      <c r="W464" s="2081">
        <v>0</v>
      </c>
      <c r="X464" s="2082"/>
      <c r="Y464" s="20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6" t="s">
        <v>735</v>
      </c>
      <c r="E465" s="2067"/>
      <c r="F465" s="2067"/>
      <c r="G465" s="2067"/>
      <c r="H465" s="2067"/>
      <c r="I465" s="2067"/>
      <c r="J465" s="2067"/>
      <c r="K465" s="2067"/>
      <c r="L465" s="2067"/>
      <c r="M465" s="2067"/>
      <c r="N465" s="2067"/>
      <c r="O465" s="2067"/>
      <c r="P465" s="2067"/>
      <c r="Q465" s="2067"/>
      <c r="R465" s="2067"/>
      <c r="S465" s="2067"/>
      <c r="T465" s="2067"/>
      <c r="U465" s="2067"/>
      <c r="V465" s="2068"/>
      <c r="W465" s="2081">
        <v>0</v>
      </c>
      <c r="X465" s="2082"/>
      <c r="Y465" s="20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6" t="s">
        <v>736</v>
      </c>
      <c r="E466" s="2067"/>
      <c r="F466" s="2067"/>
      <c r="G466" s="2067"/>
      <c r="H466" s="2067"/>
      <c r="I466" s="2067"/>
      <c r="J466" s="2067"/>
      <c r="K466" s="2067"/>
      <c r="L466" s="2067"/>
      <c r="M466" s="2067"/>
      <c r="N466" s="2067"/>
      <c r="O466" s="2067"/>
      <c r="P466" s="2067"/>
      <c r="Q466" s="2067"/>
      <c r="R466" s="2067"/>
      <c r="S466" s="2067"/>
      <c r="T466" s="2067"/>
      <c r="U466" s="2067"/>
      <c r="V466" s="2068"/>
      <c r="W466" s="2081">
        <v>0</v>
      </c>
      <c r="X466" s="2082"/>
      <c r="Y466" s="20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6" t="s">
        <v>737</v>
      </c>
      <c r="E467" s="2067"/>
      <c r="F467" s="2067"/>
      <c r="G467" s="2067"/>
      <c r="H467" s="2067"/>
      <c r="I467" s="2067"/>
      <c r="J467" s="2067"/>
      <c r="K467" s="2067"/>
      <c r="L467" s="2067"/>
      <c r="M467" s="2067"/>
      <c r="N467" s="2067"/>
      <c r="O467" s="2067"/>
      <c r="P467" s="2067"/>
      <c r="Q467" s="2067"/>
      <c r="R467" s="2067"/>
      <c r="S467" s="2067"/>
      <c r="T467" s="2067"/>
      <c r="U467" s="2067"/>
      <c r="V467" s="2068"/>
      <c r="W467" s="2081">
        <v>0</v>
      </c>
      <c r="X467" s="2082"/>
      <c r="Y467" s="20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6" t="s">
        <v>949</v>
      </c>
      <c r="E468" s="2067"/>
      <c r="F468" s="2067"/>
      <c r="G468" s="2067"/>
      <c r="H468" s="2067"/>
      <c r="I468" s="2067"/>
      <c r="J468" s="2067"/>
      <c r="K468" s="2067"/>
      <c r="L468" s="2067"/>
      <c r="M468" s="2067"/>
      <c r="N468" s="2067"/>
      <c r="O468" s="2067"/>
      <c r="P468" s="2067"/>
      <c r="Q468" s="2067"/>
      <c r="R468" s="2067"/>
      <c r="S468" s="2067"/>
      <c r="T468" s="2067"/>
      <c r="U468" s="2067"/>
      <c r="V468" s="2068"/>
      <c r="W468" s="2081">
        <v>0</v>
      </c>
      <c r="X468" s="2082"/>
      <c r="Y468" s="20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6" t="s">
        <v>738</v>
      </c>
      <c r="E469" s="2067"/>
      <c r="F469" s="2067"/>
      <c r="G469" s="2067"/>
      <c r="H469" s="2067"/>
      <c r="I469" s="2067"/>
      <c r="J469" s="2067"/>
      <c r="K469" s="2067"/>
      <c r="L469" s="2067"/>
      <c r="M469" s="2067"/>
      <c r="N469" s="2067"/>
      <c r="O469" s="2067"/>
      <c r="P469" s="2067"/>
      <c r="Q469" s="2067"/>
      <c r="R469" s="2067"/>
      <c r="S469" s="2067"/>
      <c r="T469" s="2067"/>
      <c r="U469" s="2067"/>
      <c r="V469" s="2068"/>
      <c r="W469" s="2081">
        <v>0</v>
      </c>
      <c r="X469" s="2082"/>
      <c r="Y469" s="20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6" t="s">
        <v>1121</v>
      </c>
      <c r="E470" s="2067"/>
      <c r="F470" s="2067"/>
      <c r="G470" s="2067"/>
      <c r="H470" s="2067"/>
      <c r="I470" s="2067"/>
      <c r="J470" s="2067"/>
      <c r="K470" s="2067"/>
      <c r="L470" s="2067"/>
      <c r="M470" s="2067"/>
      <c r="N470" s="2067"/>
      <c r="O470" s="2067"/>
      <c r="P470" s="2067"/>
      <c r="Q470" s="2067"/>
      <c r="R470" s="2067"/>
      <c r="S470" s="2067"/>
      <c r="T470" s="2067"/>
      <c r="U470" s="2067"/>
      <c r="V470" s="2068"/>
      <c r="W470" s="2081">
        <v>0</v>
      </c>
      <c r="X470" s="2082"/>
      <c r="Y470" s="20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4" t="s">
        <v>2022</v>
      </c>
      <c r="E471" s="2067"/>
      <c r="F471" s="2067"/>
      <c r="G471" s="2067"/>
      <c r="H471" s="2067"/>
      <c r="I471" s="2067"/>
      <c r="J471" s="2067"/>
      <c r="K471" s="2067"/>
      <c r="L471" s="2067"/>
      <c r="M471" s="2067"/>
      <c r="N471" s="2067"/>
      <c r="O471" s="2067"/>
      <c r="P471" s="2067"/>
      <c r="Q471" s="2067"/>
      <c r="R471" s="2067"/>
      <c r="S471" s="2067"/>
      <c r="T471" s="2067"/>
      <c r="U471" s="2067"/>
      <c r="V471" s="2068"/>
      <c r="W471" s="2081">
        <v>12</v>
      </c>
      <c r="X471" s="2082"/>
      <c r="Y471" s="20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78" t="s">
        <v>1157</v>
      </c>
      <c r="H472" s="2079"/>
      <c r="I472" s="2079"/>
      <c r="J472" s="2079"/>
      <c r="K472" s="2079"/>
      <c r="L472" s="2079"/>
      <c r="M472" s="2079"/>
      <c r="N472" s="2079"/>
      <c r="O472" s="2079"/>
      <c r="P472" s="2079"/>
      <c r="Q472" s="2079"/>
      <c r="R472" s="2079"/>
      <c r="S472" s="2079"/>
      <c r="T472" s="2079"/>
      <c r="U472" s="2079"/>
      <c r="V472" s="2080"/>
      <c r="W472" s="2081">
        <v>47</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8" t="s">
        <v>872</v>
      </c>
      <c r="B478" s="2058"/>
      <c r="C478" s="2058"/>
      <c r="D478" s="2058"/>
      <c r="E478" s="2058"/>
      <c r="F478" s="2058"/>
      <c r="G478" s="2058"/>
      <c r="H478" s="2058"/>
      <c r="I478" s="2058"/>
      <c r="J478" s="2058"/>
      <c r="K478" s="2058"/>
      <c r="L478" s="2058"/>
      <c r="M478" s="2058"/>
      <c r="N478" s="2058"/>
      <c r="O478" s="2058"/>
      <c r="P478" s="2058"/>
      <c r="Q478" s="2058"/>
      <c r="R478" s="2058"/>
      <c r="S478" s="2058"/>
      <c r="T478" s="2058"/>
      <c r="U478" s="2058"/>
      <c r="V478" s="2058"/>
      <c r="W478" s="2058"/>
      <c r="X478" s="2058"/>
      <c r="Y478" s="2058"/>
      <c r="Z478" s="2058"/>
      <c r="AA478" s="2058"/>
      <c r="AB478" s="2058"/>
      <c r="AC478" s="2058"/>
      <c r="AD478" s="2058"/>
      <c r="AE478" s="2058"/>
      <c r="AF478" s="2058"/>
      <c r="AG478" s="2058"/>
      <c r="AH478" s="2058"/>
      <c r="AI478" s="2058"/>
      <c r="AJ478" s="2058"/>
      <c r="AK478" s="2058"/>
      <c r="AL478" s="205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9"/>
      <c r="B479" s="2059"/>
      <c r="C479" s="2059"/>
      <c r="D479" s="2059"/>
      <c r="E479" s="2059"/>
      <c r="F479" s="2059"/>
      <c r="G479" s="2059"/>
      <c r="H479" s="2059"/>
      <c r="I479" s="2059"/>
      <c r="J479" s="2059"/>
      <c r="K479" s="2059"/>
      <c r="L479" s="2059"/>
      <c r="M479" s="2059"/>
      <c r="N479" s="2059"/>
      <c r="O479" s="2059"/>
      <c r="P479" s="2059"/>
      <c r="Q479" s="2059"/>
      <c r="R479" s="2059"/>
      <c r="S479" s="2059"/>
      <c r="T479" s="2059"/>
      <c r="U479" s="2059"/>
      <c r="V479" s="2059"/>
      <c r="W479" s="2059"/>
      <c r="X479" s="2059"/>
      <c r="Y479" s="2059"/>
      <c r="Z479" s="2059"/>
      <c r="AA479" s="2059"/>
      <c r="AB479" s="2059"/>
      <c r="AC479" s="2059"/>
      <c r="AD479" s="2059"/>
      <c r="AE479" s="2059"/>
      <c r="AF479" s="2059"/>
      <c r="AG479" s="2059"/>
      <c r="AH479" s="2059"/>
      <c r="AI479" s="2059"/>
      <c r="AJ479" s="2059"/>
      <c r="AK479" s="2059"/>
      <c r="AL479" s="205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63" t="s">
        <v>873</v>
      </c>
      <c r="U483" s="2064"/>
      <c r="V483" s="2064"/>
      <c r="W483" s="2064"/>
      <c r="X483" s="2064"/>
      <c r="Y483" s="2064"/>
      <c r="Z483" s="2064"/>
      <c r="AA483" s="2064"/>
      <c r="AB483" s="2064"/>
      <c r="AC483" s="2064"/>
      <c r="AD483" s="2064"/>
      <c r="AE483" s="2064"/>
      <c r="AF483" s="2064"/>
      <c r="AG483" s="2064"/>
      <c r="AH483" s="206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8" t="s">
        <v>36</v>
      </c>
      <c r="U484" s="2178"/>
      <c r="V484" s="2178"/>
      <c r="W484" s="2178"/>
      <c r="X484" s="2178"/>
      <c r="Y484" s="2178" t="s">
        <v>37</v>
      </c>
      <c r="Z484" s="2178"/>
      <c r="AA484" s="2178"/>
      <c r="AB484" s="2178"/>
      <c r="AC484" s="2178"/>
      <c r="AD484" s="2178" t="s">
        <v>349</v>
      </c>
      <c r="AE484" s="2178"/>
      <c r="AF484" s="2178"/>
      <c r="AG484" s="2178"/>
      <c r="AH484" s="21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8"/>
      <c r="U485" s="2178"/>
      <c r="V485" s="2178"/>
      <c r="W485" s="2178"/>
      <c r="X485" s="2178"/>
      <c r="Y485" s="2178"/>
      <c r="Z485" s="2178"/>
      <c r="AA485" s="2178"/>
      <c r="AB485" s="2178"/>
      <c r="AC485" s="2178"/>
      <c r="AD485" s="2178"/>
      <c r="AE485" s="2178"/>
      <c r="AF485" s="2178"/>
      <c r="AG485" s="2178"/>
      <c r="AH485" s="21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15">
        <v>43677</v>
      </c>
      <c r="U486" s="2015"/>
      <c r="V486" s="2015"/>
      <c r="W486" s="2015"/>
      <c r="X486" s="2015"/>
      <c r="Y486" s="2015">
        <v>0</v>
      </c>
      <c r="Z486" s="2015"/>
      <c r="AA486" s="2015"/>
      <c r="AB486" s="2015"/>
      <c r="AC486" s="2015"/>
      <c r="AD486" s="2015">
        <v>43746</v>
      </c>
      <c r="AE486" s="2015"/>
      <c r="AF486" s="2015"/>
      <c r="AG486" s="2015"/>
      <c r="AH486" s="201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15">
        <v>44099</v>
      </c>
      <c r="U487" s="2015"/>
      <c r="V487" s="2015"/>
      <c r="W487" s="2015"/>
      <c r="X487" s="2015"/>
      <c r="Y487" s="2015">
        <v>44270</v>
      </c>
      <c r="Z487" s="2015"/>
      <c r="AA487" s="2015"/>
      <c r="AB487" s="2015"/>
      <c r="AC487" s="2015"/>
      <c r="AD487" s="2015">
        <v>0</v>
      </c>
      <c r="AE487" s="2015"/>
      <c r="AF487" s="2015"/>
      <c r="AG487" s="2015"/>
      <c r="AH487" s="201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15">
        <v>0</v>
      </c>
      <c r="U488" s="2015"/>
      <c r="V488" s="2015"/>
      <c r="W488" s="2015"/>
      <c r="X488" s="2015"/>
      <c r="Y488" s="2015">
        <v>0</v>
      </c>
      <c r="Z488" s="2015"/>
      <c r="AA488" s="2015"/>
      <c r="AB488" s="2015"/>
      <c r="AC488" s="2015"/>
      <c r="AD488" s="2015">
        <v>0</v>
      </c>
      <c r="AE488" s="2015"/>
      <c r="AF488" s="2015"/>
      <c r="AG488" s="2015"/>
      <c r="AH488" s="201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15">
        <v>0</v>
      </c>
      <c r="U489" s="2015"/>
      <c r="V489" s="2015"/>
      <c r="W489" s="2015"/>
      <c r="X489" s="2015"/>
      <c r="Y489" s="2015">
        <v>0</v>
      </c>
      <c r="Z489" s="2015"/>
      <c r="AA489" s="2015"/>
      <c r="AB489" s="2015"/>
      <c r="AC489" s="2015"/>
      <c r="AD489" s="2015">
        <v>0</v>
      </c>
      <c r="AE489" s="2015"/>
      <c r="AF489" s="2015"/>
      <c r="AG489" s="2015"/>
      <c r="AH489" s="201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15">
        <v>0</v>
      </c>
      <c r="U490" s="2015"/>
      <c r="V490" s="2015"/>
      <c r="W490" s="2015"/>
      <c r="X490" s="2015"/>
      <c r="Y490" s="2015">
        <v>0</v>
      </c>
      <c r="Z490" s="2015"/>
      <c r="AA490" s="2015"/>
      <c r="AB490" s="2015"/>
      <c r="AC490" s="2015"/>
      <c r="AD490" s="2015">
        <v>0</v>
      </c>
      <c r="AE490" s="2015"/>
      <c r="AF490" s="2015"/>
      <c r="AG490" s="2015"/>
      <c r="AH490" s="201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15">
        <v>0</v>
      </c>
      <c r="U491" s="2015"/>
      <c r="V491" s="2015"/>
      <c r="W491" s="2015"/>
      <c r="X491" s="2015"/>
      <c r="Y491" s="2015">
        <v>0</v>
      </c>
      <c r="Z491" s="2015"/>
      <c r="AA491" s="2015"/>
      <c r="AB491" s="2015"/>
      <c r="AC491" s="2015"/>
      <c r="AD491" s="2015">
        <v>0</v>
      </c>
      <c r="AE491" s="2015"/>
      <c r="AF491" s="2015"/>
      <c r="AG491" s="2015"/>
      <c r="AH491" s="201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15">
        <v>43677</v>
      </c>
      <c r="U492" s="2015"/>
      <c r="V492" s="2015"/>
      <c r="W492" s="2015"/>
      <c r="X492" s="2015"/>
      <c r="Y492" s="2015">
        <v>0</v>
      </c>
      <c r="Z492" s="2015"/>
      <c r="AA492" s="2015"/>
      <c r="AB492" s="2015"/>
      <c r="AC492" s="2015"/>
      <c r="AD492" s="2015">
        <v>43746</v>
      </c>
      <c r="AE492" s="2015"/>
      <c r="AF492" s="2015"/>
      <c r="AG492" s="2015"/>
      <c r="AH492" s="201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15">
        <v>0</v>
      </c>
      <c r="U493" s="2015"/>
      <c r="V493" s="2015"/>
      <c r="W493" s="2015"/>
      <c r="X493" s="2015"/>
      <c r="Y493" s="2015">
        <v>0</v>
      </c>
      <c r="Z493" s="2015"/>
      <c r="AA493" s="2015"/>
      <c r="AB493" s="2015"/>
      <c r="AC493" s="2015"/>
      <c r="AD493" s="2015">
        <v>0</v>
      </c>
      <c r="AE493" s="2015"/>
      <c r="AF493" s="2015"/>
      <c r="AG493" s="2015"/>
      <c r="AH493" s="201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15">
        <v>0</v>
      </c>
      <c r="U494" s="2015"/>
      <c r="V494" s="2015"/>
      <c r="W494" s="2015"/>
      <c r="X494" s="2015"/>
      <c r="Y494" s="2015">
        <v>0</v>
      </c>
      <c r="Z494" s="2015"/>
      <c r="AA494" s="2015"/>
      <c r="AB494" s="2015"/>
      <c r="AC494" s="2015"/>
      <c r="AD494" s="2015">
        <v>0</v>
      </c>
      <c r="AE494" s="2015"/>
      <c r="AF494" s="2015"/>
      <c r="AG494" s="2015"/>
      <c r="AH494" s="201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15">
        <v>0</v>
      </c>
      <c r="U495" s="2015"/>
      <c r="V495" s="2015"/>
      <c r="W495" s="2015"/>
      <c r="X495" s="2015"/>
      <c r="Y495" s="2015">
        <v>0</v>
      </c>
      <c r="Z495" s="2015"/>
      <c r="AA495" s="2015"/>
      <c r="AB495" s="2015"/>
      <c r="AC495" s="2015"/>
      <c r="AD495" s="2015">
        <v>0</v>
      </c>
      <c r="AE495" s="2015"/>
      <c r="AF495" s="2015"/>
      <c r="AG495" s="2015"/>
      <c r="AH495" s="201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7" t="s">
        <v>415</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19" t="s">
        <v>2589</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12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19" t="s">
        <v>2593</v>
      </c>
      <c r="R499" s="2071"/>
      <c r="S499" s="2071"/>
      <c r="T499" s="2071"/>
      <c r="U499" s="2071"/>
      <c r="V499" s="2071"/>
      <c r="W499" s="2071"/>
      <c r="X499" s="2071"/>
      <c r="Y499" s="2071"/>
      <c r="Z499" s="2071"/>
      <c r="AA499" s="2071"/>
      <c r="AB499" s="2071"/>
      <c r="AC499" s="2071"/>
      <c r="AD499" s="2071"/>
      <c r="AE499" s="2071"/>
      <c r="AF499" s="2071"/>
      <c r="AG499" s="2071"/>
      <c r="AH499" s="2071"/>
      <c r="AI499" s="2071"/>
      <c r="AJ499" s="2071"/>
      <c r="AK499" s="212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19" t="s">
        <v>2594</v>
      </c>
      <c r="R500" s="2071"/>
      <c r="S500" s="2071"/>
      <c r="T500" s="2071"/>
      <c r="U500" s="2071"/>
      <c r="V500" s="2071"/>
      <c r="W500" s="2071"/>
      <c r="X500" s="2071"/>
      <c r="Y500" s="2071"/>
      <c r="Z500" s="2071"/>
      <c r="AA500" s="2071"/>
      <c r="AB500" s="2071"/>
      <c r="AC500" s="2071"/>
      <c r="AD500" s="2071"/>
      <c r="AE500" s="2071"/>
      <c r="AF500" s="2071"/>
      <c r="AG500" s="2071"/>
      <c r="AH500" s="2071"/>
      <c r="AI500" s="2071"/>
      <c r="AJ500" s="2071"/>
      <c r="AK500" s="212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9" t="s">
        <v>419</v>
      </c>
      <c r="C501" s="2180"/>
      <c r="D501" s="2180"/>
      <c r="E501" s="2180"/>
      <c r="F501" s="2180"/>
      <c r="G501" s="2180"/>
      <c r="H501" s="2180"/>
      <c r="I501" s="2180"/>
      <c r="J501" s="2180"/>
      <c r="K501" s="2180"/>
      <c r="L501" s="2180"/>
      <c r="M501" s="2180"/>
      <c r="N501" s="2180"/>
      <c r="O501" s="2180"/>
      <c r="P501" s="2181"/>
      <c r="Q501" s="2115" t="s">
        <v>579</v>
      </c>
      <c r="R501" s="2116"/>
      <c r="S501" s="2418" t="s">
        <v>2595</v>
      </c>
      <c r="T501" s="2419"/>
      <c r="U501" s="2419"/>
      <c r="V501" s="2419"/>
      <c r="W501" s="2419"/>
      <c r="X501" s="2419"/>
      <c r="Y501" s="2419"/>
      <c r="Z501" s="2419"/>
      <c r="AA501" s="2419"/>
      <c r="AB501" s="2419"/>
      <c r="AC501" s="2419"/>
      <c r="AD501" s="2419"/>
      <c r="AE501" s="2419"/>
      <c r="AF501" s="2419"/>
      <c r="AG501" s="2419"/>
      <c r="AH501" s="2419"/>
      <c r="AI501" s="2419"/>
      <c r="AJ501" s="2419"/>
      <c r="AK501" s="242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2"/>
      <c r="C502" s="2183"/>
      <c r="D502" s="2183"/>
      <c r="E502" s="2183"/>
      <c r="F502" s="2183"/>
      <c r="G502" s="2183"/>
      <c r="H502" s="2183"/>
      <c r="I502" s="2183"/>
      <c r="J502" s="2183"/>
      <c r="K502" s="2183"/>
      <c r="L502" s="2183"/>
      <c r="M502" s="2183"/>
      <c r="N502" s="2183"/>
      <c r="O502" s="2183"/>
      <c r="P502" s="2184"/>
      <c r="Q502" s="2117"/>
      <c r="R502" s="2118"/>
      <c r="S502" s="2421"/>
      <c r="T502" s="2422"/>
      <c r="U502" s="2422"/>
      <c r="V502" s="2422"/>
      <c r="W502" s="2422"/>
      <c r="X502" s="2422"/>
      <c r="Y502" s="2422"/>
      <c r="Z502" s="2422"/>
      <c r="AA502" s="2422"/>
      <c r="AB502" s="2422"/>
      <c r="AC502" s="2422"/>
      <c r="AD502" s="2422"/>
      <c r="AE502" s="2422"/>
      <c r="AF502" s="2422"/>
      <c r="AG502" s="2422"/>
      <c r="AH502" s="2422"/>
      <c r="AI502" s="2422"/>
      <c r="AJ502" s="2422"/>
      <c r="AK502" s="242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2042</v>
      </c>
      <c r="C503" s="1493"/>
      <c r="D503" s="1493"/>
      <c r="E503" s="1493"/>
      <c r="F503" s="1493"/>
      <c r="G503" s="1493"/>
      <c r="H503" s="1493"/>
      <c r="I503" s="1493"/>
      <c r="J503" s="1493"/>
      <c r="K503" s="1493"/>
      <c r="L503" s="1493"/>
      <c r="M503" s="1493"/>
      <c r="N503" s="1493"/>
      <c r="O503" s="1493"/>
      <c r="P503" s="1493"/>
      <c r="Q503" s="2051" t="s">
        <v>707</v>
      </c>
      <c r="R503" s="2052"/>
      <c r="S503" s="2052"/>
      <c r="T503" s="2052"/>
      <c r="U503" s="2052"/>
      <c r="V503" s="2052"/>
      <c r="W503" s="2052"/>
      <c r="X503" s="2052"/>
      <c r="Y503" s="2052"/>
      <c r="Z503" s="2052"/>
      <c r="AA503" s="2052"/>
      <c r="AB503" s="2052"/>
      <c r="AC503" s="2052"/>
      <c r="AD503" s="2052"/>
      <c r="AE503" s="2052"/>
      <c r="AF503" s="2052"/>
      <c r="AG503" s="2052"/>
      <c r="AH503" s="2052"/>
      <c r="AI503" s="2052"/>
      <c r="AJ503" s="2052"/>
      <c r="AK503" s="205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19" t="s">
        <v>2596</v>
      </c>
      <c r="R504" s="2071"/>
      <c r="S504" s="2071"/>
      <c r="T504" s="2071"/>
      <c r="U504" s="2071"/>
      <c r="V504" s="2071"/>
      <c r="W504" s="2071"/>
      <c r="X504" s="2071"/>
      <c r="Y504" s="2071"/>
      <c r="Z504" s="2071"/>
      <c r="AA504" s="2071"/>
      <c r="AB504" s="2071"/>
      <c r="AC504" s="2071"/>
      <c r="AD504" s="2071"/>
      <c r="AE504" s="2071"/>
      <c r="AF504" s="2071"/>
      <c r="AG504" s="2071"/>
      <c r="AH504" s="2071"/>
      <c r="AI504" s="2071"/>
      <c r="AJ504" s="2071"/>
      <c r="AK504" s="212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19" t="s">
        <v>2597</v>
      </c>
      <c r="R505" s="2071"/>
      <c r="S505" s="2071"/>
      <c r="T505" s="2071"/>
      <c r="U505" s="2071"/>
      <c r="V505" s="2071"/>
      <c r="W505" s="2071"/>
      <c r="X505" s="2071"/>
      <c r="Y505" s="2071"/>
      <c r="Z505" s="2071"/>
      <c r="AA505" s="2071"/>
      <c r="AB505" s="2071"/>
      <c r="AC505" s="2071"/>
      <c r="AD505" s="2071"/>
      <c r="AE505" s="2071"/>
      <c r="AF505" s="2071"/>
      <c r="AG505" s="2071"/>
      <c r="AH505" s="2071"/>
      <c r="AI505" s="2071"/>
      <c r="AJ505" s="2071"/>
      <c r="AK505" s="212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186">
        <v>28</v>
      </c>
      <c r="R506" s="2071"/>
      <c r="S506" s="2071"/>
      <c r="T506" s="2071"/>
      <c r="U506" s="2071"/>
      <c r="V506" s="2071"/>
      <c r="W506" s="2071"/>
      <c r="X506" s="2071"/>
      <c r="Y506" s="2071"/>
      <c r="Z506" s="2071"/>
      <c r="AA506" s="2071"/>
      <c r="AB506" s="2071"/>
      <c r="AC506" s="2071"/>
      <c r="AD506" s="2071"/>
      <c r="AE506" s="2071"/>
      <c r="AF506" s="2071"/>
      <c r="AG506" s="2071"/>
      <c r="AH506" s="2071"/>
      <c r="AI506" s="2071"/>
      <c r="AJ506" s="2071"/>
      <c r="AK506" s="212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133"/>
      <c r="N507" s="2134"/>
      <c r="O507" s="2134"/>
      <c r="P507" s="2135"/>
      <c r="Q507" s="1523" t="s">
        <v>2041</v>
      </c>
      <c r="R507" s="1524"/>
      <c r="S507" s="1524"/>
      <c r="T507" s="1524"/>
      <c r="U507" s="1524"/>
      <c r="V507" s="1524"/>
      <c r="W507" s="1524"/>
      <c r="X507" s="1524"/>
      <c r="Y507" s="1524"/>
      <c r="Z507" s="1524"/>
      <c r="AA507" s="1524"/>
      <c r="AB507" s="1524"/>
      <c r="AC507" s="1524"/>
      <c r="AD507" s="1524"/>
      <c r="AE507" s="1524"/>
      <c r="AF507" s="1524"/>
      <c r="AG507" s="1524"/>
      <c r="AH507" s="2133">
        <v>28</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423</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3" t="s">
        <v>424</v>
      </c>
      <c r="AD512" s="2064"/>
      <c r="AE512" s="2064"/>
      <c r="AF512" s="2064"/>
      <c r="AG512" s="82" t="s">
        <v>425</v>
      </c>
      <c r="AH512" s="2064" t="s">
        <v>426</v>
      </c>
      <c r="AI512" s="2064"/>
      <c r="AJ512" s="2064"/>
      <c r="AK512" s="206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08" t="s">
        <v>427</v>
      </c>
      <c r="C513" s="2109"/>
      <c r="D513" s="2109"/>
      <c r="E513" s="2109"/>
      <c r="F513" s="2109"/>
      <c r="G513" s="2109"/>
      <c r="H513" s="2110"/>
      <c r="I513" s="72" t="s">
        <v>428</v>
      </c>
      <c r="J513" s="72"/>
      <c r="K513" s="72"/>
      <c r="L513" s="72"/>
      <c r="M513" s="72"/>
      <c r="N513" s="72"/>
      <c r="O513" s="72"/>
      <c r="P513" s="72"/>
      <c r="Q513" s="72"/>
      <c r="R513" s="72"/>
      <c r="S513" s="72"/>
      <c r="T513" s="72"/>
      <c r="U513" s="72"/>
      <c r="V513" s="72"/>
      <c r="W513" s="72"/>
      <c r="X513" s="25"/>
      <c r="Y513" s="25"/>
      <c r="AC513" s="2114" t="s">
        <v>627</v>
      </c>
      <c r="AD513" s="2062"/>
      <c r="AE513" s="2062"/>
      <c r="AF513" s="2062"/>
      <c r="AG513" s="75" t="s">
        <v>425</v>
      </c>
      <c r="AH513" s="2072">
        <v>0</v>
      </c>
      <c r="AI513" s="2072"/>
      <c r="AJ513" s="2072"/>
      <c r="AK513" s="212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11"/>
      <c r="C514" s="2112"/>
      <c r="D514" s="2112"/>
      <c r="E514" s="2112"/>
      <c r="F514" s="2112"/>
      <c r="G514" s="2112"/>
      <c r="H514" s="2113"/>
      <c r="I514" s="80" t="s">
        <v>429</v>
      </c>
      <c r="J514" s="80"/>
      <c r="K514" s="80"/>
      <c r="L514" s="80"/>
      <c r="M514" s="80"/>
      <c r="N514" s="80"/>
      <c r="O514" s="80"/>
      <c r="P514" s="80"/>
      <c r="Q514" s="80"/>
      <c r="R514" s="80"/>
      <c r="S514" s="80"/>
      <c r="T514" s="80"/>
      <c r="U514" s="80"/>
      <c r="V514" s="80"/>
      <c r="W514" s="80"/>
      <c r="X514" s="80"/>
      <c r="Y514" s="80"/>
      <c r="Z514" s="80"/>
      <c r="AA514" s="80"/>
      <c r="AB514" s="80"/>
      <c r="AC514" s="2114">
        <v>6</v>
      </c>
      <c r="AD514" s="2062"/>
      <c r="AE514" s="2062"/>
      <c r="AF514" s="2062"/>
      <c r="AG514" s="65" t="s">
        <v>425</v>
      </c>
      <c r="AH514" s="2072">
        <v>2021</v>
      </c>
      <c r="AI514" s="2072"/>
      <c r="AJ514" s="2072"/>
      <c r="AK514" s="212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08" t="s">
        <v>430</v>
      </c>
      <c r="C515" s="2109"/>
      <c r="D515" s="2109"/>
      <c r="E515" s="2109"/>
      <c r="F515" s="2109"/>
      <c r="G515" s="2109"/>
      <c r="H515" s="2110"/>
      <c r="I515" s="72" t="s">
        <v>431</v>
      </c>
      <c r="J515" s="72"/>
      <c r="K515" s="72"/>
      <c r="L515" s="72"/>
      <c r="M515" s="72"/>
      <c r="N515" s="72"/>
      <c r="O515" s="72"/>
      <c r="P515" s="72"/>
      <c r="Q515" s="72"/>
      <c r="R515" s="72"/>
      <c r="S515" s="72"/>
      <c r="T515" s="72"/>
      <c r="U515" s="72"/>
      <c r="V515" s="72"/>
      <c r="W515" s="72"/>
      <c r="X515" s="25"/>
      <c r="Y515" s="25"/>
      <c r="AC515" s="2114" t="s">
        <v>627</v>
      </c>
      <c r="AD515" s="2062"/>
      <c r="AE515" s="2062"/>
      <c r="AF515" s="2062"/>
      <c r="AG515" s="75" t="s">
        <v>425</v>
      </c>
      <c r="AH515" s="2072"/>
      <c r="AI515" s="2072"/>
      <c r="AJ515" s="2072"/>
      <c r="AK515" s="212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11"/>
      <c r="C516" s="2112"/>
      <c r="D516" s="2112"/>
      <c r="E516" s="2112"/>
      <c r="F516" s="2112"/>
      <c r="G516" s="2112"/>
      <c r="H516" s="2113"/>
      <c r="I516" s="25" t="s">
        <v>432</v>
      </c>
      <c r="J516" s="25"/>
      <c r="K516" s="25"/>
      <c r="L516" s="25"/>
      <c r="M516" s="25"/>
      <c r="N516" s="25"/>
      <c r="O516" s="25"/>
      <c r="P516" s="25"/>
      <c r="Q516" s="25"/>
      <c r="R516" s="25"/>
      <c r="S516" s="25"/>
      <c r="T516" s="25"/>
      <c r="U516" s="25"/>
      <c r="V516" s="25"/>
      <c r="W516" s="25"/>
      <c r="X516" s="25"/>
      <c r="Y516" s="25"/>
      <c r="AC516" s="2114" t="s">
        <v>627</v>
      </c>
      <c r="AD516" s="2062"/>
      <c r="AE516" s="2062"/>
      <c r="AF516" s="2062"/>
      <c r="AG516" s="75" t="s">
        <v>425</v>
      </c>
      <c r="AH516" s="2072"/>
      <c r="AI516" s="2072"/>
      <c r="AJ516" s="2072"/>
      <c r="AK516" s="212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11"/>
      <c r="C517" s="2112"/>
      <c r="D517" s="2112"/>
      <c r="E517" s="2112"/>
      <c r="F517" s="2112"/>
      <c r="G517" s="2112"/>
      <c r="H517" s="2113"/>
      <c r="I517" s="25" t="s">
        <v>433</v>
      </c>
      <c r="J517" s="25"/>
      <c r="K517" s="25"/>
      <c r="L517" s="25"/>
      <c r="M517" s="25"/>
      <c r="N517" s="25"/>
      <c r="O517" s="25"/>
      <c r="P517" s="25"/>
      <c r="Q517" s="25"/>
      <c r="R517" s="25"/>
      <c r="S517" s="25"/>
      <c r="T517" s="25"/>
      <c r="U517" s="25"/>
      <c r="V517" s="25"/>
      <c r="W517" s="25"/>
      <c r="X517" s="25"/>
      <c r="Y517" s="25"/>
      <c r="AC517" s="2114" t="s">
        <v>627</v>
      </c>
      <c r="AD517" s="2062"/>
      <c r="AE517" s="2062"/>
      <c r="AF517" s="2062"/>
      <c r="AG517" s="75" t="s">
        <v>425</v>
      </c>
      <c r="AH517" s="2072"/>
      <c r="AI517" s="2072"/>
      <c r="AJ517" s="2072"/>
      <c r="AK517" s="212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111"/>
      <c r="C518" s="2112"/>
      <c r="D518" s="2112"/>
      <c r="E518" s="2112"/>
      <c r="F518" s="2112"/>
      <c r="G518" s="2112"/>
      <c r="H518" s="2113"/>
      <c r="I518" s="25" t="s">
        <v>434</v>
      </c>
      <c r="J518" s="25"/>
      <c r="K518" s="25"/>
      <c r="L518" s="25"/>
      <c r="M518" s="25"/>
      <c r="N518" s="25"/>
      <c r="O518" s="25"/>
      <c r="P518" s="25"/>
      <c r="Q518" s="25"/>
      <c r="R518" s="25"/>
      <c r="S518" s="25"/>
      <c r="T518" s="25"/>
      <c r="U518" s="25"/>
      <c r="V518" s="25"/>
      <c r="W518" s="25"/>
      <c r="X518" s="25"/>
      <c r="Y518" s="25"/>
      <c r="AC518" s="2114">
        <v>9</v>
      </c>
      <c r="AD518" s="2062"/>
      <c r="AE518" s="2062"/>
      <c r="AF518" s="2062"/>
      <c r="AG518" s="75" t="s">
        <v>425</v>
      </c>
      <c r="AH518" s="2072">
        <v>2021</v>
      </c>
      <c r="AI518" s="2072"/>
      <c r="AJ518" s="2072"/>
      <c r="AK518" s="212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11"/>
      <c r="C519" s="2112"/>
      <c r="D519" s="2112"/>
      <c r="E519" s="2112"/>
      <c r="F519" s="2112"/>
      <c r="G519" s="2112"/>
      <c r="H519" s="2113"/>
      <c r="I519" s="177" t="s">
        <v>435</v>
      </c>
      <c r="J519" s="25"/>
      <c r="K519" s="25"/>
      <c r="L519" s="25"/>
      <c r="M519" s="25"/>
      <c r="N519" s="25"/>
      <c r="O519" s="25"/>
      <c r="P519" s="25"/>
      <c r="Q519" s="25"/>
      <c r="R519" s="25"/>
      <c r="S519" s="25"/>
      <c r="T519" s="25"/>
      <c r="U519" s="25"/>
      <c r="V519" s="25"/>
      <c r="W519" s="25"/>
      <c r="X519" s="25"/>
      <c r="Y519" s="25"/>
      <c r="AC519" s="2018">
        <v>9</v>
      </c>
      <c r="AD519" s="2019"/>
      <c r="AE519" s="2019"/>
      <c r="AF519" s="2019"/>
      <c r="AG519" s="75" t="s">
        <v>425</v>
      </c>
      <c r="AH519" s="2072">
        <v>2021</v>
      </c>
      <c r="AI519" s="2072"/>
      <c r="AJ519" s="2072"/>
      <c r="AK519" s="212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11"/>
      <c r="C520" s="2112"/>
      <c r="D520" s="2112"/>
      <c r="E520" s="2112"/>
      <c r="F520" s="2112"/>
      <c r="G520" s="2112"/>
      <c r="H520" s="2113"/>
      <c r="I520" s="1526" t="s">
        <v>174</v>
      </c>
      <c r="J520" s="80"/>
      <c r="K520" s="80"/>
      <c r="L520" s="2088" t="s">
        <v>344</v>
      </c>
      <c r="M520" s="2038"/>
      <c r="N520" s="2038"/>
      <c r="O520" s="2038"/>
      <c r="P520" s="2038"/>
      <c r="Q520" s="2038"/>
      <c r="R520" s="2038"/>
      <c r="S520" s="2038"/>
      <c r="T520" s="2038"/>
      <c r="U520" s="2038"/>
      <c r="V520" s="2038"/>
      <c r="W520" s="2038"/>
      <c r="X520" s="2038"/>
      <c r="Y520" s="2038"/>
      <c r="Z520" s="2038"/>
      <c r="AA520" s="2038"/>
      <c r="AB520" s="2185"/>
      <c r="AC520" s="2114" t="s">
        <v>627</v>
      </c>
      <c r="AD520" s="2062"/>
      <c r="AE520" s="2062"/>
      <c r="AF520" s="2062"/>
      <c r="AG520" s="1497" t="s">
        <v>425</v>
      </c>
      <c r="AH520" s="2072"/>
      <c r="AI520" s="2072"/>
      <c r="AJ520" s="2072"/>
      <c r="AK520" s="212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27" t="s">
        <v>1386</v>
      </c>
      <c r="AD521" s="2027"/>
      <c r="AE521" s="2027"/>
      <c r="AF521" s="2027"/>
      <c r="AG521" s="1805"/>
      <c r="AH521" s="2016"/>
      <c r="AI521" s="2016"/>
      <c r="AJ521" s="2016"/>
      <c r="AK521" s="20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18"/>
      <c r="AD522" s="2019"/>
      <c r="AE522" s="2019"/>
      <c r="AF522" s="2020"/>
      <c r="AG522" s="1805"/>
      <c r="AH522" s="2016"/>
      <c r="AI522" s="2016"/>
      <c r="AJ522" s="2016"/>
      <c r="AK522" s="20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21"/>
      <c r="AD524" s="2022"/>
      <c r="AE524" s="2022"/>
      <c r="AF524" s="2023"/>
      <c r="AG524" s="1806"/>
      <c r="AH524" s="2024"/>
      <c r="AI524" s="2024"/>
      <c r="AJ524" s="2024"/>
      <c r="AK524" s="20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73" t="s">
        <v>424</v>
      </c>
      <c r="AD525" s="2150"/>
      <c r="AE525" s="2150"/>
      <c r="AF525" s="2150"/>
      <c r="AG525" s="1806" t="s">
        <v>425</v>
      </c>
      <c r="AH525" s="2150" t="s">
        <v>426</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08" t="s">
        <v>436</v>
      </c>
      <c r="C526" s="2109"/>
      <c r="D526" s="2109"/>
      <c r="E526" s="2109"/>
      <c r="F526" s="2109"/>
      <c r="G526" s="2109"/>
      <c r="H526" s="2110"/>
      <c r="I526" s="72" t="s">
        <v>437</v>
      </c>
      <c r="J526" s="72"/>
      <c r="K526" s="72"/>
      <c r="L526" s="72"/>
      <c r="M526" s="72"/>
      <c r="N526" s="72"/>
      <c r="O526" s="72"/>
      <c r="P526" s="72"/>
      <c r="Q526" s="72"/>
      <c r="R526" s="72"/>
      <c r="S526" s="72"/>
      <c r="T526" s="72"/>
      <c r="U526" s="72"/>
      <c r="V526" s="72"/>
      <c r="W526" s="72"/>
      <c r="X526" s="25"/>
      <c r="Y526" s="25"/>
      <c r="AC526" s="2114">
        <v>12</v>
      </c>
      <c r="AD526" s="2062"/>
      <c r="AE526" s="2062"/>
      <c r="AF526" s="2062"/>
      <c r="AG526" s="75" t="s">
        <v>425</v>
      </c>
      <c r="AH526" s="2072">
        <v>2020</v>
      </c>
      <c r="AI526" s="2072"/>
      <c r="AJ526" s="2072"/>
      <c r="AK526" s="212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11"/>
      <c r="C527" s="2112"/>
      <c r="D527" s="2112"/>
      <c r="E527" s="2112"/>
      <c r="F527" s="2112"/>
      <c r="G527" s="2112"/>
      <c r="H527" s="2113"/>
      <c r="I527" s="25" t="s">
        <v>438</v>
      </c>
      <c r="J527" s="25"/>
      <c r="K527" s="25"/>
      <c r="L527" s="25"/>
      <c r="M527" s="25"/>
      <c r="N527" s="25"/>
      <c r="O527" s="25"/>
      <c r="P527" s="25"/>
      <c r="Q527" s="25"/>
      <c r="R527" s="25"/>
      <c r="S527" s="25"/>
      <c r="T527" s="25"/>
      <c r="U527" s="25"/>
      <c r="V527" s="25"/>
      <c r="W527" s="25"/>
      <c r="X527" s="25"/>
      <c r="Y527" s="25"/>
      <c r="AC527" s="2114">
        <v>1</v>
      </c>
      <c r="AD527" s="2062"/>
      <c r="AE527" s="2062"/>
      <c r="AF527" s="2062"/>
      <c r="AG527" s="75" t="s">
        <v>425</v>
      </c>
      <c r="AH527" s="2072">
        <v>2021</v>
      </c>
      <c r="AI527" s="2072"/>
      <c r="AJ527" s="2072"/>
      <c r="AK527" s="212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11"/>
      <c r="C528" s="2112"/>
      <c r="D528" s="2112"/>
      <c r="E528" s="2112"/>
      <c r="F528" s="2112"/>
      <c r="G528" s="2112"/>
      <c r="H528" s="2113"/>
      <c r="I528" s="80" t="s">
        <v>439</v>
      </c>
      <c r="J528" s="80"/>
      <c r="K528" s="80"/>
      <c r="L528" s="80"/>
      <c r="M528" s="80"/>
      <c r="N528" s="80"/>
      <c r="O528" s="80"/>
      <c r="P528" s="80"/>
      <c r="Q528" s="80"/>
      <c r="R528" s="80"/>
      <c r="S528" s="80"/>
      <c r="T528" s="80"/>
      <c r="U528" s="80"/>
      <c r="V528" s="80"/>
      <c r="W528" s="80"/>
      <c r="X528" s="80"/>
      <c r="Y528" s="80"/>
      <c r="Z528" s="80"/>
      <c r="AA528" s="80"/>
      <c r="AB528" s="80"/>
      <c r="AC528" s="2114">
        <v>10</v>
      </c>
      <c r="AD528" s="2062"/>
      <c r="AE528" s="2062"/>
      <c r="AF528" s="2062"/>
      <c r="AG528" s="65" t="s">
        <v>425</v>
      </c>
      <c r="AH528" s="2072">
        <v>2021</v>
      </c>
      <c r="AI528" s="2072"/>
      <c r="AJ528" s="2072"/>
      <c r="AK528" s="212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08" t="s">
        <v>440</v>
      </c>
      <c r="C529" s="2109"/>
      <c r="D529" s="2109"/>
      <c r="E529" s="2109"/>
      <c r="F529" s="2109"/>
      <c r="G529" s="2109"/>
      <c r="H529" s="2110"/>
      <c r="I529" s="72" t="s">
        <v>437</v>
      </c>
      <c r="J529" s="72"/>
      <c r="K529" s="72"/>
      <c r="L529" s="72"/>
      <c r="M529" s="72"/>
      <c r="N529" s="72"/>
      <c r="O529" s="72"/>
      <c r="P529" s="72"/>
      <c r="Q529" s="72"/>
      <c r="R529" s="72"/>
      <c r="S529" s="72"/>
      <c r="T529" s="72"/>
      <c r="U529" s="72"/>
      <c r="V529" s="72"/>
      <c r="W529" s="72"/>
      <c r="X529" s="72"/>
      <c r="Y529" s="72"/>
      <c r="Z529" s="72"/>
      <c r="AA529" s="72"/>
      <c r="AB529" s="72"/>
      <c r="AC529" s="2114">
        <v>4</v>
      </c>
      <c r="AD529" s="2062"/>
      <c r="AE529" s="2062"/>
      <c r="AF529" s="2062"/>
      <c r="AG529" s="196" t="s">
        <v>425</v>
      </c>
      <c r="AH529" s="2072">
        <v>2021</v>
      </c>
      <c r="AI529" s="2072"/>
      <c r="AJ529" s="2072"/>
      <c r="AK529" s="212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11"/>
      <c r="C530" s="2112"/>
      <c r="D530" s="2112"/>
      <c r="E530" s="2112"/>
      <c r="F530" s="2112"/>
      <c r="G530" s="2112"/>
      <c r="H530" s="2113"/>
      <c r="I530" s="25" t="s">
        <v>438</v>
      </c>
      <c r="J530" s="25"/>
      <c r="K530" s="25"/>
      <c r="L530" s="25"/>
      <c r="M530" s="25"/>
      <c r="N530" s="25"/>
      <c r="O530" s="25"/>
      <c r="P530" s="25"/>
      <c r="Q530" s="25"/>
      <c r="R530" s="25"/>
      <c r="S530" s="25"/>
      <c r="T530" s="25"/>
      <c r="U530" s="25"/>
      <c r="V530" s="25"/>
      <c r="W530" s="25"/>
      <c r="X530" s="25"/>
      <c r="Y530" s="25"/>
      <c r="Z530" s="25"/>
      <c r="AA530" s="25"/>
      <c r="AB530" s="25"/>
      <c r="AC530" s="2114">
        <v>5</v>
      </c>
      <c r="AD530" s="2062"/>
      <c r="AE530" s="2062"/>
      <c r="AF530" s="2062"/>
      <c r="AG530" s="75" t="s">
        <v>425</v>
      </c>
      <c r="AH530" s="2072">
        <v>2021</v>
      </c>
      <c r="AI530" s="2072"/>
      <c r="AJ530" s="2072"/>
      <c r="AK530" s="212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3"/>
      <c r="C531" s="2154"/>
      <c r="D531" s="2154"/>
      <c r="E531" s="2154"/>
      <c r="F531" s="2154"/>
      <c r="G531" s="2154"/>
      <c r="H531" s="2155"/>
      <c r="I531" s="80" t="s">
        <v>439</v>
      </c>
      <c r="J531" s="80"/>
      <c r="K531" s="80"/>
      <c r="L531" s="80"/>
      <c r="M531" s="80"/>
      <c r="N531" s="80"/>
      <c r="O531" s="80"/>
      <c r="P531" s="80"/>
      <c r="Q531" s="80"/>
      <c r="R531" s="80"/>
      <c r="S531" s="80"/>
      <c r="T531" s="80"/>
      <c r="U531" s="80"/>
      <c r="V531" s="80"/>
      <c r="W531" s="80"/>
      <c r="X531" s="80"/>
      <c r="Y531" s="80"/>
      <c r="Z531" s="80"/>
      <c r="AA531" s="80"/>
      <c r="AB531" s="80"/>
      <c r="AC531" s="2114">
        <v>10</v>
      </c>
      <c r="AD531" s="2062"/>
      <c r="AE531" s="2062"/>
      <c r="AF531" s="2062"/>
      <c r="AG531" s="65" t="s">
        <v>425</v>
      </c>
      <c r="AH531" s="2072">
        <v>2021</v>
      </c>
      <c r="AI531" s="2072"/>
      <c r="AJ531" s="2072"/>
      <c r="AK531" s="212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08" t="s">
        <v>441</v>
      </c>
      <c r="C532" s="2109"/>
      <c r="D532" s="2109"/>
      <c r="E532" s="2109"/>
      <c r="F532" s="2109"/>
      <c r="G532" s="2109"/>
      <c r="H532" s="2110"/>
      <c r="I532" s="71" t="s">
        <v>442</v>
      </c>
      <c r="J532" s="72"/>
      <c r="K532" s="72"/>
      <c r="L532" s="72"/>
      <c r="M532" s="72"/>
      <c r="N532" s="72"/>
      <c r="O532" s="2070" t="s">
        <v>864</v>
      </c>
      <c r="P532" s="2071"/>
      <c r="Q532" s="2071"/>
      <c r="R532" s="2071"/>
      <c r="S532" s="2071"/>
      <c r="T532" s="2071"/>
      <c r="U532" s="2071"/>
      <c r="V532" s="2071"/>
      <c r="W532" s="2071"/>
      <c r="X532" s="2071"/>
      <c r="Y532" s="2071"/>
      <c r="Z532" s="2071"/>
      <c r="AA532" s="2071"/>
      <c r="AB532" s="94"/>
      <c r="AC532" s="2018" t="s">
        <v>627</v>
      </c>
      <c r="AD532" s="2019"/>
      <c r="AE532" s="2019"/>
      <c r="AF532" s="2019"/>
      <c r="AG532" s="196" t="s">
        <v>425</v>
      </c>
      <c r="AH532" s="2072"/>
      <c r="AI532" s="2072"/>
      <c r="AJ532" s="2072"/>
      <c r="AK532" s="212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11"/>
      <c r="C533" s="2112"/>
      <c r="D533" s="2112"/>
      <c r="E533" s="2112"/>
      <c r="F533" s="2112"/>
      <c r="G533" s="2112"/>
      <c r="H533" s="2113"/>
      <c r="I533" s="171" t="s">
        <v>443</v>
      </c>
      <c r="J533" s="25"/>
      <c r="K533" s="25"/>
      <c r="L533" s="25"/>
      <c r="M533" s="25"/>
      <c r="N533" s="25"/>
      <c r="O533" s="25"/>
      <c r="P533" s="25"/>
      <c r="Q533" s="25"/>
      <c r="R533" s="25"/>
      <c r="S533" s="25"/>
      <c r="T533" s="25"/>
      <c r="U533" s="25"/>
      <c r="V533" s="25"/>
      <c r="W533" s="25"/>
      <c r="X533" s="25"/>
      <c r="Y533" s="25"/>
      <c r="Z533" s="25"/>
      <c r="AA533" s="25"/>
      <c r="AB533" s="101"/>
      <c r="AC533" s="2114">
        <v>8</v>
      </c>
      <c r="AD533" s="2062"/>
      <c r="AE533" s="2062"/>
      <c r="AF533" s="2062"/>
      <c r="AG533" s="75" t="s">
        <v>425</v>
      </c>
      <c r="AH533" s="2072">
        <v>2019</v>
      </c>
      <c r="AI533" s="2072"/>
      <c r="AJ533" s="2072"/>
      <c r="AK533" s="212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11"/>
      <c r="C534" s="2112"/>
      <c r="D534" s="2112"/>
      <c r="E534" s="2112"/>
      <c r="F534" s="2112"/>
      <c r="G534" s="2112"/>
      <c r="H534" s="2113"/>
      <c r="I534" s="79" t="s">
        <v>444</v>
      </c>
      <c r="J534" s="80"/>
      <c r="K534" s="80"/>
      <c r="L534" s="80"/>
      <c r="M534" s="80"/>
      <c r="N534" s="80"/>
      <c r="O534" s="80"/>
      <c r="P534" s="80"/>
      <c r="Q534" s="80"/>
      <c r="R534" s="80"/>
      <c r="S534" s="80"/>
      <c r="T534" s="80"/>
      <c r="U534" s="80"/>
      <c r="V534" s="80"/>
      <c r="W534" s="80"/>
      <c r="X534" s="80"/>
      <c r="Y534" s="80"/>
      <c r="Z534" s="80"/>
      <c r="AA534" s="80"/>
      <c r="AB534" s="81"/>
      <c r="AC534" s="2114">
        <v>12</v>
      </c>
      <c r="AD534" s="2062"/>
      <c r="AE534" s="2062"/>
      <c r="AF534" s="2062"/>
      <c r="AG534" s="65" t="s">
        <v>425</v>
      </c>
      <c r="AH534" s="2072">
        <v>2019</v>
      </c>
      <c r="AI534" s="2072"/>
      <c r="AJ534" s="2072"/>
      <c r="AK534" s="212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11"/>
      <c r="C535" s="2112"/>
      <c r="D535" s="2112"/>
      <c r="E535" s="2112"/>
      <c r="F535" s="2112"/>
      <c r="G535" s="2112"/>
      <c r="H535" s="2113"/>
      <c r="I535" s="72" t="s">
        <v>445</v>
      </c>
      <c r="J535" s="72"/>
      <c r="K535" s="72"/>
      <c r="L535" s="72"/>
      <c r="M535" s="72"/>
      <c r="N535" s="72"/>
      <c r="O535" s="2031" t="s">
        <v>344</v>
      </c>
      <c r="P535" s="2031"/>
      <c r="Q535" s="2031"/>
      <c r="R535" s="2031"/>
      <c r="S535" s="2031"/>
      <c r="T535" s="2031"/>
      <c r="U535" s="2031"/>
      <c r="V535" s="2031"/>
      <c r="W535" s="2031"/>
      <c r="X535" s="2031"/>
      <c r="Y535" s="2031"/>
      <c r="Z535" s="2031"/>
      <c r="AA535" s="2031"/>
      <c r="AC535" s="2114" t="s">
        <v>627</v>
      </c>
      <c r="AD535" s="2062"/>
      <c r="AE535" s="2062"/>
      <c r="AF535" s="2062"/>
      <c r="AG535" s="75" t="s">
        <v>425</v>
      </c>
      <c r="AH535" s="2072"/>
      <c r="AI535" s="2072"/>
      <c r="AJ535" s="2072"/>
      <c r="AK535" s="212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11"/>
      <c r="C536" s="2112"/>
      <c r="D536" s="2112"/>
      <c r="E536" s="2112"/>
      <c r="F536" s="2112"/>
      <c r="G536" s="2112"/>
      <c r="H536" s="2113"/>
      <c r="I536" s="25" t="s">
        <v>443</v>
      </c>
      <c r="J536" s="25"/>
      <c r="K536" s="25"/>
      <c r="L536" s="25"/>
      <c r="M536" s="25"/>
      <c r="N536" s="25"/>
      <c r="O536" s="25"/>
      <c r="P536" s="25"/>
      <c r="Q536" s="25"/>
      <c r="R536" s="25"/>
      <c r="S536" s="25"/>
      <c r="T536" s="25"/>
      <c r="U536" s="25"/>
      <c r="V536" s="25"/>
      <c r="W536" s="25"/>
      <c r="X536" s="25"/>
      <c r="Y536" s="25"/>
      <c r="AC536" s="2114" t="s">
        <v>627</v>
      </c>
      <c r="AD536" s="2062"/>
      <c r="AE536" s="2062"/>
      <c r="AF536" s="2062"/>
      <c r="AG536" s="75" t="s">
        <v>425</v>
      </c>
      <c r="AH536" s="2072"/>
      <c r="AI536" s="2072"/>
      <c r="AJ536" s="2072"/>
      <c r="AK536" s="212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11"/>
      <c r="C537" s="2112"/>
      <c r="D537" s="2112"/>
      <c r="E537" s="2112"/>
      <c r="F537" s="2112"/>
      <c r="G537" s="2112"/>
      <c r="H537" s="2113"/>
      <c r="I537" s="80" t="s">
        <v>444</v>
      </c>
      <c r="J537" s="80"/>
      <c r="K537" s="80"/>
      <c r="L537" s="80"/>
      <c r="M537" s="80"/>
      <c r="N537" s="80"/>
      <c r="O537" s="80"/>
      <c r="P537" s="80"/>
      <c r="Q537" s="80"/>
      <c r="R537" s="80"/>
      <c r="S537" s="80"/>
      <c r="T537" s="80"/>
      <c r="U537" s="80"/>
      <c r="V537" s="80"/>
      <c r="W537" s="80"/>
      <c r="X537" s="80"/>
      <c r="Y537" s="80"/>
      <c r="Z537" s="80"/>
      <c r="AA537" s="80"/>
      <c r="AB537" s="80"/>
      <c r="AC537" s="2114" t="s">
        <v>627</v>
      </c>
      <c r="AD537" s="2062"/>
      <c r="AE537" s="2062"/>
      <c r="AF537" s="2062"/>
      <c r="AG537" s="65" t="s">
        <v>425</v>
      </c>
      <c r="AH537" s="2072"/>
      <c r="AI537" s="2072"/>
      <c r="AJ537" s="2072"/>
      <c r="AK537" s="212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11"/>
      <c r="C538" s="2112"/>
      <c r="D538" s="2112"/>
      <c r="E538" s="2112"/>
      <c r="F538" s="2112"/>
      <c r="G538" s="2112"/>
      <c r="H538" s="2113"/>
      <c r="I538" s="72" t="s">
        <v>445</v>
      </c>
      <c r="J538" s="72"/>
      <c r="K538" s="72"/>
      <c r="L538" s="72"/>
      <c r="M538" s="72"/>
      <c r="N538" s="72"/>
      <c r="O538" s="2031" t="s">
        <v>344</v>
      </c>
      <c r="P538" s="2031"/>
      <c r="Q538" s="2031"/>
      <c r="R538" s="2031"/>
      <c r="S538" s="2031"/>
      <c r="T538" s="2031"/>
      <c r="U538" s="2031"/>
      <c r="V538" s="2031"/>
      <c r="W538" s="2031"/>
      <c r="X538" s="2031"/>
      <c r="Y538" s="2031"/>
      <c r="Z538" s="2031"/>
      <c r="AA538" s="2031"/>
      <c r="AC538" s="2114" t="s">
        <v>627</v>
      </c>
      <c r="AD538" s="2062"/>
      <c r="AE538" s="2062"/>
      <c r="AF538" s="2062"/>
      <c r="AG538" s="75" t="s">
        <v>425</v>
      </c>
      <c r="AH538" s="2072"/>
      <c r="AI538" s="2072"/>
      <c r="AJ538" s="2072"/>
      <c r="AK538" s="212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11"/>
      <c r="C539" s="2112"/>
      <c r="D539" s="2112"/>
      <c r="E539" s="2112"/>
      <c r="F539" s="2112"/>
      <c r="G539" s="2112"/>
      <c r="H539" s="2113"/>
      <c r="I539" s="25" t="s">
        <v>443</v>
      </c>
      <c r="J539" s="25"/>
      <c r="K539" s="25"/>
      <c r="L539" s="25"/>
      <c r="M539" s="25"/>
      <c r="N539" s="25"/>
      <c r="O539" s="25"/>
      <c r="P539" s="25"/>
      <c r="Q539" s="25"/>
      <c r="R539" s="25"/>
      <c r="S539" s="25"/>
      <c r="T539" s="25"/>
      <c r="U539" s="25"/>
      <c r="V539" s="25"/>
      <c r="W539" s="25"/>
      <c r="X539" s="25"/>
      <c r="Y539" s="25"/>
      <c r="AC539" s="2114" t="s">
        <v>627</v>
      </c>
      <c r="AD539" s="2062"/>
      <c r="AE539" s="2062"/>
      <c r="AF539" s="2062"/>
      <c r="AG539" s="75" t="s">
        <v>425</v>
      </c>
      <c r="AH539" s="2072"/>
      <c r="AI539" s="2072"/>
      <c r="AJ539" s="2072"/>
      <c r="AK539" s="212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11"/>
      <c r="C540" s="2112"/>
      <c r="D540" s="2112"/>
      <c r="E540" s="2112"/>
      <c r="F540" s="2112"/>
      <c r="G540" s="2112"/>
      <c r="H540" s="2113"/>
      <c r="I540" s="80" t="s">
        <v>444</v>
      </c>
      <c r="J540" s="80"/>
      <c r="K540" s="80"/>
      <c r="L540" s="80"/>
      <c r="M540" s="80"/>
      <c r="N540" s="80"/>
      <c r="O540" s="80"/>
      <c r="P540" s="80"/>
      <c r="Q540" s="80"/>
      <c r="R540" s="80"/>
      <c r="S540" s="80"/>
      <c r="T540" s="80"/>
      <c r="U540" s="80"/>
      <c r="V540" s="80"/>
      <c r="W540" s="80"/>
      <c r="X540" s="80"/>
      <c r="Y540" s="80"/>
      <c r="Z540" s="80"/>
      <c r="AA540" s="80"/>
      <c r="AB540" s="80"/>
      <c r="AC540" s="2114" t="s">
        <v>627</v>
      </c>
      <c r="AD540" s="2062"/>
      <c r="AE540" s="2062"/>
      <c r="AF540" s="2062"/>
      <c r="AG540" s="65" t="s">
        <v>425</v>
      </c>
      <c r="AH540" s="2072"/>
      <c r="AI540" s="2072"/>
      <c r="AJ540" s="2072"/>
      <c r="AK540" s="212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11"/>
      <c r="C541" s="2112"/>
      <c r="D541" s="2112"/>
      <c r="E541" s="2112"/>
      <c r="F541" s="2112"/>
      <c r="G541" s="2112"/>
      <c r="H541" s="2113"/>
      <c r="I541" s="72" t="s">
        <v>445</v>
      </c>
      <c r="J541" s="72"/>
      <c r="K541" s="72"/>
      <c r="L541" s="72"/>
      <c r="M541" s="72"/>
      <c r="N541" s="72"/>
      <c r="O541" s="2031" t="s">
        <v>344</v>
      </c>
      <c r="P541" s="2031"/>
      <c r="Q541" s="2031"/>
      <c r="R541" s="2031"/>
      <c r="S541" s="2031"/>
      <c r="T541" s="2031"/>
      <c r="U541" s="2031"/>
      <c r="V541" s="2031"/>
      <c r="W541" s="2031"/>
      <c r="X541" s="2031"/>
      <c r="Y541" s="2031"/>
      <c r="Z541" s="2031"/>
      <c r="AA541" s="2031"/>
      <c r="AC541" s="2114" t="s">
        <v>627</v>
      </c>
      <c r="AD541" s="2062"/>
      <c r="AE541" s="2062"/>
      <c r="AF541" s="2062"/>
      <c r="AG541" s="75" t="s">
        <v>425</v>
      </c>
      <c r="AH541" s="2072"/>
      <c r="AI541" s="2072"/>
      <c r="AJ541" s="2072"/>
      <c r="AK541" s="212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11"/>
      <c r="C542" s="2112"/>
      <c r="D542" s="2112"/>
      <c r="E542" s="2112"/>
      <c r="F542" s="2112"/>
      <c r="G542" s="2112"/>
      <c r="H542" s="2113"/>
      <c r="I542" s="25" t="s">
        <v>443</v>
      </c>
      <c r="J542" s="25"/>
      <c r="K542" s="25"/>
      <c r="L542" s="25"/>
      <c r="M542" s="25"/>
      <c r="N542" s="25"/>
      <c r="O542" s="25"/>
      <c r="P542" s="25"/>
      <c r="Q542" s="25"/>
      <c r="R542" s="25"/>
      <c r="S542" s="25"/>
      <c r="T542" s="25"/>
      <c r="U542" s="25"/>
      <c r="V542" s="25"/>
      <c r="W542" s="25"/>
      <c r="X542" s="25"/>
      <c r="Y542" s="25"/>
      <c r="AC542" s="2114" t="s">
        <v>627</v>
      </c>
      <c r="AD542" s="2062"/>
      <c r="AE542" s="2062"/>
      <c r="AF542" s="2062"/>
      <c r="AG542" s="75" t="s">
        <v>425</v>
      </c>
      <c r="AH542" s="2072"/>
      <c r="AI542" s="2072"/>
      <c r="AJ542" s="2072"/>
      <c r="AK542" s="212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11"/>
      <c r="C543" s="2112"/>
      <c r="D543" s="2112"/>
      <c r="E543" s="2112"/>
      <c r="F543" s="2112"/>
      <c r="G543" s="2112"/>
      <c r="H543" s="2113"/>
      <c r="I543" s="80" t="s">
        <v>444</v>
      </c>
      <c r="J543" s="80"/>
      <c r="K543" s="80"/>
      <c r="L543" s="80"/>
      <c r="M543" s="80"/>
      <c r="N543" s="80"/>
      <c r="O543" s="80"/>
      <c r="P543" s="80"/>
      <c r="Q543" s="80"/>
      <c r="R543" s="80"/>
      <c r="S543" s="80"/>
      <c r="T543" s="80"/>
      <c r="U543" s="80"/>
      <c r="V543" s="80"/>
      <c r="W543" s="80"/>
      <c r="X543" s="80"/>
      <c r="Y543" s="80"/>
      <c r="Z543" s="80"/>
      <c r="AA543" s="80"/>
      <c r="AB543" s="80"/>
      <c r="AC543" s="2114" t="s">
        <v>627</v>
      </c>
      <c r="AD543" s="2062"/>
      <c r="AE543" s="2062"/>
      <c r="AF543" s="2062"/>
      <c r="AG543" s="65" t="s">
        <v>425</v>
      </c>
      <c r="AH543" s="2072"/>
      <c r="AI543" s="2072"/>
      <c r="AJ543" s="2072"/>
      <c r="AK543" s="212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11"/>
      <c r="C544" s="2112"/>
      <c r="D544" s="2112"/>
      <c r="E544" s="2112"/>
      <c r="F544" s="2112"/>
      <c r="G544" s="2112"/>
      <c r="H544" s="2113"/>
      <c r="I544" s="72" t="s">
        <v>445</v>
      </c>
      <c r="J544" s="72"/>
      <c r="K544" s="72"/>
      <c r="L544" s="72"/>
      <c r="M544" s="72"/>
      <c r="N544" s="72"/>
      <c r="O544" s="2031" t="s">
        <v>344</v>
      </c>
      <c r="P544" s="2031"/>
      <c r="Q544" s="2031"/>
      <c r="R544" s="2031"/>
      <c r="S544" s="2031"/>
      <c r="T544" s="2031"/>
      <c r="U544" s="2031"/>
      <c r="V544" s="2031"/>
      <c r="W544" s="2031"/>
      <c r="X544" s="2031"/>
      <c r="Y544" s="2031"/>
      <c r="Z544" s="2031"/>
      <c r="AA544" s="2031"/>
      <c r="AC544" s="2114" t="s">
        <v>627</v>
      </c>
      <c r="AD544" s="2062"/>
      <c r="AE544" s="2062"/>
      <c r="AF544" s="2062"/>
      <c r="AG544" s="75" t="s">
        <v>425</v>
      </c>
      <c r="AH544" s="2072"/>
      <c r="AI544" s="2072"/>
      <c r="AJ544" s="2072"/>
      <c r="AK544" s="212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11"/>
      <c r="C545" s="2112"/>
      <c r="D545" s="2112"/>
      <c r="E545" s="2112"/>
      <c r="F545" s="2112"/>
      <c r="G545" s="2112"/>
      <c r="H545" s="2113"/>
      <c r="I545" s="25" t="s">
        <v>443</v>
      </c>
      <c r="J545" s="25"/>
      <c r="K545" s="25"/>
      <c r="L545" s="25"/>
      <c r="M545" s="25"/>
      <c r="N545" s="25"/>
      <c r="O545" s="25"/>
      <c r="P545" s="25"/>
      <c r="Q545" s="25"/>
      <c r="R545" s="25"/>
      <c r="S545" s="25"/>
      <c r="T545" s="25"/>
      <c r="U545" s="25"/>
      <c r="V545" s="25"/>
      <c r="W545" s="25"/>
      <c r="X545" s="25"/>
      <c r="Y545" s="25"/>
      <c r="AC545" s="2114" t="s">
        <v>627</v>
      </c>
      <c r="AD545" s="2062"/>
      <c r="AE545" s="2062"/>
      <c r="AF545" s="2062"/>
      <c r="AG545" s="65" t="s">
        <v>425</v>
      </c>
      <c r="AH545" s="2072"/>
      <c r="AI545" s="2072"/>
      <c r="AJ545" s="2072"/>
      <c r="AK545" s="212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11"/>
      <c r="C546" s="2112"/>
      <c r="D546" s="2112"/>
      <c r="E546" s="2112"/>
      <c r="F546" s="2112"/>
      <c r="G546" s="2112"/>
      <c r="H546" s="2113"/>
      <c r="I546" s="80" t="s">
        <v>444</v>
      </c>
      <c r="J546" s="80"/>
      <c r="K546" s="80"/>
      <c r="L546" s="80"/>
      <c r="M546" s="80"/>
      <c r="N546" s="80"/>
      <c r="O546" s="80"/>
      <c r="P546" s="80"/>
      <c r="Q546" s="80"/>
      <c r="R546" s="80"/>
      <c r="S546" s="80"/>
      <c r="T546" s="80"/>
      <c r="U546" s="80"/>
      <c r="V546" s="80"/>
      <c r="W546" s="80"/>
      <c r="X546" s="80"/>
      <c r="Y546" s="80"/>
      <c r="Z546" s="80"/>
      <c r="AA546" s="80"/>
      <c r="AB546" s="80"/>
      <c r="AC546" s="2114" t="s">
        <v>627</v>
      </c>
      <c r="AD546" s="2062"/>
      <c r="AE546" s="2062"/>
      <c r="AF546" s="2062"/>
      <c r="AG546" s="75" t="s">
        <v>425</v>
      </c>
      <c r="AH546" s="2072"/>
      <c r="AI546" s="2072"/>
      <c r="AJ546" s="2072"/>
      <c r="AK546" s="212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11"/>
      <c r="C547" s="2112"/>
      <c r="D547" s="2112"/>
      <c r="E547" s="2112"/>
      <c r="F547" s="2112"/>
      <c r="G547" s="2112"/>
      <c r="H547" s="2113"/>
      <c r="I547" s="72" t="s">
        <v>445</v>
      </c>
      <c r="J547" s="72"/>
      <c r="K547" s="72"/>
      <c r="L547" s="72"/>
      <c r="M547" s="72"/>
      <c r="N547" s="72"/>
      <c r="O547" s="2031" t="s">
        <v>344</v>
      </c>
      <c r="P547" s="2031"/>
      <c r="Q547" s="2031"/>
      <c r="R547" s="2031"/>
      <c r="S547" s="2031"/>
      <c r="T547" s="2031"/>
      <c r="U547" s="2031"/>
      <c r="V547" s="2031"/>
      <c r="W547" s="2031"/>
      <c r="X547" s="2031"/>
      <c r="Y547" s="2031"/>
      <c r="Z547" s="2031"/>
      <c r="AA547" s="2031"/>
      <c r="AC547" s="2114" t="s">
        <v>627</v>
      </c>
      <c r="AD547" s="2062"/>
      <c r="AE547" s="2062"/>
      <c r="AF547" s="2062"/>
      <c r="AG547" s="65" t="s">
        <v>425</v>
      </c>
      <c r="AH547" s="2072"/>
      <c r="AI547" s="2072"/>
      <c r="AJ547" s="2072"/>
      <c r="AK547" s="212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11"/>
      <c r="C548" s="2112"/>
      <c r="D548" s="2112"/>
      <c r="E548" s="2112"/>
      <c r="F548" s="2112"/>
      <c r="G548" s="2112"/>
      <c r="H548" s="2113"/>
      <c r="I548" s="25" t="s">
        <v>443</v>
      </c>
      <c r="J548" s="25"/>
      <c r="K548" s="25"/>
      <c r="L548" s="25"/>
      <c r="M548" s="25"/>
      <c r="N548" s="25"/>
      <c r="O548" s="25"/>
      <c r="P548" s="25"/>
      <c r="Q548" s="25"/>
      <c r="R548" s="25"/>
      <c r="S548" s="25"/>
      <c r="T548" s="25"/>
      <c r="U548" s="25"/>
      <c r="V548" s="25"/>
      <c r="W548" s="25"/>
      <c r="X548" s="25"/>
      <c r="Y548" s="25"/>
      <c r="AC548" s="2114" t="s">
        <v>627</v>
      </c>
      <c r="AD548" s="2062"/>
      <c r="AE548" s="2062"/>
      <c r="AF548" s="2062"/>
      <c r="AG548" s="75" t="s">
        <v>425</v>
      </c>
      <c r="AH548" s="2072"/>
      <c r="AI548" s="2072"/>
      <c r="AJ548" s="2072"/>
      <c r="AK548" s="212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11"/>
      <c r="C549" s="2112"/>
      <c r="D549" s="2112"/>
      <c r="E549" s="2112"/>
      <c r="F549" s="2112"/>
      <c r="G549" s="2112"/>
      <c r="H549" s="2113"/>
      <c r="I549" s="80" t="s">
        <v>444</v>
      </c>
      <c r="J549" s="80"/>
      <c r="K549" s="80"/>
      <c r="L549" s="80"/>
      <c r="M549" s="80"/>
      <c r="N549" s="80"/>
      <c r="O549" s="80"/>
      <c r="P549" s="80"/>
      <c r="Q549" s="80"/>
      <c r="R549" s="80"/>
      <c r="S549" s="80"/>
      <c r="T549" s="80"/>
      <c r="U549" s="80"/>
      <c r="V549" s="80"/>
      <c r="W549" s="80"/>
      <c r="X549" s="80"/>
      <c r="Y549" s="80"/>
      <c r="Z549" s="80"/>
      <c r="AA549" s="80"/>
      <c r="AB549" s="80"/>
      <c r="AC549" s="2114" t="s">
        <v>627</v>
      </c>
      <c r="AD549" s="2062"/>
      <c r="AE549" s="2062"/>
      <c r="AF549" s="2062"/>
      <c r="AG549" s="65" t="s">
        <v>425</v>
      </c>
      <c r="AH549" s="2072"/>
      <c r="AI549" s="2072"/>
      <c r="AJ549" s="2072"/>
      <c r="AK549" s="212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11"/>
      <c r="C550" s="2112"/>
      <c r="D550" s="2112"/>
      <c r="E550" s="2112"/>
      <c r="F550" s="2112"/>
      <c r="G550" s="2112"/>
      <c r="H550" s="2113"/>
      <c r="I550" s="72" t="s">
        <v>596</v>
      </c>
      <c r="J550" s="72"/>
      <c r="K550" s="72"/>
      <c r="L550" s="72"/>
      <c r="M550" s="72"/>
      <c r="N550" s="72"/>
      <c r="O550" s="72"/>
      <c r="P550" s="72"/>
      <c r="Q550" s="72"/>
      <c r="R550" s="72"/>
      <c r="S550" s="72"/>
      <c r="T550" s="72"/>
      <c r="U550" s="72"/>
      <c r="V550" s="72"/>
      <c r="W550" s="72"/>
      <c r="X550" s="25"/>
      <c r="Y550" s="25"/>
      <c r="AC550" s="2114">
        <v>12</v>
      </c>
      <c r="AD550" s="2062"/>
      <c r="AE550" s="2062"/>
      <c r="AF550" s="2062"/>
      <c r="AG550" s="65" t="s">
        <v>425</v>
      </c>
      <c r="AH550" s="2072">
        <v>2021</v>
      </c>
      <c r="AI550" s="2072"/>
      <c r="AJ550" s="2072"/>
      <c r="AK550" s="212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11"/>
      <c r="C551" s="2112"/>
      <c r="D551" s="2112"/>
      <c r="E551" s="2112"/>
      <c r="F551" s="2112"/>
      <c r="G551" s="2112"/>
      <c r="H551" s="2113"/>
      <c r="I551" s="25" t="s">
        <v>597</v>
      </c>
      <c r="J551" s="25"/>
      <c r="K551" s="25"/>
      <c r="L551" s="25"/>
      <c r="M551" s="25"/>
      <c r="N551" s="25"/>
      <c r="O551" s="25"/>
      <c r="P551" s="25"/>
      <c r="Q551" s="25"/>
      <c r="R551" s="25"/>
      <c r="S551" s="25"/>
      <c r="T551" s="25"/>
      <c r="U551" s="25"/>
      <c r="V551" s="25"/>
      <c r="W551" s="25"/>
      <c r="X551" s="25"/>
      <c r="Y551" s="25"/>
      <c r="AC551" s="2114">
        <v>10</v>
      </c>
      <c r="AD551" s="2062"/>
      <c r="AE551" s="2062"/>
      <c r="AF551" s="2062"/>
      <c r="AG551" s="75" t="s">
        <v>425</v>
      </c>
      <c r="AH551" s="2072">
        <v>2021</v>
      </c>
      <c r="AI551" s="2072"/>
      <c r="AJ551" s="2072"/>
      <c r="AK551" s="212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11"/>
      <c r="C552" s="2112"/>
      <c r="D552" s="2112"/>
      <c r="E552" s="2112"/>
      <c r="F552" s="2112"/>
      <c r="G552" s="2112"/>
      <c r="H552" s="2113"/>
      <c r="I552" s="25" t="s">
        <v>598</v>
      </c>
      <c r="J552" s="25"/>
      <c r="K552" s="25"/>
      <c r="L552" s="25"/>
      <c r="M552" s="25"/>
      <c r="N552" s="25"/>
      <c r="O552" s="25"/>
      <c r="P552" s="25"/>
      <c r="Q552" s="25"/>
      <c r="R552" s="25"/>
      <c r="S552" s="25"/>
      <c r="T552" s="25"/>
      <c r="U552" s="25"/>
      <c r="V552" s="25"/>
      <c r="W552" s="25"/>
      <c r="X552" s="25"/>
      <c r="Y552" s="25"/>
      <c r="AC552" s="2114">
        <v>6</v>
      </c>
      <c r="AD552" s="2062"/>
      <c r="AE552" s="2062"/>
      <c r="AF552" s="2062"/>
      <c r="AG552" s="65" t="s">
        <v>425</v>
      </c>
      <c r="AH552" s="2072">
        <v>2023</v>
      </c>
      <c r="AI552" s="2072"/>
      <c r="AJ552" s="2072"/>
      <c r="AK552" s="212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11"/>
      <c r="C553" s="2112"/>
      <c r="D553" s="2112"/>
      <c r="E553" s="2112"/>
      <c r="F553" s="2112"/>
      <c r="G553" s="2112"/>
      <c r="H553" s="2113"/>
      <c r="I553" s="25" t="s">
        <v>599</v>
      </c>
      <c r="J553" s="25"/>
      <c r="K553" s="25"/>
      <c r="L553" s="25"/>
      <c r="M553" s="25"/>
      <c r="N553" s="25"/>
      <c r="O553" s="25"/>
      <c r="P553" s="25"/>
      <c r="Q553" s="25"/>
      <c r="R553" s="25"/>
      <c r="S553" s="25"/>
      <c r="T553" s="25"/>
      <c r="U553" s="25"/>
      <c r="V553" s="25"/>
      <c r="W553" s="25"/>
      <c r="X553" s="25"/>
      <c r="Y553" s="25"/>
      <c r="AC553" s="2114">
        <v>6</v>
      </c>
      <c r="AD553" s="2062"/>
      <c r="AE553" s="2062"/>
      <c r="AF553" s="2062"/>
      <c r="AG553" s="65" t="s">
        <v>425</v>
      </c>
      <c r="AH553" s="2072">
        <v>2023</v>
      </c>
      <c r="AI553" s="2072"/>
      <c r="AJ553" s="2072"/>
      <c r="AK553" s="212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3"/>
      <c r="C554" s="2154"/>
      <c r="D554" s="2154"/>
      <c r="E554" s="2154"/>
      <c r="F554" s="2154"/>
      <c r="G554" s="2154"/>
      <c r="H554" s="2155"/>
      <c r="I554" s="80" t="s">
        <v>483</v>
      </c>
      <c r="J554" s="80"/>
      <c r="K554" s="80"/>
      <c r="L554" s="80"/>
      <c r="M554" s="80"/>
      <c r="N554" s="80"/>
      <c r="O554" s="80"/>
      <c r="P554" s="80"/>
      <c r="Q554" s="80"/>
      <c r="R554" s="80"/>
      <c r="S554" s="80"/>
      <c r="T554" s="80"/>
      <c r="U554" s="80"/>
      <c r="V554" s="80"/>
      <c r="W554" s="80"/>
      <c r="X554" s="80"/>
      <c r="Y554" s="80"/>
      <c r="Z554" s="80"/>
      <c r="AA554" s="80"/>
      <c r="AB554" s="80"/>
      <c r="AC554" s="2114">
        <v>9</v>
      </c>
      <c r="AD554" s="2062"/>
      <c r="AE554" s="2062"/>
      <c r="AF554" s="2062"/>
      <c r="AG554" s="65" t="s">
        <v>425</v>
      </c>
      <c r="AH554" s="2072">
        <v>2023</v>
      </c>
      <c r="AI554" s="2072"/>
      <c r="AJ554" s="2072"/>
      <c r="AK554" s="212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577</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485</v>
      </c>
      <c r="C563" s="2166"/>
      <c r="D563" s="2166"/>
      <c r="E563" s="2166"/>
      <c r="F563" s="2166"/>
      <c r="G563" s="2166"/>
      <c r="H563" s="2166"/>
      <c r="I563" s="2166"/>
      <c r="J563" s="2166"/>
      <c r="K563" s="2166"/>
      <c r="L563" s="2166"/>
      <c r="M563" s="2166"/>
      <c r="N563" s="2166"/>
      <c r="O563" s="2166"/>
      <c r="P563" s="2167"/>
      <c r="Q563" s="2163" t="s">
        <v>2444</v>
      </c>
      <c r="R563" s="2164"/>
      <c r="S563" s="2165"/>
      <c r="T563" s="2163" t="s">
        <v>2442</v>
      </c>
      <c r="U563" s="2164"/>
      <c r="V563" s="2165"/>
      <c r="W563" s="2163" t="s">
        <v>486</v>
      </c>
      <c r="X563" s="2164"/>
      <c r="Y563" s="2165"/>
      <c r="Z563" s="2163" t="s">
        <v>2443</v>
      </c>
      <c r="AA563" s="2164"/>
      <c r="AB563" s="2164"/>
      <c r="AC563" s="2164"/>
      <c r="AD563" s="2164"/>
      <c r="AE563" s="2163" t="s">
        <v>2165</v>
      </c>
      <c r="AF563" s="2164"/>
      <c r="AG563" s="2164"/>
      <c r="AH563" s="2165"/>
      <c r="AI563" s="2163" t="s">
        <v>2166</v>
      </c>
      <c r="AJ563" s="2164"/>
      <c r="AK563" s="2164"/>
      <c r="AL563" s="2165"/>
      <c r="AM563" s="2163" t="s">
        <v>487</v>
      </c>
      <c r="AN563" s="2164"/>
      <c r="AO563" s="2164"/>
      <c r="AP563" s="2164"/>
      <c r="AQ563" s="2164"/>
      <c r="AR563" s="2164"/>
      <c r="AS563" s="216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0" t="s">
        <v>2526</v>
      </c>
      <c r="D564" s="2070"/>
      <c r="E564" s="2070"/>
      <c r="F564" s="2070"/>
      <c r="G564" s="2070"/>
      <c r="H564" s="2070"/>
      <c r="I564" s="2070"/>
      <c r="J564" s="2070"/>
      <c r="K564" s="2070"/>
      <c r="L564" s="2070"/>
      <c r="M564" s="2070"/>
      <c r="N564" s="2070"/>
      <c r="O564" s="2070"/>
      <c r="P564" s="2152"/>
      <c r="Q564" s="2157">
        <v>26</v>
      </c>
      <c r="R564" s="2157"/>
      <c r="S564" s="2158"/>
      <c r="T564" s="2156">
        <v>26</v>
      </c>
      <c r="U564" s="2157"/>
      <c r="V564" s="2158"/>
      <c r="W564" s="2169">
        <v>4.4999999999999998E-2</v>
      </c>
      <c r="X564" s="2170"/>
      <c r="Y564" s="2171"/>
      <c r="Z564" s="2026" t="s">
        <v>2527</v>
      </c>
      <c r="AA564" s="2026"/>
      <c r="AB564" s="2026"/>
      <c r="AC564" s="2026"/>
      <c r="AD564" s="2026"/>
      <c r="AE564" s="2105">
        <v>1</v>
      </c>
      <c r="AF564" s="2106"/>
      <c r="AG564" s="2106"/>
      <c r="AH564" s="2107"/>
      <c r="AI564" s="2032"/>
      <c r="AJ564" s="2033"/>
      <c r="AK564" s="2033"/>
      <c r="AL564" s="2034"/>
      <c r="AM564" s="2028">
        <v>12735866</v>
      </c>
      <c r="AN564" s="2029"/>
      <c r="AO564" s="2029"/>
      <c r="AP564" s="2029"/>
      <c r="AQ564" s="2029"/>
      <c r="AR564" s="2029"/>
      <c r="AS564" s="2030"/>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0" t="s">
        <v>2525</v>
      </c>
      <c r="D565" s="2070"/>
      <c r="E565" s="2070"/>
      <c r="F565" s="2070"/>
      <c r="G565" s="2070"/>
      <c r="H565" s="2070"/>
      <c r="I565" s="2070"/>
      <c r="J565" s="2070"/>
      <c r="K565" s="2070"/>
      <c r="L565" s="2070"/>
      <c r="M565" s="2070"/>
      <c r="N565" s="2070"/>
      <c r="O565" s="2070"/>
      <c r="P565" s="2152"/>
      <c r="Q565" s="2156">
        <v>26</v>
      </c>
      <c r="R565" s="2157"/>
      <c r="S565" s="2158"/>
      <c r="T565" s="2156">
        <v>26</v>
      </c>
      <c r="U565" s="2157"/>
      <c r="V565" s="2158"/>
      <c r="W565" s="2169">
        <v>4.7500000000000001E-2</v>
      </c>
      <c r="X565" s="2170"/>
      <c r="Y565" s="2171"/>
      <c r="Z565" s="2026" t="s">
        <v>2527</v>
      </c>
      <c r="AA565" s="2026"/>
      <c r="AB565" s="2026"/>
      <c r="AC565" s="2026"/>
      <c r="AD565" s="2026"/>
      <c r="AE565" s="2105">
        <v>2</v>
      </c>
      <c r="AF565" s="2106"/>
      <c r="AG565" s="2106"/>
      <c r="AH565" s="2107"/>
      <c r="AI565" s="2032"/>
      <c r="AJ565" s="2033"/>
      <c r="AK565" s="2033"/>
      <c r="AL565" s="2034"/>
      <c r="AM565" s="2028">
        <v>9336023</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0" t="s">
        <v>2141</v>
      </c>
      <c r="D566" s="2070"/>
      <c r="E566" s="2070"/>
      <c r="F566" s="2070"/>
      <c r="G566" s="2070"/>
      <c r="H566" s="2070"/>
      <c r="I566" s="2070"/>
      <c r="J566" s="2070"/>
      <c r="K566" s="2070"/>
      <c r="L566" s="2070"/>
      <c r="M566" s="2070"/>
      <c r="N566" s="2070"/>
      <c r="O566" s="2070"/>
      <c r="P566" s="2152"/>
      <c r="Q566" s="2156"/>
      <c r="R566" s="2157"/>
      <c r="S566" s="2158"/>
      <c r="T566" s="2156"/>
      <c r="U566" s="2157"/>
      <c r="V566" s="2158"/>
      <c r="W566" s="2169"/>
      <c r="X566" s="2170"/>
      <c r="Y566" s="2171"/>
      <c r="Z566" s="2026" t="s">
        <v>627</v>
      </c>
      <c r="AA566" s="2026"/>
      <c r="AB566" s="2026"/>
      <c r="AC566" s="2026"/>
      <c r="AD566" s="2026"/>
      <c r="AE566" s="2105"/>
      <c r="AF566" s="2106"/>
      <c r="AG566" s="2106"/>
      <c r="AH566" s="2107"/>
      <c r="AI566" s="2032"/>
      <c r="AJ566" s="2033"/>
      <c r="AK566" s="2033"/>
      <c r="AL566" s="2034"/>
      <c r="AM566" s="2028">
        <v>434462</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70" t="s">
        <v>2528</v>
      </c>
      <c r="D567" s="2070"/>
      <c r="E567" s="2070"/>
      <c r="F567" s="2070"/>
      <c r="G567" s="2070"/>
      <c r="H567" s="2070"/>
      <c r="I567" s="2070"/>
      <c r="J567" s="2070"/>
      <c r="K567" s="2070"/>
      <c r="L567" s="2070"/>
      <c r="M567" s="2070"/>
      <c r="N567" s="2070"/>
      <c r="O567" s="2070"/>
      <c r="P567" s="2152"/>
      <c r="Q567" s="2156"/>
      <c r="R567" s="2157"/>
      <c r="S567" s="2158"/>
      <c r="T567" s="2156"/>
      <c r="U567" s="2157"/>
      <c r="V567" s="2158"/>
      <c r="W567" s="2169"/>
      <c r="X567" s="2170"/>
      <c r="Y567" s="2171"/>
      <c r="Z567" s="2026" t="s">
        <v>627</v>
      </c>
      <c r="AA567" s="2026"/>
      <c r="AB567" s="2026"/>
      <c r="AC567" s="2026"/>
      <c r="AD567" s="2026"/>
      <c r="AE567" s="2105"/>
      <c r="AF567" s="2106"/>
      <c r="AG567" s="2106"/>
      <c r="AH567" s="2107"/>
      <c r="AI567" s="2032"/>
      <c r="AJ567" s="2033"/>
      <c r="AK567" s="2033"/>
      <c r="AL567" s="2034"/>
      <c r="AM567" s="2028">
        <v>1796667</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70" t="s">
        <v>2529</v>
      </c>
      <c r="D568" s="2070"/>
      <c r="E568" s="2070"/>
      <c r="F568" s="2070"/>
      <c r="G568" s="2070"/>
      <c r="H568" s="2070"/>
      <c r="I568" s="2070"/>
      <c r="J568" s="2070"/>
      <c r="K568" s="2070"/>
      <c r="L568" s="2070"/>
      <c r="M568" s="2070"/>
      <c r="N568" s="2070"/>
      <c r="O568" s="2070"/>
      <c r="P568" s="2152"/>
      <c r="Q568" s="2156"/>
      <c r="R568" s="2157"/>
      <c r="S568" s="2158"/>
      <c r="T568" s="2156"/>
      <c r="U568" s="2157"/>
      <c r="V568" s="2158"/>
      <c r="W568" s="2169"/>
      <c r="X568" s="2170"/>
      <c r="Y568" s="2171"/>
      <c r="Z568" s="2026" t="s">
        <v>627</v>
      </c>
      <c r="AA568" s="2026"/>
      <c r="AB568" s="2026"/>
      <c r="AC568" s="2026"/>
      <c r="AD568" s="2026"/>
      <c r="AE568" s="2105"/>
      <c r="AF568" s="2106"/>
      <c r="AG568" s="2106"/>
      <c r="AH568" s="2107"/>
      <c r="AI568" s="2032"/>
      <c r="AJ568" s="2033"/>
      <c r="AK568" s="2033"/>
      <c r="AL568" s="2034"/>
      <c r="AM568" s="2168">
        <f>782835-160000+100</f>
        <v>622935</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70"/>
      <c r="D569" s="2070"/>
      <c r="E569" s="2070"/>
      <c r="F569" s="2070"/>
      <c r="G569" s="2070"/>
      <c r="H569" s="2070"/>
      <c r="I569" s="2070"/>
      <c r="J569" s="2070"/>
      <c r="K569" s="2070"/>
      <c r="L569" s="2070"/>
      <c r="M569" s="2070"/>
      <c r="N569" s="2070"/>
      <c r="O569" s="2070"/>
      <c r="P569" s="2152"/>
      <c r="Q569" s="2156"/>
      <c r="R569" s="2157"/>
      <c r="S569" s="2158"/>
      <c r="T569" s="2156"/>
      <c r="U569" s="2157"/>
      <c r="V569" s="2158"/>
      <c r="W569" s="2169"/>
      <c r="X569" s="2170"/>
      <c r="Y569" s="2171"/>
      <c r="Z569" s="2026" t="s">
        <v>1386</v>
      </c>
      <c r="AA569" s="2026"/>
      <c r="AB569" s="2026"/>
      <c r="AC569" s="2026"/>
      <c r="AD569" s="2026"/>
      <c r="AE569" s="2105"/>
      <c r="AF569" s="2106"/>
      <c r="AG569" s="2106"/>
      <c r="AH569" s="2107"/>
      <c r="AI569" s="2032"/>
      <c r="AJ569" s="2033"/>
      <c r="AK569" s="2033"/>
      <c r="AL569" s="2034"/>
      <c r="AM569" s="2028"/>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70"/>
      <c r="D570" s="2070"/>
      <c r="E570" s="2070"/>
      <c r="F570" s="2070"/>
      <c r="G570" s="2070"/>
      <c r="H570" s="2070"/>
      <c r="I570" s="2070"/>
      <c r="J570" s="2070"/>
      <c r="K570" s="2070"/>
      <c r="L570" s="2070"/>
      <c r="M570" s="2070"/>
      <c r="N570" s="2070"/>
      <c r="O570" s="2070"/>
      <c r="P570" s="2152"/>
      <c r="Q570" s="2156"/>
      <c r="R570" s="2157"/>
      <c r="S570" s="2158"/>
      <c r="T570" s="2156"/>
      <c r="U570" s="2157"/>
      <c r="V570" s="2158"/>
      <c r="W570" s="2169"/>
      <c r="X570" s="2170"/>
      <c r="Y570" s="2171"/>
      <c r="Z570" s="2026" t="s">
        <v>1386</v>
      </c>
      <c r="AA570" s="2026"/>
      <c r="AB570" s="2026"/>
      <c r="AC570" s="2026"/>
      <c r="AD570" s="2026"/>
      <c r="AE570" s="2105"/>
      <c r="AF570" s="2106"/>
      <c r="AG570" s="2106"/>
      <c r="AH570" s="2107"/>
      <c r="AI570" s="2032"/>
      <c r="AJ570" s="2033"/>
      <c r="AK570" s="2033"/>
      <c r="AL570" s="2034"/>
      <c r="AM570" s="2028"/>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70"/>
      <c r="D571" s="2070"/>
      <c r="E571" s="2070"/>
      <c r="F571" s="2070"/>
      <c r="G571" s="2070"/>
      <c r="H571" s="2070"/>
      <c r="I571" s="2070"/>
      <c r="J571" s="2070"/>
      <c r="K571" s="2070"/>
      <c r="L571" s="2070"/>
      <c r="M571" s="2070"/>
      <c r="N571" s="2070"/>
      <c r="O571" s="2070"/>
      <c r="P571" s="2152"/>
      <c r="Q571" s="2156"/>
      <c r="R571" s="2157"/>
      <c r="S571" s="2158"/>
      <c r="T571" s="2156"/>
      <c r="U571" s="2157"/>
      <c r="V571" s="2158"/>
      <c r="W571" s="2169"/>
      <c r="X571" s="2170"/>
      <c r="Y571" s="2171"/>
      <c r="Z571" s="2026" t="s">
        <v>1386</v>
      </c>
      <c r="AA571" s="2026"/>
      <c r="AB571" s="2026"/>
      <c r="AC571" s="2026"/>
      <c r="AD571" s="2026"/>
      <c r="AE571" s="2105"/>
      <c r="AF571" s="2106"/>
      <c r="AG571" s="2106"/>
      <c r="AH571" s="2107"/>
      <c r="AI571" s="2032"/>
      <c r="AJ571" s="2033"/>
      <c r="AK571" s="2033"/>
      <c r="AL571" s="2034"/>
      <c r="AM571" s="2028"/>
      <c r="AN571" s="2029"/>
      <c r="AO571" s="2029"/>
      <c r="AP571" s="2029"/>
      <c r="AQ571" s="2029"/>
      <c r="AR571" s="2029"/>
      <c r="AS571" s="203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70"/>
      <c r="D572" s="2070"/>
      <c r="E572" s="2070"/>
      <c r="F572" s="2070"/>
      <c r="G572" s="2070"/>
      <c r="H572" s="2070"/>
      <c r="I572" s="2070"/>
      <c r="J572" s="2070"/>
      <c r="K572" s="2070"/>
      <c r="L572" s="2070"/>
      <c r="M572" s="2070"/>
      <c r="N572" s="2070"/>
      <c r="O572" s="2070"/>
      <c r="P572" s="2152"/>
      <c r="Q572" s="2156"/>
      <c r="R572" s="2157"/>
      <c r="S572" s="2158"/>
      <c r="T572" s="2156"/>
      <c r="U572" s="2157"/>
      <c r="V572" s="2158"/>
      <c r="W572" s="2169"/>
      <c r="X572" s="2170"/>
      <c r="Y572" s="2171"/>
      <c r="Z572" s="2026" t="s">
        <v>1386</v>
      </c>
      <c r="AA572" s="2026"/>
      <c r="AB572" s="2026"/>
      <c r="AC572" s="2026"/>
      <c r="AD572" s="2026"/>
      <c r="AE572" s="2105"/>
      <c r="AF572" s="2106"/>
      <c r="AG572" s="2106"/>
      <c r="AH572" s="2107"/>
      <c r="AI572" s="2032"/>
      <c r="AJ572" s="2033"/>
      <c r="AK572" s="2033"/>
      <c r="AL572" s="2034"/>
      <c r="AM572" s="2028"/>
      <c r="AN572" s="2029"/>
      <c r="AO572" s="2029"/>
      <c r="AP572" s="2029"/>
      <c r="AQ572" s="2029"/>
      <c r="AR572" s="2029"/>
      <c r="AS572" s="203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70"/>
      <c r="D573" s="2070"/>
      <c r="E573" s="2070"/>
      <c r="F573" s="2070"/>
      <c r="G573" s="2070"/>
      <c r="H573" s="2070"/>
      <c r="I573" s="2070"/>
      <c r="J573" s="2070"/>
      <c r="K573" s="2070"/>
      <c r="L573" s="2070"/>
      <c r="M573" s="2070"/>
      <c r="N573" s="2070"/>
      <c r="O573" s="2070"/>
      <c r="P573" s="2152"/>
      <c r="Q573" s="2156"/>
      <c r="R573" s="2157"/>
      <c r="S573" s="2158"/>
      <c r="T573" s="2156"/>
      <c r="U573" s="2157"/>
      <c r="V573" s="2158"/>
      <c r="W573" s="2169"/>
      <c r="X573" s="2170"/>
      <c r="Y573" s="2171"/>
      <c r="Z573" s="2026" t="s">
        <v>1386</v>
      </c>
      <c r="AA573" s="2026"/>
      <c r="AB573" s="2026"/>
      <c r="AC573" s="2026"/>
      <c r="AD573" s="2026"/>
      <c r="AE573" s="2105"/>
      <c r="AF573" s="2106"/>
      <c r="AG573" s="2106"/>
      <c r="AH573" s="2107"/>
      <c r="AI573" s="2032"/>
      <c r="AJ573" s="2033"/>
      <c r="AK573" s="2033"/>
      <c r="AL573" s="2034"/>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70"/>
      <c r="D574" s="2070"/>
      <c r="E574" s="2070"/>
      <c r="F574" s="2070"/>
      <c r="G574" s="2070"/>
      <c r="H574" s="2070"/>
      <c r="I574" s="2070"/>
      <c r="J574" s="2070"/>
      <c r="K574" s="2070"/>
      <c r="L574" s="2070"/>
      <c r="M574" s="2070"/>
      <c r="N574" s="2070"/>
      <c r="O574" s="2070"/>
      <c r="P574" s="2152"/>
      <c r="Q574" s="2156"/>
      <c r="R574" s="2157"/>
      <c r="S574" s="2158"/>
      <c r="T574" s="2156"/>
      <c r="U574" s="2157"/>
      <c r="V574" s="2158"/>
      <c r="W574" s="2169"/>
      <c r="X574" s="2170"/>
      <c r="Y574" s="2171"/>
      <c r="Z574" s="2026" t="s">
        <v>1386</v>
      </c>
      <c r="AA574" s="2026"/>
      <c r="AB574" s="2026"/>
      <c r="AC574" s="2026"/>
      <c r="AD574" s="2026"/>
      <c r="AE574" s="2105"/>
      <c r="AF574" s="2106"/>
      <c r="AG574" s="2106"/>
      <c r="AH574" s="2107"/>
      <c r="AI574" s="2032"/>
      <c r="AJ574" s="2033"/>
      <c r="AK574" s="2033"/>
      <c r="AL574" s="2034"/>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70"/>
      <c r="D575" s="2070"/>
      <c r="E575" s="2070"/>
      <c r="F575" s="2070"/>
      <c r="G575" s="2070"/>
      <c r="H575" s="2070"/>
      <c r="I575" s="2070"/>
      <c r="J575" s="2070"/>
      <c r="K575" s="2070"/>
      <c r="L575" s="2070"/>
      <c r="M575" s="2070"/>
      <c r="N575" s="2070"/>
      <c r="O575" s="2070"/>
      <c r="P575" s="2152"/>
      <c r="Q575" s="2156"/>
      <c r="R575" s="2157"/>
      <c r="S575" s="2158"/>
      <c r="T575" s="2156"/>
      <c r="U575" s="2157"/>
      <c r="V575" s="2158"/>
      <c r="W575" s="2169"/>
      <c r="X575" s="2170"/>
      <c r="Y575" s="2171"/>
      <c r="Z575" s="2026" t="s">
        <v>1386</v>
      </c>
      <c r="AA575" s="2026"/>
      <c r="AB575" s="2026"/>
      <c r="AC575" s="2026"/>
      <c r="AD575" s="2026"/>
      <c r="AE575" s="2105"/>
      <c r="AF575" s="2106"/>
      <c r="AG575" s="2106"/>
      <c r="AH575" s="2107"/>
      <c r="AI575" s="2032"/>
      <c r="AJ575" s="2033"/>
      <c r="AK575" s="2033"/>
      <c r="AL575" s="2034"/>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9" t="s">
        <v>132</v>
      </c>
      <c r="C576" s="2160"/>
      <c r="D576" s="2160"/>
      <c r="E576" s="2160"/>
      <c r="F576" s="2160"/>
      <c r="G576" s="2160"/>
      <c r="H576" s="2160"/>
      <c r="I576" s="2160"/>
      <c r="J576" s="2160"/>
      <c r="K576" s="2160"/>
      <c r="L576" s="2160"/>
      <c r="M576" s="2160"/>
      <c r="N576" s="2160"/>
      <c r="O576" s="2160"/>
      <c r="P576" s="2160"/>
      <c r="Q576" s="2160"/>
      <c r="R576" s="2160"/>
      <c r="S576" s="2160"/>
      <c r="T576" s="2160"/>
      <c r="U576" s="2161"/>
      <c r="V576" s="2160"/>
      <c r="W576" s="2160"/>
      <c r="X576" s="2160"/>
      <c r="Y576" s="2160"/>
      <c r="Z576" s="2160"/>
      <c r="AA576" s="2160"/>
      <c r="AB576" s="2160"/>
      <c r="AC576" s="2160"/>
      <c r="AD576" s="2160"/>
      <c r="AE576" s="2160"/>
      <c r="AF576" s="2160"/>
      <c r="AG576" s="2160"/>
      <c r="AH576" s="2160"/>
      <c r="AI576" s="2160"/>
      <c r="AJ576" s="2160"/>
      <c r="AK576" s="2160"/>
      <c r="AL576" s="2162"/>
      <c r="AM576" s="2138">
        <f>SUM(AM564:AS575)</f>
        <v>24925953</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73" t="str">
        <f>C564</f>
        <v>Tax-Exempt Construction Loan (BBVA)</v>
      </c>
      <c r="H578" s="2073"/>
      <c r="I578" s="2073"/>
      <c r="J578" s="2073"/>
      <c r="K578" s="2073"/>
      <c r="L578" s="2073"/>
      <c r="M578" s="2073"/>
      <c r="N578" s="2073"/>
      <c r="O578" s="2073"/>
      <c r="P578" s="2073"/>
      <c r="Q578" s="2073"/>
      <c r="R578" s="2073"/>
      <c r="S578" s="14"/>
      <c r="T578" s="87" t="s">
        <v>118</v>
      </c>
      <c r="U578" s="12" t="s">
        <v>497</v>
      </c>
      <c r="Z578" s="2073" t="str">
        <f>C565</f>
        <v>Taxable Construction (BBVA)</v>
      </c>
      <c r="AA578" s="2073"/>
      <c r="AB578" s="2073"/>
      <c r="AC578" s="2073"/>
      <c r="AD578" s="2073"/>
      <c r="AE578" s="2073"/>
      <c r="AF578" s="2073"/>
      <c r="AG578" s="2073"/>
      <c r="AH578" s="2073"/>
      <c r="AI578" s="2073"/>
      <c r="AJ578" s="2073"/>
      <c r="AK578" s="207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0" t="s">
        <v>2532</v>
      </c>
      <c r="H579" s="2031"/>
      <c r="I579" s="2031"/>
      <c r="J579" s="2031"/>
      <c r="K579" s="2031"/>
      <c r="L579" s="2031"/>
      <c r="M579" s="2031"/>
      <c r="N579" s="2031"/>
      <c r="O579" s="2031"/>
      <c r="P579" s="2031"/>
      <c r="Q579" s="2031"/>
      <c r="R579" s="2031"/>
      <c r="S579" s="14"/>
      <c r="T579" s="35"/>
      <c r="U579" s="12" t="s">
        <v>90</v>
      </c>
      <c r="Z579" s="2031" t="str">
        <f>G579</f>
        <v>202 N Hunter Street, Suite 200</v>
      </c>
      <c r="AA579" s="2031"/>
      <c r="AB579" s="2031"/>
      <c r="AC579" s="2031"/>
      <c r="AD579" s="2031"/>
      <c r="AE579" s="2031"/>
      <c r="AF579" s="2031"/>
      <c r="AG579" s="2031"/>
      <c r="AH579" s="2031"/>
      <c r="AI579" s="2031"/>
      <c r="AJ579" s="2031"/>
      <c r="AK579" s="203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60" t="s">
        <v>2533</v>
      </c>
      <c r="H580" s="2031"/>
      <c r="I580" s="2031"/>
      <c r="J580" s="2031"/>
      <c r="K580" s="2031"/>
      <c r="L580" s="2031"/>
      <c r="M580" s="2031"/>
      <c r="N580" s="2031"/>
      <c r="O580" s="2031"/>
      <c r="P580" s="2031"/>
      <c r="Q580" s="2031"/>
      <c r="R580" s="2031"/>
      <c r="S580" s="88"/>
      <c r="T580" s="35"/>
      <c r="U580" s="12" t="s">
        <v>616</v>
      </c>
      <c r="Z580" s="2031" t="str">
        <f>G580</f>
        <v>Stockton, CA  95202</v>
      </c>
      <c r="AA580" s="2031"/>
      <c r="AB580" s="2031"/>
      <c r="AC580" s="2031"/>
      <c r="AD580" s="2031"/>
      <c r="AE580" s="2031"/>
      <c r="AF580" s="2031"/>
      <c r="AG580" s="2031"/>
      <c r="AH580" s="2031"/>
      <c r="AI580" s="2031"/>
      <c r="AJ580" s="2031"/>
      <c r="AK580" s="203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0" t="s">
        <v>2530</v>
      </c>
      <c r="H581" s="2031"/>
      <c r="I581" s="2031"/>
      <c r="J581" s="2031"/>
      <c r="K581" s="2031"/>
      <c r="L581" s="2031"/>
      <c r="M581" s="2031"/>
      <c r="N581" s="2031"/>
      <c r="O581" s="2031"/>
      <c r="P581" s="2031"/>
      <c r="Q581" s="2031"/>
      <c r="R581" s="2031"/>
      <c r="S581" s="14"/>
      <c r="T581" s="35"/>
      <c r="U581" s="12" t="s">
        <v>17</v>
      </c>
      <c r="Z581" s="2031" t="str">
        <f>G581</f>
        <v>John Chan</v>
      </c>
      <c r="AA581" s="2031"/>
      <c r="AB581" s="2031"/>
      <c r="AC581" s="2031"/>
      <c r="AD581" s="2031"/>
      <c r="AE581" s="2031"/>
      <c r="AF581" s="2031"/>
      <c r="AG581" s="2031"/>
      <c r="AH581" s="2031"/>
      <c r="AI581" s="2031"/>
      <c r="AJ581" s="2031"/>
      <c r="AK581" s="20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72" t="s">
        <v>2531</v>
      </c>
      <c r="H582" s="2086"/>
      <c r="I582" s="2086"/>
      <c r="J582" s="2086"/>
      <c r="K582" s="2086"/>
      <c r="L582" s="2086"/>
      <c r="O582" s="137" t="s">
        <v>211</v>
      </c>
      <c r="P582" s="2122"/>
      <c r="Q582" s="2122"/>
      <c r="R582" s="2122"/>
      <c r="S582" s="16"/>
      <c r="T582" s="35"/>
      <c r="U582" s="12" t="s">
        <v>326</v>
      </c>
      <c r="Z582" s="2086" t="str">
        <f>G582</f>
        <v>(209) 471-4829</v>
      </c>
      <c r="AA582" s="2086"/>
      <c r="AB582" s="2086"/>
      <c r="AC582" s="2086"/>
      <c r="AD582" s="2086"/>
      <c r="AE582" s="2086"/>
      <c r="AH582" s="137" t="s">
        <v>211</v>
      </c>
      <c r="AI582" s="2122"/>
      <c r="AJ582" s="2122"/>
      <c r="AK582" s="21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0" t="s">
        <v>2534</v>
      </c>
      <c r="I583" s="2031"/>
      <c r="J583" s="2031"/>
      <c r="K583" s="2031"/>
      <c r="L583" s="2031"/>
      <c r="M583" s="2031"/>
      <c r="N583" s="2031"/>
      <c r="O583" s="2031"/>
      <c r="P583" s="2031"/>
      <c r="Q583" s="2031"/>
      <c r="R583" s="2031"/>
      <c r="S583" s="14"/>
      <c r="T583" s="35"/>
      <c r="U583" s="12" t="s">
        <v>18</v>
      </c>
      <c r="AA583" s="2060" t="s">
        <v>2535</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77"/>
      <c r="N584" s="2177"/>
      <c r="O584" s="2177"/>
      <c r="P584" s="2177"/>
      <c r="Q584" s="2177"/>
      <c r="R584" s="2177"/>
      <c r="S584" s="14"/>
      <c r="T584" s="35"/>
      <c r="U584" s="510" t="s">
        <v>1387</v>
      </c>
      <c r="V584" s="720"/>
      <c r="W584" s="720"/>
      <c r="X584" s="720"/>
      <c r="Y584" s="720"/>
      <c r="Z584" s="720"/>
      <c r="AA584" s="14"/>
      <c r="AB584" s="14"/>
      <c r="AC584" s="14"/>
      <c r="AD584" s="14"/>
      <c r="AE584" s="14"/>
      <c r="AF584" s="2177"/>
      <c r="AG584" s="2177"/>
      <c r="AH584" s="2177"/>
      <c r="AI584" s="2177"/>
      <c r="AJ584" s="2177"/>
      <c r="AK584" s="217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579</v>
      </c>
      <c r="O585" s="2039"/>
      <c r="T585" s="35"/>
      <c r="U585" s="12" t="s">
        <v>20</v>
      </c>
      <c r="AG585" s="2039" t="s">
        <v>579</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73" t="str">
        <f>C566</f>
        <v>Deferred Developer Fee</v>
      </c>
      <c r="H587" s="2073"/>
      <c r="I587" s="2073"/>
      <c r="J587" s="2073"/>
      <c r="K587" s="2073"/>
      <c r="L587" s="2073"/>
      <c r="M587" s="2073"/>
      <c r="N587" s="2073"/>
      <c r="O587" s="2073"/>
      <c r="P587" s="2073"/>
      <c r="Q587" s="2073"/>
      <c r="R587" s="2073"/>
      <c r="T587" s="87" t="s">
        <v>617</v>
      </c>
      <c r="U587" s="12" t="s">
        <v>497</v>
      </c>
      <c r="Z587" s="2073" t="str">
        <f>C567</f>
        <v>Costs Deferred Until Conversion</v>
      </c>
      <c r="AA587" s="2073"/>
      <c r="AB587" s="2073"/>
      <c r="AC587" s="2073"/>
      <c r="AD587" s="2073"/>
      <c r="AE587" s="2073"/>
      <c r="AF587" s="2073"/>
      <c r="AG587" s="2073"/>
      <c r="AH587" s="2073"/>
      <c r="AI587" s="2073"/>
      <c r="AJ587" s="2073"/>
      <c r="AK587" s="207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0" t="s">
        <v>2470</v>
      </c>
      <c r="H588" s="2031"/>
      <c r="I588" s="2031"/>
      <c r="J588" s="2031"/>
      <c r="K588" s="2031"/>
      <c r="L588" s="2031"/>
      <c r="M588" s="2031"/>
      <c r="N588" s="2031"/>
      <c r="O588" s="2031"/>
      <c r="P588" s="2031"/>
      <c r="Q588" s="2031"/>
      <c r="R588" s="2031"/>
      <c r="T588" s="35"/>
      <c r="U588" s="12" t="s">
        <v>90</v>
      </c>
      <c r="Z588" s="2031" t="str">
        <f>G588</f>
        <v>3590 Elm Avenue</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70" t="s">
        <v>2536</v>
      </c>
      <c r="H589" s="2071"/>
      <c r="I589" s="2071"/>
      <c r="J589" s="2071"/>
      <c r="K589" s="2071"/>
      <c r="L589" s="2071"/>
      <c r="M589" s="2071"/>
      <c r="N589" s="2071"/>
      <c r="O589" s="2071"/>
      <c r="P589" s="2071"/>
      <c r="Q589" s="2071"/>
      <c r="R589" s="2071"/>
      <c r="T589" s="35"/>
      <c r="U589" s="12" t="s">
        <v>616</v>
      </c>
      <c r="Z589" s="2031" t="str">
        <f>G589</f>
        <v>Long Beach CA 90807</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0" t="s">
        <v>2537</v>
      </c>
      <c r="H590" s="2071"/>
      <c r="I590" s="2071"/>
      <c r="J590" s="2071"/>
      <c r="K590" s="2071"/>
      <c r="L590" s="2071"/>
      <c r="M590" s="2071"/>
      <c r="N590" s="2071"/>
      <c r="O590" s="2071"/>
      <c r="P590" s="2071"/>
      <c r="Q590" s="2071"/>
      <c r="R590" s="2071"/>
      <c r="T590" s="35"/>
      <c r="U590" s="12" t="s">
        <v>17</v>
      </c>
      <c r="Z590" s="2031" t="str">
        <f>G590</f>
        <v>Anne Wilson</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72" t="s">
        <v>2538</v>
      </c>
      <c r="H591" s="2086"/>
      <c r="I591" s="2086"/>
      <c r="J591" s="2086"/>
      <c r="K591" s="2086"/>
      <c r="L591" s="2086"/>
      <c r="O591" s="137" t="s">
        <v>211</v>
      </c>
      <c r="P591" s="2122"/>
      <c r="Q591" s="2122"/>
      <c r="R591" s="2122"/>
      <c r="T591" s="35"/>
      <c r="U591" s="12" t="s">
        <v>326</v>
      </c>
      <c r="Z591" s="2086" t="str">
        <f>G591</f>
        <v xml:space="preserve">562-684-1178 </v>
      </c>
      <c r="AA591" s="2086"/>
      <c r="AB591" s="2086"/>
      <c r="AC591" s="2086"/>
      <c r="AD591" s="2086"/>
      <c r="AE591" s="2086"/>
      <c r="AH591" s="137" t="s">
        <v>211</v>
      </c>
      <c r="AI591" s="2122"/>
      <c r="AJ591" s="2122"/>
      <c r="AK591" s="21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0" t="s">
        <v>2539</v>
      </c>
      <c r="I592" s="2031"/>
      <c r="J592" s="2031"/>
      <c r="K592" s="2031"/>
      <c r="L592" s="2031"/>
      <c r="M592" s="2031"/>
      <c r="N592" s="2031"/>
      <c r="O592" s="2031"/>
      <c r="P592" s="2031"/>
      <c r="Q592" s="2031"/>
      <c r="R592" s="2031"/>
      <c r="T592" s="35"/>
      <c r="U592" s="12" t="s">
        <v>18</v>
      </c>
      <c r="AA592" s="2031" t="str">
        <f>Z587</f>
        <v>Costs Deferred Until Conversion</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579</v>
      </c>
      <c r="O593" s="2039"/>
      <c r="T593" s="35"/>
      <c r="U593" s="12" t="s">
        <v>20</v>
      </c>
      <c r="AG593" s="2039" t="s">
        <v>579</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73" t="str">
        <f>C568</f>
        <v>Limited Partner Equity</v>
      </c>
      <c r="H595" s="2073"/>
      <c r="I595" s="2073"/>
      <c r="J595" s="2073"/>
      <c r="K595" s="2073"/>
      <c r="L595" s="2073"/>
      <c r="M595" s="2073"/>
      <c r="N595" s="2073"/>
      <c r="O595" s="2073"/>
      <c r="P595" s="2073"/>
      <c r="Q595" s="2073"/>
      <c r="R595" s="2073"/>
      <c r="T595" s="87" t="s">
        <v>620</v>
      </c>
      <c r="U595" s="12" t="s">
        <v>497</v>
      </c>
      <c r="Z595" s="2073">
        <f>C569</f>
        <v>0</v>
      </c>
      <c r="AA595" s="2073"/>
      <c r="AB595" s="2073"/>
      <c r="AC595" s="2073"/>
      <c r="AD595" s="2073"/>
      <c r="AE595" s="2073"/>
      <c r="AF595" s="2073"/>
      <c r="AG595" s="2073"/>
      <c r="AH595" s="2073"/>
      <c r="AI595" s="2073"/>
      <c r="AJ595" s="2073"/>
      <c r="AK595" s="207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0" t="s">
        <v>2494</v>
      </c>
      <c r="H596" s="2031"/>
      <c r="I596" s="2031"/>
      <c r="J596" s="2031"/>
      <c r="K596" s="2031"/>
      <c r="L596" s="2031"/>
      <c r="M596" s="2031"/>
      <c r="N596" s="2031"/>
      <c r="O596" s="2031"/>
      <c r="P596" s="2031"/>
      <c r="Q596" s="2031"/>
      <c r="R596" s="2031"/>
      <c r="T596" s="35"/>
      <c r="U596" s="12" t="s">
        <v>90</v>
      </c>
      <c r="Z596" s="2031"/>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60" t="s">
        <v>2495</v>
      </c>
      <c r="H597" s="2031"/>
      <c r="I597" s="2031"/>
      <c r="J597" s="2031"/>
      <c r="K597" s="2031"/>
      <c r="L597" s="2031"/>
      <c r="M597" s="2031"/>
      <c r="N597" s="2031"/>
      <c r="O597" s="2031"/>
      <c r="P597" s="2031"/>
      <c r="Q597" s="2031"/>
      <c r="R597" s="2031"/>
      <c r="T597" s="35"/>
      <c r="U597" s="12" t="s">
        <v>616</v>
      </c>
      <c r="Z597" s="2071"/>
      <c r="AA597" s="2071"/>
      <c r="AB597" s="2071"/>
      <c r="AC597" s="2071"/>
      <c r="AD597" s="2071"/>
      <c r="AE597" s="2071"/>
      <c r="AF597" s="2071"/>
      <c r="AG597" s="2071"/>
      <c r="AH597" s="2071"/>
      <c r="AI597" s="2071"/>
      <c r="AJ597" s="2071"/>
      <c r="AK597" s="207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
        <v>2496</v>
      </c>
      <c r="H598" s="2031"/>
      <c r="I598" s="2031"/>
      <c r="J598" s="2031"/>
      <c r="K598" s="2031"/>
      <c r="L598" s="2031"/>
      <c r="M598" s="2031"/>
      <c r="N598" s="2031"/>
      <c r="O598" s="2031"/>
      <c r="P598" s="2031"/>
      <c r="Q598" s="2031"/>
      <c r="R598" s="2031"/>
      <c r="T598" s="35"/>
      <c r="U598" s="12" t="s">
        <v>17</v>
      </c>
      <c r="Z598" s="2071"/>
      <c r="AA598" s="2071"/>
      <c r="AB598" s="2071"/>
      <c r="AC598" s="2071"/>
      <c r="AD598" s="2071"/>
      <c r="AE598" s="2071"/>
      <c r="AF598" s="2071"/>
      <c r="AG598" s="2071"/>
      <c r="AH598" s="2071"/>
      <c r="AI598" s="2071"/>
      <c r="AJ598" s="2071"/>
      <c r="AK598" s="207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72" t="s">
        <v>2497</v>
      </c>
      <c r="H599" s="2086"/>
      <c r="I599" s="2086"/>
      <c r="J599" s="2086"/>
      <c r="K599" s="2086"/>
      <c r="L599" s="2086"/>
      <c r="O599" s="137" t="s">
        <v>211</v>
      </c>
      <c r="P599" s="2122"/>
      <c r="Q599" s="2122"/>
      <c r="R599" s="2122"/>
      <c r="T599" s="35"/>
      <c r="U599" s="12" t="s">
        <v>326</v>
      </c>
      <c r="Z599" s="2086"/>
      <c r="AA599" s="2086"/>
      <c r="AB599" s="2086"/>
      <c r="AC599" s="2086"/>
      <c r="AD599" s="2086"/>
      <c r="AE599" s="2086"/>
      <c r="AH599" s="137" t="s">
        <v>211</v>
      </c>
      <c r="AI599" s="2122"/>
      <c r="AJ599" s="2122"/>
      <c r="AK599" s="21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0" t="s">
        <v>2540</v>
      </c>
      <c r="I600" s="2031"/>
      <c r="J600" s="2031"/>
      <c r="K600" s="2031"/>
      <c r="L600" s="2031"/>
      <c r="M600" s="2031"/>
      <c r="N600" s="2031"/>
      <c r="O600" s="2031"/>
      <c r="P600" s="2031"/>
      <c r="Q600" s="2031"/>
      <c r="R600" s="2031"/>
      <c r="T600" s="35"/>
      <c r="U600" s="12" t="s">
        <v>18</v>
      </c>
      <c r="AA600" s="2031"/>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579</v>
      </c>
      <c r="O601" s="2039"/>
      <c r="T601" s="35"/>
      <c r="U601" s="12" t="s">
        <v>20</v>
      </c>
      <c r="AG601" s="2039" t="s">
        <v>707</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73">
        <f>C570</f>
        <v>0</v>
      </c>
      <c r="H603" s="2073"/>
      <c r="I603" s="2073"/>
      <c r="J603" s="2073"/>
      <c r="K603" s="2073"/>
      <c r="L603" s="2073"/>
      <c r="M603" s="2073"/>
      <c r="N603" s="2073"/>
      <c r="O603" s="2073"/>
      <c r="P603" s="2073"/>
      <c r="Q603" s="2073"/>
      <c r="R603" s="2073"/>
      <c r="T603" s="87" t="s">
        <v>489</v>
      </c>
      <c r="U603" s="12" t="s">
        <v>497</v>
      </c>
      <c r="Z603" s="2073">
        <f>C571</f>
        <v>0</v>
      </c>
      <c r="AA603" s="2073"/>
      <c r="AB603" s="2073"/>
      <c r="AC603" s="2073"/>
      <c r="AD603" s="2073"/>
      <c r="AE603" s="2073"/>
      <c r="AF603" s="2073"/>
      <c r="AG603" s="2073"/>
      <c r="AH603" s="2073"/>
      <c r="AI603" s="2073"/>
      <c r="AJ603" s="2073"/>
      <c r="AK603" s="207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1"/>
      <c r="H605" s="2031"/>
      <c r="I605" s="2031"/>
      <c r="J605" s="2031"/>
      <c r="K605" s="2031"/>
      <c r="L605" s="2031"/>
      <c r="M605" s="2031"/>
      <c r="N605" s="2031"/>
      <c r="O605" s="2031"/>
      <c r="P605" s="2031"/>
      <c r="Q605" s="2031"/>
      <c r="R605" s="2031"/>
      <c r="T605" s="35"/>
      <c r="U605" s="12" t="s">
        <v>616</v>
      </c>
      <c r="Z605" s="2071"/>
      <c r="AA605" s="2071"/>
      <c r="AB605" s="2071"/>
      <c r="AC605" s="2071"/>
      <c r="AD605" s="2071"/>
      <c r="AE605" s="2071"/>
      <c r="AF605" s="2071"/>
      <c r="AG605" s="2071"/>
      <c r="AH605" s="2071"/>
      <c r="AI605" s="2071"/>
      <c r="AJ605" s="2071"/>
      <c r="AK605" s="207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c r="H606" s="2031"/>
      <c r="I606" s="2031"/>
      <c r="J606" s="2031"/>
      <c r="K606" s="2031"/>
      <c r="L606" s="2031"/>
      <c r="M606" s="2031"/>
      <c r="N606" s="2031"/>
      <c r="O606" s="2031"/>
      <c r="P606" s="2031"/>
      <c r="Q606" s="2031"/>
      <c r="R606" s="2031"/>
      <c r="T606" s="35"/>
      <c r="U606" s="12" t="s">
        <v>17</v>
      </c>
      <c r="Z606" s="2071"/>
      <c r="AA606" s="2071"/>
      <c r="AB606" s="2071"/>
      <c r="AC606" s="2071"/>
      <c r="AD606" s="2071"/>
      <c r="AE606" s="2071"/>
      <c r="AF606" s="2071"/>
      <c r="AG606" s="2071"/>
      <c r="AH606" s="2071"/>
      <c r="AI606" s="2071"/>
      <c r="AJ606" s="2071"/>
      <c r="AK606" s="207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86"/>
      <c r="H607" s="2086"/>
      <c r="I607" s="2086"/>
      <c r="J607" s="2086"/>
      <c r="K607" s="2086"/>
      <c r="L607" s="2086"/>
      <c r="M607" s="12"/>
      <c r="N607" s="12"/>
      <c r="O607" s="137" t="s">
        <v>211</v>
      </c>
      <c r="P607" s="2122"/>
      <c r="Q607" s="2122"/>
      <c r="R607" s="2122"/>
      <c r="S607" s="12"/>
      <c r="T607" s="35"/>
      <c r="U607" s="12" t="s">
        <v>326</v>
      </c>
      <c r="V607" s="12"/>
      <c r="W607" s="12"/>
      <c r="X607" s="12"/>
      <c r="Y607" s="12"/>
      <c r="Z607" s="2086"/>
      <c r="AA607" s="2086"/>
      <c r="AB607" s="2086"/>
      <c r="AC607" s="2086"/>
      <c r="AD607" s="2086"/>
      <c r="AE607" s="2086"/>
      <c r="AF607" s="12"/>
      <c r="AG607" s="12"/>
      <c r="AH607" s="137" t="s">
        <v>211</v>
      </c>
      <c r="AI607" s="2122"/>
      <c r="AJ607" s="2122"/>
      <c r="AK607" s="21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707</v>
      </c>
      <c r="O609" s="2039"/>
      <c r="P609" s="12"/>
      <c r="Q609" s="12"/>
      <c r="R609" s="12"/>
      <c r="S609" s="12"/>
      <c r="T609" s="35"/>
      <c r="U609" s="12" t="s">
        <v>20</v>
      </c>
      <c r="V609" s="12"/>
      <c r="W609" s="12"/>
      <c r="X609" s="12"/>
      <c r="Y609" s="12"/>
      <c r="Z609" s="12"/>
      <c r="AA609" s="12"/>
      <c r="AB609" s="12"/>
      <c r="AC609" s="12"/>
      <c r="AD609" s="12"/>
      <c r="AE609" s="12"/>
      <c r="AF609" s="12"/>
      <c r="AG609" s="2039" t="s">
        <v>707</v>
      </c>
      <c r="AH609" s="2039"/>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8"/>
      <c r="BH609" s="2010"/>
      <c r="BI609" s="185" t="s">
        <v>509</v>
      </c>
      <c r="BJ609" s="186"/>
      <c r="BK609" s="2008"/>
      <c r="BL609" s="2010"/>
      <c r="BM609" s="58"/>
      <c r="BN609" s="2383" t="s">
        <v>669</v>
      </c>
      <c r="BO609" s="2384"/>
      <c r="BP609" s="2384"/>
      <c r="BQ609" s="2384"/>
      <c r="BR609" s="2385"/>
      <c r="BS609" s="2176" t="s">
        <v>335</v>
      </c>
      <c r="BT609" s="2176"/>
      <c r="BU609" s="2176"/>
      <c r="BV609" s="2176"/>
      <c r="BW609" s="2176"/>
      <c r="BX609" s="2176" t="s">
        <v>168</v>
      </c>
      <c r="BY609" s="2176"/>
      <c r="BZ609" s="2176"/>
      <c r="CA609" s="2176"/>
      <c r="CB609" s="2176"/>
      <c r="CC609" s="2176" t="s">
        <v>169</v>
      </c>
      <c r="CD609" s="2176"/>
      <c r="CE609" s="2176"/>
      <c r="CF609" s="2176"/>
      <c r="CG609" s="2176"/>
      <c r="CH609" s="2176" t="s">
        <v>494</v>
      </c>
      <c r="CI609" s="2176"/>
      <c r="CJ609" s="2176"/>
      <c r="CK609" s="2176"/>
      <c r="CL609" s="2176"/>
      <c r="CM609" s="2176" t="s">
        <v>31</v>
      </c>
      <c r="CN609" s="2176"/>
      <c r="CO609" s="2176"/>
      <c r="CP609" s="2176"/>
      <c r="CQ609" s="2176"/>
      <c r="CR609" s="1822"/>
      <c r="CS609" s="2176" t="s">
        <v>669</v>
      </c>
      <c r="CT609" s="2176"/>
      <c r="CU609" s="2176"/>
      <c r="CV609" s="2176"/>
      <c r="CW609" s="2176"/>
      <c r="CX609" s="2176" t="s">
        <v>335</v>
      </c>
      <c r="CY609" s="2176"/>
      <c r="CZ609" s="2176"/>
      <c r="DA609" s="2176"/>
      <c r="DB609" s="2176"/>
      <c r="DC609" s="2176" t="s">
        <v>168</v>
      </c>
      <c r="DD609" s="2176"/>
      <c r="DE609" s="2176"/>
      <c r="DF609" s="2176"/>
      <c r="DG609" s="2176"/>
      <c r="DH609" s="2176" t="s">
        <v>169</v>
      </c>
      <c r="DI609" s="2176"/>
      <c r="DJ609" s="2176"/>
      <c r="DK609" s="2176"/>
      <c r="DL609" s="2176"/>
      <c r="DM609" s="2176" t="s">
        <v>494</v>
      </c>
      <c r="DN609" s="2176"/>
      <c r="DO609" s="2176"/>
      <c r="DP609" s="2176"/>
      <c r="DQ609" s="2176"/>
      <c r="DR609" s="2176" t="s">
        <v>31</v>
      </c>
      <c r="DS609" s="2176"/>
      <c r="DT609" s="2176"/>
      <c r="DU609" s="2176"/>
      <c r="DV609" s="2176"/>
      <c r="DX609" s="2176" t="s">
        <v>669</v>
      </c>
      <c r="DY609" s="2176"/>
      <c r="DZ609" s="2176"/>
      <c r="EA609" s="2176"/>
      <c r="EB609" s="2176"/>
      <c r="EC609" s="2176" t="s">
        <v>335</v>
      </c>
      <c r="ED609" s="2176"/>
      <c r="EE609" s="2176"/>
      <c r="EF609" s="2176"/>
      <c r="EG609" s="2176"/>
      <c r="EH609" s="2176" t="s">
        <v>168</v>
      </c>
      <c r="EI609" s="2176"/>
      <c r="EJ609" s="2176"/>
      <c r="EK609" s="2176"/>
      <c r="EL609" s="2176"/>
      <c r="EM609" s="2176" t="s">
        <v>169</v>
      </c>
      <c r="EN609" s="2176"/>
      <c r="EO609" s="2176"/>
      <c r="EP609" s="2176"/>
      <c r="EQ609" s="2176"/>
      <c r="ER609" s="2176" t="s">
        <v>494</v>
      </c>
      <c r="ES609" s="2176"/>
      <c r="ET609" s="2176"/>
      <c r="EU609" s="2176"/>
      <c r="EV609" s="2176"/>
      <c r="EW609" s="2176" t="s">
        <v>31</v>
      </c>
      <c r="EX609" s="2176"/>
      <c r="EY609" s="2176"/>
      <c r="EZ609" s="2176"/>
      <c r="FA609" s="217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35">
        <f t="shared" ref="BE610:BE634" si="0">IF(AND(AH728&lt;=0.5,AH728&gt;=0.36),1,0)</f>
        <v>0</v>
      </c>
      <c r="BF610" s="2036"/>
      <c r="BG610" s="2008">
        <f t="shared" ref="BG610:BG634" si="1">IF(BE610=1,G728,0)</f>
        <v>0</v>
      </c>
      <c r="BH610" s="2010"/>
      <c r="BI610" s="2035">
        <f t="shared" ref="BI610:BI634" si="2">IF(AND(AH728&lt;=0.35,AH728&gt;0),1,0)</f>
        <v>1</v>
      </c>
      <c r="BJ610" s="2036"/>
      <c r="BK610" s="2008">
        <f t="shared" ref="BK610:BK634" si="3">IF(BI610=1,G728,0)</f>
        <v>24</v>
      </c>
      <c r="BL610" s="2010"/>
      <c r="BM610" s="58"/>
      <c r="BN610" s="2005">
        <f t="shared" ref="BN610:BN634" si="4">IF(B728="SRO/Studio",G728,0)</f>
        <v>0</v>
      </c>
      <c r="BO610" s="2006"/>
      <c r="BP610" s="2006"/>
      <c r="BQ610" s="2006"/>
      <c r="BR610" s="2007"/>
      <c r="BS610" s="2004">
        <f t="shared" ref="BS610:BS634" si="5">IF(B728="1 Bedroom",G728,0)</f>
        <v>0</v>
      </c>
      <c r="BT610" s="2004"/>
      <c r="BU610" s="2004"/>
      <c r="BV610" s="2004"/>
      <c r="BW610" s="2004"/>
      <c r="BX610" s="2004">
        <f t="shared" ref="BX610:BX634" si="6">IF(B728="2 Bedrooms",G728,0)</f>
        <v>24</v>
      </c>
      <c r="BY610" s="2004"/>
      <c r="BZ610" s="2004"/>
      <c r="CA610" s="2004"/>
      <c r="CB610" s="2004"/>
      <c r="CC610" s="2004">
        <f t="shared" ref="CC610:CC634" si="7">IF(B728="3 Bedrooms",G728,0)</f>
        <v>0</v>
      </c>
      <c r="CD610" s="2004"/>
      <c r="CE610" s="2004"/>
      <c r="CF610" s="2004"/>
      <c r="CG610" s="2004"/>
      <c r="CH610" s="2004">
        <f t="shared" ref="CH610:CH634" si="8">IF(B728="4 Bedrooms",G728,0)</f>
        <v>0</v>
      </c>
      <c r="CI610" s="2004"/>
      <c r="CJ610" s="2004"/>
      <c r="CK610" s="2004"/>
      <c r="CL610" s="2004"/>
      <c r="CM610" s="2004">
        <f t="shared" ref="CM610:CM634" si="9">IF(B728="5 Bedrooms",G728,0)</f>
        <v>0</v>
      </c>
      <c r="CN610" s="2004"/>
      <c r="CO610" s="2004"/>
      <c r="CP610" s="2004"/>
      <c r="CQ610" s="2004"/>
      <c r="CR610" s="265"/>
      <c r="CS610" s="2377">
        <f t="shared" ref="CS610:CS634" si="10">IF(AND(B728="SRO/Studio",AH728&lt;=0.3),G728,0)</f>
        <v>0</v>
      </c>
      <c r="CT610" s="2377"/>
      <c r="CU610" s="2377"/>
      <c r="CV610" s="2377"/>
      <c r="CW610" s="2377"/>
      <c r="CX610" s="2377">
        <f t="shared" ref="CX610:CX634" si="11">IF(AND(B728="1 Bedroom",AH728&lt;=0.3),G728,0)</f>
        <v>0</v>
      </c>
      <c r="CY610" s="2377"/>
      <c r="CZ610" s="2377"/>
      <c r="DA610" s="2377"/>
      <c r="DB610" s="2377"/>
      <c r="DC610" s="2377">
        <f t="shared" ref="DC610:DC634" si="12">IF(AND(B728="2 Bedrooms",AH728&lt;=0.3),G728,0)</f>
        <v>24</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35" t="str">
        <f t="shared" ref="DX610:DX634" si="16">IF(BN610&gt;0,O728," ")</f>
        <v xml:space="preserve"> </v>
      </c>
      <c r="DY610" s="2174"/>
      <c r="DZ610" s="2174"/>
      <c r="EA610" s="2174"/>
      <c r="EB610" s="2036"/>
      <c r="EC610" s="2035" t="str">
        <f t="shared" ref="EC610:EC634" si="17">IF(BS610&gt;0,O728," ")</f>
        <v xml:space="preserve"> </v>
      </c>
      <c r="ED610" s="2174"/>
      <c r="EE610" s="2174"/>
      <c r="EF610" s="2174"/>
      <c r="EG610" s="2036"/>
      <c r="EH610" s="2035">
        <f t="shared" ref="EH610:EH634" si="18">IF(BX610&gt;0,O728," ")</f>
        <v>452</v>
      </c>
      <c r="EI610" s="2174"/>
      <c r="EJ610" s="2174"/>
      <c r="EK610" s="2174"/>
      <c r="EL610" s="2036"/>
      <c r="EM610" s="2035" t="str">
        <f t="shared" ref="EM610:EM634" si="19">IF(CC610&gt;0,O728," ")</f>
        <v xml:space="preserve"> </v>
      </c>
      <c r="EN610" s="2174"/>
      <c r="EO610" s="2174"/>
      <c r="EP610" s="2174"/>
      <c r="EQ610" s="2036"/>
      <c r="ER610" s="2035" t="str">
        <f t="shared" ref="ER610:ER634" si="20">IF(CH610&gt;0,O728," ")</f>
        <v xml:space="preserve"> </v>
      </c>
      <c r="ES610" s="2174"/>
      <c r="ET610" s="2174"/>
      <c r="EU610" s="2174"/>
      <c r="EV610" s="2036"/>
      <c r="EW610" s="2035" t="str">
        <f t="shared" ref="EW610:EW634" si="21">IF(CM610&gt;0,O728," ")</f>
        <v xml:space="preserve"> </v>
      </c>
      <c r="EX610" s="2174"/>
      <c r="EY610" s="2174"/>
      <c r="EZ610" s="2174"/>
      <c r="FA610" s="2036"/>
    </row>
    <row r="611" spans="1:157" s="7" customFormat="1" ht="12.75">
      <c r="A611" s="87" t="s">
        <v>495</v>
      </c>
      <c r="B611" s="12" t="s">
        <v>497</v>
      </c>
      <c r="C611" s="12"/>
      <c r="D611" s="12"/>
      <c r="E611" s="12"/>
      <c r="F611" s="12"/>
      <c r="G611" s="2073">
        <f>C572</f>
        <v>0</v>
      </c>
      <c r="H611" s="2073"/>
      <c r="I611" s="2073"/>
      <c r="J611" s="2073"/>
      <c r="K611" s="2073"/>
      <c r="L611" s="2073"/>
      <c r="M611" s="2073"/>
      <c r="N611" s="2073"/>
      <c r="O611" s="2073"/>
      <c r="P611" s="2073"/>
      <c r="Q611" s="2073"/>
      <c r="R611" s="2073"/>
      <c r="S611" s="12"/>
      <c r="T611" s="87" t="s">
        <v>682</v>
      </c>
      <c r="U611" s="12" t="s">
        <v>497</v>
      </c>
      <c r="V611" s="12"/>
      <c r="W611" s="12"/>
      <c r="X611" s="12"/>
      <c r="Y611" s="12"/>
      <c r="Z611" s="2073">
        <f>C573</f>
        <v>0</v>
      </c>
      <c r="AA611" s="2073"/>
      <c r="AB611" s="2073"/>
      <c r="AC611" s="2073"/>
      <c r="AD611" s="2073"/>
      <c r="AE611" s="2073"/>
      <c r="AF611" s="2073"/>
      <c r="AG611" s="2073"/>
      <c r="AH611" s="2073"/>
      <c r="AI611" s="2073"/>
      <c r="AJ611" s="2073"/>
      <c r="AK611" s="2073"/>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6"/>
      <c r="BG611" s="2008">
        <f t="shared" si="1"/>
        <v>0</v>
      </c>
      <c r="BH611" s="2010"/>
      <c r="BI611" s="2035">
        <f t="shared" si="2"/>
        <v>1</v>
      </c>
      <c r="BJ611" s="2036"/>
      <c r="BK611" s="2008">
        <f t="shared" si="3"/>
        <v>23</v>
      </c>
      <c r="BL611" s="2010"/>
      <c r="BM611" s="58"/>
      <c r="BN611" s="2005">
        <f t="shared" si="4"/>
        <v>0</v>
      </c>
      <c r="BO611" s="2006"/>
      <c r="BP611" s="2006"/>
      <c r="BQ611" s="2006"/>
      <c r="BR611" s="2007"/>
      <c r="BS611" s="2004">
        <f t="shared" si="5"/>
        <v>0</v>
      </c>
      <c r="BT611" s="2004"/>
      <c r="BU611" s="2004"/>
      <c r="BV611" s="2004"/>
      <c r="BW611" s="2004"/>
      <c r="BX611" s="2004">
        <f t="shared" si="6"/>
        <v>0</v>
      </c>
      <c r="BY611" s="2004"/>
      <c r="BZ611" s="2004"/>
      <c r="CA611" s="2004"/>
      <c r="CB611" s="2004"/>
      <c r="CC611" s="2004">
        <f t="shared" si="7"/>
        <v>23</v>
      </c>
      <c r="CD611" s="2004"/>
      <c r="CE611" s="2004"/>
      <c r="CF611" s="2004"/>
      <c r="CG611" s="2004"/>
      <c r="CH611" s="2004">
        <f t="shared" si="8"/>
        <v>0</v>
      </c>
      <c r="CI611" s="2004"/>
      <c r="CJ611" s="2004"/>
      <c r="CK611" s="2004"/>
      <c r="CL611" s="2004"/>
      <c r="CM611" s="2004">
        <f t="shared" si="9"/>
        <v>0</v>
      </c>
      <c r="CN611" s="2004"/>
      <c r="CO611" s="2004"/>
      <c r="CP611" s="2004"/>
      <c r="CQ611" s="2004"/>
      <c r="CR611" s="265"/>
      <c r="CS611" s="2377">
        <f t="shared" si="10"/>
        <v>0</v>
      </c>
      <c r="CT611" s="2377"/>
      <c r="CU611" s="2377"/>
      <c r="CV611" s="2377"/>
      <c r="CW611" s="2377"/>
      <c r="CX611" s="2377">
        <f t="shared" si="11"/>
        <v>0</v>
      </c>
      <c r="CY611" s="2377"/>
      <c r="CZ611" s="2377"/>
      <c r="DA611" s="2377"/>
      <c r="DB611" s="2377"/>
      <c r="DC611" s="2377">
        <f t="shared" si="12"/>
        <v>0</v>
      </c>
      <c r="DD611" s="2377"/>
      <c r="DE611" s="2377"/>
      <c r="DF611" s="2377"/>
      <c r="DG611" s="2377"/>
      <c r="DH611" s="2377">
        <f t="shared" si="13"/>
        <v>23</v>
      </c>
      <c r="DI611" s="2377"/>
      <c r="DJ611" s="2377"/>
      <c r="DK611" s="2377"/>
      <c r="DL611" s="2377"/>
      <c r="DM611" s="2377">
        <f t="shared" si="14"/>
        <v>0</v>
      </c>
      <c r="DN611" s="2377"/>
      <c r="DO611" s="2377"/>
      <c r="DP611" s="2377"/>
      <c r="DQ611" s="2377"/>
      <c r="DR611" s="2377">
        <f t="shared" si="15"/>
        <v>0</v>
      </c>
      <c r="DS611" s="2377"/>
      <c r="DT611" s="2377"/>
      <c r="DU611" s="2377"/>
      <c r="DV611" s="2377"/>
      <c r="DX611" s="2035" t="str">
        <f t="shared" si="16"/>
        <v xml:space="preserve"> </v>
      </c>
      <c r="DY611" s="2174"/>
      <c r="DZ611" s="2174"/>
      <c r="EA611" s="2174"/>
      <c r="EB611" s="2036"/>
      <c r="EC611" s="2035" t="str">
        <f t="shared" si="17"/>
        <v xml:space="preserve"> </v>
      </c>
      <c r="ED611" s="2174"/>
      <c r="EE611" s="2174"/>
      <c r="EF611" s="2174"/>
      <c r="EG611" s="2036"/>
      <c r="EH611" s="2035" t="str">
        <f t="shared" si="18"/>
        <v xml:space="preserve"> </v>
      </c>
      <c r="EI611" s="2174"/>
      <c r="EJ611" s="2174"/>
      <c r="EK611" s="2174"/>
      <c r="EL611" s="2036"/>
      <c r="EM611" s="2035">
        <f t="shared" si="19"/>
        <v>516</v>
      </c>
      <c r="EN611" s="2174"/>
      <c r="EO611" s="2174"/>
      <c r="EP611" s="2174"/>
      <c r="EQ611" s="2036"/>
      <c r="ER611" s="2035" t="str">
        <f t="shared" si="20"/>
        <v xml:space="preserve"> </v>
      </c>
      <c r="ES611" s="2174"/>
      <c r="ET611" s="2174"/>
      <c r="EU611" s="2174"/>
      <c r="EV611" s="2036"/>
      <c r="EW611" s="2035" t="str">
        <f t="shared" si="21"/>
        <v xml:space="preserve"> </v>
      </c>
      <c r="EX611" s="2174"/>
      <c r="EY611" s="2174"/>
      <c r="EZ611" s="2174"/>
      <c r="FA611" s="2036"/>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35">
        <f t="shared" si="0"/>
        <v>0</v>
      </c>
      <c r="BF612" s="2036"/>
      <c r="BG612" s="2008">
        <f t="shared" si="1"/>
        <v>0</v>
      </c>
      <c r="BH612" s="2010"/>
      <c r="BI612" s="2035">
        <f t="shared" si="2"/>
        <v>0</v>
      </c>
      <c r="BJ612" s="2036"/>
      <c r="BK612" s="2008">
        <f t="shared" si="3"/>
        <v>0</v>
      </c>
      <c r="BL612" s="2010"/>
      <c r="BM612" s="58"/>
      <c r="BN612" s="2005">
        <f t="shared" si="4"/>
        <v>0</v>
      </c>
      <c r="BO612" s="2006"/>
      <c r="BP612" s="2006"/>
      <c r="BQ612" s="2006"/>
      <c r="BR612" s="2007"/>
      <c r="BS612" s="2004">
        <f t="shared" si="5"/>
        <v>0</v>
      </c>
      <c r="BT612" s="2004"/>
      <c r="BU612" s="2004"/>
      <c r="BV612" s="2004"/>
      <c r="BW612" s="2004"/>
      <c r="BX612" s="2004">
        <f t="shared" si="6"/>
        <v>0</v>
      </c>
      <c r="BY612" s="2004"/>
      <c r="BZ612" s="2004"/>
      <c r="CA612" s="2004"/>
      <c r="CB612" s="2004"/>
      <c r="CC612" s="2004">
        <f t="shared" si="7"/>
        <v>0</v>
      </c>
      <c r="CD612" s="2004"/>
      <c r="CE612" s="2004"/>
      <c r="CF612" s="2004"/>
      <c r="CG612" s="2004"/>
      <c r="CH612" s="2004">
        <f t="shared" si="8"/>
        <v>0</v>
      </c>
      <c r="CI612" s="2004"/>
      <c r="CJ612" s="2004"/>
      <c r="CK612" s="2004"/>
      <c r="CL612" s="2004"/>
      <c r="CM612" s="2004">
        <f t="shared" si="9"/>
        <v>0</v>
      </c>
      <c r="CN612" s="2004"/>
      <c r="CO612" s="2004"/>
      <c r="CP612" s="2004"/>
      <c r="CQ612" s="2004"/>
      <c r="CR612" s="265"/>
      <c r="CS612" s="2377">
        <f t="shared" si="10"/>
        <v>0</v>
      </c>
      <c r="CT612" s="2377"/>
      <c r="CU612" s="2377"/>
      <c r="CV612" s="2377"/>
      <c r="CW612" s="2377"/>
      <c r="CX612" s="2377">
        <f t="shared" si="11"/>
        <v>0</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35" t="str">
        <f t="shared" si="16"/>
        <v xml:space="preserve"> </v>
      </c>
      <c r="DY612" s="2174"/>
      <c r="DZ612" s="2174"/>
      <c r="EA612" s="2174"/>
      <c r="EB612" s="2036"/>
      <c r="EC612" s="2035" t="str">
        <f t="shared" si="17"/>
        <v xml:space="preserve"> </v>
      </c>
      <c r="ED612" s="2174"/>
      <c r="EE612" s="2174"/>
      <c r="EF612" s="2174"/>
      <c r="EG612" s="2036"/>
      <c r="EH612" s="2035" t="str">
        <f t="shared" si="18"/>
        <v xml:space="preserve"> </v>
      </c>
      <c r="EI612" s="2174"/>
      <c r="EJ612" s="2174"/>
      <c r="EK612" s="2174"/>
      <c r="EL612" s="2036"/>
      <c r="EM612" s="2035" t="str">
        <f t="shared" si="19"/>
        <v xml:space="preserve"> </v>
      </c>
      <c r="EN612" s="2174"/>
      <c r="EO612" s="2174"/>
      <c r="EP612" s="2174"/>
      <c r="EQ612" s="2036"/>
      <c r="ER612" s="2035" t="str">
        <f t="shared" si="20"/>
        <v xml:space="preserve"> </v>
      </c>
      <c r="ES612" s="2174"/>
      <c r="ET612" s="2174"/>
      <c r="EU612" s="2174"/>
      <c r="EV612" s="2036"/>
      <c r="EW612" s="2035" t="str">
        <f t="shared" si="21"/>
        <v xml:space="preserve"> </v>
      </c>
      <c r="EX612" s="2174"/>
      <c r="EY612" s="2174"/>
      <c r="EZ612" s="2174"/>
      <c r="FA612" s="2036"/>
    </row>
    <row r="613" spans="1:157" ht="12.75">
      <c r="A613" s="35"/>
      <c r="B613" s="12" t="s">
        <v>616</v>
      </c>
      <c r="G613" s="2031"/>
      <c r="H613" s="2031"/>
      <c r="I613" s="2031"/>
      <c r="J613" s="2031"/>
      <c r="K613" s="2031"/>
      <c r="L613" s="2031"/>
      <c r="M613" s="2031"/>
      <c r="N613" s="2031"/>
      <c r="O613" s="2031"/>
      <c r="P613" s="2031"/>
      <c r="Q613" s="2031"/>
      <c r="R613" s="2031"/>
      <c r="T613" s="35"/>
      <c r="U613" s="12" t="s">
        <v>616</v>
      </c>
      <c r="Z613" s="2071"/>
      <c r="AA613" s="2071"/>
      <c r="AB613" s="2071"/>
      <c r="AC613" s="2071"/>
      <c r="AD613" s="2071"/>
      <c r="AE613" s="2071"/>
      <c r="AF613" s="2071"/>
      <c r="AG613" s="2071"/>
      <c r="AH613" s="2071"/>
      <c r="AI613" s="2071"/>
      <c r="AJ613" s="2071"/>
      <c r="AK613" s="2071"/>
      <c r="BA613" s="7" t="s">
        <v>170</v>
      </c>
      <c r="BB613" s="58"/>
      <c r="BC613" s="58"/>
      <c r="BD613" s="58"/>
      <c r="BE613" s="2035">
        <f t="shared" si="0"/>
        <v>0</v>
      </c>
      <c r="BF613" s="2036"/>
      <c r="BG613" s="2008">
        <f t="shared" si="1"/>
        <v>0</v>
      </c>
      <c r="BH613" s="2010"/>
      <c r="BI613" s="2035">
        <f t="shared" si="2"/>
        <v>0</v>
      </c>
      <c r="BJ613" s="2036"/>
      <c r="BK613" s="2008">
        <f t="shared" si="3"/>
        <v>0</v>
      </c>
      <c r="BL613" s="2010"/>
      <c r="BM613" s="58"/>
      <c r="BN613" s="2005">
        <f t="shared" si="4"/>
        <v>0</v>
      </c>
      <c r="BO613" s="2006"/>
      <c r="BP613" s="2006"/>
      <c r="BQ613" s="2006"/>
      <c r="BR613" s="2007"/>
      <c r="BS613" s="2004">
        <f t="shared" si="5"/>
        <v>0</v>
      </c>
      <c r="BT613" s="2004"/>
      <c r="BU613" s="2004"/>
      <c r="BV613" s="2004"/>
      <c r="BW613" s="2004"/>
      <c r="BX613" s="2004">
        <f t="shared" si="6"/>
        <v>0</v>
      </c>
      <c r="BY613" s="2004"/>
      <c r="BZ613" s="2004"/>
      <c r="CA613" s="2004"/>
      <c r="CB613" s="2004"/>
      <c r="CC613" s="2004">
        <f t="shared" si="7"/>
        <v>0</v>
      </c>
      <c r="CD613" s="2004"/>
      <c r="CE613" s="2004"/>
      <c r="CF613" s="2004"/>
      <c r="CG613" s="2004"/>
      <c r="CH613" s="2004">
        <f t="shared" si="8"/>
        <v>0</v>
      </c>
      <c r="CI613" s="2004"/>
      <c r="CJ613" s="2004"/>
      <c r="CK613" s="2004"/>
      <c r="CL613" s="2004"/>
      <c r="CM613" s="2004">
        <f t="shared" si="9"/>
        <v>0</v>
      </c>
      <c r="CN613" s="2004"/>
      <c r="CO613" s="2004"/>
      <c r="CP613" s="2004"/>
      <c r="CQ613" s="2004"/>
      <c r="CR613" s="265"/>
      <c r="CS613" s="2377">
        <f t="shared" si="10"/>
        <v>0</v>
      </c>
      <c r="CT613" s="2377"/>
      <c r="CU613" s="2377"/>
      <c r="CV613" s="2377"/>
      <c r="CW613" s="2377"/>
      <c r="CX613" s="2377">
        <f t="shared" si="11"/>
        <v>0</v>
      </c>
      <c r="CY613" s="2377"/>
      <c r="CZ613" s="2377"/>
      <c r="DA613" s="2377"/>
      <c r="DB613" s="2377"/>
      <c r="DC613" s="2377">
        <f t="shared" si="12"/>
        <v>0</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35" t="str">
        <f t="shared" si="16"/>
        <v xml:space="preserve"> </v>
      </c>
      <c r="DY613" s="2174"/>
      <c r="DZ613" s="2174"/>
      <c r="EA613" s="2174"/>
      <c r="EB613" s="2036"/>
      <c r="EC613" s="2035" t="str">
        <f t="shared" si="17"/>
        <v xml:space="preserve"> </v>
      </c>
      <c r="ED613" s="2174"/>
      <c r="EE613" s="2174"/>
      <c r="EF613" s="2174"/>
      <c r="EG613" s="2036"/>
      <c r="EH613" s="2035" t="str">
        <f t="shared" si="18"/>
        <v xml:space="preserve"> </v>
      </c>
      <c r="EI613" s="2174"/>
      <c r="EJ613" s="2174"/>
      <c r="EK613" s="2174"/>
      <c r="EL613" s="2036"/>
      <c r="EM613" s="2035" t="str">
        <f t="shared" si="19"/>
        <v xml:space="preserve"> </v>
      </c>
      <c r="EN613" s="2174"/>
      <c r="EO613" s="2174"/>
      <c r="EP613" s="2174"/>
      <c r="EQ613" s="2036"/>
      <c r="ER613" s="2035" t="str">
        <f t="shared" si="20"/>
        <v xml:space="preserve"> </v>
      </c>
      <c r="ES613" s="2174"/>
      <c r="ET613" s="2174"/>
      <c r="EU613" s="2174"/>
      <c r="EV613" s="2036"/>
      <c r="EW613" s="2035" t="str">
        <f t="shared" si="21"/>
        <v xml:space="preserve"> </v>
      </c>
      <c r="EX613" s="2174"/>
      <c r="EY613" s="2174"/>
      <c r="EZ613" s="2174"/>
      <c r="FA613" s="2036"/>
    </row>
    <row r="614" spans="1:157" ht="12.75">
      <c r="A614" s="35"/>
      <c r="B614" s="12" t="s">
        <v>17</v>
      </c>
      <c r="G614" s="2031"/>
      <c r="H614" s="2031"/>
      <c r="I614" s="2031"/>
      <c r="J614" s="2031"/>
      <c r="K614" s="2031"/>
      <c r="L614" s="2031"/>
      <c r="M614" s="2031"/>
      <c r="N614" s="2031"/>
      <c r="O614" s="2031"/>
      <c r="P614" s="2031"/>
      <c r="Q614" s="2031"/>
      <c r="R614" s="2031"/>
      <c r="T614" s="35"/>
      <c r="U614" s="12" t="s">
        <v>17</v>
      </c>
      <c r="Z614" s="2071"/>
      <c r="AA614" s="2071"/>
      <c r="AB614" s="2071"/>
      <c r="AC614" s="2071"/>
      <c r="AD614" s="2071"/>
      <c r="AE614" s="2071"/>
      <c r="AF614" s="2071"/>
      <c r="AG614" s="2071"/>
      <c r="AH614" s="2071"/>
      <c r="AI614" s="2071"/>
      <c r="AJ614" s="2071"/>
      <c r="AK614" s="2071"/>
      <c r="BA614" s="7" t="s">
        <v>31</v>
      </c>
      <c r="BB614" s="58"/>
      <c r="BC614" s="58"/>
      <c r="BD614" s="58"/>
      <c r="BE614" s="2035">
        <f t="shared" si="0"/>
        <v>0</v>
      </c>
      <c r="BF614" s="2036"/>
      <c r="BG614" s="2008">
        <f t="shared" si="1"/>
        <v>0</v>
      </c>
      <c r="BH614" s="2010"/>
      <c r="BI614" s="2035">
        <f t="shared" si="2"/>
        <v>0</v>
      </c>
      <c r="BJ614" s="2036"/>
      <c r="BK614" s="2008">
        <f t="shared" si="3"/>
        <v>0</v>
      </c>
      <c r="BL614" s="2010"/>
      <c r="BM614" s="58"/>
      <c r="BN614" s="2005">
        <f t="shared" si="4"/>
        <v>0</v>
      </c>
      <c r="BO614" s="2006"/>
      <c r="BP614" s="2006"/>
      <c r="BQ614" s="2006"/>
      <c r="BR614" s="2007"/>
      <c r="BS614" s="2004">
        <f t="shared" si="5"/>
        <v>0</v>
      </c>
      <c r="BT614" s="2004"/>
      <c r="BU614" s="2004"/>
      <c r="BV614" s="2004"/>
      <c r="BW614" s="2004"/>
      <c r="BX614" s="2004">
        <f t="shared" si="6"/>
        <v>0</v>
      </c>
      <c r="BY614" s="2004"/>
      <c r="BZ614" s="2004"/>
      <c r="CA614" s="2004"/>
      <c r="CB614" s="2004"/>
      <c r="CC614" s="2004">
        <f t="shared" si="7"/>
        <v>0</v>
      </c>
      <c r="CD614" s="2004"/>
      <c r="CE614" s="2004"/>
      <c r="CF614" s="2004"/>
      <c r="CG614" s="2004"/>
      <c r="CH614" s="2004">
        <f t="shared" si="8"/>
        <v>0</v>
      </c>
      <c r="CI614" s="2004"/>
      <c r="CJ614" s="2004"/>
      <c r="CK614" s="2004"/>
      <c r="CL614" s="2004"/>
      <c r="CM614" s="2004">
        <f t="shared" si="9"/>
        <v>0</v>
      </c>
      <c r="CN614" s="2004"/>
      <c r="CO614" s="2004"/>
      <c r="CP614" s="2004"/>
      <c r="CQ614" s="2004"/>
      <c r="CR614" s="265"/>
      <c r="CS614" s="2377">
        <f t="shared" si="10"/>
        <v>0</v>
      </c>
      <c r="CT614" s="2377"/>
      <c r="CU614" s="2377"/>
      <c r="CV614" s="2377"/>
      <c r="CW614" s="2377"/>
      <c r="CX614" s="2377">
        <f t="shared" si="11"/>
        <v>0</v>
      </c>
      <c r="CY614" s="2377"/>
      <c r="CZ614" s="2377"/>
      <c r="DA614" s="2377"/>
      <c r="DB614" s="2377"/>
      <c r="DC614" s="2377">
        <f t="shared" si="12"/>
        <v>0</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35" t="str">
        <f t="shared" si="16"/>
        <v xml:space="preserve"> </v>
      </c>
      <c r="DY614" s="2174"/>
      <c r="DZ614" s="2174"/>
      <c r="EA614" s="2174"/>
      <c r="EB614" s="2036"/>
      <c r="EC614" s="2035" t="str">
        <f t="shared" si="17"/>
        <v xml:space="preserve"> </v>
      </c>
      <c r="ED614" s="2174"/>
      <c r="EE614" s="2174"/>
      <c r="EF614" s="2174"/>
      <c r="EG614" s="2036"/>
      <c r="EH614" s="2035" t="str">
        <f t="shared" si="18"/>
        <v xml:space="preserve"> </v>
      </c>
      <c r="EI614" s="2174"/>
      <c r="EJ614" s="2174"/>
      <c r="EK614" s="2174"/>
      <c r="EL614" s="2036"/>
      <c r="EM614" s="2035" t="str">
        <f t="shared" si="19"/>
        <v xml:space="preserve"> </v>
      </c>
      <c r="EN614" s="2174"/>
      <c r="EO614" s="2174"/>
      <c r="EP614" s="2174"/>
      <c r="EQ614" s="2036"/>
      <c r="ER614" s="2035" t="str">
        <f t="shared" si="20"/>
        <v xml:space="preserve"> </v>
      </c>
      <c r="ES614" s="2174"/>
      <c r="ET614" s="2174"/>
      <c r="EU614" s="2174"/>
      <c r="EV614" s="2036"/>
      <c r="EW614" s="2035" t="str">
        <f t="shared" si="21"/>
        <v xml:space="preserve"> </v>
      </c>
      <c r="EX614" s="2174"/>
      <c r="EY614" s="2174"/>
      <c r="EZ614" s="2174"/>
      <c r="FA614" s="2036"/>
    </row>
    <row r="615" spans="1:157" ht="12.75">
      <c r="A615" s="35"/>
      <c r="B615" s="12" t="s">
        <v>326</v>
      </c>
      <c r="G615" s="2086"/>
      <c r="H615" s="2086"/>
      <c r="I615" s="2086"/>
      <c r="J615" s="2086"/>
      <c r="K615" s="2086"/>
      <c r="L615" s="2086"/>
      <c r="O615" s="137" t="s">
        <v>211</v>
      </c>
      <c r="P615" s="2122"/>
      <c r="Q615" s="2122"/>
      <c r="R615" s="2122"/>
      <c r="T615" s="35"/>
      <c r="U615" s="12" t="s">
        <v>326</v>
      </c>
      <c r="Z615" s="2086"/>
      <c r="AA615" s="2086"/>
      <c r="AB615" s="2086"/>
      <c r="AC615" s="2086"/>
      <c r="AD615" s="2086"/>
      <c r="AE615" s="2086"/>
      <c r="AH615" s="137" t="s">
        <v>211</v>
      </c>
      <c r="AI615" s="2122"/>
      <c r="AJ615" s="2122"/>
      <c r="AK615" s="2122"/>
      <c r="AZ615" s="58"/>
      <c r="BA615" s="58"/>
      <c r="BB615" s="58"/>
      <c r="BC615" s="58"/>
      <c r="BD615" s="58"/>
      <c r="BE615" s="2035">
        <f t="shared" si="0"/>
        <v>0</v>
      </c>
      <c r="BF615" s="2036"/>
      <c r="BG615" s="2008">
        <f t="shared" si="1"/>
        <v>0</v>
      </c>
      <c r="BH615" s="2010"/>
      <c r="BI615" s="2035">
        <f t="shared" si="2"/>
        <v>0</v>
      </c>
      <c r="BJ615" s="2036"/>
      <c r="BK615" s="2008">
        <f t="shared" si="3"/>
        <v>0</v>
      </c>
      <c r="BL615" s="2010"/>
      <c r="BM615" s="58"/>
      <c r="BN615" s="2005">
        <f t="shared" si="4"/>
        <v>0</v>
      </c>
      <c r="BO615" s="2006"/>
      <c r="BP615" s="2006"/>
      <c r="BQ615" s="2006"/>
      <c r="BR615" s="2007"/>
      <c r="BS615" s="2004">
        <f t="shared" si="5"/>
        <v>0</v>
      </c>
      <c r="BT615" s="2004"/>
      <c r="BU615" s="2004"/>
      <c r="BV615" s="2004"/>
      <c r="BW615" s="2004"/>
      <c r="BX615" s="2004">
        <f t="shared" si="6"/>
        <v>0</v>
      </c>
      <c r="BY615" s="2004"/>
      <c r="BZ615" s="2004"/>
      <c r="CA615" s="2004"/>
      <c r="CB615" s="2004"/>
      <c r="CC615" s="2004">
        <f t="shared" si="7"/>
        <v>0</v>
      </c>
      <c r="CD615" s="2004"/>
      <c r="CE615" s="2004"/>
      <c r="CF615" s="2004"/>
      <c r="CG615" s="2004"/>
      <c r="CH615" s="2004">
        <f t="shared" si="8"/>
        <v>0</v>
      </c>
      <c r="CI615" s="2004"/>
      <c r="CJ615" s="2004"/>
      <c r="CK615" s="2004"/>
      <c r="CL615" s="2004"/>
      <c r="CM615" s="2004">
        <f t="shared" si="9"/>
        <v>0</v>
      </c>
      <c r="CN615" s="2004"/>
      <c r="CO615" s="2004"/>
      <c r="CP615" s="2004"/>
      <c r="CQ615" s="2004"/>
      <c r="CR615" s="265"/>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35" t="str">
        <f t="shared" si="16"/>
        <v xml:space="preserve"> </v>
      </c>
      <c r="DY615" s="2174"/>
      <c r="DZ615" s="2174"/>
      <c r="EA615" s="2174"/>
      <c r="EB615" s="2036"/>
      <c r="EC615" s="2035" t="str">
        <f t="shared" si="17"/>
        <v xml:space="preserve"> </v>
      </c>
      <c r="ED615" s="2174"/>
      <c r="EE615" s="2174"/>
      <c r="EF615" s="2174"/>
      <c r="EG615" s="2036"/>
      <c r="EH615" s="2035" t="str">
        <f t="shared" si="18"/>
        <v xml:space="preserve"> </v>
      </c>
      <c r="EI615" s="2174"/>
      <c r="EJ615" s="2174"/>
      <c r="EK615" s="2174"/>
      <c r="EL615" s="2036"/>
      <c r="EM615" s="2035" t="str">
        <f t="shared" si="19"/>
        <v xml:space="preserve"> </v>
      </c>
      <c r="EN615" s="2174"/>
      <c r="EO615" s="2174"/>
      <c r="EP615" s="2174"/>
      <c r="EQ615" s="2036"/>
      <c r="ER615" s="2035" t="str">
        <f t="shared" si="20"/>
        <v xml:space="preserve"> </v>
      </c>
      <c r="ES615" s="2174"/>
      <c r="ET615" s="2174"/>
      <c r="EU615" s="2174"/>
      <c r="EV615" s="2036"/>
      <c r="EW615" s="2035" t="str">
        <f t="shared" si="21"/>
        <v xml:space="preserve"> </v>
      </c>
      <c r="EX615" s="2174"/>
      <c r="EY615" s="2174"/>
      <c r="EZ615" s="2174"/>
      <c r="FA615" s="2036"/>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35">
        <f t="shared" si="0"/>
        <v>0</v>
      </c>
      <c r="BF616" s="2036"/>
      <c r="BG616" s="2008">
        <f t="shared" si="1"/>
        <v>0</v>
      </c>
      <c r="BH616" s="2010"/>
      <c r="BI616" s="2035">
        <f t="shared" si="2"/>
        <v>0</v>
      </c>
      <c r="BJ616" s="2036"/>
      <c r="BK616" s="2008">
        <f t="shared" si="3"/>
        <v>0</v>
      </c>
      <c r="BL616" s="2010"/>
      <c r="BM616" s="58"/>
      <c r="BN616" s="2005">
        <f t="shared" si="4"/>
        <v>0</v>
      </c>
      <c r="BO616" s="2006"/>
      <c r="BP616" s="2006"/>
      <c r="BQ616" s="2006"/>
      <c r="BR616" s="2007"/>
      <c r="BS616" s="2004">
        <f t="shared" si="5"/>
        <v>0</v>
      </c>
      <c r="BT616" s="2004"/>
      <c r="BU616" s="2004"/>
      <c r="BV616" s="2004"/>
      <c r="BW616" s="2004"/>
      <c r="BX616" s="2004">
        <f t="shared" si="6"/>
        <v>0</v>
      </c>
      <c r="BY616" s="2004"/>
      <c r="BZ616" s="2004"/>
      <c r="CA616" s="2004"/>
      <c r="CB616" s="2004"/>
      <c r="CC616" s="2004">
        <f t="shared" si="7"/>
        <v>0</v>
      </c>
      <c r="CD616" s="2004"/>
      <c r="CE616" s="2004"/>
      <c r="CF616" s="2004"/>
      <c r="CG616" s="2004"/>
      <c r="CH616" s="2004">
        <f t="shared" si="8"/>
        <v>0</v>
      </c>
      <c r="CI616" s="2004"/>
      <c r="CJ616" s="2004"/>
      <c r="CK616" s="2004"/>
      <c r="CL616" s="2004"/>
      <c r="CM616" s="2004">
        <f t="shared" si="9"/>
        <v>0</v>
      </c>
      <c r="CN616" s="2004"/>
      <c r="CO616" s="2004"/>
      <c r="CP616" s="2004"/>
      <c r="CQ616" s="2004"/>
      <c r="CR616" s="265"/>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35" t="str">
        <f t="shared" si="16"/>
        <v xml:space="preserve"> </v>
      </c>
      <c r="DY616" s="2174"/>
      <c r="DZ616" s="2174"/>
      <c r="EA616" s="2174"/>
      <c r="EB616" s="2036"/>
      <c r="EC616" s="2035" t="str">
        <f t="shared" si="17"/>
        <v xml:space="preserve"> </v>
      </c>
      <c r="ED616" s="2174"/>
      <c r="EE616" s="2174"/>
      <c r="EF616" s="2174"/>
      <c r="EG616" s="2036"/>
      <c r="EH616" s="2035" t="str">
        <f t="shared" si="18"/>
        <v xml:space="preserve"> </v>
      </c>
      <c r="EI616" s="2174"/>
      <c r="EJ616" s="2174"/>
      <c r="EK616" s="2174"/>
      <c r="EL616" s="2036"/>
      <c r="EM616" s="2035" t="str">
        <f t="shared" si="19"/>
        <v xml:space="preserve"> </v>
      </c>
      <c r="EN616" s="2174"/>
      <c r="EO616" s="2174"/>
      <c r="EP616" s="2174"/>
      <c r="EQ616" s="2036"/>
      <c r="ER616" s="2035" t="str">
        <f t="shared" si="20"/>
        <v xml:space="preserve"> </v>
      </c>
      <c r="ES616" s="2174"/>
      <c r="ET616" s="2174"/>
      <c r="EU616" s="2174"/>
      <c r="EV616" s="2036"/>
      <c r="EW616" s="2035" t="str">
        <f t="shared" si="21"/>
        <v xml:space="preserve"> </v>
      </c>
      <c r="EX616" s="2174"/>
      <c r="EY616" s="2174"/>
      <c r="EZ616" s="2174"/>
      <c r="FA616" s="2036"/>
    </row>
    <row r="617" spans="1:157" ht="12.75">
      <c r="A617" s="35"/>
      <c r="B617" s="12" t="s">
        <v>20</v>
      </c>
      <c r="N617" s="2039" t="s">
        <v>707</v>
      </c>
      <c r="O617" s="2039"/>
      <c r="T617" s="35"/>
      <c r="U617" s="12" t="s">
        <v>20</v>
      </c>
      <c r="AG617" s="2039" t="s">
        <v>707</v>
      </c>
      <c r="AH617" s="2039"/>
      <c r="AZ617" s="58"/>
      <c r="BA617" s="58"/>
      <c r="BB617" s="58"/>
      <c r="BC617" s="58"/>
      <c r="BD617" s="58"/>
      <c r="BE617" s="2035">
        <f t="shared" si="0"/>
        <v>0</v>
      </c>
      <c r="BF617" s="2036"/>
      <c r="BG617" s="2008">
        <f t="shared" si="1"/>
        <v>0</v>
      </c>
      <c r="BH617" s="2010"/>
      <c r="BI617" s="2035">
        <f t="shared" si="2"/>
        <v>0</v>
      </c>
      <c r="BJ617" s="2036"/>
      <c r="BK617" s="2008">
        <f t="shared" si="3"/>
        <v>0</v>
      </c>
      <c r="BL617" s="2010"/>
      <c r="BM617" s="58"/>
      <c r="BN617" s="2005">
        <f t="shared" si="4"/>
        <v>0</v>
      </c>
      <c r="BO617" s="2006"/>
      <c r="BP617" s="2006"/>
      <c r="BQ617" s="2006"/>
      <c r="BR617" s="2007"/>
      <c r="BS617" s="2004">
        <f t="shared" si="5"/>
        <v>0</v>
      </c>
      <c r="BT617" s="2004"/>
      <c r="BU617" s="2004"/>
      <c r="BV617" s="2004"/>
      <c r="BW617" s="2004"/>
      <c r="BX617" s="2004">
        <f t="shared" si="6"/>
        <v>0</v>
      </c>
      <c r="BY617" s="2004"/>
      <c r="BZ617" s="2004"/>
      <c r="CA617" s="2004"/>
      <c r="CB617" s="2004"/>
      <c r="CC617" s="2004">
        <f t="shared" si="7"/>
        <v>0</v>
      </c>
      <c r="CD617" s="2004"/>
      <c r="CE617" s="2004"/>
      <c r="CF617" s="2004"/>
      <c r="CG617" s="2004"/>
      <c r="CH617" s="2004">
        <f t="shared" si="8"/>
        <v>0</v>
      </c>
      <c r="CI617" s="2004"/>
      <c r="CJ617" s="2004"/>
      <c r="CK617" s="2004"/>
      <c r="CL617" s="2004"/>
      <c r="CM617" s="2004">
        <f t="shared" si="9"/>
        <v>0</v>
      </c>
      <c r="CN617" s="2004"/>
      <c r="CO617" s="2004"/>
      <c r="CP617" s="2004"/>
      <c r="CQ617" s="2004"/>
      <c r="CR617" s="265"/>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35" t="str">
        <f t="shared" si="16"/>
        <v xml:space="preserve"> </v>
      </c>
      <c r="DY617" s="2174"/>
      <c r="DZ617" s="2174"/>
      <c r="EA617" s="2174"/>
      <c r="EB617" s="2036"/>
      <c r="EC617" s="2035" t="str">
        <f t="shared" si="17"/>
        <v xml:space="preserve"> </v>
      </c>
      <c r="ED617" s="2174"/>
      <c r="EE617" s="2174"/>
      <c r="EF617" s="2174"/>
      <c r="EG617" s="2036"/>
      <c r="EH617" s="2035" t="str">
        <f t="shared" si="18"/>
        <v xml:space="preserve"> </v>
      </c>
      <c r="EI617" s="2174"/>
      <c r="EJ617" s="2174"/>
      <c r="EK617" s="2174"/>
      <c r="EL617" s="2036"/>
      <c r="EM617" s="2035" t="str">
        <f t="shared" si="19"/>
        <v xml:space="preserve"> </v>
      </c>
      <c r="EN617" s="2174"/>
      <c r="EO617" s="2174"/>
      <c r="EP617" s="2174"/>
      <c r="EQ617" s="2036"/>
      <c r="ER617" s="2035" t="str">
        <f t="shared" si="20"/>
        <v xml:space="preserve"> </v>
      </c>
      <c r="ES617" s="2174"/>
      <c r="ET617" s="2174"/>
      <c r="EU617" s="2174"/>
      <c r="EV617" s="2036"/>
      <c r="EW617" s="2035" t="str">
        <f t="shared" si="21"/>
        <v xml:space="preserve"> </v>
      </c>
      <c r="EX617" s="2174"/>
      <c r="EY617" s="2174"/>
      <c r="EZ617" s="2174"/>
      <c r="FA617" s="203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6"/>
      <c r="BG618" s="2008">
        <f t="shared" si="1"/>
        <v>0</v>
      </c>
      <c r="BH618" s="2010"/>
      <c r="BI618" s="2035">
        <f t="shared" si="2"/>
        <v>0</v>
      </c>
      <c r="BJ618" s="2036"/>
      <c r="BK618" s="2008">
        <f t="shared" si="3"/>
        <v>0</v>
      </c>
      <c r="BL618" s="2010"/>
      <c r="BM618" s="58"/>
      <c r="BN618" s="2005">
        <f t="shared" si="4"/>
        <v>0</v>
      </c>
      <c r="BO618" s="2006"/>
      <c r="BP618" s="2006"/>
      <c r="BQ618" s="2006"/>
      <c r="BR618" s="2007"/>
      <c r="BS618" s="2004">
        <f t="shared" si="5"/>
        <v>0</v>
      </c>
      <c r="BT618" s="2004"/>
      <c r="BU618" s="2004"/>
      <c r="BV618" s="2004"/>
      <c r="BW618" s="2004"/>
      <c r="BX618" s="2004">
        <f t="shared" si="6"/>
        <v>0</v>
      </c>
      <c r="BY618" s="2004"/>
      <c r="BZ618" s="2004"/>
      <c r="CA618" s="2004"/>
      <c r="CB618" s="2004"/>
      <c r="CC618" s="2004">
        <f t="shared" si="7"/>
        <v>0</v>
      </c>
      <c r="CD618" s="2004"/>
      <c r="CE618" s="2004"/>
      <c r="CF618" s="2004"/>
      <c r="CG618" s="2004"/>
      <c r="CH618" s="2004">
        <f t="shared" si="8"/>
        <v>0</v>
      </c>
      <c r="CI618" s="2004"/>
      <c r="CJ618" s="2004"/>
      <c r="CK618" s="2004"/>
      <c r="CL618" s="2004"/>
      <c r="CM618" s="2004">
        <f t="shared" si="9"/>
        <v>0</v>
      </c>
      <c r="CN618" s="2004"/>
      <c r="CO618" s="2004"/>
      <c r="CP618" s="2004"/>
      <c r="CQ618" s="2004"/>
      <c r="CR618" s="265"/>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0</v>
      </c>
      <c r="DI618" s="2377"/>
      <c r="DJ618" s="2377"/>
      <c r="DK618" s="2377"/>
      <c r="DL618" s="2377"/>
      <c r="DM618" s="2377">
        <f t="shared" si="14"/>
        <v>0</v>
      </c>
      <c r="DN618" s="2377"/>
      <c r="DO618" s="2377"/>
      <c r="DP618" s="2377"/>
      <c r="DQ618" s="2377"/>
      <c r="DR618" s="2377">
        <f t="shared" si="15"/>
        <v>0</v>
      </c>
      <c r="DS618" s="2377"/>
      <c r="DT618" s="2377"/>
      <c r="DU618" s="2377"/>
      <c r="DV618" s="2377"/>
      <c r="DX618" s="2035" t="str">
        <f t="shared" si="16"/>
        <v xml:space="preserve"> </v>
      </c>
      <c r="DY618" s="2174"/>
      <c r="DZ618" s="2174"/>
      <c r="EA618" s="2174"/>
      <c r="EB618" s="2036"/>
      <c r="EC618" s="2035" t="str">
        <f t="shared" si="17"/>
        <v xml:space="preserve"> </v>
      </c>
      <c r="ED618" s="2174"/>
      <c r="EE618" s="2174"/>
      <c r="EF618" s="2174"/>
      <c r="EG618" s="2036"/>
      <c r="EH618" s="2035" t="str">
        <f t="shared" si="18"/>
        <v xml:space="preserve"> </v>
      </c>
      <c r="EI618" s="2174"/>
      <c r="EJ618" s="2174"/>
      <c r="EK618" s="2174"/>
      <c r="EL618" s="2036"/>
      <c r="EM618" s="2035" t="str">
        <f t="shared" si="19"/>
        <v xml:space="preserve"> </v>
      </c>
      <c r="EN618" s="2174"/>
      <c r="EO618" s="2174"/>
      <c r="EP618" s="2174"/>
      <c r="EQ618" s="2036"/>
      <c r="ER618" s="2035" t="str">
        <f t="shared" si="20"/>
        <v xml:space="preserve"> </v>
      </c>
      <c r="ES618" s="2174"/>
      <c r="ET618" s="2174"/>
      <c r="EU618" s="2174"/>
      <c r="EV618" s="2036"/>
      <c r="EW618" s="2035" t="str">
        <f t="shared" si="21"/>
        <v xml:space="preserve"> </v>
      </c>
      <c r="EX618" s="2174"/>
      <c r="EY618" s="2174"/>
      <c r="EZ618" s="2174"/>
      <c r="FA618" s="2036"/>
    </row>
    <row r="619" spans="1:157" s="7" customFormat="1" ht="12.75">
      <c r="A619" s="87" t="s">
        <v>373</v>
      </c>
      <c r="B619" s="12" t="s">
        <v>497</v>
      </c>
      <c r="C619" s="12"/>
      <c r="D619" s="12"/>
      <c r="E619" s="12"/>
      <c r="F619" s="12"/>
      <c r="G619" s="2073">
        <f>C574</f>
        <v>0</v>
      </c>
      <c r="H619" s="2073"/>
      <c r="I619" s="2073"/>
      <c r="J619" s="2073"/>
      <c r="K619" s="2073"/>
      <c r="L619" s="2073"/>
      <c r="M619" s="2073"/>
      <c r="N619" s="2073"/>
      <c r="O619" s="2073"/>
      <c r="P619" s="2073"/>
      <c r="Q619" s="2073"/>
      <c r="R619" s="2073"/>
      <c r="S619" s="12"/>
      <c r="T619" s="87" t="s">
        <v>374</v>
      </c>
      <c r="U619" s="12" t="s">
        <v>497</v>
      </c>
      <c r="V619" s="12"/>
      <c r="W619" s="12"/>
      <c r="X619" s="12"/>
      <c r="Y619" s="12"/>
      <c r="Z619" s="2073">
        <f>C575</f>
        <v>0</v>
      </c>
      <c r="AA619" s="2073"/>
      <c r="AB619" s="2073"/>
      <c r="AC619" s="2073"/>
      <c r="AD619" s="2073"/>
      <c r="AE619" s="2073"/>
      <c r="AF619" s="2073"/>
      <c r="AG619" s="2073"/>
      <c r="AH619" s="2073"/>
      <c r="AI619" s="2073"/>
      <c r="AJ619" s="2073"/>
      <c r="AK619" s="2073"/>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6"/>
      <c r="BG619" s="2008">
        <f t="shared" si="1"/>
        <v>0</v>
      </c>
      <c r="BH619" s="2010"/>
      <c r="BI619" s="2035">
        <f t="shared" si="2"/>
        <v>0</v>
      </c>
      <c r="BJ619" s="2036"/>
      <c r="BK619" s="2008">
        <f t="shared" si="3"/>
        <v>0</v>
      </c>
      <c r="BL619" s="2010"/>
      <c r="BM619" s="58"/>
      <c r="BN619" s="2005">
        <f t="shared" si="4"/>
        <v>0</v>
      </c>
      <c r="BO619" s="2006"/>
      <c r="BP619" s="2006"/>
      <c r="BQ619" s="2006"/>
      <c r="BR619" s="2007"/>
      <c r="BS619" s="2004">
        <f t="shared" si="5"/>
        <v>0</v>
      </c>
      <c r="BT619" s="2004"/>
      <c r="BU619" s="2004"/>
      <c r="BV619" s="2004"/>
      <c r="BW619" s="2004"/>
      <c r="BX619" s="2004">
        <f t="shared" si="6"/>
        <v>0</v>
      </c>
      <c r="BY619" s="2004"/>
      <c r="BZ619" s="2004"/>
      <c r="CA619" s="2004"/>
      <c r="CB619" s="2004"/>
      <c r="CC619" s="2004">
        <f t="shared" si="7"/>
        <v>0</v>
      </c>
      <c r="CD619" s="2004"/>
      <c r="CE619" s="2004"/>
      <c r="CF619" s="2004"/>
      <c r="CG619" s="2004"/>
      <c r="CH619" s="2004">
        <f t="shared" si="8"/>
        <v>0</v>
      </c>
      <c r="CI619" s="2004"/>
      <c r="CJ619" s="2004"/>
      <c r="CK619" s="2004"/>
      <c r="CL619" s="2004"/>
      <c r="CM619" s="2004">
        <f t="shared" si="9"/>
        <v>0</v>
      </c>
      <c r="CN619" s="2004"/>
      <c r="CO619" s="2004"/>
      <c r="CP619" s="2004"/>
      <c r="CQ619" s="2004"/>
      <c r="CR619" s="265"/>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35" t="str">
        <f t="shared" si="16"/>
        <v xml:space="preserve"> </v>
      </c>
      <c r="DY619" s="2174"/>
      <c r="DZ619" s="2174"/>
      <c r="EA619" s="2174"/>
      <c r="EB619" s="2036"/>
      <c r="EC619" s="2035" t="str">
        <f t="shared" si="17"/>
        <v xml:space="preserve"> </v>
      </c>
      <c r="ED619" s="2174"/>
      <c r="EE619" s="2174"/>
      <c r="EF619" s="2174"/>
      <c r="EG619" s="2036"/>
      <c r="EH619" s="2035" t="str">
        <f t="shared" si="18"/>
        <v xml:space="preserve"> </v>
      </c>
      <c r="EI619" s="2174"/>
      <c r="EJ619" s="2174"/>
      <c r="EK619" s="2174"/>
      <c r="EL619" s="2036"/>
      <c r="EM619" s="2035" t="str">
        <f t="shared" si="19"/>
        <v xml:space="preserve"> </v>
      </c>
      <c r="EN619" s="2174"/>
      <c r="EO619" s="2174"/>
      <c r="EP619" s="2174"/>
      <c r="EQ619" s="2036"/>
      <c r="ER619" s="2035" t="str">
        <f t="shared" si="20"/>
        <v xml:space="preserve"> </v>
      </c>
      <c r="ES619" s="2174"/>
      <c r="ET619" s="2174"/>
      <c r="EU619" s="2174"/>
      <c r="EV619" s="2036"/>
      <c r="EW619" s="2035" t="str">
        <f t="shared" si="21"/>
        <v xml:space="preserve"> </v>
      </c>
      <c r="EX619" s="2174"/>
      <c r="EY619" s="2174"/>
      <c r="EZ619" s="2174"/>
      <c r="FA619" s="2036"/>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6"/>
      <c r="BG620" s="2008">
        <f t="shared" si="1"/>
        <v>0</v>
      </c>
      <c r="BH620" s="2010"/>
      <c r="BI620" s="2035">
        <f t="shared" si="2"/>
        <v>0</v>
      </c>
      <c r="BJ620" s="2036"/>
      <c r="BK620" s="2008">
        <f t="shared" si="3"/>
        <v>0</v>
      </c>
      <c r="BL620" s="2010"/>
      <c r="BM620" s="58"/>
      <c r="BN620" s="2005">
        <f t="shared" si="4"/>
        <v>0</v>
      </c>
      <c r="BO620" s="2006"/>
      <c r="BP620" s="2006"/>
      <c r="BQ620" s="2006"/>
      <c r="BR620" s="2007"/>
      <c r="BS620" s="2004">
        <f t="shared" si="5"/>
        <v>0</v>
      </c>
      <c r="BT620" s="2004"/>
      <c r="BU620" s="2004"/>
      <c r="BV620" s="2004"/>
      <c r="BW620" s="2004"/>
      <c r="BX620" s="2004">
        <f t="shared" si="6"/>
        <v>0</v>
      </c>
      <c r="BY620" s="2004"/>
      <c r="BZ620" s="2004"/>
      <c r="CA620" s="2004"/>
      <c r="CB620" s="2004"/>
      <c r="CC620" s="2004">
        <f t="shared" si="7"/>
        <v>0</v>
      </c>
      <c r="CD620" s="2004"/>
      <c r="CE620" s="2004"/>
      <c r="CF620" s="2004"/>
      <c r="CG620" s="2004"/>
      <c r="CH620" s="2004">
        <f t="shared" si="8"/>
        <v>0</v>
      </c>
      <c r="CI620" s="2004"/>
      <c r="CJ620" s="2004"/>
      <c r="CK620" s="2004"/>
      <c r="CL620" s="2004"/>
      <c r="CM620" s="2004">
        <f t="shared" si="9"/>
        <v>0</v>
      </c>
      <c r="CN620" s="2004"/>
      <c r="CO620" s="2004"/>
      <c r="CP620" s="2004"/>
      <c r="CQ620" s="2004"/>
      <c r="CR620" s="265"/>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35" t="str">
        <f t="shared" si="16"/>
        <v xml:space="preserve"> </v>
      </c>
      <c r="DY620" s="2174"/>
      <c r="DZ620" s="2174"/>
      <c r="EA620" s="2174"/>
      <c r="EB620" s="2036"/>
      <c r="EC620" s="2035" t="str">
        <f t="shared" si="17"/>
        <v xml:space="preserve"> </v>
      </c>
      <c r="ED620" s="2174"/>
      <c r="EE620" s="2174"/>
      <c r="EF620" s="2174"/>
      <c r="EG620" s="2036"/>
      <c r="EH620" s="2035" t="str">
        <f t="shared" si="18"/>
        <v xml:space="preserve"> </v>
      </c>
      <c r="EI620" s="2174"/>
      <c r="EJ620" s="2174"/>
      <c r="EK620" s="2174"/>
      <c r="EL620" s="2036"/>
      <c r="EM620" s="2035" t="str">
        <f t="shared" si="19"/>
        <v xml:space="preserve"> </v>
      </c>
      <c r="EN620" s="2174"/>
      <c r="EO620" s="2174"/>
      <c r="EP620" s="2174"/>
      <c r="EQ620" s="2036"/>
      <c r="ER620" s="2035" t="str">
        <f t="shared" si="20"/>
        <v xml:space="preserve"> </v>
      </c>
      <c r="ES620" s="2174"/>
      <c r="ET620" s="2174"/>
      <c r="EU620" s="2174"/>
      <c r="EV620" s="2036"/>
      <c r="EW620" s="2035" t="str">
        <f t="shared" si="21"/>
        <v xml:space="preserve"> </v>
      </c>
      <c r="EX620" s="2174"/>
      <c r="EY620" s="2174"/>
      <c r="EZ620" s="2174"/>
      <c r="FA620" s="2036"/>
    </row>
    <row r="621" spans="1:157" ht="12.75">
      <c r="B621" s="12" t="s">
        <v>616</v>
      </c>
      <c r="G621" s="2031"/>
      <c r="H621" s="2031"/>
      <c r="I621" s="2031"/>
      <c r="J621" s="2031"/>
      <c r="K621" s="2031"/>
      <c r="L621" s="2031"/>
      <c r="M621" s="2031"/>
      <c r="N621" s="2031"/>
      <c r="O621" s="2031"/>
      <c r="P621" s="2031"/>
      <c r="Q621" s="2031"/>
      <c r="R621" s="2031"/>
      <c r="U621" s="12" t="s">
        <v>616</v>
      </c>
      <c r="Z621" s="2071"/>
      <c r="AA621" s="2071"/>
      <c r="AB621" s="2071"/>
      <c r="AC621" s="2071"/>
      <c r="AD621" s="2071"/>
      <c r="AE621" s="2071"/>
      <c r="AF621" s="2071"/>
      <c r="AG621" s="2071"/>
      <c r="AH621" s="2071"/>
      <c r="AI621" s="2071"/>
      <c r="AJ621" s="2071"/>
      <c r="AK621" s="2071"/>
      <c r="AZ621" s="58"/>
      <c r="BA621" s="58"/>
      <c r="BB621" s="58"/>
      <c r="BC621" s="58"/>
      <c r="BD621" s="58"/>
      <c r="BE621" s="2035">
        <f t="shared" si="0"/>
        <v>0</v>
      </c>
      <c r="BF621" s="2036"/>
      <c r="BG621" s="2008">
        <f t="shared" si="1"/>
        <v>0</v>
      </c>
      <c r="BH621" s="2010"/>
      <c r="BI621" s="2035">
        <f t="shared" si="2"/>
        <v>0</v>
      </c>
      <c r="BJ621" s="2036"/>
      <c r="BK621" s="2008">
        <f t="shared" si="3"/>
        <v>0</v>
      </c>
      <c r="BL621" s="2010"/>
      <c r="BM621" s="58"/>
      <c r="BN621" s="2005">
        <f t="shared" si="4"/>
        <v>0</v>
      </c>
      <c r="BO621" s="2006"/>
      <c r="BP621" s="2006"/>
      <c r="BQ621" s="2006"/>
      <c r="BR621" s="2007"/>
      <c r="BS621" s="2004">
        <f t="shared" si="5"/>
        <v>0</v>
      </c>
      <c r="BT621" s="2004"/>
      <c r="BU621" s="2004"/>
      <c r="BV621" s="2004"/>
      <c r="BW621" s="2004"/>
      <c r="BX621" s="2004">
        <f t="shared" si="6"/>
        <v>0</v>
      </c>
      <c r="BY621" s="2004"/>
      <c r="BZ621" s="2004"/>
      <c r="CA621" s="2004"/>
      <c r="CB621" s="2004"/>
      <c r="CC621" s="2004">
        <f t="shared" si="7"/>
        <v>0</v>
      </c>
      <c r="CD621" s="2004"/>
      <c r="CE621" s="2004"/>
      <c r="CF621" s="2004"/>
      <c r="CG621" s="2004"/>
      <c r="CH621" s="2004">
        <f t="shared" si="8"/>
        <v>0</v>
      </c>
      <c r="CI621" s="2004"/>
      <c r="CJ621" s="2004"/>
      <c r="CK621" s="2004"/>
      <c r="CL621" s="2004"/>
      <c r="CM621" s="2004">
        <f t="shared" si="9"/>
        <v>0</v>
      </c>
      <c r="CN621" s="2004"/>
      <c r="CO621" s="2004"/>
      <c r="CP621" s="2004"/>
      <c r="CQ621" s="2004"/>
      <c r="CR621" s="265"/>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35" t="str">
        <f t="shared" si="16"/>
        <v xml:space="preserve"> </v>
      </c>
      <c r="DY621" s="2174"/>
      <c r="DZ621" s="2174"/>
      <c r="EA621" s="2174"/>
      <c r="EB621" s="2036"/>
      <c r="EC621" s="2035" t="str">
        <f t="shared" si="17"/>
        <v xml:space="preserve"> </v>
      </c>
      <c r="ED621" s="2174"/>
      <c r="EE621" s="2174"/>
      <c r="EF621" s="2174"/>
      <c r="EG621" s="2036"/>
      <c r="EH621" s="2035" t="str">
        <f t="shared" si="18"/>
        <v xml:space="preserve"> </v>
      </c>
      <c r="EI621" s="2174"/>
      <c r="EJ621" s="2174"/>
      <c r="EK621" s="2174"/>
      <c r="EL621" s="2036"/>
      <c r="EM621" s="2035" t="str">
        <f t="shared" si="19"/>
        <v xml:space="preserve"> </v>
      </c>
      <c r="EN621" s="2174"/>
      <c r="EO621" s="2174"/>
      <c r="EP621" s="2174"/>
      <c r="EQ621" s="2036"/>
      <c r="ER621" s="2035" t="str">
        <f t="shared" si="20"/>
        <v xml:space="preserve"> </v>
      </c>
      <c r="ES621" s="2174"/>
      <c r="ET621" s="2174"/>
      <c r="EU621" s="2174"/>
      <c r="EV621" s="2036"/>
      <c r="EW621" s="2035" t="str">
        <f t="shared" si="21"/>
        <v xml:space="preserve"> </v>
      </c>
      <c r="EX621" s="2174"/>
      <c r="EY621" s="2174"/>
      <c r="EZ621" s="2174"/>
      <c r="FA621" s="2036"/>
    </row>
    <row r="622" spans="1:157" ht="12.75">
      <c r="B622" s="12" t="s">
        <v>17</v>
      </c>
      <c r="G622" s="2031"/>
      <c r="H622" s="2031"/>
      <c r="I622" s="2031"/>
      <c r="J622" s="2031"/>
      <c r="K622" s="2031"/>
      <c r="L622" s="2031"/>
      <c r="M622" s="2031"/>
      <c r="N622" s="2031"/>
      <c r="O622" s="2031"/>
      <c r="P622" s="2031"/>
      <c r="Q622" s="2031"/>
      <c r="R622" s="2031"/>
      <c r="U622" s="12" t="s">
        <v>17</v>
      </c>
      <c r="Z622" s="2071"/>
      <c r="AA622" s="2071"/>
      <c r="AB622" s="2071"/>
      <c r="AC622" s="2071"/>
      <c r="AD622" s="2071"/>
      <c r="AE622" s="2071"/>
      <c r="AF622" s="2071"/>
      <c r="AG622" s="2071"/>
      <c r="AH622" s="2071"/>
      <c r="AI622" s="2071"/>
      <c r="AJ622" s="2071"/>
      <c r="AK622" s="2071"/>
      <c r="AZ622" s="58"/>
      <c r="BA622" s="58"/>
      <c r="BB622" s="58"/>
      <c r="BC622" s="58"/>
      <c r="BD622" s="58"/>
      <c r="BE622" s="2035">
        <f t="shared" si="0"/>
        <v>0</v>
      </c>
      <c r="BF622" s="2036"/>
      <c r="BG622" s="2008">
        <f t="shared" si="1"/>
        <v>0</v>
      </c>
      <c r="BH622" s="2010"/>
      <c r="BI622" s="2035">
        <f t="shared" si="2"/>
        <v>0</v>
      </c>
      <c r="BJ622" s="2036"/>
      <c r="BK622" s="2008">
        <f t="shared" si="3"/>
        <v>0</v>
      </c>
      <c r="BL622" s="2010"/>
      <c r="BM622" s="58"/>
      <c r="BN622" s="2005">
        <f t="shared" si="4"/>
        <v>0</v>
      </c>
      <c r="BO622" s="2006"/>
      <c r="BP622" s="2006"/>
      <c r="BQ622" s="2006"/>
      <c r="BR622" s="2007"/>
      <c r="BS622" s="2004">
        <f t="shared" si="5"/>
        <v>0</v>
      </c>
      <c r="BT622" s="2004"/>
      <c r="BU622" s="2004"/>
      <c r="BV622" s="2004"/>
      <c r="BW622" s="2004"/>
      <c r="BX622" s="2004">
        <f t="shared" si="6"/>
        <v>0</v>
      </c>
      <c r="BY622" s="2004"/>
      <c r="BZ622" s="2004"/>
      <c r="CA622" s="2004"/>
      <c r="CB622" s="2004"/>
      <c r="CC622" s="2004">
        <f t="shared" si="7"/>
        <v>0</v>
      </c>
      <c r="CD622" s="2004"/>
      <c r="CE622" s="2004"/>
      <c r="CF622" s="2004"/>
      <c r="CG622" s="2004"/>
      <c r="CH622" s="2004">
        <f t="shared" si="8"/>
        <v>0</v>
      </c>
      <c r="CI622" s="2004"/>
      <c r="CJ622" s="2004"/>
      <c r="CK622" s="2004"/>
      <c r="CL622" s="2004"/>
      <c r="CM622" s="2004">
        <f t="shared" si="9"/>
        <v>0</v>
      </c>
      <c r="CN622" s="2004"/>
      <c r="CO622" s="2004"/>
      <c r="CP622" s="2004"/>
      <c r="CQ622" s="2004"/>
      <c r="CR622" s="265"/>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0</v>
      </c>
      <c r="DN622" s="2377"/>
      <c r="DO622" s="2377"/>
      <c r="DP622" s="2377"/>
      <c r="DQ622" s="2377"/>
      <c r="DR622" s="2377">
        <f t="shared" si="15"/>
        <v>0</v>
      </c>
      <c r="DS622" s="2377"/>
      <c r="DT622" s="2377"/>
      <c r="DU622" s="2377"/>
      <c r="DV622" s="2377"/>
      <c r="DX622" s="2035" t="str">
        <f t="shared" si="16"/>
        <v xml:space="preserve"> </v>
      </c>
      <c r="DY622" s="2174"/>
      <c r="DZ622" s="2174"/>
      <c r="EA622" s="2174"/>
      <c r="EB622" s="2036"/>
      <c r="EC622" s="2035" t="str">
        <f t="shared" si="17"/>
        <v xml:space="preserve"> </v>
      </c>
      <c r="ED622" s="2174"/>
      <c r="EE622" s="2174"/>
      <c r="EF622" s="2174"/>
      <c r="EG622" s="2036"/>
      <c r="EH622" s="2035" t="str">
        <f t="shared" si="18"/>
        <v xml:space="preserve"> </v>
      </c>
      <c r="EI622" s="2174"/>
      <c r="EJ622" s="2174"/>
      <c r="EK622" s="2174"/>
      <c r="EL622" s="2036"/>
      <c r="EM622" s="2035" t="str">
        <f t="shared" si="19"/>
        <v xml:space="preserve"> </v>
      </c>
      <c r="EN622" s="2174"/>
      <c r="EO622" s="2174"/>
      <c r="EP622" s="2174"/>
      <c r="EQ622" s="2036"/>
      <c r="ER622" s="2035" t="str">
        <f t="shared" si="20"/>
        <v xml:space="preserve"> </v>
      </c>
      <c r="ES622" s="2174"/>
      <c r="ET622" s="2174"/>
      <c r="EU622" s="2174"/>
      <c r="EV622" s="2036"/>
      <c r="EW622" s="2035" t="str">
        <f t="shared" si="21"/>
        <v xml:space="preserve"> </v>
      </c>
      <c r="EX622" s="2174"/>
      <c r="EY622" s="2174"/>
      <c r="EZ622" s="2174"/>
      <c r="FA622" s="2036"/>
    </row>
    <row r="623" spans="1:157" ht="12.75">
      <c r="B623" s="12" t="s">
        <v>326</v>
      </c>
      <c r="G623" s="2086"/>
      <c r="H623" s="2086"/>
      <c r="I623" s="2086"/>
      <c r="J623" s="2086"/>
      <c r="K623" s="2086"/>
      <c r="L623" s="2086"/>
      <c r="O623" s="137" t="s">
        <v>211</v>
      </c>
      <c r="P623" s="2122"/>
      <c r="Q623" s="2122"/>
      <c r="R623" s="2122"/>
      <c r="U623" s="12" t="s">
        <v>326</v>
      </c>
      <c r="Z623" s="2086"/>
      <c r="AA623" s="2086"/>
      <c r="AB623" s="2086"/>
      <c r="AC623" s="2086"/>
      <c r="AD623" s="2086"/>
      <c r="AE623" s="2086"/>
      <c r="AH623" s="137" t="s">
        <v>211</v>
      </c>
      <c r="AI623" s="2122"/>
      <c r="AJ623" s="2122"/>
      <c r="AK623" s="2122"/>
      <c r="AZ623" s="58"/>
      <c r="BA623" s="58"/>
      <c r="BB623" s="58"/>
      <c r="BC623" s="58"/>
      <c r="BD623" s="58"/>
      <c r="BE623" s="2035">
        <f t="shared" si="0"/>
        <v>0</v>
      </c>
      <c r="BF623" s="2036"/>
      <c r="BG623" s="2008">
        <f t="shared" si="1"/>
        <v>0</v>
      </c>
      <c r="BH623" s="2010"/>
      <c r="BI623" s="2035">
        <f t="shared" si="2"/>
        <v>0</v>
      </c>
      <c r="BJ623" s="2036"/>
      <c r="BK623" s="2008">
        <f t="shared" si="3"/>
        <v>0</v>
      </c>
      <c r="BL623" s="2010"/>
      <c r="BM623" s="58"/>
      <c r="BN623" s="2005">
        <f t="shared" si="4"/>
        <v>0</v>
      </c>
      <c r="BO623" s="2006"/>
      <c r="BP623" s="2006"/>
      <c r="BQ623" s="2006"/>
      <c r="BR623" s="2007"/>
      <c r="BS623" s="2004">
        <f t="shared" si="5"/>
        <v>0</v>
      </c>
      <c r="BT623" s="2004"/>
      <c r="BU623" s="2004"/>
      <c r="BV623" s="2004"/>
      <c r="BW623" s="2004"/>
      <c r="BX623" s="2004">
        <f t="shared" si="6"/>
        <v>0</v>
      </c>
      <c r="BY623" s="2004"/>
      <c r="BZ623" s="2004"/>
      <c r="CA623" s="2004"/>
      <c r="CB623" s="2004"/>
      <c r="CC623" s="2004">
        <f t="shared" si="7"/>
        <v>0</v>
      </c>
      <c r="CD623" s="2004"/>
      <c r="CE623" s="2004"/>
      <c r="CF623" s="2004"/>
      <c r="CG623" s="2004"/>
      <c r="CH623" s="2004">
        <f t="shared" si="8"/>
        <v>0</v>
      </c>
      <c r="CI623" s="2004"/>
      <c r="CJ623" s="2004"/>
      <c r="CK623" s="2004"/>
      <c r="CL623" s="2004"/>
      <c r="CM623" s="2004">
        <f t="shared" si="9"/>
        <v>0</v>
      </c>
      <c r="CN623" s="2004"/>
      <c r="CO623" s="2004"/>
      <c r="CP623" s="2004"/>
      <c r="CQ623" s="2004"/>
      <c r="CR623" s="265"/>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35" t="str">
        <f t="shared" si="16"/>
        <v xml:space="preserve"> </v>
      </c>
      <c r="DY623" s="2174"/>
      <c r="DZ623" s="2174"/>
      <c r="EA623" s="2174"/>
      <c r="EB623" s="2036"/>
      <c r="EC623" s="2035" t="str">
        <f t="shared" si="17"/>
        <v xml:space="preserve"> </v>
      </c>
      <c r="ED623" s="2174"/>
      <c r="EE623" s="2174"/>
      <c r="EF623" s="2174"/>
      <c r="EG623" s="2036"/>
      <c r="EH623" s="2035" t="str">
        <f t="shared" si="18"/>
        <v xml:space="preserve"> </v>
      </c>
      <c r="EI623" s="2174"/>
      <c r="EJ623" s="2174"/>
      <c r="EK623" s="2174"/>
      <c r="EL623" s="2036"/>
      <c r="EM623" s="2035" t="str">
        <f t="shared" si="19"/>
        <v xml:space="preserve"> </v>
      </c>
      <c r="EN623" s="2174"/>
      <c r="EO623" s="2174"/>
      <c r="EP623" s="2174"/>
      <c r="EQ623" s="2036"/>
      <c r="ER623" s="2035" t="str">
        <f t="shared" si="20"/>
        <v xml:space="preserve"> </v>
      </c>
      <c r="ES623" s="2174"/>
      <c r="ET623" s="2174"/>
      <c r="EU623" s="2174"/>
      <c r="EV623" s="2036"/>
      <c r="EW623" s="2035" t="str">
        <f t="shared" si="21"/>
        <v xml:space="preserve"> </v>
      </c>
      <c r="EX623" s="2174"/>
      <c r="EY623" s="2174"/>
      <c r="EZ623" s="2174"/>
      <c r="FA623" s="2036"/>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35">
        <f t="shared" si="0"/>
        <v>0</v>
      </c>
      <c r="BF624" s="2036"/>
      <c r="BG624" s="2008">
        <f t="shared" si="1"/>
        <v>0</v>
      </c>
      <c r="BH624" s="2010"/>
      <c r="BI624" s="2035">
        <f t="shared" si="2"/>
        <v>0</v>
      </c>
      <c r="BJ624" s="2036"/>
      <c r="BK624" s="2008">
        <f t="shared" si="3"/>
        <v>0</v>
      </c>
      <c r="BL624" s="2010"/>
      <c r="BM624" s="58"/>
      <c r="BN624" s="2005">
        <f t="shared" si="4"/>
        <v>0</v>
      </c>
      <c r="BO624" s="2006"/>
      <c r="BP624" s="2006"/>
      <c r="BQ624" s="2006"/>
      <c r="BR624" s="2007"/>
      <c r="BS624" s="2004">
        <f t="shared" si="5"/>
        <v>0</v>
      </c>
      <c r="BT624" s="2004"/>
      <c r="BU624" s="2004"/>
      <c r="BV624" s="2004"/>
      <c r="BW624" s="2004"/>
      <c r="BX624" s="2004">
        <f t="shared" si="6"/>
        <v>0</v>
      </c>
      <c r="BY624" s="2004"/>
      <c r="BZ624" s="2004"/>
      <c r="CA624" s="2004"/>
      <c r="CB624" s="2004"/>
      <c r="CC624" s="2004">
        <f t="shared" si="7"/>
        <v>0</v>
      </c>
      <c r="CD624" s="2004"/>
      <c r="CE624" s="2004"/>
      <c r="CF624" s="2004"/>
      <c r="CG624" s="2004"/>
      <c r="CH624" s="2004">
        <f t="shared" si="8"/>
        <v>0</v>
      </c>
      <c r="CI624" s="2004"/>
      <c r="CJ624" s="2004"/>
      <c r="CK624" s="2004"/>
      <c r="CL624" s="2004"/>
      <c r="CM624" s="2004">
        <f t="shared" si="9"/>
        <v>0</v>
      </c>
      <c r="CN624" s="2004"/>
      <c r="CO624" s="2004"/>
      <c r="CP624" s="2004"/>
      <c r="CQ624" s="2004"/>
      <c r="CR624" s="265"/>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35" t="str">
        <f t="shared" si="16"/>
        <v xml:space="preserve"> </v>
      </c>
      <c r="DY624" s="2174"/>
      <c r="DZ624" s="2174"/>
      <c r="EA624" s="2174"/>
      <c r="EB624" s="2036"/>
      <c r="EC624" s="2035" t="str">
        <f t="shared" si="17"/>
        <v xml:space="preserve"> </v>
      </c>
      <c r="ED624" s="2174"/>
      <c r="EE624" s="2174"/>
      <c r="EF624" s="2174"/>
      <c r="EG624" s="2036"/>
      <c r="EH624" s="2035" t="str">
        <f t="shared" si="18"/>
        <v xml:space="preserve"> </v>
      </c>
      <c r="EI624" s="2174"/>
      <c r="EJ624" s="2174"/>
      <c r="EK624" s="2174"/>
      <c r="EL624" s="2036"/>
      <c r="EM624" s="2035" t="str">
        <f t="shared" si="19"/>
        <v xml:space="preserve"> </v>
      </c>
      <c r="EN624" s="2174"/>
      <c r="EO624" s="2174"/>
      <c r="EP624" s="2174"/>
      <c r="EQ624" s="2036"/>
      <c r="ER624" s="2035" t="str">
        <f t="shared" si="20"/>
        <v xml:space="preserve"> </v>
      </c>
      <c r="ES624" s="2174"/>
      <c r="ET624" s="2174"/>
      <c r="EU624" s="2174"/>
      <c r="EV624" s="2036"/>
      <c r="EW624" s="2035" t="str">
        <f t="shared" si="21"/>
        <v xml:space="preserve"> </v>
      </c>
      <c r="EX624" s="2174"/>
      <c r="EY624" s="2174"/>
      <c r="EZ624" s="2174"/>
      <c r="FA624" s="2036"/>
    </row>
    <row r="625" spans="1:157" ht="12.75">
      <c r="B625" s="12" t="s">
        <v>20</v>
      </c>
      <c r="N625" s="2039" t="s">
        <v>707</v>
      </c>
      <c r="O625" s="2039"/>
      <c r="U625" s="12" t="s">
        <v>20</v>
      </c>
      <c r="AG625" s="2039" t="s">
        <v>707</v>
      </c>
      <c r="AH625" s="2039"/>
      <c r="AZ625" s="58"/>
      <c r="BA625" s="58"/>
      <c r="BB625" s="58"/>
      <c r="BC625" s="58"/>
      <c r="BD625" s="58"/>
      <c r="BE625" s="2035">
        <f t="shared" si="0"/>
        <v>0</v>
      </c>
      <c r="BF625" s="2036"/>
      <c r="BG625" s="2008">
        <f t="shared" si="1"/>
        <v>0</v>
      </c>
      <c r="BH625" s="2010"/>
      <c r="BI625" s="2035">
        <f t="shared" si="2"/>
        <v>0</v>
      </c>
      <c r="BJ625" s="2036"/>
      <c r="BK625" s="2008">
        <f t="shared" si="3"/>
        <v>0</v>
      </c>
      <c r="BL625" s="2010"/>
      <c r="BM625" s="58"/>
      <c r="BN625" s="2005">
        <f t="shared" si="4"/>
        <v>0</v>
      </c>
      <c r="BO625" s="2006"/>
      <c r="BP625" s="2006"/>
      <c r="BQ625" s="2006"/>
      <c r="BR625" s="2007"/>
      <c r="BS625" s="2004">
        <f t="shared" si="5"/>
        <v>0</v>
      </c>
      <c r="BT625" s="2004"/>
      <c r="BU625" s="2004"/>
      <c r="BV625" s="2004"/>
      <c r="BW625" s="2004"/>
      <c r="BX625" s="2004">
        <f t="shared" si="6"/>
        <v>0</v>
      </c>
      <c r="BY625" s="2004"/>
      <c r="BZ625" s="2004"/>
      <c r="CA625" s="2004"/>
      <c r="CB625" s="2004"/>
      <c r="CC625" s="2004">
        <f t="shared" si="7"/>
        <v>0</v>
      </c>
      <c r="CD625" s="2004"/>
      <c r="CE625" s="2004"/>
      <c r="CF625" s="2004"/>
      <c r="CG625" s="2004"/>
      <c r="CH625" s="2004">
        <f t="shared" si="8"/>
        <v>0</v>
      </c>
      <c r="CI625" s="2004"/>
      <c r="CJ625" s="2004"/>
      <c r="CK625" s="2004"/>
      <c r="CL625" s="2004"/>
      <c r="CM625" s="2004">
        <f t="shared" si="9"/>
        <v>0</v>
      </c>
      <c r="CN625" s="2004"/>
      <c r="CO625" s="2004"/>
      <c r="CP625" s="2004"/>
      <c r="CQ625" s="2004"/>
      <c r="CR625" s="265"/>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35" t="str">
        <f t="shared" si="16"/>
        <v xml:space="preserve"> </v>
      </c>
      <c r="DY625" s="2174"/>
      <c r="DZ625" s="2174"/>
      <c r="EA625" s="2174"/>
      <c r="EB625" s="2036"/>
      <c r="EC625" s="2035" t="str">
        <f t="shared" si="17"/>
        <v xml:space="preserve"> </v>
      </c>
      <c r="ED625" s="2174"/>
      <c r="EE625" s="2174"/>
      <c r="EF625" s="2174"/>
      <c r="EG625" s="2036"/>
      <c r="EH625" s="2035" t="str">
        <f t="shared" si="18"/>
        <v xml:space="preserve"> </v>
      </c>
      <c r="EI625" s="2174"/>
      <c r="EJ625" s="2174"/>
      <c r="EK625" s="2174"/>
      <c r="EL625" s="2036"/>
      <c r="EM625" s="2035" t="str">
        <f t="shared" si="19"/>
        <v xml:space="preserve"> </v>
      </c>
      <c r="EN625" s="2174"/>
      <c r="EO625" s="2174"/>
      <c r="EP625" s="2174"/>
      <c r="EQ625" s="2036"/>
      <c r="ER625" s="2035" t="str">
        <f t="shared" si="20"/>
        <v xml:space="preserve"> </v>
      </c>
      <c r="ES625" s="2174"/>
      <c r="ET625" s="2174"/>
      <c r="EU625" s="2174"/>
      <c r="EV625" s="2036"/>
      <c r="EW625" s="2035" t="str">
        <f t="shared" si="21"/>
        <v xml:space="preserve"> </v>
      </c>
      <c r="EX625" s="2174"/>
      <c r="EY625" s="2174"/>
      <c r="EZ625" s="2174"/>
      <c r="FA625" s="2036"/>
    </row>
    <row r="626" spans="1:157" ht="12.75">
      <c r="AZ626" s="58"/>
      <c r="BA626" s="58"/>
      <c r="BB626" s="58"/>
      <c r="BC626" s="58"/>
      <c r="BD626" s="58"/>
      <c r="BE626" s="2035">
        <f t="shared" si="0"/>
        <v>0</v>
      </c>
      <c r="BF626" s="2036"/>
      <c r="BG626" s="2008">
        <f t="shared" si="1"/>
        <v>0</v>
      </c>
      <c r="BH626" s="2010"/>
      <c r="BI626" s="2035">
        <f t="shared" si="2"/>
        <v>0</v>
      </c>
      <c r="BJ626" s="2036"/>
      <c r="BK626" s="2008">
        <f t="shared" si="3"/>
        <v>0</v>
      </c>
      <c r="BL626" s="2010"/>
      <c r="BM626" s="58"/>
      <c r="BN626" s="2005">
        <f t="shared" si="4"/>
        <v>0</v>
      </c>
      <c r="BO626" s="2006"/>
      <c r="BP626" s="2006"/>
      <c r="BQ626" s="2006"/>
      <c r="BR626" s="2007"/>
      <c r="BS626" s="2004">
        <f t="shared" si="5"/>
        <v>0</v>
      </c>
      <c r="BT626" s="2004"/>
      <c r="BU626" s="2004"/>
      <c r="BV626" s="2004"/>
      <c r="BW626" s="2004"/>
      <c r="BX626" s="2004">
        <f t="shared" si="6"/>
        <v>0</v>
      </c>
      <c r="BY626" s="2004"/>
      <c r="BZ626" s="2004"/>
      <c r="CA626" s="2004"/>
      <c r="CB626" s="2004"/>
      <c r="CC626" s="2004">
        <f t="shared" si="7"/>
        <v>0</v>
      </c>
      <c r="CD626" s="2004"/>
      <c r="CE626" s="2004"/>
      <c r="CF626" s="2004"/>
      <c r="CG626" s="2004"/>
      <c r="CH626" s="2004">
        <f t="shared" si="8"/>
        <v>0</v>
      </c>
      <c r="CI626" s="2004"/>
      <c r="CJ626" s="2004"/>
      <c r="CK626" s="2004"/>
      <c r="CL626" s="2004"/>
      <c r="CM626" s="2004">
        <f t="shared" si="9"/>
        <v>0</v>
      </c>
      <c r="CN626" s="2004"/>
      <c r="CO626" s="2004"/>
      <c r="CP626" s="2004"/>
      <c r="CQ626" s="2004"/>
      <c r="CR626" s="265"/>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35" t="str">
        <f t="shared" si="16"/>
        <v xml:space="preserve"> </v>
      </c>
      <c r="DY626" s="2174"/>
      <c r="DZ626" s="2174"/>
      <c r="EA626" s="2174"/>
      <c r="EB626" s="2036"/>
      <c r="EC626" s="2035" t="str">
        <f t="shared" si="17"/>
        <v xml:space="preserve"> </v>
      </c>
      <c r="ED626" s="2174"/>
      <c r="EE626" s="2174"/>
      <c r="EF626" s="2174"/>
      <c r="EG626" s="2036"/>
      <c r="EH626" s="2035" t="str">
        <f t="shared" si="18"/>
        <v xml:space="preserve"> </v>
      </c>
      <c r="EI626" s="2174"/>
      <c r="EJ626" s="2174"/>
      <c r="EK626" s="2174"/>
      <c r="EL626" s="2036"/>
      <c r="EM626" s="2035" t="str">
        <f t="shared" si="19"/>
        <v xml:space="preserve"> </v>
      </c>
      <c r="EN626" s="2174"/>
      <c r="EO626" s="2174"/>
      <c r="EP626" s="2174"/>
      <c r="EQ626" s="2036"/>
      <c r="ER626" s="2035" t="str">
        <f t="shared" si="20"/>
        <v xml:space="preserve"> </v>
      </c>
      <c r="ES626" s="2174"/>
      <c r="ET626" s="2174"/>
      <c r="EU626" s="2174"/>
      <c r="EV626" s="2036"/>
      <c r="EW626" s="2035" t="str">
        <f t="shared" si="21"/>
        <v xml:space="preserve"> </v>
      </c>
      <c r="EX626" s="2174"/>
      <c r="EY626" s="2174"/>
      <c r="EZ626" s="2174"/>
      <c r="FA626" s="2036"/>
    </row>
    <row r="627" spans="1:157" ht="12.75" customHeight="1">
      <c r="A627" s="1863" t="s">
        <v>578</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4"/>
      <c r="AU627" s="1574"/>
      <c r="AV627" s="1574"/>
      <c r="AW627" s="1574"/>
      <c r="AX627" s="1574"/>
      <c r="AY627" s="1574"/>
      <c r="AZ627" s="58"/>
      <c r="BA627" s="58"/>
      <c r="BB627" s="58"/>
      <c r="BC627" s="58"/>
      <c r="BD627" s="58"/>
      <c r="BE627" s="2035">
        <f t="shared" si="0"/>
        <v>0</v>
      </c>
      <c r="BF627" s="2036"/>
      <c r="BG627" s="2008">
        <f t="shared" si="1"/>
        <v>0</v>
      </c>
      <c r="BH627" s="2010"/>
      <c r="BI627" s="2035">
        <f t="shared" si="2"/>
        <v>0</v>
      </c>
      <c r="BJ627" s="2036"/>
      <c r="BK627" s="2008">
        <f t="shared" si="3"/>
        <v>0</v>
      </c>
      <c r="BL627" s="2010"/>
      <c r="BM627" s="58"/>
      <c r="BN627" s="2005">
        <f t="shared" si="4"/>
        <v>0</v>
      </c>
      <c r="BO627" s="2006"/>
      <c r="BP627" s="2006"/>
      <c r="BQ627" s="2006"/>
      <c r="BR627" s="2007"/>
      <c r="BS627" s="2004">
        <f t="shared" si="5"/>
        <v>0</v>
      </c>
      <c r="BT627" s="2004"/>
      <c r="BU627" s="2004"/>
      <c r="BV627" s="2004"/>
      <c r="BW627" s="2004"/>
      <c r="BX627" s="2004">
        <f t="shared" si="6"/>
        <v>0</v>
      </c>
      <c r="BY627" s="2004"/>
      <c r="BZ627" s="2004"/>
      <c r="CA627" s="2004"/>
      <c r="CB627" s="2004"/>
      <c r="CC627" s="2004">
        <f t="shared" si="7"/>
        <v>0</v>
      </c>
      <c r="CD627" s="2004"/>
      <c r="CE627" s="2004"/>
      <c r="CF627" s="2004"/>
      <c r="CG627" s="2004"/>
      <c r="CH627" s="2004">
        <f t="shared" si="8"/>
        <v>0</v>
      </c>
      <c r="CI627" s="2004"/>
      <c r="CJ627" s="2004"/>
      <c r="CK627" s="2004"/>
      <c r="CL627" s="2004"/>
      <c r="CM627" s="2004">
        <f t="shared" si="9"/>
        <v>0</v>
      </c>
      <c r="CN627" s="2004"/>
      <c r="CO627" s="2004"/>
      <c r="CP627" s="2004"/>
      <c r="CQ627" s="2004"/>
      <c r="CR627" s="265"/>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35" t="str">
        <f t="shared" si="16"/>
        <v xml:space="preserve"> </v>
      </c>
      <c r="DY627" s="2174"/>
      <c r="DZ627" s="2174"/>
      <c r="EA627" s="2174"/>
      <c r="EB627" s="2036"/>
      <c r="EC627" s="2035" t="str">
        <f t="shared" si="17"/>
        <v xml:space="preserve"> </v>
      </c>
      <c r="ED627" s="2174"/>
      <c r="EE627" s="2174"/>
      <c r="EF627" s="2174"/>
      <c r="EG627" s="2036"/>
      <c r="EH627" s="2035" t="str">
        <f t="shared" si="18"/>
        <v xml:space="preserve"> </v>
      </c>
      <c r="EI627" s="2174"/>
      <c r="EJ627" s="2174"/>
      <c r="EK627" s="2174"/>
      <c r="EL627" s="2036"/>
      <c r="EM627" s="2035" t="str">
        <f t="shared" si="19"/>
        <v xml:space="preserve"> </v>
      </c>
      <c r="EN627" s="2174"/>
      <c r="EO627" s="2174"/>
      <c r="EP627" s="2174"/>
      <c r="EQ627" s="2036"/>
      <c r="ER627" s="2035" t="str">
        <f t="shared" si="20"/>
        <v xml:space="preserve"> </v>
      </c>
      <c r="ES627" s="2174"/>
      <c r="ET627" s="2174"/>
      <c r="EU627" s="2174"/>
      <c r="EV627" s="2036"/>
      <c r="EW627" s="2035" t="str">
        <f t="shared" si="21"/>
        <v xml:space="preserve"> </v>
      </c>
      <c r="EX627" s="2174"/>
      <c r="EY627" s="2174"/>
      <c r="EZ627" s="2174"/>
      <c r="FA627" s="2036"/>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4"/>
      <c r="AU628" s="1574"/>
      <c r="AV628" s="1574"/>
      <c r="AW628" s="1574"/>
      <c r="AX628" s="1574"/>
      <c r="AY628" s="1574"/>
      <c r="AZ628" s="58"/>
      <c r="BA628" s="58"/>
      <c r="BB628" s="58"/>
      <c r="BC628" s="58"/>
      <c r="BD628" s="58"/>
      <c r="BE628" s="2035">
        <f t="shared" si="0"/>
        <v>0</v>
      </c>
      <c r="BF628" s="2036"/>
      <c r="BG628" s="2008">
        <f t="shared" si="1"/>
        <v>0</v>
      </c>
      <c r="BH628" s="2010"/>
      <c r="BI628" s="2035">
        <f t="shared" si="2"/>
        <v>0</v>
      </c>
      <c r="BJ628" s="2036"/>
      <c r="BK628" s="2008">
        <f t="shared" si="3"/>
        <v>0</v>
      </c>
      <c r="BL628" s="2010"/>
      <c r="BM628" s="58"/>
      <c r="BN628" s="2005">
        <f t="shared" si="4"/>
        <v>0</v>
      </c>
      <c r="BO628" s="2006"/>
      <c r="BP628" s="2006"/>
      <c r="BQ628" s="2006"/>
      <c r="BR628" s="2007"/>
      <c r="BS628" s="2004">
        <f t="shared" si="5"/>
        <v>0</v>
      </c>
      <c r="BT628" s="2004"/>
      <c r="BU628" s="2004"/>
      <c r="BV628" s="2004"/>
      <c r="BW628" s="2004"/>
      <c r="BX628" s="2004">
        <f t="shared" si="6"/>
        <v>0</v>
      </c>
      <c r="BY628" s="2004"/>
      <c r="BZ628" s="2004"/>
      <c r="CA628" s="2004"/>
      <c r="CB628" s="2004"/>
      <c r="CC628" s="2004">
        <f t="shared" si="7"/>
        <v>0</v>
      </c>
      <c r="CD628" s="2004"/>
      <c r="CE628" s="2004"/>
      <c r="CF628" s="2004"/>
      <c r="CG628" s="2004"/>
      <c r="CH628" s="2004">
        <f t="shared" si="8"/>
        <v>0</v>
      </c>
      <c r="CI628" s="2004"/>
      <c r="CJ628" s="2004"/>
      <c r="CK628" s="2004"/>
      <c r="CL628" s="2004"/>
      <c r="CM628" s="2004">
        <f t="shared" si="9"/>
        <v>0</v>
      </c>
      <c r="CN628" s="2004"/>
      <c r="CO628" s="2004"/>
      <c r="CP628" s="2004"/>
      <c r="CQ628" s="2004"/>
      <c r="CR628" s="265"/>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35" t="str">
        <f t="shared" si="16"/>
        <v xml:space="preserve"> </v>
      </c>
      <c r="DY628" s="2174"/>
      <c r="DZ628" s="2174"/>
      <c r="EA628" s="2174"/>
      <c r="EB628" s="2036"/>
      <c r="EC628" s="2035" t="str">
        <f t="shared" si="17"/>
        <v xml:space="preserve"> </v>
      </c>
      <c r="ED628" s="2174"/>
      <c r="EE628" s="2174"/>
      <c r="EF628" s="2174"/>
      <c r="EG628" s="2036"/>
      <c r="EH628" s="2035" t="str">
        <f t="shared" si="18"/>
        <v xml:space="preserve"> </v>
      </c>
      <c r="EI628" s="2174"/>
      <c r="EJ628" s="2174"/>
      <c r="EK628" s="2174"/>
      <c r="EL628" s="2036"/>
      <c r="EM628" s="2035" t="str">
        <f t="shared" si="19"/>
        <v xml:space="preserve"> </v>
      </c>
      <c r="EN628" s="2174"/>
      <c r="EO628" s="2174"/>
      <c r="EP628" s="2174"/>
      <c r="EQ628" s="2036"/>
      <c r="ER628" s="2035" t="str">
        <f t="shared" si="20"/>
        <v xml:space="preserve"> </v>
      </c>
      <c r="ES628" s="2174"/>
      <c r="ET628" s="2174"/>
      <c r="EU628" s="2174"/>
      <c r="EV628" s="2036"/>
      <c r="EW628" s="2035" t="str">
        <f t="shared" si="21"/>
        <v xml:space="preserve"> </v>
      </c>
      <c r="EX628" s="2174"/>
      <c r="EY628" s="2174"/>
      <c r="EZ628" s="2174"/>
      <c r="FA628" s="2036"/>
    </row>
    <row r="629" spans="1:157" ht="12.75">
      <c r="A629" s="25"/>
      <c r="B629" s="25"/>
      <c r="C629" s="25"/>
      <c r="D629" s="25"/>
      <c r="E629" s="25"/>
      <c r="F629" s="25"/>
      <c r="G629" s="3"/>
      <c r="H629" s="25"/>
      <c r="AZ629" s="58"/>
      <c r="BA629" s="58"/>
      <c r="BB629" s="58"/>
      <c r="BC629" s="58"/>
      <c r="BD629" s="58"/>
      <c r="BE629" s="2035">
        <f t="shared" si="0"/>
        <v>0</v>
      </c>
      <c r="BF629" s="2036"/>
      <c r="BG629" s="2008">
        <f t="shared" si="1"/>
        <v>0</v>
      </c>
      <c r="BH629" s="2010"/>
      <c r="BI629" s="2035">
        <f t="shared" si="2"/>
        <v>0</v>
      </c>
      <c r="BJ629" s="2036"/>
      <c r="BK629" s="2008">
        <f t="shared" si="3"/>
        <v>0</v>
      </c>
      <c r="BL629" s="2010"/>
      <c r="BM629" s="58"/>
      <c r="BN629" s="2005">
        <f t="shared" si="4"/>
        <v>0</v>
      </c>
      <c r="BO629" s="2006"/>
      <c r="BP629" s="2006"/>
      <c r="BQ629" s="2006"/>
      <c r="BR629" s="2007"/>
      <c r="BS629" s="2004">
        <f t="shared" si="5"/>
        <v>0</v>
      </c>
      <c r="BT629" s="2004"/>
      <c r="BU629" s="2004"/>
      <c r="BV629" s="2004"/>
      <c r="BW629" s="2004"/>
      <c r="BX629" s="2004">
        <f t="shared" si="6"/>
        <v>0</v>
      </c>
      <c r="BY629" s="2004"/>
      <c r="BZ629" s="2004"/>
      <c r="CA629" s="2004"/>
      <c r="CB629" s="2004"/>
      <c r="CC629" s="2004">
        <f t="shared" si="7"/>
        <v>0</v>
      </c>
      <c r="CD629" s="2004"/>
      <c r="CE629" s="2004"/>
      <c r="CF629" s="2004"/>
      <c r="CG629" s="2004"/>
      <c r="CH629" s="2004">
        <f t="shared" si="8"/>
        <v>0</v>
      </c>
      <c r="CI629" s="2004"/>
      <c r="CJ629" s="2004"/>
      <c r="CK629" s="2004"/>
      <c r="CL629" s="2004"/>
      <c r="CM629" s="2004">
        <f t="shared" si="9"/>
        <v>0</v>
      </c>
      <c r="CN629" s="2004"/>
      <c r="CO629" s="2004"/>
      <c r="CP629" s="2004"/>
      <c r="CQ629" s="2004"/>
      <c r="CR629" s="265"/>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35" t="str">
        <f t="shared" si="16"/>
        <v xml:space="preserve"> </v>
      </c>
      <c r="DY629" s="2174"/>
      <c r="DZ629" s="2174"/>
      <c r="EA629" s="2174"/>
      <c r="EB629" s="2036"/>
      <c r="EC629" s="2035" t="str">
        <f t="shared" si="17"/>
        <v xml:space="preserve"> </v>
      </c>
      <c r="ED629" s="2174"/>
      <c r="EE629" s="2174"/>
      <c r="EF629" s="2174"/>
      <c r="EG629" s="2036"/>
      <c r="EH629" s="2035" t="str">
        <f t="shared" si="18"/>
        <v xml:space="preserve"> </v>
      </c>
      <c r="EI629" s="2174"/>
      <c r="EJ629" s="2174"/>
      <c r="EK629" s="2174"/>
      <c r="EL629" s="2036"/>
      <c r="EM629" s="2035" t="str">
        <f t="shared" si="19"/>
        <v xml:space="preserve"> </v>
      </c>
      <c r="EN629" s="2174"/>
      <c r="EO629" s="2174"/>
      <c r="EP629" s="2174"/>
      <c r="EQ629" s="2036"/>
      <c r="ER629" s="2035" t="str">
        <f t="shared" si="20"/>
        <v xml:space="preserve"> </v>
      </c>
      <c r="ES629" s="2174"/>
      <c r="ET629" s="2174"/>
      <c r="EU629" s="2174"/>
      <c r="EV629" s="2036"/>
      <c r="EW629" s="2035" t="str">
        <f t="shared" si="21"/>
        <v xml:space="preserve"> </v>
      </c>
      <c r="EX629" s="2174"/>
      <c r="EY629" s="2174"/>
      <c r="EZ629" s="2174"/>
      <c r="FA629" s="2036"/>
    </row>
    <row r="630" spans="1:157" ht="12.75">
      <c r="A630" s="50" t="s">
        <v>329</v>
      </c>
      <c r="B630" s="50"/>
      <c r="C630" s="50" t="s">
        <v>21</v>
      </c>
      <c r="AZ630" s="58"/>
      <c r="BA630" s="58"/>
      <c r="BB630" s="58"/>
      <c r="BC630" s="58"/>
      <c r="BD630" s="58"/>
      <c r="BE630" s="2035">
        <f t="shared" si="0"/>
        <v>0</v>
      </c>
      <c r="BF630" s="2036"/>
      <c r="BG630" s="2008">
        <f t="shared" si="1"/>
        <v>0</v>
      </c>
      <c r="BH630" s="2010"/>
      <c r="BI630" s="2035">
        <f t="shared" si="2"/>
        <v>0</v>
      </c>
      <c r="BJ630" s="2036"/>
      <c r="BK630" s="2008">
        <f t="shared" si="3"/>
        <v>0</v>
      </c>
      <c r="BL630" s="2010"/>
      <c r="BM630" s="58"/>
      <c r="BN630" s="2005">
        <f t="shared" si="4"/>
        <v>0</v>
      </c>
      <c r="BO630" s="2006"/>
      <c r="BP630" s="2006"/>
      <c r="BQ630" s="2006"/>
      <c r="BR630" s="2007"/>
      <c r="BS630" s="2004">
        <f t="shared" si="5"/>
        <v>0</v>
      </c>
      <c r="BT630" s="2004"/>
      <c r="BU630" s="2004"/>
      <c r="BV630" s="2004"/>
      <c r="BW630" s="2004"/>
      <c r="BX630" s="2004">
        <f t="shared" si="6"/>
        <v>0</v>
      </c>
      <c r="BY630" s="2004"/>
      <c r="BZ630" s="2004"/>
      <c r="CA630" s="2004"/>
      <c r="CB630" s="2004"/>
      <c r="CC630" s="2004">
        <f t="shared" si="7"/>
        <v>0</v>
      </c>
      <c r="CD630" s="2004"/>
      <c r="CE630" s="2004"/>
      <c r="CF630" s="2004"/>
      <c r="CG630" s="2004"/>
      <c r="CH630" s="2004">
        <f t="shared" si="8"/>
        <v>0</v>
      </c>
      <c r="CI630" s="2004"/>
      <c r="CJ630" s="2004"/>
      <c r="CK630" s="2004"/>
      <c r="CL630" s="2004"/>
      <c r="CM630" s="2004">
        <f t="shared" si="9"/>
        <v>0</v>
      </c>
      <c r="CN630" s="2004"/>
      <c r="CO630" s="2004"/>
      <c r="CP630" s="2004"/>
      <c r="CQ630" s="2004"/>
      <c r="CR630" s="265"/>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35" t="str">
        <f t="shared" si="16"/>
        <v xml:space="preserve"> </v>
      </c>
      <c r="DY630" s="2174"/>
      <c r="DZ630" s="2174"/>
      <c r="EA630" s="2174"/>
      <c r="EB630" s="2036"/>
      <c r="EC630" s="2035" t="str">
        <f t="shared" si="17"/>
        <v xml:space="preserve"> </v>
      </c>
      <c r="ED630" s="2174"/>
      <c r="EE630" s="2174"/>
      <c r="EF630" s="2174"/>
      <c r="EG630" s="2036"/>
      <c r="EH630" s="2035" t="str">
        <f t="shared" si="18"/>
        <v xml:space="preserve"> </v>
      </c>
      <c r="EI630" s="2174"/>
      <c r="EJ630" s="2174"/>
      <c r="EK630" s="2174"/>
      <c r="EL630" s="2036"/>
      <c r="EM630" s="2035" t="str">
        <f t="shared" si="19"/>
        <v xml:space="preserve"> </v>
      </c>
      <c r="EN630" s="2174"/>
      <c r="EO630" s="2174"/>
      <c r="EP630" s="2174"/>
      <c r="EQ630" s="2036"/>
      <c r="ER630" s="2035" t="str">
        <f t="shared" si="20"/>
        <v xml:space="preserve"> </v>
      </c>
      <c r="ES630" s="2174"/>
      <c r="ET630" s="2174"/>
      <c r="EU630" s="2174"/>
      <c r="EV630" s="2036"/>
      <c r="EW630" s="2035" t="str">
        <f t="shared" si="21"/>
        <v xml:space="preserve"> </v>
      </c>
      <c r="EX630" s="2174"/>
      <c r="EY630" s="2174"/>
      <c r="EZ630" s="2174"/>
      <c r="FA630" s="2036"/>
    </row>
    <row r="631" spans="1:157" ht="12.75">
      <c r="A631" s="50"/>
      <c r="B631" s="50"/>
      <c r="C631" s="50"/>
      <c r="AZ631" s="58"/>
      <c r="BA631" s="58"/>
      <c r="BB631" s="58"/>
      <c r="BC631" s="58"/>
      <c r="BD631" s="58"/>
      <c r="BE631" s="2035">
        <f t="shared" si="0"/>
        <v>0</v>
      </c>
      <c r="BF631" s="2036"/>
      <c r="BG631" s="2008">
        <f t="shared" si="1"/>
        <v>0</v>
      </c>
      <c r="BH631" s="2010"/>
      <c r="BI631" s="2035">
        <f t="shared" si="2"/>
        <v>0</v>
      </c>
      <c r="BJ631" s="2036"/>
      <c r="BK631" s="2008">
        <f t="shared" si="3"/>
        <v>0</v>
      </c>
      <c r="BL631" s="2010"/>
      <c r="BM631" s="58"/>
      <c r="BN631" s="2005">
        <f t="shared" si="4"/>
        <v>0</v>
      </c>
      <c r="BO631" s="2006"/>
      <c r="BP631" s="2006"/>
      <c r="BQ631" s="2006"/>
      <c r="BR631" s="2007"/>
      <c r="BS631" s="2004">
        <f t="shared" si="5"/>
        <v>0</v>
      </c>
      <c r="BT631" s="2004"/>
      <c r="BU631" s="2004"/>
      <c r="BV631" s="2004"/>
      <c r="BW631" s="2004"/>
      <c r="BX631" s="2004">
        <f t="shared" si="6"/>
        <v>0</v>
      </c>
      <c r="BY631" s="2004"/>
      <c r="BZ631" s="2004"/>
      <c r="CA631" s="2004"/>
      <c r="CB631" s="2004"/>
      <c r="CC631" s="2004">
        <f t="shared" si="7"/>
        <v>0</v>
      </c>
      <c r="CD631" s="2004"/>
      <c r="CE631" s="2004"/>
      <c r="CF631" s="2004"/>
      <c r="CG631" s="2004"/>
      <c r="CH631" s="2004">
        <f t="shared" si="8"/>
        <v>0</v>
      </c>
      <c r="CI631" s="2004"/>
      <c r="CJ631" s="2004"/>
      <c r="CK631" s="2004"/>
      <c r="CL631" s="2004"/>
      <c r="CM631" s="2004">
        <f t="shared" si="9"/>
        <v>0</v>
      </c>
      <c r="CN631" s="2004"/>
      <c r="CO631" s="2004"/>
      <c r="CP631" s="2004"/>
      <c r="CQ631" s="2004"/>
      <c r="CR631" s="265"/>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35" t="str">
        <f t="shared" si="16"/>
        <v xml:space="preserve"> </v>
      </c>
      <c r="DY631" s="2174"/>
      <c r="DZ631" s="2174"/>
      <c r="EA631" s="2174"/>
      <c r="EB631" s="2036"/>
      <c r="EC631" s="2035" t="str">
        <f t="shared" si="17"/>
        <v xml:space="preserve"> </v>
      </c>
      <c r="ED631" s="2174"/>
      <c r="EE631" s="2174"/>
      <c r="EF631" s="2174"/>
      <c r="EG631" s="2036"/>
      <c r="EH631" s="2035" t="str">
        <f t="shared" si="18"/>
        <v xml:space="preserve"> </v>
      </c>
      <c r="EI631" s="2174"/>
      <c r="EJ631" s="2174"/>
      <c r="EK631" s="2174"/>
      <c r="EL631" s="2036"/>
      <c r="EM631" s="2035" t="str">
        <f t="shared" si="19"/>
        <v xml:space="preserve"> </v>
      </c>
      <c r="EN631" s="2174"/>
      <c r="EO631" s="2174"/>
      <c r="EP631" s="2174"/>
      <c r="EQ631" s="2036"/>
      <c r="ER631" s="2035" t="str">
        <f t="shared" si="20"/>
        <v xml:space="preserve"> </v>
      </c>
      <c r="ES631" s="2174"/>
      <c r="ET631" s="2174"/>
      <c r="EU631" s="2174"/>
      <c r="EV631" s="2036"/>
      <c r="EW631" s="2035" t="str">
        <f t="shared" si="21"/>
        <v xml:space="preserve"> </v>
      </c>
      <c r="EX631" s="2174"/>
      <c r="EY631" s="2174"/>
      <c r="EZ631" s="2174"/>
      <c r="FA631" s="203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6"/>
      <c r="BG632" s="2008">
        <f t="shared" si="1"/>
        <v>0</v>
      </c>
      <c r="BH632" s="2010"/>
      <c r="BI632" s="2035">
        <f t="shared" si="2"/>
        <v>0</v>
      </c>
      <c r="BJ632" s="2036"/>
      <c r="BK632" s="2008">
        <f t="shared" si="3"/>
        <v>0</v>
      </c>
      <c r="BL632" s="2010"/>
      <c r="BM632" s="58"/>
      <c r="BN632" s="2005">
        <f t="shared" si="4"/>
        <v>0</v>
      </c>
      <c r="BO632" s="2006"/>
      <c r="BP632" s="2006"/>
      <c r="BQ632" s="2006"/>
      <c r="BR632" s="2007"/>
      <c r="BS632" s="2004">
        <f t="shared" si="5"/>
        <v>0</v>
      </c>
      <c r="BT632" s="2004"/>
      <c r="BU632" s="2004"/>
      <c r="BV632" s="2004"/>
      <c r="BW632" s="2004"/>
      <c r="BX632" s="2004">
        <f t="shared" si="6"/>
        <v>0</v>
      </c>
      <c r="BY632" s="2004"/>
      <c r="BZ632" s="2004"/>
      <c r="CA632" s="2004"/>
      <c r="CB632" s="2004"/>
      <c r="CC632" s="2004">
        <f t="shared" si="7"/>
        <v>0</v>
      </c>
      <c r="CD632" s="2004"/>
      <c r="CE632" s="2004"/>
      <c r="CF632" s="2004"/>
      <c r="CG632" s="2004"/>
      <c r="CH632" s="2004">
        <f t="shared" si="8"/>
        <v>0</v>
      </c>
      <c r="CI632" s="2004"/>
      <c r="CJ632" s="2004"/>
      <c r="CK632" s="2004"/>
      <c r="CL632" s="2004"/>
      <c r="CM632" s="2004">
        <f t="shared" si="9"/>
        <v>0</v>
      </c>
      <c r="CN632" s="2004"/>
      <c r="CO632" s="2004"/>
      <c r="CP632" s="2004"/>
      <c r="CQ632" s="2004"/>
      <c r="CR632" s="265"/>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35" t="str">
        <f t="shared" si="16"/>
        <v xml:space="preserve"> </v>
      </c>
      <c r="DY632" s="2174"/>
      <c r="DZ632" s="2174"/>
      <c r="EA632" s="2174"/>
      <c r="EB632" s="2036"/>
      <c r="EC632" s="2035" t="str">
        <f t="shared" si="17"/>
        <v xml:space="preserve"> </v>
      </c>
      <c r="ED632" s="2174"/>
      <c r="EE632" s="2174"/>
      <c r="EF632" s="2174"/>
      <c r="EG632" s="2036"/>
      <c r="EH632" s="2035" t="str">
        <f t="shared" si="18"/>
        <v xml:space="preserve"> </v>
      </c>
      <c r="EI632" s="2174"/>
      <c r="EJ632" s="2174"/>
      <c r="EK632" s="2174"/>
      <c r="EL632" s="2036"/>
      <c r="EM632" s="2035" t="str">
        <f t="shared" si="19"/>
        <v xml:space="preserve"> </v>
      </c>
      <c r="EN632" s="2174"/>
      <c r="EO632" s="2174"/>
      <c r="EP632" s="2174"/>
      <c r="EQ632" s="2036"/>
      <c r="ER632" s="2035" t="str">
        <f t="shared" si="20"/>
        <v xml:space="preserve"> </v>
      </c>
      <c r="ES632" s="2174"/>
      <c r="ET632" s="2174"/>
      <c r="EU632" s="2174"/>
      <c r="EV632" s="2036"/>
      <c r="EW632" s="2035" t="str">
        <f t="shared" si="21"/>
        <v xml:space="preserve"> </v>
      </c>
      <c r="EX632" s="2174"/>
      <c r="EY632" s="2174"/>
      <c r="EZ632" s="2174"/>
      <c r="FA632" s="203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6"/>
      <c r="BG633" s="2008">
        <f t="shared" si="1"/>
        <v>0</v>
      </c>
      <c r="BH633" s="2010"/>
      <c r="BI633" s="2035">
        <f t="shared" si="2"/>
        <v>0</v>
      </c>
      <c r="BJ633" s="2036"/>
      <c r="BK633" s="2008">
        <f t="shared" si="3"/>
        <v>0</v>
      </c>
      <c r="BL633" s="2010"/>
      <c r="BM633" s="58"/>
      <c r="BN633" s="2005">
        <f t="shared" si="4"/>
        <v>0</v>
      </c>
      <c r="BO633" s="2006"/>
      <c r="BP633" s="2006"/>
      <c r="BQ633" s="2006"/>
      <c r="BR633" s="2007"/>
      <c r="BS633" s="2004">
        <f t="shared" si="5"/>
        <v>0</v>
      </c>
      <c r="BT633" s="2004"/>
      <c r="BU633" s="2004"/>
      <c r="BV633" s="2004"/>
      <c r="BW633" s="2004"/>
      <c r="BX633" s="2004">
        <f t="shared" si="6"/>
        <v>0</v>
      </c>
      <c r="BY633" s="2004"/>
      <c r="BZ633" s="2004"/>
      <c r="CA633" s="2004"/>
      <c r="CB633" s="2004"/>
      <c r="CC633" s="2004">
        <f t="shared" si="7"/>
        <v>0</v>
      </c>
      <c r="CD633" s="2004"/>
      <c r="CE633" s="2004"/>
      <c r="CF633" s="2004"/>
      <c r="CG633" s="2004"/>
      <c r="CH633" s="2004">
        <f t="shared" si="8"/>
        <v>0</v>
      </c>
      <c r="CI633" s="2004"/>
      <c r="CJ633" s="2004"/>
      <c r="CK633" s="2004"/>
      <c r="CL633" s="2004"/>
      <c r="CM633" s="2004">
        <f t="shared" si="9"/>
        <v>0</v>
      </c>
      <c r="CN633" s="2004"/>
      <c r="CO633" s="2004"/>
      <c r="CP633" s="2004"/>
      <c r="CQ633" s="2004"/>
      <c r="CR633" s="265"/>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35" t="str">
        <f t="shared" si="16"/>
        <v xml:space="preserve"> </v>
      </c>
      <c r="DY633" s="2174"/>
      <c r="DZ633" s="2174"/>
      <c r="EA633" s="2174"/>
      <c r="EB633" s="2036"/>
      <c r="EC633" s="2035" t="str">
        <f t="shared" si="17"/>
        <v xml:space="preserve"> </v>
      </c>
      <c r="ED633" s="2174"/>
      <c r="EE633" s="2174"/>
      <c r="EF633" s="2174"/>
      <c r="EG633" s="2036"/>
      <c r="EH633" s="2035" t="str">
        <f t="shared" si="18"/>
        <v xml:space="preserve"> </v>
      </c>
      <c r="EI633" s="2174"/>
      <c r="EJ633" s="2174"/>
      <c r="EK633" s="2174"/>
      <c r="EL633" s="2036"/>
      <c r="EM633" s="2035" t="str">
        <f t="shared" si="19"/>
        <v xml:space="preserve"> </v>
      </c>
      <c r="EN633" s="2174"/>
      <c r="EO633" s="2174"/>
      <c r="EP633" s="2174"/>
      <c r="EQ633" s="2036"/>
      <c r="ER633" s="2035" t="str">
        <f t="shared" si="20"/>
        <v xml:space="preserve"> </v>
      </c>
      <c r="ES633" s="2174"/>
      <c r="ET633" s="2174"/>
      <c r="EU633" s="2174"/>
      <c r="EV633" s="2036"/>
      <c r="EW633" s="2035" t="str">
        <f t="shared" si="21"/>
        <v xml:space="preserve"> </v>
      </c>
      <c r="EX633" s="2174"/>
      <c r="EY633" s="2174"/>
      <c r="EZ633" s="2174"/>
      <c r="FA633" s="2036"/>
    </row>
    <row r="634" spans="1:157" s="1839" customFormat="1" ht="12.75" customHeight="1">
      <c r="B634" s="2329" t="s">
        <v>485</v>
      </c>
      <c r="C634" s="2330"/>
      <c r="D634" s="2330"/>
      <c r="E634" s="2330"/>
      <c r="F634" s="2330"/>
      <c r="G634" s="2330"/>
      <c r="H634" s="2330"/>
      <c r="I634" s="2330"/>
      <c r="J634" s="2330"/>
      <c r="K634" s="2330"/>
      <c r="L634" s="2330"/>
      <c r="M634" s="2330"/>
      <c r="N634" s="2331"/>
      <c r="O634" s="2250" t="s">
        <v>2444</v>
      </c>
      <c r="P634" s="2166"/>
      <c r="Q634" s="2167"/>
      <c r="R634" s="2250" t="s">
        <v>2442</v>
      </c>
      <c r="S634" s="2166"/>
      <c r="T634" s="2167"/>
      <c r="U634" s="2571" t="s">
        <v>486</v>
      </c>
      <c r="V634" s="2571"/>
      <c r="W634" s="2572"/>
      <c r="X634" s="2250" t="s">
        <v>2167</v>
      </c>
      <c r="Y634" s="2166"/>
      <c r="Z634" s="2166"/>
      <c r="AA634" s="2166"/>
      <c r="AB634" s="2167"/>
      <c r="AC634" s="2408" t="s">
        <v>2165</v>
      </c>
      <c r="AD634" s="2409"/>
      <c r="AE634" s="2410"/>
      <c r="AF634" s="2250" t="s">
        <v>2168</v>
      </c>
      <c r="AG634" s="2166"/>
      <c r="AH634" s="2166"/>
      <c r="AI634" s="2166"/>
      <c r="AJ634" s="2167"/>
      <c r="AK634" s="2399" t="s">
        <v>2169</v>
      </c>
      <c r="AL634" s="2400"/>
      <c r="AM634" s="2400"/>
      <c r="AN634" s="2401"/>
      <c r="AO634" s="2260" t="s">
        <v>487</v>
      </c>
      <c r="AP634" s="2260"/>
      <c r="AQ634" s="2260"/>
      <c r="AR634" s="2260"/>
      <c r="AS634" s="2260"/>
      <c r="AT634" s="1840"/>
      <c r="AU634" s="1840"/>
      <c r="AV634" s="1840"/>
      <c r="AW634" s="1840"/>
      <c r="AX634" s="1840"/>
      <c r="AY634" s="1840"/>
      <c r="AZ634" s="181"/>
      <c r="BA634" s="181"/>
      <c r="BB634" s="181"/>
      <c r="BC634" s="181"/>
      <c r="BD634" s="181"/>
      <c r="BE634" s="2035">
        <f t="shared" si="0"/>
        <v>0</v>
      </c>
      <c r="BF634" s="2036"/>
      <c r="BG634" s="2008">
        <f t="shared" si="1"/>
        <v>0</v>
      </c>
      <c r="BH634" s="2010"/>
      <c r="BI634" s="2035">
        <f t="shared" si="2"/>
        <v>0</v>
      </c>
      <c r="BJ634" s="2036"/>
      <c r="BK634" s="2008">
        <f t="shared" si="3"/>
        <v>0</v>
      </c>
      <c r="BL634" s="2010"/>
      <c r="BM634" s="181"/>
      <c r="BN634" s="2005">
        <f t="shared" si="4"/>
        <v>0</v>
      </c>
      <c r="BO634" s="2006"/>
      <c r="BP634" s="2006"/>
      <c r="BQ634" s="2006"/>
      <c r="BR634" s="2007"/>
      <c r="BS634" s="2004">
        <f t="shared" si="5"/>
        <v>0</v>
      </c>
      <c r="BT634" s="2004"/>
      <c r="BU634" s="2004"/>
      <c r="BV634" s="2004"/>
      <c r="BW634" s="2004"/>
      <c r="BX634" s="2004">
        <f t="shared" si="6"/>
        <v>0</v>
      </c>
      <c r="BY634" s="2004"/>
      <c r="BZ634" s="2004"/>
      <c r="CA634" s="2004"/>
      <c r="CB634" s="2004"/>
      <c r="CC634" s="2004">
        <f t="shared" si="7"/>
        <v>0</v>
      </c>
      <c r="CD634" s="2004"/>
      <c r="CE634" s="2004"/>
      <c r="CF634" s="2004"/>
      <c r="CG634" s="2004"/>
      <c r="CH634" s="2004">
        <f t="shared" si="8"/>
        <v>0</v>
      </c>
      <c r="CI634" s="2004"/>
      <c r="CJ634" s="2004"/>
      <c r="CK634" s="2004"/>
      <c r="CL634" s="2004"/>
      <c r="CM634" s="2004">
        <f t="shared" si="9"/>
        <v>0</v>
      </c>
      <c r="CN634" s="2004"/>
      <c r="CO634" s="2004"/>
      <c r="CP634" s="2004"/>
      <c r="CQ634" s="2004"/>
      <c r="CR634" s="265"/>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35" t="str">
        <f t="shared" si="16"/>
        <v xml:space="preserve"> </v>
      </c>
      <c r="DY634" s="2174"/>
      <c r="DZ634" s="2174"/>
      <c r="EA634" s="2174"/>
      <c r="EB634" s="2036"/>
      <c r="EC634" s="2035" t="str">
        <f t="shared" si="17"/>
        <v xml:space="preserve"> </v>
      </c>
      <c r="ED634" s="2174"/>
      <c r="EE634" s="2174"/>
      <c r="EF634" s="2174"/>
      <c r="EG634" s="2036"/>
      <c r="EH634" s="2035" t="str">
        <f t="shared" si="18"/>
        <v xml:space="preserve"> </v>
      </c>
      <c r="EI634" s="2174"/>
      <c r="EJ634" s="2174"/>
      <c r="EK634" s="2174"/>
      <c r="EL634" s="2036"/>
      <c r="EM634" s="2035" t="str">
        <f t="shared" si="19"/>
        <v xml:space="preserve"> </v>
      </c>
      <c r="EN634" s="2174"/>
      <c r="EO634" s="2174"/>
      <c r="EP634" s="2174"/>
      <c r="EQ634" s="2036"/>
      <c r="ER634" s="2035" t="str">
        <f t="shared" si="20"/>
        <v xml:space="preserve"> </v>
      </c>
      <c r="ES634" s="2174"/>
      <c r="ET634" s="2174"/>
      <c r="EU634" s="2174"/>
      <c r="EV634" s="2036"/>
      <c r="EW634" s="2035" t="str">
        <f t="shared" si="21"/>
        <v xml:space="preserve"> </v>
      </c>
      <c r="EX634" s="2174"/>
      <c r="EY634" s="2174"/>
      <c r="EZ634" s="2174"/>
      <c r="FA634" s="2036"/>
    </row>
    <row r="635" spans="1:157" s="1839" customFormat="1" ht="12.75">
      <c r="B635" s="2559"/>
      <c r="C635" s="2226"/>
      <c r="D635" s="2226"/>
      <c r="E635" s="2226"/>
      <c r="F635" s="2226"/>
      <c r="G635" s="2226"/>
      <c r="H635" s="2226"/>
      <c r="I635" s="2226"/>
      <c r="J635" s="2226"/>
      <c r="K635" s="2226"/>
      <c r="L635" s="2226"/>
      <c r="M635" s="2226"/>
      <c r="N635" s="2560"/>
      <c r="O635" s="2251"/>
      <c r="P635" s="2252"/>
      <c r="Q635" s="2253"/>
      <c r="R635" s="2251"/>
      <c r="S635" s="2252"/>
      <c r="T635" s="2253"/>
      <c r="U635" s="2573"/>
      <c r="V635" s="2573"/>
      <c r="W635" s="2574"/>
      <c r="X635" s="2251"/>
      <c r="Y635" s="2252"/>
      <c r="Z635" s="2252"/>
      <c r="AA635" s="2252"/>
      <c r="AB635" s="2253"/>
      <c r="AC635" s="2411"/>
      <c r="AD635" s="2412"/>
      <c r="AE635" s="2413"/>
      <c r="AF635" s="2251"/>
      <c r="AG635" s="2252"/>
      <c r="AH635" s="2252"/>
      <c r="AI635" s="2252"/>
      <c r="AJ635" s="2253"/>
      <c r="AK635" s="2402"/>
      <c r="AL635" s="2403"/>
      <c r="AM635" s="2403"/>
      <c r="AN635" s="2404"/>
      <c r="AO635" s="2260"/>
      <c r="AP635" s="2260"/>
      <c r="AQ635" s="2260"/>
      <c r="AR635" s="2260"/>
      <c r="AS635" s="2260"/>
      <c r="AT635" s="1840"/>
      <c r="AU635" s="1840"/>
      <c r="AV635" s="1840"/>
      <c r="AW635" s="1840"/>
      <c r="AX635" s="1840"/>
      <c r="AY635" s="1840"/>
      <c r="AZ635" s="181"/>
      <c r="BA635" s="181"/>
      <c r="BB635" s="181"/>
      <c r="BC635" s="181"/>
      <c r="BD635" s="181"/>
      <c r="BE635" s="181"/>
      <c r="BF635" s="181"/>
      <c r="BG635" s="2035">
        <f>SUM(BG610:BH634)</f>
        <v>0</v>
      </c>
      <c r="BH635" s="2036"/>
      <c r="BI635" s="181"/>
      <c r="BJ635" s="181"/>
      <c r="BK635" s="2035">
        <f>SUM(BK610:BL634)</f>
        <v>47</v>
      </c>
      <c r="BL635" s="2036"/>
      <c r="BM635" s="181"/>
      <c r="BN635" s="2035">
        <f>SUM(BN610:BR634)</f>
        <v>0</v>
      </c>
      <c r="BO635" s="2174"/>
      <c r="BP635" s="2174"/>
      <c r="BQ635" s="2174"/>
      <c r="BR635" s="2036"/>
      <c r="BS635" s="2175">
        <f>SUM(BS610:BW634)</f>
        <v>0</v>
      </c>
      <c r="BT635" s="2175"/>
      <c r="BU635" s="2175"/>
      <c r="BV635" s="2175"/>
      <c r="BW635" s="2175"/>
      <c r="BX635" s="2175">
        <f>SUM(BX610:CB634)</f>
        <v>24</v>
      </c>
      <c r="BY635" s="2175"/>
      <c r="BZ635" s="2175"/>
      <c r="CA635" s="2175"/>
      <c r="CB635" s="2175"/>
      <c r="CC635" s="2175">
        <f>SUM(CC610:CG634)</f>
        <v>23</v>
      </c>
      <c r="CD635" s="2175"/>
      <c r="CE635" s="2175"/>
      <c r="CF635" s="2175"/>
      <c r="CG635" s="2175"/>
      <c r="CH635" s="2175">
        <f>SUM(CH610:CL634)</f>
        <v>0</v>
      </c>
      <c r="CI635" s="2175"/>
      <c r="CJ635" s="2175"/>
      <c r="CK635" s="2175"/>
      <c r="CL635" s="2175"/>
      <c r="CM635" s="2175">
        <f>SUM(CM610:CQ634)</f>
        <v>0</v>
      </c>
      <c r="CN635" s="2175"/>
      <c r="CO635" s="2175"/>
      <c r="CP635" s="2175"/>
      <c r="CQ635" s="2175"/>
      <c r="CR635" s="698"/>
      <c r="CS635" s="2175">
        <f>SUM(CS610:CW634)</f>
        <v>0</v>
      </c>
      <c r="CT635" s="2175"/>
      <c r="CU635" s="2175"/>
      <c r="CV635" s="2175"/>
      <c r="CW635" s="2175"/>
      <c r="CX635" s="2175">
        <f>SUM(CX610:DB634)</f>
        <v>0</v>
      </c>
      <c r="CY635" s="2175"/>
      <c r="CZ635" s="2175"/>
      <c r="DA635" s="2175"/>
      <c r="DB635" s="2175"/>
      <c r="DC635" s="2175">
        <f>SUM(DC610:DG634)</f>
        <v>24</v>
      </c>
      <c r="DD635" s="2175"/>
      <c r="DE635" s="2175"/>
      <c r="DF635" s="2175"/>
      <c r="DG635" s="2175"/>
      <c r="DH635" s="2175">
        <f>SUM(DH610:DL634)</f>
        <v>23</v>
      </c>
      <c r="DI635" s="2175"/>
      <c r="DJ635" s="2175"/>
      <c r="DK635" s="2175"/>
      <c r="DL635" s="2175"/>
      <c r="DM635" s="2175">
        <f>SUM(DM610:DQ634)</f>
        <v>0</v>
      </c>
      <c r="DN635" s="2175"/>
      <c r="DO635" s="2175"/>
      <c r="DP635" s="2175"/>
      <c r="DQ635" s="2175"/>
      <c r="DR635" s="2175">
        <f>SUM(DR610:DV634)</f>
        <v>0</v>
      </c>
      <c r="DS635" s="2175"/>
      <c r="DT635" s="2175"/>
      <c r="DU635" s="2175"/>
      <c r="DV635" s="2175"/>
      <c r="DX635" s="2175">
        <f>SUM(DX610:EB634)</f>
        <v>0</v>
      </c>
      <c r="DY635" s="2175"/>
      <c r="DZ635" s="2175"/>
      <c r="EA635" s="2175"/>
      <c r="EB635" s="2175"/>
      <c r="EC635" s="2175">
        <f>SUM(EC610:EG634)</f>
        <v>0</v>
      </c>
      <c r="ED635" s="2175"/>
      <c r="EE635" s="2175"/>
      <c r="EF635" s="2175"/>
      <c r="EG635" s="2175"/>
      <c r="EH635" s="2175">
        <f>SUM(EH610:EL634)</f>
        <v>452</v>
      </c>
      <c r="EI635" s="2175"/>
      <c r="EJ635" s="2175"/>
      <c r="EK635" s="2175"/>
      <c r="EL635" s="2175"/>
      <c r="EM635" s="2175">
        <f>SUM(EM610:EQ634)</f>
        <v>516</v>
      </c>
      <c r="EN635" s="2175"/>
      <c r="EO635" s="2175"/>
      <c r="EP635" s="2175"/>
      <c r="EQ635" s="2175"/>
      <c r="ER635" s="2175">
        <f>SUM(ER610:EV634)</f>
        <v>0</v>
      </c>
      <c r="ES635" s="2175"/>
      <c r="ET635" s="2175"/>
      <c r="EU635" s="2175"/>
      <c r="EV635" s="2175"/>
      <c r="EW635" s="2175">
        <f>SUM(EW610:FA634)</f>
        <v>0</v>
      </c>
      <c r="EX635" s="2175"/>
      <c r="EY635" s="2175"/>
      <c r="EZ635" s="2175"/>
      <c r="FA635" s="2175"/>
    </row>
    <row r="636" spans="1:157" s="1839" customFormat="1" ht="12.75">
      <c r="B636" s="2561"/>
      <c r="C636" s="2226"/>
      <c r="D636" s="2226"/>
      <c r="E636" s="2226"/>
      <c r="F636" s="2226"/>
      <c r="G636" s="2226"/>
      <c r="H636" s="2226"/>
      <c r="I636" s="2226"/>
      <c r="J636" s="2226"/>
      <c r="K636" s="2226"/>
      <c r="L636" s="2226"/>
      <c r="M636" s="2226"/>
      <c r="N636" s="2560"/>
      <c r="O636" s="2254"/>
      <c r="P636" s="2255"/>
      <c r="Q636" s="2256"/>
      <c r="R636" s="2254"/>
      <c r="S636" s="2255"/>
      <c r="T636" s="2256"/>
      <c r="U636" s="2575"/>
      <c r="V636" s="2575"/>
      <c r="W636" s="2576"/>
      <c r="X636" s="2254"/>
      <c r="Y636" s="2255"/>
      <c r="Z636" s="2255"/>
      <c r="AA636" s="2255"/>
      <c r="AB636" s="2256"/>
      <c r="AC636" s="2414"/>
      <c r="AD636" s="2415"/>
      <c r="AE636" s="2416"/>
      <c r="AF636" s="2254"/>
      <c r="AG636" s="2255"/>
      <c r="AH636" s="2255"/>
      <c r="AI636" s="2255"/>
      <c r="AJ636" s="2256"/>
      <c r="AK636" s="2405"/>
      <c r="AL636" s="2406"/>
      <c r="AM636" s="2406"/>
      <c r="AN636" s="2407"/>
      <c r="AO636" s="2260"/>
      <c r="AP636" s="2260"/>
      <c r="AQ636" s="2260"/>
      <c r="AR636" s="2260"/>
      <c r="AS636" s="226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35">
        <f>BN635+BS635+BX635+CC635+CH635+CM635</f>
        <v>47</v>
      </c>
      <c r="CN636" s="2174"/>
      <c r="CO636" s="2174"/>
      <c r="CP636" s="2174"/>
      <c r="CQ636" s="2036"/>
      <c r="CR636" s="698"/>
      <c r="CS636" s="181"/>
      <c r="CT636" s="181"/>
      <c r="CU636" s="181"/>
      <c r="CV636" s="181"/>
      <c r="CW636" s="181"/>
      <c r="CX636" s="181"/>
      <c r="CY636" s="181"/>
      <c r="CZ636" s="181"/>
      <c r="DA636" s="181"/>
      <c r="DB636" s="181"/>
      <c r="DC636" s="181"/>
      <c r="DD636" s="181"/>
      <c r="DE636" s="181"/>
      <c r="DF636" s="181"/>
    </row>
    <row r="637" spans="1:157" ht="12.75">
      <c r="B637" s="83" t="s">
        <v>117</v>
      </c>
      <c r="C637" s="2070" t="s">
        <v>2541</v>
      </c>
      <c r="D637" s="2122"/>
      <c r="E637" s="2122"/>
      <c r="F637" s="2122"/>
      <c r="G637" s="2122"/>
      <c r="H637" s="2122"/>
      <c r="I637" s="2122"/>
      <c r="J637" s="2122"/>
      <c r="K637" s="2122"/>
      <c r="L637" s="2122"/>
      <c r="M637" s="2122"/>
      <c r="N637" s="2562"/>
      <c r="O637" s="2425">
        <f>15*12</f>
        <v>180</v>
      </c>
      <c r="P637" s="2426"/>
      <c r="Q637" s="2427"/>
      <c r="R637" s="2156">
        <f>20*12</f>
        <v>240</v>
      </c>
      <c r="S637" s="2157"/>
      <c r="T637" s="2158"/>
      <c r="U637" s="2378">
        <v>4.7500000000000001E-2</v>
      </c>
      <c r="V637" s="2379"/>
      <c r="W637" s="2380"/>
      <c r="X637" s="2261" t="s">
        <v>2166</v>
      </c>
      <c r="Y637" s="2262"/>
      <c r="Z637" s="2262"/>
      <c r="AA637" s="2262"/>
      <c r="AB637" s="2263"/>
      <c r="AC637" s="2133">
        <v>1</v>
      </c>
      <c r="AD637" s="2134"/>
      <c r="AE637" s="2135"/>
      <c r="AF637" s="2257">
        <v>376335</v>
      </c>
      <c r="AG637" s="2258"/>
      <c r="AH637" s="2258"/>
      <c r="AI637" s="2258"/>
      <c r="AJ637" s="2259"/>
      <c r="AK637" s="2345"/>
      <c r="AL637" s="2346"/>
      <c r="AM637" s="2346"/>
      <c r="AN637" s="2347"/>
      <c r="AO637" s="2136">
        <v>4853000</v>
      </c>
      <c r="AP637" s="2136"/>
      <c r="AQ637" s="2136"/>
      <c r="AR637" s="2136"/>
      <c r="AS637" s="2136"/>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48</v>
      </c>
      <c r="CC637" s="58"/>
      <c r="CD637" s="58"/>
      <c r="CE637" s="58"/>
      <c r="CF637" s="58"/>
      <c r="CG637" s="1472">
        <f>CC635*3</f>
        <v>69</v>
      </c>
      <c r="CH637" s="58"/>
      <c r="CI637" s="58"/>
      <c r="CJ637" s="58"/>
      <c r="CK637" s="58"/>
      <c r="CL637" s="1472">
        <f>CH635*4</f>
        <v>0</v>
      </c>
      <c r="CM637" s="58"/>
      <c r="CN637" s="58"/>
      <c r="CO637" s="58"/>
      <c r="CP637" s="58"/>
      <c r="CQ637" s="1472">
        <f>CM635*5</f>
        <v>0</v>
      </c>
      <c r="CS637" s="1472">
        <f>BR637+BW637+CB637+CG637+CL637+CQ637</f>
        <v>117</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0" t="s">
        <v>864</v>
      </c>
      <c r="D638" s="2122"/>
      <c r="E638" s="2122"/>
      <c r="F638" s="2122"/>
      <c r="G638" s="2122"/>
      <c r="H638" s="2122"/>
      <c r="I638" s="2122"/>
      <c r="J638" s="2122"/>
      <c r="K638" s="2122"/>
      <c r="L638" s="2122"/>
      <c r="M638" s="2122"/>
      <c r="N638" s="2562"/>
      <c r="O638" s="2425">
        <f>55*12</f>
        <v>660</v>
      </c>
      <c r="P638" s="2426"/>
      <c r="Q638" s="2427"/>
      <c r="R638" s="2156">
        <f>55*12</f>
        <v>660</v>
      </c>
      <c r="S638" s="2157"/>
      <c r="T638" s="2158"/>
      <c r="U638" s="2378">
        <v>0.03</v>
      </c>
      <c r="V638" s="2379"/>
      <c r="W638" s="2380"/>
      <c r="X638" s="2261" t="s">
        <v>2166</v>
      </c>
      <c r="Y638" s="2262"/>
      <c r="Z638" s="2262"/>
      <c r="AA638" s="2262"/>
      <c r="AB638" s="2263"/>
      <c r="AC638" s="2133">
        <v>2</v>
      </c>
      <c r="AD638" s="2134"/>
      <c r="AE638" s="2135"/>
      <c r="AF638" s="2257">
        <v>50274</v>
      </c>
      <c r="AG638" s="2258"/>
      <c r="AH638" s="2258"/>
      <c r="AI638" s="2258"/>
      <c r="AJ638" s="2259"/>
      <c r="AK638" s="2345"/>
      <c r="AL638" s="2346"/>
      <c r="AM638" s="2346"/>
      <c r="AN638" s="2347"/>
      <c r="AO638" s="2136">
        <v>11970030</v>
      </c>
      <c r="AP638" s="2136"/>
      <c r="AQ638" s="2136"/>
      <c r="AR638" s="2136"/>
      <c r="AS638" s="213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8" t="e">
        <f t="shared" ref="DX638:DX662" si="22">DX610*(BN610/$BN$635)</f>
        <v>#VALUE!</v>
      </c>
      <c r="DY638" s="2558"/>
      <c r="DZ638" s="2558"/>
      <c r="EA638" s="2558"/>
      <c r="EB638" s="2558"/>
      <c r="EC638" s="2558" t="e">
        <f t="shared" ref="EC638:EC662" si="23">EC610*(BS610/$BS$635)</f>
        <v>#VALUE!</v>
      </c>
      <c r="ED638" s="2558"/>
      <c r="EE638" s="2558"/>
      <c r="EF638" s="2558"/>
      <c r="EG638" s="2558"/>
      <c r="EH638" s="2558">
        <f t="shared" ref="EH638:EH662" si="24">EH610*(BX610/$BX$635)</f>
        <v>452</v>
      </c>
      <c r="EI638" s="2558"/>
      <c r="EJ638" s="2558"/>
      <c r="EK638" s="2558"/>
      <c r="EL638" s="2558"/>
      <c r="EM638" s="2558" t="e">
        <f t="shared" ref="EM638:EM662" si="25">EM610*(CC610/$CC$635)</f>
        <v>#VALUE!</v>
      </c>
      <c r="EN638" s="2558"/>
      <c r="EO638" s="2558"/>
      <c r="EP638" s="2558"/>
      <c r="EQ638" s="2558"/>
      <c r="ER638" s="2558" t="e">
        <f t="shared" ref="ER638:ER662" si="26">ER610*(CH610/$CH$635)</f>
        <v>#VALUE!</v>
      </c>
      <c r="ES638" s="2558"/>
      <c r="ET638" s="2558"/>
      <c r="EU638" s="2558"/>
      <c r="EV638" s="2558"/>
      <c r="EW638" s="2558" t="e">
        <f t="shared" ref="EW638:EW662" si="27">EW610*(CM610/$CM$635)</f>
        <v>#VALUE!</v>
      </c>
      <c r="EX638" s="2558"/>
      <c r="EY638" s="2558"/>
      <c r="EZ638" s="2558"/>
      <c r="FA638" s="2558"/>
    </row>
    <row r="639" spans="1:157" ht="12.75" customHeight="1">
      <c r="B639" s="84" t="s">
        <v>124</v>
      </c>
      <c r="C639" s="2122" t="str">
        <f>G587</f>
        <v>Deferred Developer Fee</v>
      </c>
      <c r="D639" s="2122"/>
      <c r="E639" s="2122"/>
      <c r="F639" s="2122"/>
      <c r="G639" s="2122"/>
      <c r="H639" s="2122"/>
      <c r="I639" s="2122"/>
      <c r="J639" s="2122"/>
      <c r="K639" s="2122"/>
      <c r="L639" s="2122"/>
      <c r="M639" s="2122"/>
      <c r="N639" s="2562"/>
      <c r="O639" s="2425"/>
      <c r="P639" s="2426"/>
      <c r="Q639" s="2427"/>
      <c r="R639" s="2156"/>
      <c r="S639" s="2157"/>
      <c r="T639" s="2158"/>
      <c r="U639" s="2378"/>
      <c r="V639" s="2379"/>
      <c r="W639" s="2380"/>
      <c r="X639" s="2261" t="s">
        <v>309</v>
      </c>
      <c r="Y639" s="2262"/>
      <c r="Z639" s="2262"/>
      <c r="AA639" s="2262"/>
      <c r="AB639" s="2263"/>
      <c r="AC639" s="2133"/>
      <c r="AD639" s="2134"/>
      <c r="AE639" s="2135"/>
      <c r="AF639" s="2257"/>
      <c r="AG639" s="2258"/>
      <c r="AH639" s="2258"/>
      <c r="AI639" s="2258"/>
      <c r="AJ639" s="2259"/>
      <c r="AK639" s="2345"/>
      <c r="AL639" s="2346"/>
      <c r="AM639" s="2346"/>
      <c r="AN639" s="2347"/>
      <c r="AO639" s="2136">
        <v>434462</v>
      </c>
      <c r="AP639" s="2136"/>
      <c r="AQ639" s="2136"/>
      <c r="AR639" s="2136"/>
      <c r="AS639" s="213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8" t="e">
        <f t="shared" si="22"/>
        <v>#VALUE!</v>
      </c>
      <c r="DY639" s="2558"/>
      <c r="DZ639" s="2558"/>
      <c r="EA639" s="2558"/>
      <c r="EB639" s="2558"/>
      <c r="EC639" s="2558" t="e">
        <f t="shared" si="23"/>
        <v>#VALUE!</v>
      </c>
      <c r="ED639" s="2558"/>
      <c r="EE639" s="2558"/>
      <c r="EF639" s="2558"/>
      <c r="EG639" s="2558"/>
      <c r="EH639" s="2558" t="e">
        <f t="shared" si="24"/>
        <v>#VALUE!</v>
      </c>
      <c r="EI639" s="2558"/>
      <c r="EJ639" s="2558"/>
      <c r="EK639" s="2558"/>
      <c r="EL639" s="2558"/>
      <c r="EM639" s="2558">
        <f t="shared" si="25"/>
        <v>516</v>
      </c>
      <c r="EN639" s="2558"/>
      <c r="EO639" s="2558"/>
      <c r="EP639" s="2558"/>
      <c r="EQ639" s="2558"/>
      <c r="ER639" s="2558" t="e">
        <f t="shared" si="26"/>
        <v>#VALUE!</v>
      </c>
      <c r="ES639" s="2558"/>
      <c r="ET639" s="2558"/>
      <c r="EU639" s="2558"/>
      <c r="EV639" s="2558"/>
      <c r="EW639" s="2558" t="e">
        <f t="shared" si="27"/>
        <v>#VALUE!</v>
      </c>
      <c r="EX639" s="2558"/>
      <c r="EY639" s="2558"/>
      <c r="EZ639" s="2558"/>
      <c r="FA639" s="2558"/>
    </row>
    <row r="640" spans="1:157" ht="12.75">
      <c r="B640" s="84" t="s">
        <v>617</v>
      </c>
      <c r="C640" s="2122"/>
      <c r="D640" s="2122"/>
      <c r="E640" s="2122"/>
      <c r="F640" s="2122"/>
      <c r="G640" s="2122"/>
      <c r="H640" s="2122"/>
      <c r="I640" s="2122"/>
      <c r="J640" s="2122"/>
      <c r="K640" s="2122"/>
      <c r="L640" s="2122"/>
      <c r="M640" s="2122"/>
      <c r="N640" s="2562"/>
      <c r="O640" s="2425"/>
      <c r="P640" s="2426"/>
      <c r="Q640" s="2427"/>
      <c r="R640" s="2156"/>
      <c r="S640" s="2157"/>
      <c r="T640" s="2158"/>
      <c r="U640" s="2378"/>
      <c r="V640" s="2379"/>
      <c r="W640" s="2380"/>
      <c r="X640" s="2261" t="s">
        <v>1386</v>
      </c>
      <c r="Y640" s="2262"/>
      <c r="Z640" s="2262"/>
      <c r="AA640" s="2262"/>
      <c r="AB640" s="2263"/>
      <c r="AC640" s="2133"/>
      <c r="AD640" s="2134"/>
      <c r="AE640" s="2135"/>
      <c r="AF640" s="2257"/>
      <c r="AG640" s="2258"/>
      <c r="AH640" s="2258"/>
      <c r="AI640" s="2258"/>
      <c r="AJ640" s="2259"/>
      <c r="AK640" s="2345"/>
      <c r="AL640" s="2346"/>
      <c r="AM640" s="2346"/>
      <c r="AN640" s="2347"/>
      <c r="AO640" s="2136"/>
      <c r="AP640" s="2136"/>
      <c r="AQ640" s="2136"/>
      <c r="AR640" s="2136"/>
      <c r="AS640" s="2136"/>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0</v>
      </c>
      <c r="BY640" s="2004"/>
      <c r="BZ640" s="2004"/>
      <c r="CA640" s="2004"/>
      <c r="CB640" s="2004"/>
      <c r="CC640" s="2004">
        <f>IF(J772="3 Bedrooms",O772,0)</f>
        <v>1</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58" t="e">
        <f t="shared" si="22"/>
        <v>#VALUE!</v>
      </c>
      <c r="DY640" s="2558"/>
      <c r="DZ640" s="2558"/>
      <c r="EA640" s="2558"/>
      <c r="EB640" s="2558"/>
      <c r="EC640" s="2558" t="e">
        <f t="shared" si="23"/>
        <v>#VALUE!</v>
      </c>
      <c r="ED640" s="2558"/>
      <c r="EE640" s="2558"/>
      <c r="EF640" s="2558"/>
      <c r="EG640" s="2558"/>
      <c r="EH640" s="2558" t="e">
        <f t="shared" si="24"/>
        <v>#VALUE!</v>
      </c>
      <c r="EI640" s="2558"/>
      <c r="EJ640" s="2558"/>
      <c r="EK640" s="2558"/>
      <c r="EL640" s="2558"/>
      <c r="EM640" s="2558" t="e">
        <f t="shared" si="25"/>
        <v>#VALUE!</v>
      </c>
      <c r="EN640" s="2558"/>
      <c r="EO640" s="2558"/>
      <c r="EP640" s="2558"/>
      <c r="EQ640" s="2558"/>
      <c r="ER640" s="2558" t="e">
        <f t="shared" si="26"/>
        <v>#VALUE!</v>
      </c>
      <c r="ES640" s="2558"/>
      <c r="ET640" s="2558"/>
      <c r="EU640" s="2558"/>
      <c r="EV640" s="2558"/>
      <c r="EW640" s="2558" t="e">
        <f t="shared" si="27"/>
        <v>#VALUE!</v>
      </c>
      <c r="EX640" s="2558"/>
      <c r="EY640" s="2558"/>
      <c r="EZ640" s="2558"/>
      <c r="FA640" s="2558"/>
    </row>
    <row r="641" spans="1:157" ht="12.75">
      <c r="B641" s="84" t="s">
        <v>824</v>
      </c>
      <c r="C641" s="2122"/>
      <c r="D641" s="2122"/>
      <c r="E641" s="2122"/>
      <c r="F641" s="2122"/>
      <c r="G641" s="2122"/>
      <c r="H641" s="2122"/>
      <c r="I641" s="2122"/>
      <c r="J641" s="2122"/>
      <c r="K641" s="2122"/>
      <c r="L641" s="2122"/>
      <c r="M641" s="2122"/>
      <c r="N641" s="2562"/>
      <c r="O641" s="2425"/>
      <c r="P641" s="2426"/>
      <c r="Q641" s="2427"/>
      <c r="R641" s="2156"/>
      <c r="S641" s="2157"/>
      <c r="T641" s="2158"/>
      <c r="U641" s="2378"/>
      <c r="V641" s="2379"/>
      <c r="W641" s="2380"/>
      <c r="X641" s="2261" t="s">
        <v>1386</v>
      </c>
      <c r="Y641" s="2262"/>
      <c r="Z641" s="2262"/>
      <c r="AA641" s="2262"/>
      <c r="AB641" s="2263"/>
      <c r="AC641" s="2133"/>
      <c r="AD641" s="2134"/>
      <c r="AE641" s="2135"/>
      <c r="AF641" s="2257"/>
      <c r="AG641" s="2258"/>
      <c r="AH641" s="2258"/>
      <c r="AI641" s="2258"/>
      <c r="AJ641" s="2259"/>
      <c r="AK641" s="2345"/>
      <c r="AL641" s="2346"/>
      <c r="AM641" s="2346"/>
      <c r="AN641" s="2347"/>
      <c r="AO641" s="2136"/>
      <c r="AP641" s="2136"/>
      <c r="AQ641" s="2136"/>
      <c r="AR641" s="2136"/>
      <c r="AS641" s="2136"/>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58" t="e">
        <f t="shared" si="22"/>
        <v>#VALUE!</v>
      </c>
      <c r="DY641" s="2558"/>
      <c r="DZ641" s="2558"/>
      <c r="EA641" s="2558"/>
      <c r="EB641" s="2558"/>
      <c r="EC641" s="2558" t="e">
        <f t="shared" si="23"/>
        <v>#VALUE!</v>
      </c>
      <c r="ED641" s="2558"/>
      <c r="EE641" s="2558"/>
      <c r="EF641" s="2558"/>
      <c r="EG641" s="2558"/>
      <c r="EH641" s="2558" t="e">
        <f t="shared" si="24"/>
        <v>#VALUE!</v>
      </c>
      <c r="EI641" s="2558"/>
      <c r="EJ641" s="2558"/>
      <c r="EK641" s="2558"/>
      <c r="EL641" s="2558"/>
      <c r="EM641" s="2558" t="e">
        <f t="shared" si="25"/>
        <v>#VALUE!</v>
      </c>
      <c r="EN641" s="2558"/>
      <c r="EO641" s="2558"/>
      <c r="EP641" s="2558"/>
      <c r="EQ641" s="2558"/>
      <c r="ER641" s="2558" t="e">
        <f t="shared" si="26"/>
        <v>#VALUE!</v>
      </c>
      <c r="ES641" s="2558"/>
      <c r="ET641" s="2558"/>
      <c r="EU641" s="2558"/>
      <c r="EV641" s="2558"/>
      <c r="EW641" s="2558" t="e">
        <f t="shared" si="27"/>
        <v>#VALUE!</v>
      </c>
      <c r="EX641" s="2558"/>
      <c r="EY641" s="2558"/>
      <c r="EZ641" s="2558"/>
      <c r="FA641" s="2558"/>
    </row>
    <row r="642" spans="1:157" ht="12.75">
      <c r="B642" s="84" t="s">
        <v>620</v>
      </c>
      <c r="C642" s="2122"/>
      <c r="D642" s="2122"/>
      <c r="E642" s="2122"/>
      <c r="F642" s="2122"/>
      <c r="G642" s="2122"/>
      <c r="H642" s="2122"/>
      <c r="I642" s="2122"/>
      <c r="J642" s="2122"/>
      <c r="K642" s="2122"/>
      <c r="L642" s="2122"/>
      <c r="M642" s="2122"/>
      <c r="N642" s="2562"/>
      <c r="O642" s="2425"/>
      <c r="P642" s="2426"/>
      <c r="Q642" s="2427"/>
      <c r="R642" s="2156"/>
      <c r="S642" s="2157"/>
      <c r="T642" s="2158"/>
      <c r="U642" s="2378"/>
      <c r="V642" s="2379"/>
      <c r="W642" s="2380"/>
      <c r="X642" s="2261" t="s">
        <v>1386</v>
      </c>
      <c r="Y642" s="2262"/>
      <c r="Z642" s="2262"/>
      <c r="AA642" s="2262"/>
      <c r="AB642" s="2263"/>
      <c r="AC642" s="2133"/>
      <c r="AD642" s="2134"/>
      <c r="AE642" s="2135"/>
      <c r="AF642" s="2257"/>
      <c r="AG642" s="2258"/>
      <c r="AH642" s="2258"/>
      <c r="AI642" s="2258"/>
      <c r="AJ642" s="2259"/>
      <c r="AK642" s="2345"/>
      <c r="AL642" s="2346"/>
      <c r="AM642" s="2346"/>
      <c r="AN642" s="2347"/>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3"/>
      <c r="CV642" s="58"/>
      <c r="CW642" s="58"/>
      <c r="CX642" s="58"/>
      <c r="CY642" s="58"/>
      <c r="CZ642" s="58"/>
      <c r="DA642" s="58"/>
      <c r="DB642" s="58"/>
      <c r="DC642" s="58"/>
      <c r="DD642" s="58"/>
      <c r="DE642" s="58"/>
      <c r="DF642" s="58"/>
      <c r="DX642" s="2558" t="e">
        <f t="shared" si="22"/>
        <v>#VALUE!</v>
      </c>
      <c r="DY642" s="2558"/>
      <c r="DZ642" s="2558"/>
      <c r="EA642" s="2558"/>
      <c r="EB642" s="2558"/>
      <c r="EC642" s="2558" t="e">
        <f t="shared" si="23"/>
        <v>#VALUE!</v>
      </c>
      <c r="ED642" s="2558"/>
      <c r="EE642" s="2558"/>
      <c r="EF642" s="2558"/>
      <c r="EG642" s="2558"/>
      <c r="EH642" s="2558" t="e">
        <f t="shared" si="24"/>
        <v>#VALUE!</v>
      </c>
      <c r="EI642" s="2558"/>
      <c r="EJ642" s="2558"/>
      <c r="EK642" s="2558"/>
      <c r="EL642" s="2558"/>
      <c r="EM642" s="2558" t="e">
        <f t="shared" si="25"/>
        <v>#VALUE!</v>
      </c>
      <c r="EN642" s="2558"/>
      <c r="EO642" s="2558"/>
      <c r="EP642" s="2558"/>
      <c r="EQ642" s="2558"/>
      <c r="ER642" s="2558" t="e">
        <f t="shared" si="26"/>
        <v>#VALUE!</v>
      </c>
      <c r="ES642" s="2558"/>
      <c r="ET642" s="2558"/>
      <c r="EU642" s="2558"/>
      <c r="EV642" s="2558"/>
      <c r="EW642" s="2558" t="e">
        <f t="shared" si="27"/>
        <v>#VALUE!</v>
      </c>
      <c r="EX642" s="2558"/>
      <c r="EY642" s="2558"/>
      <c r="EZ642" s="2558"/>
      <c r="FA642" s="2558"/>
    </row>
    <row r="643" spans="1:157" ht="12.75">
      <c r="B643" s="84" t="s">
        <v>488</v>
      </c>
      <c r="C643" s="2122"/>
      <c r="D643" s="2122"/>
      <c r="E643" s="2122"/>
      <c r="F643" s="2122"/>
      <c r="G643" s="2122"/>
      <c r="H643" s="2122"/>
      <c r="I643" s="2122"/>
      <c r="J643" s="2122"/>
      <c r="K643" s="2122"/>
      <c r="L643" s="2122"/>
      <c r="M643" s="2122"/>
      <c r="N643" s="2562"/>
      <c r="O643" s="2425"/>
      <c r="P643" s="2426"/>
      <c r="Q643" s="2427"/>
      <c r="R643" s="2156"/>
      <c r="S643" s="2157"/>
      <c r="T643" s="2158"/>
      <c r="U643" s="2378"/>
      <c r="V643" s="2379"/>
      <c r="W643" s="2380"/>
      <c r="X643" s="2261" t="s">
        <v>1386</v>
      </c>
      <c r="Y643" s="2262"/>
      <c r="Z643" s="2262"/>
      <c r="AA643" s="2262"/>
      <c r="AB643" s="2263"/>
      <c r="AC643" s="2133"/>
      <c r="AD643" s="2134"/>
      <c r="AE643" s="2135"/>
      <c r="AF643" s="2257"/>
      <c r="AG643" s="2258"/>
      <c r="AH643" s="2258"/>
      <c r="AI643" s="2258"/>
      <c r="AJ643" s="2259"/>
      <c r="AK643" s="2345"/>
      <c r="AL643" s="2346"/>
      <c r="AM643" s="2346"/>
      <c r="AN643" s="2347"/>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58" t="e">
        <f t="shared" si="22"/>
        <v>#VALUE!</v>
      </c>
      <c r="DY643" s="2558"/>
      <c r="DZ643" s="2558"/>
      <c r="EA643" s="2558"/>
      <c r="EB643" s="2558"/>
      <c r="EC643" s="2558" t="e">
        <f t="shared" si="23"/>
        <v>#VALUE!</v>
      </c>
      <c r="ED643" s="2558"/>
      <c r="EE643" s="2558"/>
      <c r="EF643" s="2558"/>
      <c r="EG643" s="2558"/>
      <c r="EH643" s="2558" t="e">
        <f t="shared" si="24"/>
        <v>#VALUE!</v>
      </c>
      <c r="EI643" s="2558"/>
      <c r="EJ643" s="2558"/>
      <c r="EK643" s="2558"/>
      <c r="EL643" s="2558"/>
      <c r="EM643" s="2558" t="e">
        <f t="shared" si="25"/>
        <v>#VALUE!</v>
      </c>
      <c r="EN643" s="2558"/>
      <c r="EO643" s="2558"/>
      <c r="EP643" s="2558"/>
      <c r="EQ643" s="2558"/>
      <c r="ER643" s="2558" t="e">
        <f t="shared" si="26"/>
        <v>#VALUE!</v>
      </c>
      <c r="ES643" s="2558"/>
      <c r="ET643" s="2558"/>
      <c r="EU643" s="2558"/>
      <c r="EV643" s="2558"/>
      <c r="EW643" s="2558" t="e">
        <f t="shared" si="27"/>
        <v>#VALUE!</v>
      </c>
      <c r="EX643" s="2558"/>
      <c r="EY643" s="2558"/>
      <c r="EZ643" s="2558"/>
      <c r="FA643" s="2558"/>
    </row>
    <row r="644" spans="1:157" ht="12.75">
      <c r="B644" s="84" t="s">
        <v>489</v>
      </c>
      <c r="C644" s="2122"/>
      <c r="D644" s="2122"/>
      <c r="E644" s="2122"/>
      <c r="F644" s="2122"/>
      <c r="G644" s="2122"/>
      <c r="H644" s="2122"/>
      <c r="I644" s="2122"/>
      <c r="J644" s="2122"/>
      <c r="K644" s="2122"/>
      <c r="L644" s="2122"/>
      <c r="M644" s="2122"/>
      <c r="N644" s="2562"/>
      <c r="O644" s="2425"/>
      <c r="P644" s="2426"/>
      <c r="Q644" s="2427"/>
      <c r="R644" s="2156"/>
      <c r="S644" s="2157"/>
      <c r="T644" s="2158"/>
      <c r="U644" s="2378"/>
      <c r="V644" s="2379"/>
      <c r="W644" s="2380"/>
      <c r="X644" s="2261" t="s">
        <v>1386</v>
      </c>
      <c r="Y644" s="2262"/>
      <c r="Z644" s="2262"/>
      <c r="AA644" s="2262"/>
      <c r="AB644" s="2263"/>
      <c r="AC644" s="2133"/>
      <c r="AD644" s="2134"/>
      <c r="AE644" s="2135"/>
      <c r="AF644" s="2257"/>
      <c r="AG644" s="2258"/>
      <c r="AH644" s="2258"/>
      <c r="AI644" s="2258"/>
      <c r="AJ644" s="2259"/>
      <c r="AK644" s="2345"/>
      <c r="AL644" s="2346"/>
      <c r="AM644" s="2346"/>
      <c r="AN644" s="2347"/>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11">
        <f>SUM(BS640:BW643)</f>
        <v>0</v>
      </c>
      <c r="BT644" s="2012"/>
      <c r="BU644" s="2012"/>
      <c r="BV644" s="2012"/>
      <c r="BW644" s="2013"/>
      <c r="BX644" s="2011">
        <f>SUM(BX640:CB643)</f>
        <v>0</v>
      </c>
      <c r="BY644" s="2012"/>
      <c r="BZ644" s="2012"/>
      <c r="CA644" s="2012"/>
      <c r="CB644" s="2013"/>
      <c r="CC644" s="2011">
        <f>SUM(CC640:CG643)</f>
        <v>1</v>
      </c>
      <c r="CD644" s="2012"/>
      <c r="CE644" s="2012"/>
      <c r="CF644" s="2012"/>
      <c r="CG644" s="2013"/>
      <c r="CH644" s="2011">
        <f>SUM(CH640:CL643)</f>
        <v>0</v>
      </c>
      <c r="CI644" s="2012"/>
      <c r="CJ644" s="2012"/>
      <c r="CK644" s="2012"/>
      <c r="CL644" s="2013"/>
      <c r="CM644" s="2011">
        <f>SUM(CM640:CQ643)</f>
        <v>0</v>
      </c>
      <c r="CN644" s="2012"/>
      <c r="CO644" s="2012"/>
      <c r="CP644" s="2012"/>
      <c r="CQ644" s="2013"/>
      <c r="CS644" s="1472">
        <f>BN644+BS644+BX644+CC644+CH644+CM644</f>
        <v>1</v>
      </c>
      <c r="CT644" s="134" t="s">
        <v>2453</v>
      </c>
      <c r="CU644" s="58"/>
      <c r="CV644" s="58"/>
      <c r="CW644" s="58"/>
      <c r="CX644" s="58"/>
      <c r="CY644" s="58"/>
      <c r="CZ644" s="58"/>
      <c r="DA644" s="58"/>
      <c r="DB644" s="58"/>
      <c r="DC644" s="58"/>
      <c r="DD644" s="58"/>
      <c r="DE644" s="58"/>
      <c r="DF644" s="58"/>
      <c r="DX644" s="2558" t="e">
        <f t="shared" si="22"/>
        <v>#VALUE!</v>
      </c>
      <c r="DY644" s="2558"/>
      <c r="DZ644" s="2558"/>
      <c r="EA644" s="2558"/>
      <c r="EB644" s="2558"/>
      <c r="EC644" s="2558" t="e">
        <f t="shared" si="23"/>
        <v>#VALUE!</v>
      </c>
      <c r="ED644" s="2558"/>
      <c r="EE644" s="2558"/>
      <c r="EF644" s="2558"/>
      <c r="EG644" s="2558"/>
      <c r="EH644" s="2558" t="e">
        <f t="shared" si="24"/>
        <v>#VALUE!</v>
      </c>
      <c r="EI644" s="2558"/>
      <c r="EJ644" s="2558"/>
      <c r="EK644" s="2558"/>
      <c r="EL644" s="2558"/>
      <c r="EM644" s="2558" t="e">
        <f t="shared" si="25"/>
        <v>#VALUE!</v>
      </c>
      <c r="EN644" s="2558"/>
      <c r="EO644" s="2558"/>
      <c r="EP644" s="2558"/>
      <c r="EQ644" s="2558"/>
      <c r="ER644" s="2558" t="e">
        <f t="shared" si="26"/>
        <v>#VALUE!</v>
      </c>
      <c r="ES644" s="2558"/>
      <c r="ET644" s="2558"/>
      <c r="EU644" s="2558"/>
      <c r="EV644" s="2558"/>
      <c r="EW644" s="2558" t="e">
        <f t="shared" si="27"/>
        <v>#VALUE!</v>
      </c>
      <c r="EX644" s="2558"/>
      <c r="EY644" s="2558"/>
      <c r="EZ644" s="2558"/>
      <c r="FA644" s="2558"/>
    </row>
    <row r="645" spans="1:157" ht="12.75">
      <c r="B645" s="84" t="s">
        <v>495</v>
      </c>
      <c r="C645" s="2122"/>
      <c r="D645" s="2122"/>
      <c r="E645" s="2122"/>
      <c r="F645" s="2122"/>
      <c r="G645" s="2122"/>
      <c r="H645" s="2122"/>
      <c r="I645" s="2122"/>
      <c r="J645" s="2122"/>
      <c r="K645" s="2122"/>
      <c r="L645" s="2122"/>
      <c r="M645" s="2122"/>
      <c r="N645" s="2562"/>
      <c r="O645" s="2425"/>
      <c r="P645" s="2426"/>
      <c r="Q645" s="2427"/>
      <c r="R645" s="2156"/>
      <c r="S645" s="2157"/>
      <c r="T645" s="2158"/>
      <c r="U645" s="2378"/>
      <c r="V645" s="2379"/>
      <c r="W645" s="2380"/>
      <c r="X645" s="2261" t="s">
        <v>1386</v>
      </c>
      <c r="Y645" s="2262"/>
      <c r="Z645" s="2262"/>
      <c r="AA645" s="2262"/>
      <c r="AB645" s="2263"/>
      <c r="AC645" s="2133"/>
      <c r="AD645" s="2134"/>
      <c r="AE645" s="2135"/>
      <c r="AF645" s="2257"/>
      <c r="AG645" s="2258"/>
      <c r="AH645" s="2258"/>
      <c r="AI645" s="2258"/>
      <c r="AJ645" s="2259"/>
      <c r="AK645" s="2345"/>
      <c r="AL645" s="2346"/>
      <c r="AM645" s="2346"/>
      <c r="AN645" s="2347"/>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2455</v>
      </c>
      <c r="CU645" s="58"/>
      <c r="CV645" s="58"/>
      <c r="CW645" s="58"/>
      <c r="CX645" s="58"/>
      <c r="CY645" s="58"/>
      <c r="CZ645" s="58"/>
      <c r="DA645" s="58"/>
      <c r="DB645" s="58"/>
      <c r="DC645" s="58"/>
      <c r="DD645" s="58"/>
      <c r="DE645" s="58"/>
      <c r="DF645" s="58"/>
      <c r="DX645" s="2558" t="e">
        <f t="shared" si="22"/>
        <v>#VALUE!</v>
      </c>
      <c r="DY645" s="2558"/>
      <c r="DZ645" s="2558"/>
      <c r="EA645" s="2558"/>
      <c r="EB645" s="2558"/>
      <c r="EC645" s="2558" t="e">
        <f t="shared" si="23"/>
        <v>#VALUE!</v>
      </c>
      <c r="ED645" s="2558"/>
      <c r="EE645" s="2558"/>
      <c r="EF645" s="2558"/>
      <c r="EG645" s="2558"/>
      <c r="EH645" s="2558" t="e">
        <f t="shared" si="24"/>
        <v>#VALUE!</v>
      </c>
      <c r="EI645" s="2558"/>
      <c r="EJ645" s="2558"/>
      <c r="EK645" s="2558"/>
      <c r="EL645" s="2558"/>
      <c r="EM645" s="2558" t="e">
        <f t="shared" si="25"/>
        <v>#VALUE!</v>
      </c>
      <c r="EN645" s="2558"/>
      <c r="EO645" s="2558"/>
      <c r="EP645" s="2558"/>
      <c r="EQ645" s="2558"/>
      <c r="ER645" s="2558" t="e">
        <f t="shared" si="26"/>
        <v>#VALUE!</v>
      </c>
      <c r="ES645" s="2558"/>
      <c r="ET645" s="2558"/>
      <c r="EU645" s="2558"/>
      <c r="EV645" s="2558"/>
      <c r="EW645" s="2558" t="e">
        <f t="shared" si="27"/>
        <v>#VALUE!</v>
      </c>
      <c r="EX645" s="2558"/>
      <c r="EY645" s="2558"/>
      <c r="EZ645" s="2558"/>
      <c r="FA645" s="2558"/>
    </row>
    <row r="646" spans="1:157" ht="12.75">
      <c r="B646" s="84" t="s">
        <v>682</v>
      </c>
      <c r="C646" s="2122"/>
      <c r="D646" s="2122"/>
      <c r="E646" s="2122"/>
      <c r="F646" s="2122"/>
      <c r="G646" s="2122"/>
      <c r="H646" s="2122"/>
      <c r="I646" s="2122"/>
      <c r="J646" s="2122"/>
      <c r="K646" s="2122"/>
      <c r="L646" s="2122"/>
      <c r="M646" s="2122"/>
      <c r="N646" s="2562"/>
      <c r="O646" s="2425"/>
      <c r="P646" s="2426"/>
      <c r="Q646" s="2427"/>
      <c r="R646" s="2156"/>
      <c r="S646" s="2157"/>
      <c r="T646" s="2158"/>
      <c r="U646" s="2378"/>
      <c r="V646" s="2379"/>
      <c r="W646" s="2380"/>
      <c r="X646" s="2261" t="s">
        <v>1386</v>
      </c>
      <c r="Y646" s="2262"/>
      <c r="Z646" s="2262"/>
      <c r="AA646" s="2262"/>
      <c r="AB646" s="2263"/>
      <c r="AC646" s="2133"/>
      <c r="AD646" s="2134"/>
      <c r="AE646" s="2135"/>
      <c r="AF646" s="2257"/>
      <c r="AG646" s="2258"/>
      <c r="AH646" s="2258"/>
      <c r="AI646" s="2258"/>
      <c r="AJ646" s="2259"/>
      <c r="AK646" s="2345"/>
      <c r="AL646" s="2346"/>
      <c r="AM646" s="2346"/>
      <c r="AN646" s="2347"/>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8" t="e">
        <f t="shared" si="22"/>
        <v>#VALUE!</v>
      </c>
      <c r="DY646" s="2558"/>
      <c r="DZ646" s="2558"/>
      <c r="EA646" s="2558"/>
      <c r="EB646" s="2558"/>
      <c r="EC646" s="2558" t="e">
        <f t="shared" si="23"/>
        <v>#VALUE!</v>
      </c>
      <c r="ED646" s="2558"/>
      <c r="EE646" s="2558"/>
      <c r="EF646" s="2558"/>
      <c r="EG646" s="2558"/>
      <c r="EH646" s="2558" t="e">
        <f t="shared" si="24"/>
        <v>#VALUE!</v>
      </c>
      <c r="EI646" s="2558"/>
      <c r="EJ646" s="2558"/>
      <c r="EK646" s="2558"/>
      <c r="EL646" s="2558"/>
      <c r="EM646" s="2558" t="e">
        <f t="shared" si="25"/>
        <v>#VALUE!</v>
      </c>
      <c r="EN646" s="2558"/>
      <c r="EO646" s="2558"/>
      <c r="EP646" s="2558"/>
      <c r="EQ646" s="2558"/>
      <c r="ER646" s="2558" t="e">
        <f t="shared" si="26"/>
        <v>#VALUE!</v>
      </c>
      <c r="ES646" s="2558"/>
      <c r="ET646" s="2558"/>
      <c r="EU646" s="2558"/>
      <c r="EV646" s="2558"/>
      <c r="EW646" s="2558" t="e">
        <f t="shared" si="27"/>
        <v>#VALUE!</v>
      </c>
      <c r="EX646" s="2558"/>
      <c r="EY646" s="2558"/>
      <c r="EZ646" s="2558"/>
      <c r="FA646" s="2558"/>
    </row>
    <row r="647" spans="1:157" ht="12.75">
      <c r="B647" s="84" t="s">
        <v>373</v>
      </c>
      <c r="C647" s="2122"/>
      <c r="D647" s="2122"/>
      <c r="E647" s="2122"/>
      <c r="F647" s="2122"/>
      <c r="G647" s="2122"/>
      <c r="H647" s="2122"/>
      <c r="I647" s="2122"/>
      <c r="J647" s="2122"/>
      <c r="K647" s="2122"/>
      <c r="L647" s="2122"/>
      <c r="M647" s="2122"/>
      <c r="N647" s="2562"/>
      <c r="O647" s="2425"/>
      <c r="P647" s="2426"/>
      <c r="Q647" s="2427"/>
      <c r="R647" s="2156"/>
      <c r="S647" s="2157"/>
      <c r="T647" s="2158"/>
      <c r="U647" s="2378"/>
      <c r="V647" s="2379"/>
      <c r="W647" s="2380"/>
      <c r="X647" s="2261" t="s">
        <v>1386</v>
      </c>
      <c r="Y647" s="2262"/>
      <c r="Z647" s="2262"/>
      <c r="AA647" s="2262"/>
      <c r="AB647" s="2263"/>
      <c r="AC647" s="2133"/>
      <c r="AD647" s="2134"/>
      <c r="AE647" s="2135"/>
      <c r="AF647" s="2257"/>
      <c r="AG647" s="2258"/>
      <c r="AH647" s="2258"/>
      <c r="AI647" s="2258"/>
      <c r="AJ647" s="2259"/>
      <c r="AK647" s="2345"/>
      <c r="AL647" s="2346"/>
      <c r="AM647" s="2346"/>
      <c r="AN647" s="2347"/>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8" t="e">
        <f t="shared" si="22"/>
        <v>#VALUE!</v>
      </c>
      <c r="DY647" s="2558"/>
      <c r="DZ647" s="2558"/>
      <c r="EA647" s="2558"/>
      <c r="EB647" s="2558"/>
      <c r="EC647" s="2558" t="e">
        <f t="shared" si="23"/>
        <v>#VALUE!</v>
      </c>
      <c r="ED647" s="2558"/>
      <c r="EE647" s="2558"/>
      <c r="EF647" s="2558"/>
      <c r="EG647" s="2558"/>
      <c r="EH647" s="2558" t="e">
        <f t="shared" si="24"/>
        <v>#VALUE!</v>
      </c>
      <c r="EI647" s="2558"/>
      <c r="EJ647" s="2558"/>
      <c r="EK647" s="2558"/>
      <c r="EL647" s="2558"/>
      <c r="EM647" s="2558" t="e">
        <f t="shared" si="25"/>
        <v>#VALUE!</v>
      </c>
      <c r="EN647" s="2558"/>
      <c r="EO647" s="2558"/>
      <c r="EP647" s="2558"/>
      <c r="EQ647" s="2558"/>
      <c r="ER647" s="2558" t="e">
        <f t="shared" si="26"/>
        <v>#VALUE!</v>
      </c>
      <c r="ES647" s="2558"/>
      <c r="ET647" s="2558"/>
      <c r="EU647" s="2558"/>
      <c r="EV647" s="2558"/>
      <c r="EW647" s="2558" t="e">
        <f t="shared" si="27"/>
        <v>#VALUE!</v>
      </c>
      <c r="EX647" s="2558"/>
      <c r="EY647" s="2558"/>
      <c r="EZ647" s="2558"/>
      <c r="FA647" s="2558"/>
    </row>
    <row r="648" spans="1:157" ht="12.75">
      <c r="B648" s="84" t="s">
        <v>374</v>
      </c>
      <c r="C648" s="2122"/>
      <c r="D648" s="2122"/>
      <c r="E648" s="2122"/>
      <c r="F648" s="2122"/>
      <c r="G648" s="2122"/>
      <c r="H648" s="2122"/>
      <c r="I648" s="2122"/>
      <c r="J648" s="2122"/>
      <c r="K648" s="2122"/>
      <c r="L648" s="2122"/>
      <c r="M648" s="2122"/>
      <c r="N648" s="2562"/>
      <c r="O648" s="2425"/>
      <c r="P648" s="2426"/>
      <c r="Q648" s="2427"/>
      <c r="R648" s="2156"/>
      <c r="S648" s="2157"/>
      <c r="T648" s="2158"/>
      <c r="U648" s="2378"/>
      <c r="V648" s="2379"/>
      <c r="W648" s="2380"/>
      <c r="X648" s="2261" t="s">
        <v>1386</v>
      </c>
      <c r="Y648" s="2262"/>
      <c r="Z648" s="2262"/>
      <c r="AA648" s="2262"/>
      <c r="AB648" s="2263"/>
      <c r="AC648" s="2133"/>
      <c r="AD648" s="2134"/>
      <c r="AE648" s="2135"/>
      <c r="AF648" s="2257"/>
      <c r="AG648" s="2258"/>
      <c r="AH648" s="2258"/>
      <c r="AI648" s="2258"/>
      <c r="AJ648" s="2259"/>
      <c r="AK648" s="2345"/>
      <c r="AL648" s="2346"/>
      <c r="AM648" s="2346"/>
      <c r="AN648" s="2347"/>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28">IF(J786="SRO/Studio",O786,0)</f>
        <v>0</v>
      </c>
      <c r="BO648" s="2006"/>
      <c r="BP648" s="2006"/>
      <c r="BQ648" s="2006"/>
      <c r="BR648" s="2007"/>
      <c r="BS648" s="2004">
        <f t="shared" ref="BS648:BS657" si="29">IF(J786="1 Bedroom",O786,0)</f>
        <v>0</v>
      </c>
      <c r="BT648" s="2004"/>
      <c r="BU648" s="2004"/>
      <c r="BV648" s="2004"/>
      <c r="BW648" s="2004"/>
      <c r="BX648" s="2004">
        <f t="shared" ref="BX648:BX657" si="30">IF(J786="2 Bedrooms",O786,0)</f>
        <v>0</v>
      </c>
      <c r="BY648" s="2004"/>
      <c r="BZ648" s="2004"/>
      <c r="CA648" s="2004"/>
      <c r="CB648" s="2004"/>
      <c r="CC648" s="2004">
        <f t="shared" ref="CC648:CC657" si="31">IF(J786="3 Bedrooms",O786,0)</f>
        <v>0</v>
      </c>
      <c r="CD648" s="2004"/>
      <c r="CE648" s="2004"/>
      <c r="CF648" s="2004"/>
      <c r="CG648" s="2004"/>
      <c r="CH648" s="2004">
        <f t="shared" ref="CH648:CH657" si="32">IF(J786="4 Bedrooms",O786,0)</f>
        <v>0</v>
      </c>
      <c r="CI648" s="2004"/>
      <c r="CJ648" s="2004"/>
      <c r="CK648" s="2004"/>
      <c r="CL648" s="2004"/>
      <c r="CM648" s="2004">
        <f t="shared" ref="CM648:CM657" si="33">IF(J786="5 Bedrooms",O786,0)</f>
        <v>0</v>
      </c>
      <c r="CN648" s="2004"/>
      <c r="CO648" s="2004"/>
      <c r="CP648" s="2004"/>
      <c r="CQ648" s="2004"/>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58" t="e">
        <f t="shared" si="22"/>
        <v>#VALUE!</v>
      </c>
      <c r="DY648" s="2558"/>
      <c r="DZ648" s="2558"/>
      <c r="EA648" s="2558"/>
      <c r="EB648" s="2558"/>
      <c r="EC648" s="2558" t="e">
        <f t="shared" si="23"/>
        <v>#VALUE!</v>
      </c>
      <c r="ED648" s="2558"/>
      <c r="EE648" s="2558"/>
      <c r="EF648" s="2558"/>
      <c r="EG648" s="2558"/>
      <c r="EH648" s="2558" t="e">
        <f t="shared" si="24"/>
        <v>#VALUE!</v>
      </c>
      <c r="EI648" s="2558"/>
      <c r="EJ648" s="2558"/>
      <c r="EK648" s="2558"/>
      <c r="EL648" s="2558"/>
      <c r="EM648" s="2558" t="e">
        <f t="shared" si="25"/>
        <v>#VALUE!</v>
      </c>
      <c r="EN648" s="2558"/>
      <c r="EO648" s="2558"/>
      <c r="EP648" s="2558"/>
      <c r="EQ648" s="2558"/>
      <c r="ER648" s="2558" t="e">
        <f t="shared" si="26"/>
        <v>#VALUE!</v>
      </c>
      <c r="ES648" s="2558"/>
      <c r="ET648" s="2558"/>
      <c r="EU648" s="2558"/>
      <c r="EV648" s="2558"/>
      <c r="EW648" s="2558" t="e">
        <f t="shared" si="27"/>
        <v>#VALUE!</v>
      </c>
      <c r="EX648" s="2558"/>
      <c r="EY648" s="2558"/>
      <c r="EZ648" s="2558"/>
      <c r="FA648" s="2558"/>
    </row>
    <row r="649" spans="1:157" ht="12.75">
      <c r="B649" s="2159" t="s">
        <v>133</v>
      </c>
      <c r="C649" s="2160"/>
      <c r="D649" s="2160"/>
      <c r="E649" s="2160"/>
      <c r="F649" s="2160"/>
      <c r="G649" s="2160"/>
      <c r="H649" s="2160"/>
      <c r="I649" s="2160"/>
      <c r="J649" s="2160"/>
      <c r="K649" s="2160"/>
      <c r="L649" s="2160"/>
      <c r="M649" s="2160"/>
      <c r="N649" s="2160"/>
      <c r="O649" s="2160"/>
      <c r="P649" s="2160"/>
      <c r="Q649" s="2160"/>
      <c r="R649" s="2160"/>
      <c r="S649" s="2160"/>
      <c r="T649" s="2160"/>
      <c r="U649" s="2160"/>
      <c r="V649" s="2160"/>
      <c r="W649" s="2160"/>
      <c r="X649" s="2160"/>
      <c r="Y649" s="2160"/>
      <c r="Z649" s="2160"/>
      <c r="AA649" s="2160"/>
      <c r="AB649" s="2160"/>
      <c r="AC649" s="2160"/>
      <c r="AD649" s="2160"/>
      <c r="AE649" s="2160"/>
      <c r="AF649" s="2160"/>
      <c r="AG649" s="2160"/>
      <c r="AH649" s="2160"/>
      <c r="AI649" s="2160"/>
      <c r="AJ649" s="2160"/>
      <c r="AK649" s="2160"/>
      <c r="AL649" s="2160"/>
      <c r="AM649" s="2160"/>
      <c r="AN649" s="2162"/>
      <c r="AO649" s="2138">
        <f>SUM(AO637:AR648)</f>
        <v>17257492</v>
      </c>
      <c r="AP649" s="2139"/>
      <c r="AQ649" s="2139"/>
      <c r="AR649" s="2139"/>
      <c r="AS649" s="2140"/>
      <c r="AZ649" s="58"/>
      <c r="BA649" s="58"/>
      <c r="BB649" s="58"/>
      <c r="BC649" s="58"/>
      <c r="BD649" s="58"/>
      <c r="BE649" s="58"/>
      <c r="BF649" s="58"/>
      <c r="BG649" s="58"/>
      <c r="BH649" s="58"/>
      <c r="BI649" s="58"/>
      <c r="BJ649" s="58"/>
      <c r="BK649" s="58"/>
      <c r="BL649" s="58"/>
      <c r="BM649" s="58"/>
      <c r="BN649" s="2005">
        <f t="shared" si="28"/>
        <v>0</v>
      </c>
      <c r="BO649" s="2006"/>
      <c r="BP649" s="2006"/>
      <c r="BQ649" s="2006"/>
      <c r="BR649" s="2007"/>
      <c r="BS649" s="2004">
        <f t="shared" si="29"/>
        <v>0</v>
      </c>
      <c r="BT649" s="2004"/>
      <c r="BU649" s="2004"/>
      <c r="BV649" s="2004"/>
      <c r="BW649" s="2004"/>
      <c r="BX649" s="2004">
        <f t="shared" si="30"/>
        <v>0</v>
      </c>
      <c r="BY649" s="2004"/>
      <c r="BZ649" s="2004"/>
      <c r="CA649" s="2004"/>
      <c r="CB649" s="2004"/>
      <c r="CC649" s="2004">
        <f t="shared" si="31"/>
        <v>0</v>
      </c>
      <c r="CD649" s="2004"/>
      <c r="CE649" s="2004"/>
      <c r="CF649" s="2004"/>
      <c r="CG649" s="2004"/>
      <c r="CH649" s="2004">
        <f t="shared" si="32"/>
        <v>0</v>
      </c>
      <c r="CI649" s="2004"/>
      <c r="CJ649" s="2004"/>
      <c r="CK649" s="2004"/>
      <c r="CL649" s="2004"/>
      <c r="CM649" s="2004">
        <f t="shared" si="33"/>
        <v>0</v>
      </c>
      <c r="CN649" s="2004"/>
      <c r="CO649" s="2004"/>
      <c r="CP649" s="2004"/>
      <c r="CQ649" s="2004"/>
      <c r="CR649" s="265"/>
      <c r="CS649" s="2005">
        <f t="shared" ref="CS649:CS657" si="34">IF(AND(BN649&gt;=1,AH787&gt;=0.1,AH787&lt;=1),O787,0)</f>
        <v>0</v>
      </c>
      <c r="CT649" s="2006"/>
      <c r="CU649" s="2006"/>
      <c r="CV649" s="2006"/>
      <c r="CW649" s="2007"/>
      <c r="CX649" s="2005">
        <f t="shared" ref="CX649:CX657" si="35">IF(AND(BS649&gt;=1,AH787&gt;=0.1,AH787&lt;=1),O787,0)</f>
        <v>0</v>
      </c>
      <c r="CY649" s="2006"/>
      <c r="CZ649" s="2006"/>
      <c r="DA649" s="2006"/>
      <c r="DB649" s="2007"/>
      <c r="DC649" s="2005">
        <f t="shared" ref="DC649:DC657" si="36">IF(AND(BX649&gt;=1,AH787&gt;=0.1,AH787&lt;=1),O787,0)</f>
        <v>0</v>
      </c>
      <c r="DD649" s="2006"/>
      <c r="DE649" s="2006"/>
      <c r="DF649" s="2006"/>
      <c r="DG649" s="2007"/>
      <c r="DH649" s="2005">
        <f t="shared" ref="DH649:DH657" si="37">IF(AND(CC649&gt;=1,AH787&gt;=0.1,AH787&lt;=1),O787,0)</f>
        <v>0</v>
      </c>
      <c r="DI649" s="2006"/>
      <c r="DJ649" s="2006"/>
      <c r="DK649" s="2006"/>
      <c r="DL649" s="2007"/>
      <c r="DM649" s="2005">
        <f t="shared" ref="DM649:DM657" si="38">IF(AND(CH649&gt;=1,AH787&gt;=0.1,AH787&lt;=1),O787,0)</f>
        <v>0</v>
      </c>
      <c r="DN649" s="2006"/>
      <c r="DO649" s="2006"/>
      <c r="DP649" s="2006"/>
      <c r="DQ649" s="2007"/>
      <c r="DR649" s="2005">
        <f t="shared" ref="DR649:DR657" si="39">IF(AND(CM649&gt;=1,AH787&gt;=0.1,AH787&lt;=1),O787,0)</f>
        <v>0</v>
      </c>
      <c r="DS649" s="2006"/>
      <c r="DT649" s="2006"/>
      <c r="DU649" s="2006"/>
      <c r="DV649" s="2007"/>
      <c r="DX649" s="2558" t="e">
        <f t="shared" si="22"/>
        <v>#VALUE!</v>
      </c>
      <c r="DY649" s="2558"/>
      <c r="DZ649" s="2558"/>
      <c r="EA649" s="2558"/>
      <c r="EB649" s="2558"/>
      <c r="EC649" s="2558" t="e">
        <f t="shared" si="23"/>
        <v>#VALUE!</v>
      </c>
      <c r="ED649" s="2558"/>
      <c r="EE649" s="2558"/>
      <c r="EF649" s="2558"/>
      <c r="EG649" s="2558"/>
      <c r="EH649" s="2558" t="e">
        <f t="shared" si="24"/>
        <v>#VALUE!</v>
      </c>
      <c r="EI649" s="2558"/>
      <c r="EJ649" s="2558"/>
      <c r="EK649" s="2558"/>
      <c r="EL649" s="2558"/>
      <c r="EM649" s="2558" t="e">
        <f t="shared" si="25"/>
        <v>#VALUE!</v>
      </c>
      <c r="EN649" s="2558"/>
      <c r="EO649" s="2558"/>
      <c r="EP649" s="2558"/>
      <c r="EQ649" s="2558"/>
      <c r="ER649" s="2558" t="e">
        <f t="shared" si="26"/>
        <v>#VALUE!</v>
      </c>
      <c r="ES649" s="2558"/>
      <c r="ET649" s="2558"/>
      <c r="EU649" s="2558"/>
      <c r="EV649" s="2558"/>
      <c r="EW649" s="2558" t="e">
        <f t="shared" si="27"/>
        <v>#VALUE!</v>
      </c>
      <c r="EX649" s="2558"/>
      <c r="EY649" s="2558"/>
      <c r="EZ649" s="2558"/>
      <c r="FA649" s="2558"/>
    </row>
    <row r="650" spans="1:157" ht="12.75" customHeight="1">
      <c r="B650" s="2159" t="s">
        <v>274</v>
      </c>
      <c r="C650" s="2160"/>
      <c r="D650" s="2160"/>
      <c r="E650" s="2160"/>
      <c r="F650" s="2160"/>
      <c r="G650" s="2160"/>
      <c r="H650" s="2160"/>
      <c r="I650" s="2160"/>
      <c r="J650" s="2160"/>
      <c r="K650" s="2160"/>
      <c r="L650" s="2160"/>
      <c r="M650" s="2160"/>
      <c r="N650" s="2160"/>
      <c r="O650" s="2160"/>
      <c r="P650" s="2160"/>
      <c r="Q650" s="2160"/>
      <c r="R650" s="2160"/>
      <c r="S650" s="2160"/>
      <c r="T650" s="2160"/>
      <c r="U650" s="2160"/>
      <c r="V650" s="2160"/>
      <c r="W650" s="2160"/>
      <c r="X650" s="2160"/>
      <c r="Y650" s="2160"/>
      <c r="Z650" s="2160"/>
      <c r="AA650" s="2160"/>
      <c r="AB650" s="2160"/>
      <c r="AC650" s="2160"/>
      <c r="AD650" s="2160"/>
      <c r="AE650" s="2160"/>
      <c r="AF650" s="2160"/>
      <c r="AG650" s="2160"/>
      <c r="AH650" s="2160"/>
      <c r="AI650" s="2160"/>
      <c r="AJ650" s="2160"/>
      <c r="AK650" s="2160"/>
      <c r="AL650" s="2160"/>
      <c r="AM650" s="2160"/>
      <c r="AN650" s="2162"/>
      <c r="AO650" s="2028">
        <f>7828361-160000+100</f>
        <v>7668461</v>
      </c>
      <c r="AP650" s="2029"/>
      <c r="AQ650" s="2029"/>
      <c r="AR650" s="2029"/>
      <c r="AS650" s="2030"/>
      <c r="AZ650" s="61"/>
      <c r="BA650" s="61"/>
      <c r="BB650" s="61"/>
      <c r="BC650" s="61"/>
      <c r="BD650" s="61"/>
      <c r="BE650" s="61"/>
      <c r="BF650" s="61"/>
      <c r="BG650" s="61"/>
      <c r="BH650" s="61"/>
      <c r="BI650" s="61"/>
      <c r="BJ650" s="61"/>
      <c r="BK650" s="61"/>
      <c r="BL650" s="61"/>
      <c r="BM650" s="61"/>
      <c r="BN650" s="2005">
        <f t="shared" si="28"/>
        <v>0</v>
      </c>
      <c r="BO650" s="2006"/>
      <c r="BP650" s="2006"/>
      <c r="BQ650" s="2006"/>
      <c r="BR650" s="2007"/>
      <c r="BS650" s="2004">
        <f t="shared" si="29"/>
        <v>0</v>
      </c>
      <c r="BT650" s="2004"/>
      <c r="BU650" s="2004"/>
      <c r="BV650" s="2004"/>
      <c r="BW650" s="2004"/>
      <c r="BX650" s="2004">
        <f t="shared" si="30"/>
        <v>0</v>
      </c>
      <c r="BY650" s="2004"/>
      <c r="BZ650" s="2004"/>
      <c r="CA650" s="2004"/>
      <c r="CB650" s="2004"/>
      <c r="CC650" s="2004">
        <f t="shared" si="31"/>
        <v>0</v>
      </c>
      <c r="CD650" s="2004"/>
      <c r="CE650" s="2004"/>
      <c r="CF650" s="2004"/>
      <c r="CG650" s="2004"/>
      <c r="CH650" s="2004">
        <f t="shared" si="32"/>
        <v>0</v>
      </c>
      <c r="CI650" s="2004"/>
      <c r="CJ650" s="2004"/>
      <c r="CK650" s="2004"/>
      <c r="CL650" s="2004"/>
      <c r="CM650" s="2004">
        <f t="shared" si="33"/>
        <v>0</v>
      </c>
      <c r="CN650" s="2004"/>
      <c r="CO650" s="2004"/>
      <c r="CP650" s="2004"/>
      <c r="CQ650" s="2004"/>
      <c r="CR650" s="265"/>
      <c r="CS650" s="2005">
        <f t="shared" si="34"/>
        <v>0</v>
      </c>
      <c r="CT650" s="2006"/>
      <c r="CU650" s="2006"/>
      <c r="CV650" s="2006"/>
      <c r="CW650" s="2007"/>
      <c r="CX650" s="2005">
        <f t="shared" si="35"/>
        <v>0</v>
      </c>
      <c r="CY650" s="2006"/>
      <c r="CZ650" s="2006"/>
      <c r="DA650" s="2006"/>
      <c r="DB650" s="2007"/>
      <c r="DC650" s="2005">
        <f t="shared" si="36"/>
        <v>0</v>
      </c>
      <c r="DD650" s="2006"/>
      <c r="DE650" s="2006"/>
      <c r="DF650" s="2006"/>
      <c r="DG650" s="2007"/>
      <c r="DH650" s="2005">
        <f t="shared" si="37"/>
        <v>0</v>
      </c>
      <c r="DI650" s="2006"/>
      <c r="DJ650" s="2006"/>
      <c r="DK650" s="2006"/>
      <c r="DL650" s="2007"/>
      <c r="DM650" s="2005">
        <f t="shared" si="38"/>
        <v>0</v>
      </c>
      <c r="DN650" s="2006"/>
      <c r="DO650" s="2006"/>
      <c r="DP650" s="2006"/>
      <c r="DQ650" s="2007"/>
      <c r="DR650" s="2005">
        <f t="shared" si="39"/>
        <v>0</v>
      </c>
      <c r="DS650" s="2006"/>
      <c r="DT650" s="2006"/>
      <c r="DU650" s="2006"/>
      <c r="DV650" s="2007"/>
      <c r="DX650" s="2558" t="e">
        <f t="shared" si="22"/>
        <v>#VALUE!</v>
      </c>
      <c r="DY650" s="2558"/>
      <c r="DZ650" s="2558"/>
      <c r="EA650" s="2558"/>
      <c r="EB650" s="2558"/>
      <c r="EC650" s="2558" t="e">
        <f t="shared" si="23"/>
        <v>#VALUE!</v>
      </c>
      <c r="ED650" s="2558"/>
      <c r="EE650" s="2558"/>
      <c r="EF650" s="2558"/>
      <c r="EG650" s="2558"/>
      <c r="EH650" s="2558" t="e">
        <f t="shared" si="24"/>
        <v>#VALUE!</v>
      </c>
      <c r="EI650" s="2558"/>
      <c r="EJ650" s="2558"/>
      <c r="EK650" s="2558"/>
      <c r="EL650" s="2558"/>
      <c r="EM650" s="2558" t="e">
        <f t="shared" si="25"/>
        <v>#VALUE!</v>
      </c>
      <c r="EN650" s="2558"/>
      <c r="EO650" s="2558"/>
      <c r="EP650" s="2558"/>
      <c r="EQ650" s="2558"/>
      <c r="ER650" s="2558" t="e">
        <f t="shared" si="26"/>
        <v>#VALUE!</v>
      </c>
      <c r="ES650" s="2558"/>
      <c r="ET650" s="2558"/>
      <c r="EU650" s="2558"/>
      <c r="EV650" s="2558"/>
      <c r="EW650" s="2558" t="e">
        <f t="shared" si="27"/>
        <v>#VALUE!</v>
      </c>
      <c r="EX650" s="2558"/>
      <c r="EY650" s="2558"/>
      <c r="EZ650" s="2558"/>
      <c r="FA650" s="2558"/>
    </row>
    <row r="651" spans="1:157" ht="12.75" customHeight="1">
      <c r="B651" s="2248" t="s">
        <v>275</v>
      </c>
      <c r="C651" s="2161"/>
      <c r="D651" s="2161"/>
      <c r="E651" s="2161"/>
      <c r="F651" s="2161"/>
      <c r="G651" s="2161"/>
      <c r="H651" s="2161"/>
      <c r="I651" s="2161"/>
      <c r="J651" s="2161"/>
      <c r="K651" s="2161"/>
      <c r="L651" s="2161"/>
      <c r="M651" s="2161"/>
      <c r="N651" s="2161"/>
      <c r="O651" s="2161"/>
      <c r="P651" s="2161"/>
      <c r="Q651" s="2161"/>
      <c r="R651" s="2161"/>
      <c r="S651" s="2161"/>
      <c r="T651" s="2161"/>
      <c r="U651" s="2161"/>
      <c r="V651" s="2161"/>
      <c r="W651" s="2161"/>
      <c r="X651" s="2161"/>
      <c r="Y651" s="2161"/>
      <c r="Z651" s="2161"/>
      <c r="AA651" s="2161"/>
      <c r="AB651" s="2161"/>
      <c r="AC651" s="2161"/>
      <c r="AD651" s="2161"/>
      <c r="AE651" s="2161"/>
      <c r="AF651" s="2161"/>
      <c r="AG651" s="2161"/>
      <c r="AH651" s="2161"/>
      <c r="AI651" s="2161"/>
      <c r="AJ651" s="2161"/>
      <c r="AK651" s="2161"/>
      <c r="AL651" s="2161"/>
      <c r="AM651" s="2161"/>
      <c r="AN651" s="2249"/>
      <c r="AO651" s="2138">
        <f>AO649+AO650</f>
        <v>24925953</v>
      </c>
      <c r="AP651" s="2139"/>
      <c r="AQ651" s="2139"/>
      <c r="AR651" s="2139"/>
      <c r="AS651" s="2140"/>
      <c r="AZ651" s="61"/>
      <c r="BA651" s="61"/>
      <c r="BB651" s="61"/>
      <c r="BC651" s="61"/>
      <c r="BD651" s="61"/>
      <c r="BE651" s="61"/>
      <c r="BF651" s="61"/>
      <c r="BG651" s="61"/>
      <c r="BH651" s="61"/>
      <c r="BI651" s="61"/>
      <c r="BJ651" s="61"/>
      <c r="BK651" s="61"/>
      <c r="BL651" s="61"/>
      <c r="BM651" s="61"/>
      <c r="BN651" s="2005">
        <f t="shared" si="28"/>
        <v>0</v>
      </c>
      <c r="BO651" s="2006"/>
      <c r="BP651" s="2006"/>
      <c r="BQ651" s="2006"/>
      <c r="BR651" s="2007"/>
      <c r="BS651" s="2004">
        <f t="shared" si="29"/>
        <v>0</v>
      </c>
      <c r="BT651" s="2004"/>
      <c r="BU651" s="2004"/>
      <c r="BV651" s="2004"/>
      <c r="BW651" s="2004"/>
      <c r="BX651" s="2004">
        <f t="shared" si="30"/>
        <v>0</v>
      </c>
      <c r="BY651" s="2004"/>
      <c r="BZ651" s="2004"/>
      <c r="CA651" s="2004"/>
      <c r="CB651" s="2004"/>
      <c r="CC651" s="2004">
        <f t="shared" si="31"/>
        <v>0</v>
      </c>
      <c r="CD651" s="2004"/>
      <c r="CE651" s="2004"/>
      <c r="CF651" s="2004"/>
      <c r="CG651" s="2004"/>
      <c r="CH651" s="2004">
        <f t="shared" si="32"/>
        <v>0</v>
      </c>
      <c r="CI651" s="2004"/>
      <c r="CJ651" s="2004"/>
      <c r="CK651" s="2004"/>
      <c r="CL651" s="2004"/>
      <c r="CM651" s="2004">
        <f t="shared" si="33"/>
        <v>0</v>
      </c>
      <c r="CN651" s="2004"/>
      <c r="CO651" s="2004"/>
      <c r="CP651" s="2004"/>
      <c r="CQ651" s="2004"/>
      <c r="CR651" s="265"/>
      <c r="CS651" s="2005">
        <f t="shared" si="34"/>
        <v>0</v>
      </c>
      <c r="CT651" s="2006"/>
      <c r="CU651" s="2006"/>
      <c r="CV651" s="2006"/>
      <c r="CW651" s="2007"/>
      <c r="CX651" s="2005">
        <f t="shared" si="35"/>
        <v>0</v>
      </c>
      <c r="CY651" s="2006"/>
      <c r="CZ651" s="2006"/>
      <c r="DA651" s="2006"/>
      <c r="DB651" s="2007"/>
      <c r="DC651" s="2005">
        <f t="shared" si="36"/>
        <v>0</v>
      </c>
      <c r="DD651" s="2006"/>
      <c r="DE651" s="2006"/>
      <c r="DF651" s="2006"/>
      <c r="DG651" s="2007"/>
      <c r="DH651" s="2005">
        <f t="shared" si="37"/>
        <v>0</v>
      </c>
      <c r="DI651" s="2006"/>
      <c r="DJ651" s="2006"/>
      <c r="DK651" s="2006"/>
      <c r="DL651" s="2007"/>
      <c r="DM651" s="2005">
        <f t="shared" si="38"/>
        <v>0</v>
      </c>
      <c r="DN651" s="2006"/>
      <c r="DO651" s="2006"/>
      <c r="DP651" s="2006"/>
      <c r="DQ651" s="2007"/>
      <c r="DR651" s="2005">
        <f t="shared" si="39"/>
        <v>0</v>
      </c>
      <c r="DS651" s="2006"/>
      <c r="DT651" s="2006"/>
      <c r="DU651" s="2006"/>
      <c r="DV651" s="2007"/>
      <c r="DX651" s="2558" t="e">
        <f t="shared" si="22"/>
        <v>#VALUE!</v>
      </c>
      <c r="DY651" s="2558"/>
      <c r="DZ651" s="2558"/>
      <c r="EA651" s="2558"/>
      <c r="EB651" s="2558"/>
      <c r="EC651" s="2558" t="e">
        <f t="shared" si="23"/>
        <v>#VALUE!</v>
      </c>
      <c r="ED651" s="2558"/>
      <c r="EE651" s="2558"/>
      <c r="EF651" s="2558"/>
      <c r="EG651" s="2558"/>
      <c r="EH651" s="2558" t="e">
        <f t="shared" si="24"/>
        <v>#VALUE!</v>
      </c>
      <c r="EI651" s="2558"/>
      <c r="EJ651" s="2558"/>
      <c r="EK651" s="2558"/>
      <c r="EL651" s="2558"/>
      <c r="EM651" s="2558" t="e">
        <f t="shared" si="25"/>
        <v>#VALUE!</v>
      </c>
      <c r="EN651" s="2558"/>
      <c r="EO651" s="2558"/>
      <c r="EP651" s="2558"/>
      <c r="EQ651" s="2558"/>
      <c r="ER651" s="2558" t="e">
        <f t="shared" si="26"/>
        <v>#VALUE!</v>
      </c>
      <c r="ES651" s="2558"/>
      <c r="ET651" s="2558"/>
      <c r="EU651" s="2558"/>
      <c r="EV651" s="2558"/>
      <c r="EW651" s="2558" t="e">
        <f t="shared" si="27"/>
        <v>#VALUE!</v>
      </c>
      <c r="EX651" s="2558"/>
      <c r="EY651" s="2558"/>
      <c r="EZ651" s="2558"/>
      <c r="FA651" s="2558"/>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8"/>
        <v>0</v>
      </c>
      <c r="BO652" s="2006"/>
      <c r="BP652" s="2006"/>
      <c r="BQ652" s="2006"/>
      <c r="BR652" s="2007"/>
      <c r="BS652" s="2004">
        <f t="shared" si="29"/>
        <v>0</v>
      </c>
      <c r="BT652" s="2004"/>
      <c r="BU652" s="2004"/>
      <c r="BV652" s="2004"/>
      <c r="BW652" s="2004"/>
      <c r="BX652" s="2004">
        <f t="shared" si="30"/>
        <v>0</v>
      </c>
      <c r="BY652" s="2004"/>
      <c r="BZ652" s="2004"/>
      <c r="CA652" s="2004"/>
      <c r="CB652" s="2004"/>
      <c r="CC652" s="2004">
        <f t="shared" si="31"/>
        <v>0</v>
      </c>
      <c r="CD652" s="2004"/>
      <c r="CE652" s="2004"/>
      <c r="CF652" s="2004"/>
      <c r="CG652" s="2004"/>
      <c r="CH652" s="2004">
        <f t="shared" si="32"/>
        <v>0</v>
      </c>
      <c r="CI652" s="2004"/>
      <c r="CJ652" s="2004"/>
      <c r="CK652" s="2004"/>
      <c r="CL652" s="2004"/>
      <c r="CM652" s="2004">
        <f t="shared" si="33"/>
        <v>0</v>
      </c>
      <c r="CN652" s="2004"/>
      <c r="CO652" s="2004"/>
      <c r="CP652" s="2004"/>
      <c r="CQ652" s="2004"/>
      <c r="CR652" s="265"/>
      <c r="CS652" s="2005">
        <f t="shared" si="34"/>
        <v>0</v>
      </c>
      <c r="CT652" s="2006"/>
      <c r="CU652" s="2006"/>
      <c r="CV652" s="2006"/>
      <c r="CW652" s="2007"/>
      <c r="CX652" s="2005">
        <f t="shared" si="35"/>
        <v>0</v>
      </c>
      <c r="CY652" s="2006"/>
      <c r="CZ652" s="2006"/>
      <c r="DA652" s="2006"/>
      <c r="DB652" s="2007"/>
      <c r="DC652" s="2005">
        <f t="shared" si="36"/>
        <v>0</v>
      </c>
      <c r="DD652" s="2006"/>
      <c r="DE652" s="2006"/>
      <c r="DF652" s="2006"/>
      <c r="DG652" s="2007"/>
      <c r="DH652" s="2005">
        <f t="shared" si="37"/>
        <v>0</v>
      </c>
      <c r="DI652" s="2006"/>
      <c r="DJ652" s="2006"/>
      <c r="DK652" s="2006"/>
      <c r="DL652" s="2007"/>
      <c r="DM652" s="2005">
        <f t="shared" si="38"/>
        <v>0</v>
      </c>
      <c r="DN652" s="2006"/>
      <c r="DO652" s="2006"/>
      <c r="DP652" s="2006"/>
      <c r="DQ652" s="2007"/>
      <c r="DR652" s="2005">
        <f t="shared" si="39"/>
        <v>0</v>
      </c>
      <c r="DS652" s="2006"/>
      <c r="DT652" s="2006"/>
      <c r="DU652" s="2006"/>
      <c r="DV652" s="2007"/>
      <c r="DX652" s="2558" t="e">
        <f t="shared" si="22"/>
        <v>#VALUE!</v>
      </c>
      <c r="DY652" s="2558"/>
      <c r="DZ652" s="2558"/>
      <c r="EA652" s="2558"/>
      <c r="EB652" s="2558"/>
      <c r="EC652" s="2558" t="e">
        <f t="shared" si="23"/>
        <v>#VALUE!</v>
      </c>
      <c r="ED652" s="2558"/>
      <c r="EE652" s="2558"/>
      <c r="EF652" s="2558"/>
      <c r="EG652" s="2558"/>
      <c r="EH652" s="2558" t="e">
        <f t="shared" si="24"/>
        <v>#VALUE!</v>
      </c>
      <c r="EI652" s="2558"/>
      <c r="EJ652" s="2558"/>
      <c r="EK652" s="2558"/>
      <c r="EL652" s="2558"/>
      <c r="EM652" s="2558" t="e">
        <f t="shared" si="25"/>
        <v>#VALUE!</v>
      </c>
      <c r="EN652" s="2558"/>
      <c r="EO652" s="2558"/>
      <c r="EP652" s="2558"/>
      <c r="EQ652" s="2558"/>
      <c r="ER652" s="2558" t="e">
        <f t="shared" si="26"/>
        <v>#VALUE!</v>
      </c>
      <c r="ES652" s="2558"/>
      <c r="ET652" s="2558"/>
      <c r="EU652" s="2558"/>
      <c r="EV652" s="2558"/>
      <c r="EW652" s="2558" t="e">
        <f t="shared" si="27"/>
        <v>#VALUE!</v>
      </c>
      <c r="EX652" s="2558"/>
      <c r="EY652" s="2558"/>
      <c r="EZ652" s="2558"/>
      <c r="FA652" s="2558"/>
    </row>
    <row r="653" spans="1:157" ht="12.75">
      <c r="A653" s="87" t="s">
        <v>117</v>
      </c>
      <c r="B653" s="12" t="s">
        <v>497</v>
      </c>
      <c r="G653" s="2073" t="str">
        <f>C637</f>
        <v>Conventional Perm Loan (BBVA)</v>
      </c>
      <c r="H653" s="2073"/>
      <c r="I653" s="2073"/>
      <c r="J653" s="2073"/>
      <c r="K653" s="2073"/>
      <c r="L653" s="2073"/>
      <c r="M653" s="2073"/>
      <c r="N653" s="2073"/>
      <c r="O653" s="2073"/>
      <c r="P653" s="2073"/>
      <c r="Q653" s="2073"/>
      <c r="R653" s="2073"/>
      <c r="S653" s="14"/>
      <c r="T653" s="87" t="s">
        <v>118</v>
      </c>
      <c r="U653" s="12" t="s">
        <v>497</v>
      </c>
      <c r="Z653" s="2073" t="str">
        <f>C638</f>
        <v>MHP</v>
      </c>
      <c r="AA653" s="2073"/>
      <c r="AB653" s="2073"/>
      <c r="AC653" s="2073"/>
      <c r="AD653" s="2073"/>
      <c r="AE653" s="2073"/>
      <c r="AF653" s="2073"/>
      <c r="AG653" s="2073"/>
      <c r="AH653" s="2073"/>
      <c r="AI653" s="2073"/>
      <c r="AJ653" s="2073"/>
      <c r="AK653" s="2073"/>
      <c r="AZ653" s="61"/>
      <c r="BA653" s="61"/>
      <c r="BB653" s="61"/>
      <c r="BC653" s="61"/>
      <c r="BD653" s="61"/>
      <c r="BE653" s="61"/>
      <c r="BF653" s="61"/>
      <c r="BG653" s="61"/>
      <c r="BH653" s="61"/>
      <c r="BI653" s="61"/>
      <c r="BJ653" s="61"/>
      <c r="BK653" s="61"/>
      <c r="BL653" s="61"/>
      <c r="BM653" s="61"/>
      <c r="BN653" s="2005">
        <f t="shared" si="28"/>
        <v>0</v>
      </c>
      <c r="BO653" s="2006"/>
      <c r="BP653" s="2006"/>
      <c r="BQ653" s="2006"/>
      <c r="BR653" s="2007"/>
      <c r="BS653" s="2004">
        <f t="shared" si="29"/>
        <v>0</v>
      </c>
      <c r="BT653" s="2004"/>
      <c r="BU653" s="2004"/>
      <c r="BV653" s="2004"/>
      <c r="BW653" s="2004"/>
      <c r="BX653" s="2004">
        <f t="shared" si="30"/>
        <v>0</v>
      </c>
      <c r="BY653" s="2004"/>
      <c r="BZ653" s="2004"/>
      <c r="CA653" s="2004"/>
      <c r="CB653" s="2004"/>
      <c r="CC653" s="2004">
        <f t="shared" si="31"/>
        <v>0</v>
      </c>
      <c r="CD653" s="2004"/>
      <c r="CE653" s="2004"/>
      <c r="CF653" s="2004"/>
      <c r="CG653" s="2004"/>
      <c r="CH653" s="2004">
        <f t="shared" si="32"/>
        <v>0</v>
      </c>
      <c r="CI653" s="2004"/>
      <c r="CJ653" s="2004"/>
      <c r="CK653" s="2004"/>
      <c r="CL653" s="2004"/>
      <c r="CM653" s="2004">
        <f t="shared" si="33"/>
        <v>0</v>
      </c>
      <c r="CN653" s="2004"/>
      <c r="CO653" s="2004"/>
      <c r="CP653" s="2004"/>
      <c r="CQ653" s="2004"/>
      <c r="CR653" s="265"/>
      <c r="CS653" s="2005">
        <f t="shared" si="34"/>
        <v>0</v>
      </c>
      <c r="CT653" s="2006"/>
      <c r="CU653" s="2006"/>
      <c r="CV653" s="2006"/>
      <c r="CW653" s="2007"/>
      <c r="CX653" s="2005">
        <f t="shared" si="35"/>
        <v>0</v>
      </c>
      <c r="CY653" s="2006"/>
      <c r="CZ653" s="2006"/>
      <c r="DA653" s="2006"/>
      <c r="DB653" s="2007"/>
      <c r="DC653" s="2005">
        <f t="shared" si="36"/>
        <v>0</v>
      </c>
      <c r="DD653" s="2006"/>
      <c r="DE653" s="2006"/>
      <c r="DF653" s="2006"/>
      <c r="DG653" s="2007"/>
      <c r="DH653" s="2005">
        <f t="shared" si="37"/>
        <v>0</v>
      </c>
      <c r="DI653" s="2006"/>
      <c r="DJ653" s="2006"/>
      <c r="DK653" s="2006"/>
      <c r="DL653" s="2007"/>
      <c r="DM653" s="2005">
        <f t="shared" si="38"/>
        <v>0</v>
      </c>
      <c r="DN653" s="2006"/>
      <c r="DO653" s="2006"/>
      <c r="DP653" s="2006"/>
      <c r="DQ653" s="2007"/>
      <c r="DR653" s="2005">
        <f t="shared" si="39"/>
        <v>0</v>
      </c>
      <c r="DS653" s="2006"/>
      <c r="DT653" s="2006"/>
      <c r="DU653" s="2006"/>
      <c r="DV653" s="2007"/>
      <c r="DX653" s="2558" t="e">
        <f t="shared" si="22"/>
        <v>#VALUE!</v>
      </c>
      <c r="DY653" s="2558"/>
      <c r="DZ653" s="2558"/>
      <c r="EA653" s="2558"/>
      <c r="EB653" s="2558"/>
      <c r="EC653" s="2558" t="e">
        <f t="shared" si="23"/>
        <v>#VALUE!</v>
      </c>
      <c r="ED653" s="2558"/>
      <c r="EE653" s="2558"/>
      <c r="EF653" s="2558"/>
      <c r="EG653" s="2558"/>
      <c r="EH653" s="2558" t="e">
        <f t="shared" si="24"/>
        <v>#VALUE!</v>
      </c>
      <c r="EI653" s="2558"/>
      <c r="EJ653" s="2558"/>
      <c r="EK653" s="2558"/>
      <c r="EL653" s="2558"/>
      <c r="EM653" s="2558" t="e">
        <f t="shared" si="25"/>
        <v>#VALUE!</v>
      </c>
      <c r="EN653" s="2558"/>
      <c r="EO653" s="2558"/>
      <c r="EP653" s="2558"/>
      <c r="EQ653" s="2558"/>
      <c r="ER653" s="2558" t="e">
        <f t="shared" si="26"/>
        <v>#VALUE!</v>
      </c>
      <c r="ES653" s="2558"/>
      <c r="ET653" s="2558"/>
      <c r="EU653" s="2558"/>
      <c r="EV653" s="2558"/>
      <c r="EW653" s="2558" t="e">
        <f t="shared" si="27"/>
        <v>#VALUE!</v>
      </c>
      <c r="EX653" s="2558"/>
      <c r="EY653" s="2558"/>
      <c r="EZ653" s="2558"/>
      <c r="FA653" s="2558"/>
    </row>
    <row r="654" spans="1:157" ht="12.75">
      <c r="A654" s="35"/>
      <c r="B654" s="12" t="s">
        <v>90</v>
      </c>
      <c r="G654" s="2031" t="str">
        <f>G579</f>
        <v>202 N Hunter Street, Suite 200</v>
      </c>
      <c r="H654" s="2031"/>
      <c r="I654" s="2031"/>
      <c r="J654" s="2031"/>
      <c r="K654" s="2031"/>
      <c r="L654" s="2031"/>
      <c r="M654" s="2031"/>
      <c r="N654" s="2031"/>
      <c r="O654" s="2031"/>
      <c r="P654" s="2031"/>
      <c r="Q654" s="2031"/>
      <c r="R654" s="2031"/>
      <c r="S654" s="14"/>
      <c r="T654" s="35"/>
      <c r="U654" s="12" t="s">
        <v>90</v>
      </c>
      <c r="Z654" s="2060" t="s">
        <v>2544</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05">
        <f t="shared" si="28"/>
        <v>0</v>
      </c>
      <c r="BO654" s="2006"/>
      <c r="BP654" s="2006"/>
      <c r="BQ654" s="2006"/>
      <c r="BR654" s="2007"/>
      <c r="BS654" s="2004">
        <f t="shared" si="29"/>
        <v>0</v>
      </c>
      <c r="BT654" s="2004"/>
      <c r="BU654" s="2004"/>
      <c r="BV654" s="2004"/>
      <c r="BW654" s="2004"/>
      <c r="BX654" s="2004">
        <f t="shared" si="30"/>
        <v>0</v>
      </c>
      <c r="BY654" s="2004"/>
      <c r="BZ654" s="2004"/>
      <c r="CA654" s="2004"/>
      <c r="CB654" s="2004"/>
      <c r="CC654" s="2004">
        <f t="shared" si="31"/>
        <v>0</v>
      </c>
      <c r="CD654" s="2004"/>
      <c r="CE654" s="2004"/>
      <c r="CF654" s="2004"/>
      <c r="CG654" s="2004"/>
      <c r="CH654" s="2004">
        <f t="shared" si="32"/>
        <v>0</v>
      </c>
      <c r="CI654" s="2004"/>
      <c r="CJ654" s="2004"/>
      <c r="CK654" s="2004"/>
      <c r="CL654" s="2004"/>
      <c r="CM654" s="2004">
        <f t="shared" si="33"/>
        <v>0</v>
      </c>
      <c r="CN654" s="2004"/>
      <c r="CO654" s="2004"/>
      <c r="CP654" s="2004"/>
      <c r="CQ654" s="2004"/>
      <c r="CR654" s="265"/>
      <c r="CS654" s="2005">
        <f t="shared" si="34"/>
        <v>0</v>
      </c>
      <c r="CT654" s="2006"/>
      <c r="CU654" s="2006"/>
      <c r="CV654" s="2006"/>
      <c r="CW654" s="2007"/>
      <c r="CX654" s="2005">
        <f t="shared" si="35"/>
        <v>0</v>
      </c>
      <c r="CY654" s="2006"/>
      <c r="CZ654" s="2006"/>
      <c r="DA654" s="2006"/>
      <c r="DB654" s="2007"/>
      <c r="DC654" s="2005">
        <f t="shared" si="36"/>
        <v>0</v>
      </c>
      <c r="DD654" s="2006"/>
      <c r="DE654" s="2006"/>
      <c r="DF654" s="2006"/>
      <c r="DG654" s="2007"/>
      <c r="DH654" s="2005">
        <f t="shared" si="37"/>
        <v>0</v>
      </c>
      <c r="DI654" s="2006"/>
      <c r="DJ654" s="2006"/>
      <c r="DK654" s="2006"/>
      <c r="DL654" s="2007"/>
      <c r="DM654" s="2005">
        <f t="shared" si="38"/>
        <v>0</v>
      </c>
      <c r="DN654" s="2006"/>
      <c r="DO654" s="2006"/>
      <c r="DP654" s="2006"/>
      <c r="DQ654" s="2007"/>
      <c r="DR654" s="2005">
        <f t="shared" si="39"/>
        <v>0</v>
      </c>
      <c r="DS654" s="2006"/>
      <c r="DT654" s="2006"/>
      <c r="DU654" s="2006"/>
      <c r="DV654" s="2007"/>
      <c r="DX654" s="2558" t="e">
        <f t="shared" si="22"/>
        <v>#VALUE!</v>
      </c>
      <c r="DY654" s="2558"/>
      <c r="DZ654" s="2558"/>
      <c r="EA654" s="2558"/>
      <c r="EB654" s="2558"/>
      <c r="EC654" s="2558" t="e">
        <f t="shared" si="23"/>
        <v>#VALUE!</v>
      </c>
      <c r="ED654" s="2558"/>
      <c r="EE654" s="2558"/>
      <c r="EF654" s="2558"/>
      <c r="EG654" s="2558"/>
      <c r="EH654" s="2558" t="e">
        <f t="shared" si="24"/>
        <v>#VALUE!</v>
      </c>
      <c r="EI654" s="2558"/>
      <c r="EJ654" s="2558"/>
      <c r="EK654" s="2558"/>
      <c r="EL654" s="2558"/>
      <c r="EM654" s="2558" t="e">
        <f t="shared" si="25"/>
        <v>#VALUE!</v>
      </c>
      <c r="EN654" s="2558"/>
      <c r="EO654" s="2558"/>
      <c r="EP654" s="2558"/>
      <c r="EQ654" s="2558"/>
      <c r="ER654" s="2558" t="e">
        <f t="shared" si="26"/>
        <v>#VALUE!</v>
      </c>
      <c r="ES654" s="2558"/>
      <c r="ET654" s="2558"/>
      <c r="EU654" s="2558"/>
      <c r="EV654" s="2558"/>
      <c r="EW654" s="2558" t="e">
        <f t="shared" si="27"/>
        <v>#VALUE!</v>
      </c>
      <c r="EX654" s="2558"/>
      <c r="EY654" s="2558"/>
      <c r="EZ654" s="2558"/>
      <c r="FA654" s="2558"/>
    </row>
    <row r="655" spans="1:157" ht="12.75">
      <c r="A655" s="35"/>
      <c r="B655" s="12" t="s">
        <v>616</v>
      </c>
      <c r="G655" s="2031" t="str">
        <f>G580</f>
        <v>Stockton, CA  95202</v>
      </c>
      <c r="H655" s="2031"/>
      <c r="I655" s="2031"/>
      <c r="J655" s="2031"/>
      <c r="K655" s="2031"/>
      <c r="L655" s="2031"/>
      <c r="M655" s="2031"/>
      <c r="N655" s="2031"/>
      <c r="O655" s="2031"/>
      <c r="P655" s="2031"/>
      <c r="Q655" s="2031"/>
      <c r="R655" s="2031"/>
      <c r="S655" s="88"/>
      <c r="T655" s="35"/>
      <c r="U655" s="12" t="s">
        <v>616</v>
      </c>
      <c r="Z655" s="2070" t="s">
        <v>2545</v>
      </c>
      <c r="AA655" s="2071"/>
      <c r="AB655" s="2071"/>
      <c r="AC655" s="2071"/>
      <c r="AD655" s="2071"/>
      <c r="AE655" s="2071"/>
      <c r="AF655" s="2071"/>
      <c r="AG655" s="2071"/>
      <c r="AH655" s="2071"/>
      <c r="AI655" s="2071"/>
      <c r="AJ655" s="2071"/>
      <c r="AK655" s="2071"/>
      <c r="AZ655" s="61"/>
      <c r="BA655" s="61"/>
      <c r="BB655" s="61"/>
      <c r="BC655" s="61"/>
      <c r="BD655" s="61"/>
      <c r="BE655" s="61"/>
      <c r="BF655" s="61"/>
      <c r="BG655" s="61"/>
      <c r="BH655" s="61"/>
      <c r="BI655" s="61"/>
      <c r="BJ655" s="61"/>
      <c r="BK655" s="61"/>
      <c r="BL655" s="61"/>
      <c r="BM655" s="61"/>
      <c r="BN655" s="2005">
        <f t="shared" si="28"/>
        <v>0</v>
      </c>
      <c r="BO655" s="2006"/>
      <c r="BP655" s="2006"/>
      <c r="BQ655" s="2006"/>
      <c r="BR655" s="2007"/>
      <c r="BS655" s="2004">
        <f t="shared" si="29"/>
        <v>0</v>
      </c>
      <c r="BT655" s="2004"/>
      <c r="BU655" s="2004"/>
      <c r="BV655" s="2004"/>
      <c r="BW655" s="2004"/>
      <c r="BX655" s="2004">
        <f t="shared" si="30"/>
        <v>0</v>
      </c>
      <c r="BY655" s="2004"/>
      <c r="BZ655" s="2004"/>
      <c r="CA655" s="2004"/>
      <c r="CB655" s="2004"/>
      <c r="CC655" s="2004">
        <f t="shared" si="31"/>
        <v>0</v>
      </c>
      <c r="CD655" s="2004"/>
      <c r="CE655" s="2004"/>
      <c r="CF655" s="2004"/>
      <c r="CG655" s="2004"/>
      <c r="CH655" s="2004">
        <f t="shared" si="32"/>
        <v>0</v>
      </c>
      <c r="CI655" s="2004"/>
      <c r="CJ655" s="2004"/>
      <c r="CK655" s="2004"/>
      <c r="CL655" s="2004"/>
      <c r="CM655" s="2004">
        <f t="shared" si="33"/>
        <v>0</v>
      </c>
      <c r="CN655" s="2004"/>
      <c r="CO655" s="2004"/>
      <c r="CP655" s="2004"/>
      <c r="CQ655" s="2004"/>
      <c r="CR655" s="265"/>
      <c r="CS655" s="2005">
        <f t="shared" si="34"/>
        <v>0</v>
      </c>
      <c r="CT655" s="2006"/>
      <c r="CU655" s="2006"/>
      <c r="CV655" s="2006"/>
      <c r="CW655" s="2007"/>
      <c r="CX655" s="2005">
        <f t="shared" si="35"/>
        <v>0</v>
      </c>
      <c r="CY655" s="2006"/>
      <c r="CZ655" s="2006"/>
      <c r="DA655" s="2006"/>
      <c r="DB655" s="2007"/>
      <c r="DC655" s="2005">
        <f t="shared" si="36"/>
        <v>0</v>
      </c>
      <c r="DD655" s="2006"/>
      <c r="DE655" s="2006"/>
      <c r="DF655" s="2006"/>
      <c r="DG655" s="2007"/>
      <c r="DH655" s="2005">
        <f t="shared" si="37"/>
        <v>0</v>
      </c>
      <c r="DI655" s="2006"/>
      <c r="DJ655" s="2006"/>
      <c r="DK655" s="2006"/>
      <c r="DL655" s="2007"/>
      <c r="DM655" s="2005">
        <f t="shared" si="38"/>
        <v>0</v>
      </c>
      <c r="DN655" s="2006"/>
      <c r="DO655" s="2006"/>
      <c r="DP655" s="2006"/>
      <c r="DQ655" s="2007"/>
      <c r="DR655" s="2005">
        <f t="shared" si="39"/>
        <v>0</v>
      </c>
      <c r="DS655" s="2006"/>
      <c r="DT655" s="2006"/>
      <c r="DU655" s="2006"/>
      <c r="DV655" s="2007"/>
      <c r="DX655" s="2558" t="e">
        <f t="shared" si="22"/>
        <v>#VALUE!</v>
      </c>
      <c r="DY655" s="2558"/>
      <c r="DZ655" s="2558"/>
      <c r="EA655" s="2558"/>
      <c r="EB655" s="2558"/>
      <c r="EC655" s="2558" t="e">
        <f t="shared" si="23"/>
        <v>#VALUE!</v>
      </c>
      <c r="ED655" s="2558"/>
      <c r="EE655" s="2558"/>
      <c r="EF655" s="2558"/>
      <c r="EG655" s="2558"/>
      <c r="EH655" s="2558" t="e">
        <f t="shared" si="24"/>
        <v>#VALUE!</v>
      </c>
      <c r="EI655" s="2558"/>
      <c r="EJ655" s="2558"/>
      <c r="EK655" s="2558"/>
      <c r="EL655" s="2558"/>
      <c r="EM655" s="2558" t="e">
        <f t="shared" si="25"/>
        <v>#VALUE!</v>
      </c>
      <c r="EN655" s="2558"/>
      <c r="EO655" s="2558"/>
      <c r="EP655" s="2558"/>
      <c r="EQ655" s="2558"/>
      <c r="ER655" s="2558" t="e">
        <f t="shared" si="26"/>
        <v>#VALUE!</v>
      </c>
      <c r="ES655" s="2558"/>
      <c r="ET655" s="2558"/>
      <c r="EU655" s="2558"/>
      <c r="EV655" s="2558"/>
      <c r="EW655" s="2558" t="e">
        <f t="shared" si="27"/>
        <v>#VALUE!</v>
      </c>
      <c r="EX655" s="2558"/>
      <c r="EY655" s="2558"/>
      <c r="EZ655" s="2558"/>
      <c r="FA655" s="2558"/>
    </row>
    <row r="656" spans="1:157" ht="12.75">
      <c r="A656" s="35"/>
      <c r="B656" s="12" t="s">
        <v>17</v>
      </c>
      <c r="G656" s="2031" t="str">
        <f>G581</f>
        <v>John Chan</v>
      </c>
      <c r="H656" s="2031"/>
      <c r="I656" s="2031"/>
      <c r="J656" s="2031"/>
      <c r="K656" s="2031"/>
      <c r="L656" s="2031"/>
      <c r="M656" s="2031"/>
      <c r="N656" s="2031"/>
      <c r="O656" s="2031"/>
      <c r="P656" s="2031"/>
      <c r="Q656" s="2031"/>
      <c r="R656" s="2031"/>
      <c r="S656" s="14"/>
      <c r="T656" s="35"/>
      <c r="U656" s="12" t="s">
        <v>17</v>
      </c>
      <c r="Z656" s="2070" t="s">
        <v>2591</v>
      </c>
      <c r="AA656" s="2071"/>
      <c r="AB656" s="2071"/>
      <c r="AC656" s="2071"/>
      <c r="AD656" s="2071"/>
      <c r="AE656" s="2071"/>
      <c r="AF656" s="2071"/>
      <c r="AG656" s="2071"/>
      <c r="AH656" s="2071"/>
      <c r="AI656" s="2071"/>
      <c r="AJ656" s="2071"/>
      <c r="AK656" s="2071"/>
      <c r="AZ656" s="61"/>
      <c r="BA656" s="61"/>
      <c r="BB656" s="61"/>
      <c r="BC656" s="61"/>
      <c r="BD656" s="61"/>
      <c r="BE656" s="61"/>
      <c r="BF656" s="61"/>
      <c r="BG656" s="61"/>
      <c r="BH656" s="61"/>
      <c r="BI656" s="61"/>
      <c r="BJ656" s="61"/>
      <c r="BK656" s="61"/>
      <c r="BL656" s="61"/>
      <c r="BM656" s="61"/>
      <c r="BN656" s="2005">
        <f t="shared" si="28"/>
        <v>0</v>
      </c>
      <c r="BO656" s="2006"/>
      <c r="BP656" s="2006"/>
      <c r="BQ656" s="2006"/>
      <c r="BR656" s="2007"/>
      <c r="BS656" s="2004">
        <f t="shared" si="29"/>
        <v>0</v>
      </c>
      <c r="BT656" s="2004"/>
      <c r="BU656" s="2004"/>
      <c r="BV656" s="2004"/>
      <c r="BW656" s="2004"/>
      <c r="BX656" s="2004">
        <f t="shared" si="30"/>
        <v>0</v>
      </c>
      <c r="BY656" s="2004"/>
      <c r="BZ656" s="2004"/>
      <c r="CA656" s="2004"/>
      <c r="CB656" s="2004"/>
      <c r="CC656" s="2004">
        <f t="shared" si="31"/>
        <v>0</v>
      </c>
      <c r="CD656" s="2004"/>
      <c r="CE656" s="2004"/>
      <c r="CF656" s="2004"/>
      <c r="CG656" s="2004"/>
      <c r="CH656" s="2004">
        <f t="shared" si="32"/>
        <v>0</v>
      </c>
      <c r="CI656" s="2004"/>
      <c r="CJ656" s="2004"/>
      <c r="CK656" s="2004"/>
      <c r="CL656" s="2004"/>
      <c r="CM656" s="2004">
        <f t="shared" si="33"/>
        <v>0</v>
      </c>
      <c r="CN656" s="2004"/>
      <c r="CO656" s="2004"/>
      <c r="CP656" s="2004"/>
      <c r="CQ656" s="2004"/>
      <c r="CR656" s="265"/>
      <c r="CS656" s="2005">
        <f t="shared" si="34"/>
        <v>0</v>
      </c>
      <c r="CT656" s="2006"/>
      <c r="CU656" s="2006"/>
      <c r="CV656" s="2006"/>
      <c r="CW656" s="2007"/>
      <c r="CX656" s="2005">
        <f t="shared" si="35"/>
        <v>0</v>
      </c>
      <c r="CY656" s="2006"/>
      <c r="CZ656" s="2006"/>
      <c r="DA656" s="2006"/>
      <c r="DB656" s="2007"/>
      <c r="DC656" s="2005">
        <f t="shared" si="36"/>
        <v>0</v>
      </c>
      <c r="DD656" s="2006"/>
      <c r="DE656" s="2006"/>
      <c r="DF656" s="2006"/>
      <c r="DG656" s="2007"/>
      <c r="DH656" s="2005">
        <f t="shared" si="37"/>
        <v>0</v>
      </c>
      <c r="DI656" s="2006"/>
      <c r="DJ656" s="2006"/>
      <c r="DK656" s="2006"/>
      <c r="DL656" s="2007"/>
      <c r="DM656" s="2005">
        <f t="shared" si="38"/>
        <v>0</v>
      </c>
      <c r="DN656" s="2006"/>
      <c r="DO656" s="2006"/>
      <c r="DP656" s="2006"/>
      <c r="DQ656" s="2007"/>
      <c r="DR656" s="2005">
        <f t="shared" si="39"/>
        <v>0</v>
      </c>
      <c r="DS656" s="2006"/>
      <c r="DT656" s="2006"/>
      <c r="DU656" s="2006"/>
      <c r="DV656" s="2007"/>
      <c r="DX656" s="2558" t="e">
        <f t="shared" si="22"/>
        <v>#VALUE!</v>
      </c>
      <c r="DY656" s="2558"/>
      <c r="DZ656" s="2558"/>
      <c r="EA656" s="2558"/>
      <c r="EB656" s="2558"/>
      <c r="EC656" s="2558" t="e">
        <f t="shared" si="23"/>
        <v>#VALUE!</v>
      </c>
      <c r="ED656" s="2558"/>
      <c r="EE656" s="2558"/>
      <c r="EF656" s="2558"/>
      <c r="EG656" s="2558"/>
      <c r="EH656" s="2558" t="e">
        <f t="shared" si="24"/>
        <v>#VALUE!</v>
      </c>
      <c r="EI656" s="2558"/>
      <c r="EJ656" s="2558"/>
      <c r="EK656" s="2558"/>
      <c r="EL656" s="2558"/>
      <c r="EM656" s="2558" t="e">
        <f t="shared" si="25"/>
        <v>#VALUE!</v>
      </c>
      <c r="EN656" s="2558"/>
      <c r="EO656" s="2558"/>
      <c r="EP656" s="2558"/>
      <c r="EQ656" s="2558"/>
      <c r="ER656" s="2558" t="e">
        <f t="shared" si="26"/>
        <v>#VALUE!</v>
      </c>
      <c r="ES656" s="2558"/>
      <c r="ET656" s="2558"/>
      <c r="EU656" s="2558"/>
      <c r="EV656" s="2558"/>
      <c r="EW656" s="2558" t="e">
        <f t="shared" si="27"/>
        <v>#VALUE!</v>
      </c>
      <c r="EX656" s="2558"/>
      <c r="EY656" s="2558"/>
      <c r="EZ656" s="2558"/>
      <c r="FA656" s="2558"/>
    </row>
    <row r="657" spans="1:157" ht="12.75">
      <c r="A657" s="35"/>
      <c r="B657" s="12" t="s">
        <v>326</v>
      </c>
      <c r="G657" s="2086" t="str">
        <f>G582</f>
        <v>(209) 471-4829</v>
      </c>
      <c r="H657" s="2086"/>
      <c r="I657" s="2086"/>
      <c r="J657" s="2086"/>
      <c r="K657" s="2086"/>
      <c r="L657" s="2086"/>
      <c r="O657" s="137" t="s">
        <v>211</v>
      </c>
      <c r="P657" s="2122"/>
      <c r="Q657" s="2122"/>
      <c r="R657" s="2122"/>
      <c r="S657" s="16"/>
      <c r="T657" s="35"/>
      <c r="U657" s="12" t="s">
        <v>326</v>
      </c>
      <c r="Z657" s="2172" t="s">
        <v>2543</v>
      </c>
      <c r="AA657" s="2086"/>
      <c r="AB657" s="2086"/>
      <c r="AC657" s="2086"/>
      <c r="AD657" s="2086"/>
      <c r="AE657" s="2086"/>
      <c r="AH657" s="137" t="s">
        <v>211</v>
      </c>
      <c r="AI657" s="2122"/>
      <c r="AJ657" s="2122"/>
      <c r="AK657" s="2122"/>
      <c r="AZ657" s="61"/>
      <c r="BA657" s="61"/>
      <c r="BB657" s="61"/>
      <c r="BC657" s="61"/>
      <c r="BD657" s="61"/>
      <c r="BE657" s="61"/>
      <c r="BF657" s="61"/>
      <c r="BG657" s="61"/>
      <c r="BH657" s="61"/>
      <c r="BI657" s="61"/>
      <c r="BJ657" s="61"/>
      <c r="BK657" s="61"/>
      <c r="BL657" s="61"/>
      <c r="BM657" s="61"/>
      <c r="BN657" s="2005">
        <f t="shared" si="28"/>
        <v>0</v>
      </c>
      <c r="BO657" s="2006"/>
      <c r="BP657" s="2006"/>
      <c r="BQ657" s="2006"/>
      <c r="BR657" s="2007"/>
      <c r="BS657" s="2004">
        <f t="shared" si="29"/>
        <v>0</v>
      </c>
      <c r="BT657" s="2004"/>
      <c r="BU657" s="2004"/>
      <c r="BV657" s="2004"/>
      <c r="BW657" s="2004"/>
      <c r="BX657" s="2004">
        <f t="shared" si="30"/>
        <v>0</v>
      </c>
      <c r="BY657" s="2004"/>
      <c r="BZ657" s="2004"/>
      <c r="CA657" s="2004"/>
      <c r="CB657" s="2004"/>
      <c r="CC657" s="2004">
        <f t="shared" si="31"/>
        <v>0</v>
      </c>
      <c r="CD657" s="2004"/>
      <c r="CE657" s="2004"/>
      <c r="CF657" s="2004"/>
      <c r="CG657" s="2004"/>
      <c r="CH657" s="2004">
        <f t="shared" si="32"/>
        <v>0</v>
      </c>
      <c r="CI657" s="2004"/>
      <c r="CJ657" s="2004"/>
      <c r="CK657" s="2004"/>
      <c r="CL657" s="2004"/>
      <c r="CM657" s="2004">
        <f t="shared" si="33"/>
        <v>0</v>
      </c>
      <c r="CN657" s="2004"/>
      <c r="CO657" s="2004"/>
      <c r="CP657" s="2004"/>
      <c r="CQ657" s="2004"/>
      <c r="CR657" s="265"/>
      <c r="CS657" s="2005">
        <f t="shared" si="34"/>
        <v>0</v>
      </c>
      <c r="CT657" s="2006"/>
      <c r="CU657" s="2006"/>
      <c r="CV657" s="2006"/>
      <c r="CW657" s="2007"/>
      <c r="CX657" s="2005">
        <f t="shared" si="35"/>
        <v>0</v>
      </c>
      <c r="CY657" s="2006"/>
      <c r="CZ657" s="2006"/>
      <c r="DA657" s="2006"/>
      <c r="DB657" s="2007"/>
      <c r="DC657" s="2005">
        <f t="shared" si="36"/>
        <v>0</v>
      </c>
      <c r="DD657" s="2006"/>
      <c r="DE657" s="2006"/>
      <c r="DF657" s="2006"/>
      <c r="DG657" s="2007"/>
      <c r="DH657" s="2005">
        <f t="shared" si="37"/>
        <v>0</v>
      </c>
      <c r="DI657" s="2006"/>
      <c r="DJ657" s="2006"/>
      <c r="DK657" s="2006"/>
      <c r="DL657" s="2007"/>
      <c r="DM657" s="2005">
        <f t="shared" si="38"/>
        <v>0</v>
      </c>
      <c r="DN657" s="2006"/>
      <c r="DO657" s="2006"/>
      <c r="DP657" s="2006"/>
      <c r="DQ657" s="2007"/>
      <c r="DR657" s="2005">
        <f t="shared" si="39"/>
        <v>0</v>
      </c>
      <c r="DS657" s="2006"/>
      <c r="DT657" s="2006"/>
      <c r="DU657" s="2006"/>
      <c r="DV657" s="2007"/>
      <c r="DX657" s="2558" t="e">
        <f t="shared" si="22"/>
        <v>#VALUE!</v>
      </c>
      <c r="DY657" s="2558"/>
      <c r="DZ657" s="2558"/>
      <c r="EA657" s="2558"/>
      <c r="EB657" s="2558"/>
      <c r="EC657" s="2558" t="e">
        <f t="shared" si="23"/>
        <v>#VALUE!</v>
      </c>
      <c r="ED657" s="2558"/>
      <c r="EE657" s="2558"/>
      <c r="EF657" s="2558"/>
      <c r="EG657" s="2558"/>
      <c r="EH657" s="2558" t="e">
        <f t="shared" si="24"/>
        <v>#VALUE!</v>
      </c>
      <c r="EI657" s="2558"/>
      <c r="EJ657" s="2558"/>
      <c r="EK657" s="2558"/>
      <c r="EL657" s="2558"/>
      <c r="EM657" s="2558" t="e">
        <f t="shared" si="25"/>
        <v>#VALUE!</v>
      </c>
      <c r="EN657" s="2558"/>
      <c r="EO657" s="2558"/>
      <c r="EP657" s="2558"/>
      <c r="EQ657" s="2558"/>
      <c r="ER657" s="2558" t="e">
        <f t="shared" si="26"/>
        <v>#VALUE!</v>
      </c>
      <c r="ES657" s="2558"/>
      <c r="ET657" s="2558"/>
      <c r="EU657" s="2558"/>
      <c r="EV657" s="2558"/>
      <c r="EW657" s="2558" t="e">
        <f t="shared" si="27"/>
        <v>#VALUE!</v>
      </c>
      <c r="EX657" s="2558"/>
      <c r="EY657" s="2558"/>
      <c r="EZ657" s="2558"/>
      <c r="FA657" s="2558"/>
    </row>
    <row r="658" spans="1:157" ht="12.75">
      <c r="A658" s="35"/>
      <c r="B658" s="12" t="s">
        <v>18</v>
      </c>
      <c r="H658" s="2060" t="s">
        <v>2542</v>
      </c>
      <c r="I658" s="2031"/>
      <c r="J658" s="2031"/>
      <c r="K658" s="2031"/>
      <c r="L658" s="2031"/>
      <c r="M658" s="2031"/>
      <c r="N658" s="2031"/>
      <c r="O658" s="2031"/>
      <c r="P658" s="2031"/>
      <c r="Q658" s="2031"/>
      <c r="R658" s="2031"/>
      <c r="S658" s="14"/>
      <c r="T658" s="35"/>
      <c r="U658" s="12" t="s">
        <v>18</v>
      </c>
      <c r="AA658" s="2031"/>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23"/>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8" t="e">
        <f t="shared" si="22"/>
        <v>#VALUE!</v>
      </c>
      <c r="DY658" s="2558"/>
      <c r="DZ658" s="2558"/>
      <c r="EA658" s="2558"/>
      <c r="EB658" s="2558"/>
      <c r="EC658" s="2558" t="e">
        <f t="shared" si="23"/>
        <v>#VALUE!</v>
      </c>
      <c r="ED658" s="2558"/>
      <c r="EE658" s="2558"/>
      <c r="EF658" s="2558"/>
      <c r="EG658" s="2558"/>
      <c r="EH658" s="2558" t="e">
        <f t="shared" si="24"/>
        <v>#VALUE!</v>
      </c>
      <c r="EI658" s="2558"/>
      <c r="EJ658" s="2558"/>
      <c r="EK658" s="2558"/>
      <c r="EL658" s="2558"/>
      <c r="EM658" s="2558" t="e">
        <f t="shared" si="25"/>
        <v>#VALUE!</v>
      </c>
      <c r="EN658" s="2558"/>
      <c r="EO658" s="2558"/>
      <c r="EP658" s="2558"/>
      <c r="EQ658" s="2558"/>
      <c r="ER658" s="2558" t="e">
        <f t="shared" si="26"/>
        <v>#VALUE!</v>
      </c>
      <c r="ES658" s="2558"/>
      <c r="ET658" s="2558"/>
      <c r="EU658" s="2558"/>
      <c r="EV658" s="2558"/>
      <c r="EW658" s="2558" t="e">
        <f t="shared" si="27"/>
        <v>#VALUE!</v>
      </c>
      <c r="EX658" s="2558"/>
      <c r="EY658" s="2558"/>
      <c r="EZ658" s="2558"/>
      <c r="FA658" s="2558"/>
    </row>
    <row r="659" spans="1:157" ht="12.75">
      <c r="A659" s="35"/>
      <c r="B659" s="12" t="s">
        <v>20</v>
      </c>
      <c r="N659" s="2039" t="s">
        <v>579</v>
      </c>
      <c r="O659" s="2039"/>
      <c r="T659" s="35"/>
      <c r="U659" s="12" t="s">
        <v>20</v>
      </c>
      <c r="AG659" s="2039" t="s">
        <v>579</v>
      </c>
      <c r="AH659" s="203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8" t="e">
        <f t="shared" si="22"/>
        <v>#VALUE!</v>
      </c>
      <c r="DY659" s="2558"/>
      <c r="DZ659" s="2558"/>
      <c r="EA659" s="2558"/>
      <c r="EB659" s="2558"/>
      <c r="EC659" s="2558" t="e">
        <f t="shared" si="23"/>
        <v>#VALUE!</v>
      </c>
      <c r="ED659" s="2558"/>
      <c r="EE659" s="2558"/>
      <c r="EF659" s="2558"/>
      <c r="EG659" s="2558"/>
      <c r="EH659" s="2558" t="e">
        <f t="shared" si="24"/>
        <v>#VALUE!</v>
      </c>
      <c r="EI659" s="2558"/>
      <c r="EJ659" s="2558"/>
      <c r="EK659" s="2558"/>
      <c r="EL659" s="2558"/>
      <c r="EM659" s="2558" t="e">
        <f t="shared" si="25"/>
        <v>#VALUE!</v>
      </c>
      <c r="EN659" s="2558"/>
      <c r="EO659" s="2558"/>
      <c r="EP659" s="2558"/>
      <c r="EQ659" s="2558"/>
      <c r="ER659" s="2558" t="e">
        <f t="shared" si="26"/>
        <v>#VALUE!</v>
      </c>
      <c r="ES659" s="2558"/>
      <c r="ET659" s="2558"/>
      <c r="EU659" s="2558"/>
      <c r="EV659" s="2558"/>
      <c r="EW659" s="2558" t="e">
        <f t="shared" si="27"/>
        <v>#VALUE!</v>
      </c>
      <c r="EX659" s="2558"/>
      <c r="EY659" s="2558"/>
      <c r="EZ659" s="2558"/>
      <c r="FA659" s="2558"/>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58">
        <f>SUM(CS658:DV658)</f>
        <v>0</v>
      </c>
      <c r="DS660" s="2558"/>
      <c r="DT660" s="2558"/>
      <c r="DU660" s="2558"/>
      <c r="DV660" s="2558"/>
      <c r="DX660" s="2558" t="e">
        <f t="shared" si="22"/>
        <v>#VALUE!</v>
      </c>
      <c r="DY660" s="2558"/>
      <c r="DZ660" s="2558"/>
      <c r="EA660" s="2558"/>
      <c r="EB660" s="2558"/>
      <c r="EC660" s="2558" t="e">
        <f t="shared" si="23"/>
        <v>#VALUE!</v>
      </c>
      <c r="ED660" s="2558"/>
      <c r="EE660" s="2558"/>
      <c r="EF660" s="2558"/>
      <c r="EG660" s="2558"/>
      <c r="EH660" s="2558" t="e">
        <f t="shared" si="24"/>
        <v>#VALUE!</v>
      </c>
      <c r="EI660" s="2558"/>
      <c r="EJ660" s="2558"/>
      <c r="EK660" s="2558"/>
      <c r="EL660" s="2558"/>
      <c r="EM660" s="2558" t="e">
        <f t="shared" si="25"/>
        <v>#VALUE!</v>
      </c>
      <c r="EN660" s="2558"/>
      <c r="EO660" s="2558"/>
      <c r="EP660" s="2558"/>
      <c r="EQ660" s="2558"/>
      <c r="ER660" s="2558" t="e">
        <f t="shared" si="26"/>
        <v>#VALUE!</v>
      </c>
      <c r="ES660" s="2558"/>
      <c r="ET660" s="2558"/>
      <c r="EU660" s="2558"/>
      <c r="EV660" s="2558"/>
      <c r="EW660" s="2558" t="e">
        <f t="shared" si="27"/>
        <v>#VALUE!</v>
      </c>
      <c r="EX660" s="2558"/>
      <c r="EY660" s="2558"/>
      <c r="EZ660" s="2558"/>
      <c r="FA660" s="2558"/>
    </row>
    <row r="661" spans="1:157" ht="12.75">
      <c r="A661" s="87" t="s">
        <v>124</v>
      </c>
      <c r="B661" s="12" t="s">
        <v>497</v>
      </c>
      <c r="G661" s="2073" t="str">
        <f>C639</f>
        <v>Deferred Developer Fee</v>
      </c>
      <c r="H661" s="2073"/>
      <c r="I661" s="2073"/>
      <c r="J661" s="2073"/>
      <c r="K661" s="2073"/>
      <c r="L661" s="2073"/>
      <c r="M661" s="2073"/>
      <c r="N661" s="2073"/>
      <c r="O661" s="2073"/>
      <c r="P661" s="2073"/>
      <c r="Q661" s="2073"/>
      <c r="R661" s="2073"/>
      <c r="T661" s="87" t="s">
        <v>617</v>
      </c>
      <c r="U661" s="12" t="s">
        <v>497</v>
      </c>
      <c r="Z661" s="2073">
        <f>C640</f>
        <v>0</v>
      </c>
      <c r="AA661" s="2073"/>
      <c r="AB661" s="2073"/>
      <c r="AC661" s="2073"/>
      <c r="AD661" s="2073"/>
      <c r="AE661" s="2073"/>
      <c r="AF661" s="2073"/>
      <c r="AG661" s="2073"/>
      <c r="AH661" s="2073"/>
      <c r="AI661" s="2073"/>
      <c r="AJ661" s="2073"/>
      <c r="AK661" s="2073"/>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58" t="e">
        <f t="shared" si="22"/>
        <v>#VALUE!</v>
      </c>
      <c r="DY661" s="2558"/>
      <c r="DZ661" s="2558"/>
      <c r="EA661" s="2558"/>
      <c r="EB661" s="2558"/>
      <c r="EC661" s="2558" t="e">
        <f t="shared" si="23"/>
        <v>#VALUE!</v>
      </c>
      <c r="ED661" s="2558"/>
      <c r="EE661" s="2558"/>
      <c r="EF661" s="2558"/>
      <c r="EG661" s="2558"/>
      <c r="EH661" s="2558" t="e">
        <f t="shared" si="24"/>
        <v>#VALUE!</v>
      </c>
      <c r="EI661" s="2558"/>
      <c r="EJ661" s="2558"/>
      <c r="EK661" s="2558"/>
      <c r="EL661" s="2558"/>
      <c r="EM661" s="2558" t="e">
        <f t="shared" si="25"/>
        <v>#VALUE!</v>
      </c>
      <c r="EN661" s="2558"/>
      <c r="EO661" s="2558"/>
      <c r="EP661" s="2558"/>
      <c r="EQ661" s="2558"/>
      <c r="ER661" s="2558" t="e">
        <f t="shared" si="26"/>
        <v>#VALUE!</v>
      </c>
      <c r="ES661" s="2558"/>
      <c r="ET661" s="2558"/>
      <c r="EU661" s="2558"/>
      <c r="EV661" s="2558"/>
      <c r="EW661" s="2558" t="e">
        <f t="shared" si="27"/>
        <v>#VALUE!</v>
      </c>
      <c r="EX661" s="2558"/>
      <c r="EY661" s="2558"/>
      <c r="EZ661" s="2558"/>
      <c r="FA661" s="2558"/>
    </row>
    <row r="662" spans="1:157" ht="12.75">
      <c r="A662" s="35"/>
      <c r="B662" s="12" t="s">
        <v>90</v>
      </c>
      <c r="G662" s="2031" t="str">
        <f>G588</f>
        <v>3590 Elm Avenue</v>
      </c>
      <c r="H662" s="2031"/>
      <c r="I662" s="2031"/>
      <c r="J662" s="2031"/>
      <c r="K662" s="2031"/>
      <c r="L662" s="2031"/>
      <c r="M662" s="2031"/>
      <c r="N662" s="2031"/>
      <c r="O662" s="2031"/>
      <c r="P662" s="2031"/>
      <c r="Q662" s="2031"/>
      <c r="R662" s="2031"/>
      <c r="T662" s="35"/>
      <c r="U662" s="12" t="s">
        <v>90</v>
      </c>
      <c r="Z662" s="2031"/>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8" t="e">
        <f t="shared" si="22"/>
        <v>#VALUE!</v>
      </c>
      <c r="DY662" s="2558"/>
      <c r="DZ662" s="2558"/>
      <c r="EA662" s="2558"/>
      <c r="EB662" s="2558"/>
      <c r="EC662" s="2558" t="e">
        <f t="shared" si="23"/>
        <v>#VALUE!</v>
      </c>
      <c r="ED662" s="2558"/>
      <c r="EE662" s="2558"/>
      <c r="EF662" s="2558"/>
      <c r="EG662" s="2558"/>
      <c r="EH662" s="2558" t="e">
        <f t="shared" si="24"/>
        <v>#VALUE!</v>
      </c>
      <c r="EI662" s="2558"/>
      <c r="EJ662" s="2558"/>
      <c r="EK662" s="2558"/>
      <c r="EL662" s="2558"/>
      <c r="EM662" s="2558" t="e">
        <f t="shared" si="25"/>
        <v>#VALUE!</v>
      </c>
      <c r="EN662" s="2558"/>
      <c r="EO662" s="2558"/>
      <c r="EP662" s="2558"/>
      <c r="EQ662" s="2558"/>
      <c r="ER662" s="2558" t="e">
        <f t="shared" si="26"/>
        <v>#VALUE!</v>
      </c>
      <c r="ES662" s="2558"/>
      <c r="ET662" s="2558"/>
      <c r="EU662" s="2558"/>
      <c r="EV662" s="2558"/>
      <c r="EW662" s="2558" t="e">
        <f t="shared" si="27"/>
        <v>#VALUE!</v>
      </c>
      <c r="EX662" s="2558"/>
      <c r="EY662" s="2558"/>
      <c r="EZ662" s="2558"/>
      <c r="FA662" s="2558"/>
    </row>
    <row r="663" spans="1:157" ht="12.75">
      <c r="A663" s="35"/>
      <c r="B663" s="12" t="s">
        <v>616</v>
      </c>
      <c r="G663" s="2031" t="str">
        <f>G589</f>
        <v>Long Beach CA 90807</v>
      </c>
      <c r="H663" s="2031"/>
      <c r="I663" s="2031"/>
      <c r="J663" s="2031"/>
      <c r="K663" s="2031"/>
      <c r="L663" s="2031"/>
      <c r="M663" s="2031"/>
      <c r="N663" s="2031"/>
      <c r="O663" s="2031"/>
      <c r="P663" s="2031"/>
      <c r="Q663" s="2031"/>
      <c r="R663" s="2031"/>
      <c r="T663" s="35"/>
      <c r="U663" s="12" t="s">
        <v>616</v>
      </c>
      <c r="Z663" s="2071"/>
      <c r="AA663" s="2071"/>
      <c r="AB663" s="2071"/>
      <c r="AC663" s="2071"/>
      <c r="AD663" s="2071"/>
      <c r="AE663" s="2071"/>
      <c r="AF663" s="2071"/>
      <c r="AG663" s="2071"/>
      <c r="AH663" s="2071"/>
      <c r="AI663" s="2071"/>
      <c r="AJ663" s="2071"/>
      <c r="AK663" s="2071"/>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0</v>
      </c>
      <c r="BT663" s="2012"/>
      <c r="BU663" s="2012"/>
      <c r="BV663" s="2012"/>
      <c r="BW663" s="2013"/>
      <c r="BX663" s="2011">
        <f>BX635+BX644+BX658</f>
        <v>24</v>
      </c>
      <c r="BY663" s="2012"/>
      <c r="BZ663" s="2012"/>
      <c r="CA663" s="2012"/>
      <c r="CB663" s="2013"/>
      <c r="CC663" s="2011">
        <f>CC635+CC644+CC658</f>
        <v>24</v>
      </c>
      <c r="CD663" s="2012"/>
      <c r="CE663" s="2012"/>
      <c r="CF663" s="2012"/>
      <c r="CG663" s="2013"/>
      <c r="CH663" s="2011">
        <f>CH635+CH644+CH658</f>
        <v>0</v>
      </c>
      <c r="CI663" s="2012"/>
      <c r="CJ663" s="2012"/>
      <c r="CK663" s="2012"/>
      <c r="CL663" s="2013"/>
      <c r="CM663" s="2035">
        <f>CM658+CM644+CM635</f>
        <v>0</v>
      </c>
      <c r="CN663" s="2174"/>
      <c r="CO663" s="2174"/>
      <c r="CP663" s="2174"/>
      <c r="CQ663" s="2036"/>
      <c r="CR663" s="177"/>
      <c r="CS663" s="1472">
        <f>CS637+CS661</f>
        <v>117</v>
      </c>
      <c r="CT663" s="134" t="s">
        <v>2457</v>
      </c>
      <c r="CU663" s="58"/>
      <c r="CV663" s="58"/>
      <c r="CW663" s="58"/>
      <c r="CX663" s="58"/>
      <c r="CY663" s="58"/>
      <c r="CZ663" s="58"/>
      <c r="DA663" s="58"/>
      <c r="DB663" s="58"/>
      <c r="DC663" s="58"/>
      <c r="DD663" s="58"/>
      <c r="DE663" s="58"/>
      <c r="DF663" s="58"/>
      <c r="DX663" s="2558">
        <f>SUMIF(DX638:EB662,"&gt;0")</f>
        <v>0</v>
      </c>
      <c r="DY663" s="2558"/>
      <c r="DZ663" s="2558"/>
      <c r="EA663" s="2558"/>
      <c r="EB663" s="2558"/>
      <c r="EC663" s="2558">
        <f>SUMIF(EC638:EG662,"&gt;0")</f>
        <v>0</v>
      </c>
      <c r="ED663" s="2558"/>
      <c r="EE663" s="2558"/>
      <c r="EF663" s="2558"/>
      <c r="EG663" s="2558"/>
      <c r="EH663" s="2558">
        <f>SUMIF(EH638:EL662,"&gt;0")</f>
        <v>452</v>
      </c>
      <c r="EI663" s="2558"/>
      <c r="EJ663" s="2558"/>
      <c r="EK663" s="2558"/>
      <c r="EL663" s="2558"/>
      <c r="EM663" s="2558">
        <f>SUMIF(EM638:EQ662,"&gt;0")</f>
        <v>516</v>
      </c>
      <c r="EN663" s="2558"/>
      <c r="EO663" s="2558"/>
      <c r="EP663" s="2558"/>
      <c r="EQ663" s="2558"/>
      <c r="ER663" s="2558">
        <f>SUMIF(ER638:EV662,"&gt;0")</f>
        <v>0</v>
      </c>
      <c r="ES663" s="2558"/>
      <c r="ET663" s="2558"/>
      <c r="EU663" s="2558"/>
      <c r="EV663" s="2558"/>
      <c r="EW663" s="2558">
        <f>SUMIF(EW638:FA662,"&gt;0")</f>
        <v>0</v>
      </c>
      <c r="EX663" s="2558"/>
      <c r="EY663" s="2558"/>
      <c r="EZ663" s="2558"/>
      <c r="FA663" s="2558"/>
    </row>
    <row r="664" spans="1:157" ht="12.75">
      <c r="A664" s="35"/>
      <c r="B664" s="12" t="s">
        <v>17</v>
      </c>
      <c r="G664" s="2031" t="str">
        <f>G590</f>
        <v>Anne Wilson</v>
      </c>
      <c r="H664" s="2031"/>
      <c r="I664" s="2031"/>
      <c r="J664" s="2031"/>
      <c r="K664" s="2031"/>
      <c r="L664" s="2031"/>
      <c r="M664" s="2031"/>
      <c r="N664" s="2031"/>
      <c r="O664" s="2031"/>
      <c r="P664" s="2031"/>
      <c r="Q664" s="2031"/>
      <c r="R664" s="2031"/>
      <c r="T664" s="35"/>
      <c r="U664" s="12" t="s">
        <v>17</v>
      </c>
      <c r="Z664" s="2071"/>
      <c r="AA664" s="2071"/>
      <c r="AB664" s="2071"/>
      <c r="AC664" s="2071"/>
      <c r="AD664" s="2071"/>
      <c r="AE664" s="2071"/>
      <c r="AF664" s="2071"/>
      <c r="AG664" s="2071"/>
      <c r="AH664" s="2071"/>
      <c r="AI664" s="2071"/>
      <c r="AJ664" s="2071"/>
      <c r="AK664" s="207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86" t="str">
        <f>G591</f>
        <v xml:space="preserve">562-684-1178 </v>
      </c>
      <c r="H665" s="2086"/>
      <c r="I665" s="2086"/>
      <c r="J665" s="2086"/>
      <c r="K665" s="2086"/>
      <c r="L665" s="2086"/>
      <c r="O665" s="137" t="s">
        <v>211</v>
      </c>
      <c r="P665" s="2122"/>
      <c r="Q665" s="2122"/>
      <c r="R665" s="2122"/>
      <c r="T665" s="35"/>
      <c r="U665" s="12" t="s">
        <v>326</v>
      </c>
      <c r="Z665" s="2086"/>
      <c r="AA665" s="2086"/>
      <c r="AB665" s="2086"/>
      <c r="AC665" s="2086"/>
      <c r="AD665" s="2086"/>
      <c r="AE665" s="2086"/>
      <c r="AH665" s="137" t="s">
        <v>211</v>
      </c>
      <c r="AI665" s="2122"/>
      <c r="AJ665" s="2122"/>
      <c r="AK665" s="21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1" t="str">
        <f>G661</f>
        <v>Deferred Developer Fee</v>
      </c>
      <c r="I666" s="2031"/>
      <c r="J666" s="2031"/>
      <c r="K666" s="2031"/>
      <c r="L666" s="2031"/>
      <c r="M666" s="2031"/>
      <c r="N666" s="2031"/>
      <c r="O666" s="2031"/>
      <c r="P666" s="2031"/>
      <c r="Q666" s="2031"/>
      <c r="R666" s="2031"/>
      <c r="T666" s="35"/>
      <c r="U666" s="12" t="s">
        <v>18</v>
      </c>
      <c r="AA666" s="2031"/>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39" t="s">
        <v>579</v>
      </c>
      <c r="O667" s="2039"/>
      <c r="T667" s="35"/>
      <c r="U667" s="12" t="s">
        <v>20</v>
      </c>
      <c r="AG667" s="2039" t="s">
        <v>707</v>
      </c>
      <c r="AH667" s="2039"/>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73">
        <f>C641</f>
        <v>0</v>
      </c>
      <c r="H669" s="2073"/>
      <c r="I669" s="2073"/>
      <c r="J669" s="2073"/>
      <c r="K669" s="2073"/>
      <c r="L669" s="2073"/>
      <c r="M669" s="2073"/>
      <c r="N669" s="2073"/>
      <c r="O669" s="2073"/>
      <c r="P669" s="2073"/>
      <c r="Q669" s="2073"/>
      <c r="R669" s="2073"/>
      <c r="T669" s="87" t="s">
        <v>620</v>
      </c>
      <c r="U669" s="12" t="s">
        <v>497</v>
      </c>
      <c r="Z669" s="2073">
        <f>C642</f>
        <v>0</v>
      </c>
      <c r="AA669" s="2073"/>
      <c r="AB669" s="2073"/>
      <c r="AC669" s="2073"/>
      <c r="AD669" s="2073"/>
      <c r="AE669" s="2073"/>
      <c r="AF669" s="2073"/>
      <c r="AG669" s="2073"/>
      <c r="AH669" s="2073"/>
      <c r="AI669" s="2073"/>
      <c r="AJ669" s="2073"/>
      <c r="AK669" s="2073"/>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1"/>
      <c r="H670" s="2031"/>
      <c r="I670" s="2031"/>
      <c r="J670" s="2031"/>
      <c r="K670" s="2031"/>
      <c r="L670" s="2031"/>
      <c r="M670" s="2031"/>
      <c r="N670" s="2031"/>
      <c r="O670" s="2031"/>
      <c r="P670" s="2031"/>
      <c r="Q670" s="2031"/>
      <c r="R670" s="2031"/>
      <c r="T670" s="35"/>
      <c r="U670" s="12" t="s">
        <v>90</v>
      </c>
      <c r="Z670" s="2031"/>
      <c r="AA670" s="2031"/>
      <c r="AB670" s="2031"/>
      <c r="AC670" s="2031"/>
      <c r="AD670" s="2031"/>
      <c r="AE670" s="2031"/>
      <c r="AF670" s="2031"/>
      <c r="AG670" s="2031"/>
      <c r="AH670" s="2031"/>
      <c r="AI670" s="2031"/>
      <c r="AJ670" s="2031"/>
      <c r="AK670" s="2031"/>
      <c r="AZ670" s="58"/>
      <c r="BA670" s="447">
        <f t="shared" ref="BA670:BA694" si="40">IF($G728=0,"N/A",VLOOKUP($T$189,TC_Rent,(MATCH($B728,bedrooms,FALSE))))</f>
        <v>1694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1"/>
      <c r="H671" s="2031"/>
      <c r="I671" s="2031"/>
      <c r="J671" s="2031"/>
      <c r="K671" s="2031"/>
      <c r="L671" s="2031"/>
      <c r="M671" s="2031"/>
      <c r="N671" s="2031"/>
      <c r="O671" s="2031"/>
      <c r="P671" s="2031"/>
      <c r="Q671" s="2031"/>
      <c r="R671" s="2031"/>
      <c r="T671" s="35"/>
      <c r="U671" s="12" t="s">
        <v>616</v>
      </c>
      <c r="Z671" s="2071"/>
      <c r="AA671" s="2071"/>
      <c r="AB671" s="2071"/>
      <c r="AC671" s="2071"/>
      <c r="AD671" s="2071"/>
      <c r="AE671" s="2071"/>
      <c r="AF671" s="2071"/>
      <c r="AG671" s="2071"/>
      <c r="AH671" s="2071"/>
      <c r="AI671" s="2071"/>
      <c r="AJ671" s="2071"/>
      <c r="AK671" s="2071"/>
      <c r="AZ671" s="58"/>
      <c r="BA671" s="447">
        <f t="shared" si="40"/>
        <v>1958</v>
      </c>
      <c r="BB671" s="58"/>
      <c r="BC671" s="58"/>
      <c r="BD671" s="58"/>
      <c r="BE671" s="58"/>
      <c r="BF671" s="383"/>
      <c r="BG671" s="457">
        <f t="shared" ref="BG671:BG695" si="41">G728</f>
        <v>24</v>
      </c>
      <c r="BH671" s="461">
        <f>BG671/$BG$696</f>
        <v>0.51063829787234039</v>
      </c>
      <c r="BI671" s="462">
        <f t="shared" ref="BI671:BI695" si="42">IF(BH671=0," ",BH671*AH728)</f>
        <v>0.1531914893617021</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1"/>
      <c r="H672" s="2031"/>
      <c r="I672" s="2031"/>
      <c r="J672" s="2031"/>
      <c r="K672" s="2031"/>
      <c r="L672" s="2031"/>
      <c r="M672" s="2031"/>
      <c r="N672" s="2031"/>
      <c r="O672" s="2031"/>
      <c r="P672" s="2031"/>
      <c r="Q672" s="2031"/>
      <c r="R672" s="2031"/>
      <c r="T672" s="35"/>
      <c r="U672" s="12" t="s">
        <v>17</v>
      </c>
      <c r="Z672" s="2071"/>
      <c r="AA672" s="2071"/>
      <c r="AB672" s="2071"/>
      <c r="AC672" s="2071"/>
      <c r="AD672" s="2071"/>
      <c r="AE672" s="2071"/>
      <c r="AF672" s="2071"/>
      <c r="AG672" s="2071"/>
      <c r="AH672" s="2071"/>
      <c r="AI672" s="2071"/>
      <c r="AJ672" s="2071"/>
      <c r="AK672" s="2071"/>
      <c r="AZ672" s="58"/>
      <c r="BA672" s="447" t="str">
        <f t="shared" si="40"/>
        <v>N/A</v>
      </c>
      <c r="BB672" s="58"/>
      <c r="BC672" s="58"/>
      <c r="BD672" s="58"/>
      <c r="BE672" s="58"/>
      <c r="BF672" s="383"/>
      <c r="BG672" s="458">
        <f t="shared" si="41"/>
        <v>23</v>
      </c>
      <c r="BH672" s="461">
        <f t="shared" ref="BH672:BH695" si="43">BG672/$BG$696</f>
        <v>0.48936170212765956</v>
      </c>
      <c r="BI672" s="462">
        <f t="shared" si="42"/>
        <v>0.14680851063829786</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86"/>
      <c r="H673" s="2086"/>
      <c r="I673" s="2086"/>
      <c r="J673" s="2086"/>
      <c r="K673" s="2086"/>
      <c r="L673" s="2086"/>
      <c r="O673" s="137" t="s">
        <v>211</v>
      </c>
      <c r="P673" s="2122"/>
      <c r="Q673" s="2122"/>
      <c r="R673" s="2122"/>
      <c r="T673" s="35"/>
      <c r="U673" s="12" t="s">
        <v>326</v>
      </c>
      <c r="Z673" s="2086"/>
      <c r="AA673" s="2086"/>
      <c r="AB673" s="2086"/>
      <c r="AC673" s="2086"/>
      <c r="AD673" s="2086"/>
      <c r="AE673" s="2086"/>
      <c r="AH673" s="137" t="s">
        <v>211</v>
      </c>
      <c r="AI673" s="2122"/>
      <c r="AJ673" s="2122"/>
      <c r="AK673" s="2122"/>
      <c r="AZ673" s="58"/>
      <c r="BA673" s="447" t="str">
        <f t="shared" si="40"/>
        <v>N/A</v>
      </c>
      <c r="BB673" s="58"/>
      <c r="BC673" s="58"/>
      <c r="BD673" s="58"/>
      <c r="BE673" s="58"/>
      <c r="BF673" s="383"/>
      <c r="BG673" s="458">
        <f t="shared" si="41"/>
        <v>0</v>
      </c>
      <c r="BH673" s="461">
        <f t="shared" si="43"/>
        <v>0</v>
      </c>
      <c r="BI673" s="462" t="str">
        <f t="shared" si="42"/>
        <v xml:space="preserve"> </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1"/>
      <c r="I674" s="2031"/>
      <c r="J674" s="2031"/>
      <c r="K674" s="2031"/>
      <c r="L674" s="2031"/>
      <c r="M674" s="2031"/>
      <c r="N674" s="2031"/>
      <c r="O674" s="2031"/>
      <c r="P674" s="2031"/>
      <c r="Q674" s="2031"/>
      <c r="R674" s="2031"/>
      <c r="T674" s="35"/>
      <c r="U674" s="12" t="s">
        <v>18</v>
      </c>
      <c r="AA674" s="2031"/>
      <c r="AB674" s="2031"/>
      <c r="AC674" s="2031"/>
      <c r="AD674" s="2031"/>
      <c r="AE674" s="2031"/>
      <c r="AF674" s="2031"/>
      <c r="AG674" s="2031"/>
      <c r="AH674" s="2031"/>
      <c r="AI674" s="2031"/>
      <c r="AJ674" s="2031"/>
      <c r="AK674" s="2031"/>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707</v>
      </c>
      <c r="O675" s="2039"/>
      <c r="T675" s="35"/>
      <c r="U675" s="12" t="s">
        <v>20</v>
      </c>
      <c r="AG675" s="2039" t="s">
        <v>707</v>
      </c>
      <c r="AH675" s="2039"/>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73">
        <f>C643</f>
        <v>0</v>
      </c>
      <c r="H677" s="2073"/>
      <c r="I677" s="2073"/>
      <c r="J677" s="2073"/>
      <c r="K677" s="2073"/>
      <c r="L677" s="2073"/>
      <c r="M677" s="2073"/>
      <c r="N677" s="2073"/>
      <c r="O677" s="2073"/>
      <c r="P677" s="2073"/>
      <c r="Q677" s="2073"/>
      <c r="R677" s="2073"/>
      <c r="T677" s="87" t="s">
        <v>489</v>
      </c>
      <c r="U677" s="12" t="s">
        <v>497</v>
      </c>
      <c r="Z677" s="2073">
        <f>C644</f>
        <v>0</v>
      </c>
      <c r="AA677" s="2073"/>
      <c r="AB677" s="2073"/>
      <c r="AC677" s="2073"/>
      <c r="AD677" s="2073"/>
      <c r="AE677" s="2073"/>
      <c r="AF677" s="2073"/>
      <c r="AG677" s="2073"/>
      <c r="AH677" s="2073"/>
      <c r="AI677" s="2073"/>
      <c r="AJ677" s="2073"/>
      <c r="AK677" s="2073"/>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1"/>
      <c r="H679" s="2031"/>
      <c r="I679" s="2031"/>
      <c r="J679" s="2031"/>
      <c r="K679" s="2031"/>
      <c r="L679" s="2031"/>
      <c r="M679" s="2031"/>
      <c r="N679" s="2031"/>
      <c r="O679" s="2031"/>
      <c r="P679" s="2031"/>
      <c r="Q679" s="2031"/>
      <c r="R679" s="2031"/>
      <c r="T679" s="35"/>
      <c r="U679" s="12" t="s">
        <v>616</v>
      </c>
      <c r="Z679" s="2071"/>
      <c r="AA679" s="2071"/>
      <c r="AB679" s="2071"/>
      <c r="AC679" s="2071"/>
      <c r="AD679" s="2071"/>
      <c r="AE679" s="2071"/>
      <c r="AF679" s="2071"/>
      <c r="AG679" s="2071"/>
      <c r="AH679" s="2071"/>
      <c r="AI679" s="2071"/>
      <c r="AJ679" s="2071"/>
      <c r="AK679" s="2071"/>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c r="H680" s="2031"/>
      <c r="I680" s="2031"/>
      <c r="J680" s="2031"/>
      <c r="K680" s="2031"/>
      <c r="L680" s="2031"/>
      <c r="M680" s="2031"/>
      <c r="N680" s="2031"/>
      <c r="O680" s="2031"/>
      <c r="P680" s="2031"/>
      <c r="Q680" s="2031"/>
      <c r="R680" s="2031"/>
      <c r="T680" s="35"/>
      <c r="U680" s="12" t="s">
        <v>17</v>
      </c>
      <c r="Z680" s="2071"/>
      <c r="AA680" s="2071"/>
      <c r="AB680" s="2071"/>
      <c r="AC680" s="2071"/>
      <c r="AD680" s="2071"/>
      <c r="AE680" s="2071"/>
      <c r="AF680" s="2071"/>
      <c r="AG680" s="2071"/>
      <c r="AH680" s="2071"/>
      <c r="AI680" s="2071"/>
      <c r="AJ680" s="2071"/>
      <c r="AK680" s="2071"/>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86"/>
      <c r="H681" s="2086"/>
      <c r="I681" s="2086"/>
      <c r="J681" s="2086"/>
      <c r="K681" s="2086"/>
      <c r="L681" s="2086"/>
      <c r="O681" s="137" t="s">
        <v>211</v>
      </c>
      <c r="P681" s="2122"/>
      <c r="Q681" s="2122"/>
      <c r="R681" s="2122"/>
      <c r="T681" s="35"/>
      <c r="U681" s="12" t="s">
        <v>326</v>
      </c>
      <c r="Z681" s="2086"/>
      <c r="AA681" s="2086"/>
      <c r="AB681" s="2086"/>
      <c r="AC681" s="2086"/>
      <c r="AD681" s="2086"/>
      <c r="AE681" s="2086"/>
      <c r="AH681" s="137" t="s">
        <v>211</v>
      </c>
      <c r="AI681" s="2122"/>
      <c r="AJ681" s="2122"/>
      <c r="AK681" s="212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707</v>
      </c>
      <c r="O683" s="2039"/>
      <c r="T683" s="35"/>
      <c r="U683" s="12" t="s">
        <v>20</v>
      </c>
      <c r="AG683" s="2039" t="s">
        <v>707</v>
      </c>
      <c r="AH683" s="203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73">
        <f>C645</f>
        <v>0</v>
      </c>
      <c r="H685" s="2073"/>
      <c r="I685" s="2073"/>
      <c r="J685" s="2073"/>
      <c r="K685" s="2073"/>
      <c r="L685" s="2073"/>
      <c r="M685" s="2073"/>
      <c r="N685" s="2073"/>
      <c r="O685" s="2073"/>
      <c r="P685" s="2073"/>
      <c r="Q685" s="2073"/>
      <c r="R685" s="2073"/>
      <c r="T685" s="87" t="s">
        <v>682</v>
      </c>
      <c r="U685" s="12" t="s">
        <v>497</v>
      </c>
      <c r="Z685" s="2073">
        <f>C646</f>
        <v>0</v>
      </c>
      <c r="AA685" s="2073"/>
      <c r="AB685" s="2073"/>
      <c r="AC685" s="2073"/>
      <c r="AD685" s="2073"/>
      <c r="AE685" s="2073"/>
      <c r="AF685" s="2073"/>
      <c r="AG685" s="2073"/>
      <c r="AH685" s="2073"/>
      <c r="AI685" s="2073"/>
      <c r="AJ685" s="2073"/>
      <c r="AK685" s="207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1"/>
      <c r="H687" s="2031"/>
      <c r="I687" s="2031"/>
      <c r="J687" s="2031"/>
      <c r="K687" s="2031"/>
      <c r="L687" s="2031"/>
      <c r="M687" s="2031"/>
      <c r="N687" s="2031"/>
      <c r="O687" s="2031"/>
      <c r="P687" s="2031"/>
      <c r="Q687" s="2031"/>
      <c r="R687" s="2031"/>
      <c r="T687" s="35"/>
      <c r="U687" s="12" t="s">
        <v>616</v>
      </c>
      <c r="Z687" s="2071"/>
      <c r="AA687" s="2071"/>
      <c r="AB687" s="2071"/>
      <c r="AC687" s="2071"/>
      <c r="AD687" s="2071"/>
      <c r="AE687" s="2071"/>
      <c r="AF687" s="2071"/>
      <c r="AG687" s="2071"/>
      <c r="AH687" s="2071"/>
      <c r="AI687" s="2071"/>
      <c r="AJ687" s="2071"/>
      <c r="AK687" s="207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71"/>
      <c r="AA688" s="2071"/>
      <c r="AB688" s="2071"/>
      <c r="AC688" s="2071"/>
      <c r="AD688" s="2071"/>
      <c r="AE688" s="2071"/>
      <c r="AF688" s="2071"/>
      <c r="AG688" s="2071"/>
      <c r="AH688" s="2071"/>
      <c r="AI688" s="2071"/>
      <c r="AJ688" s="2071"/>
      <c r="AK688" s="207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86"/>
      <c r="H689" s="2086"/>
      <c r="I689" s="2086"/>
      <c r="J689" s="2086"/>
      <c r="K689" s="2086"/>
      <c r="L689" s="2086"/>
      <c r="O689" s="137" t="s">
        <v>211</v>
      </c>
      <c r="P689" s="2122"/>
      <c r="Q689" s="2122"/>
      <c r="R689" s="2122"/>
      <c r="T689" s="35"/>
      <c r="U689" s="12" t="s">
        <v>326</v>
      </c>
      <c r="Z689" s="2086"/>
      <c r="AA689" s="2086"/>
      <c r="AB689" s="2086"/>
      <c r="AC689" s="2086"/>
      <c r="AD689" s="2086"/>
      <c r="AE689" s="2086"/>
      <c r="AH689" s="137" t="s">
        <v>211</v>
      </c>
      <c r="AI689" s="2122"/>
      <c r="AJ689" s="2122"/>
      <c r="AK689" s="212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707</v>
      </c>
      <c r="O691" s="2039"/>
      <c r="T691" s="35"/>
      <c r="U691" s="12" t="s">
        <v>20</v>
      </c>
      <c r="AG691" s="2039" t="s">
        <v>707</v>
      </c>
      <c r="AH691" s="203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73">
        <f>C647</f>
        <v>0</v>
      </c>
      <c r="H693" s="2073"/>
      <c r="I693" s="2073"/>
      <c r="J693" s="2073"/>
      <c r="K693" s="2073"/>
      <c r="L693" s="2073"/>
      <c r="M693" s="2073"/>
      <c r="N693" s="2073"/>
      <c r="O693" s="2073"/>
      <c r="P693" s="2073"/>
      <c r="Q693" s="2073"/>
      <c r="R693" s="2073"/>
      <c r="T693" s="87" t="s">
        <v>374</v>
      </c>
      <c r="U693" s="12" t="s">
        <v>497</v>
      </c>
      <c r="Z693" s="2073">
        <f>C648</f>
        <v>0</v>
      </c>
      <c r="AA693" s="2073"/>
      <c r="AB693" s="2073"/>
      <c r="AC693" s="2073"/>
      <c r="AD693" s="2073"/>
      <c r="AE693" s="2073"/>
      <c r="AF693" s="2073"/>
      <c r="AG693" s="2073"/>
      <c r="AH693" s="2073"/>
      <c r="AI693" s="2073"/>
      <c r="AJ693" s="2073"/>
      <c r="AK693" s="207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1"/>
      <c r="H695" s="2031"/>
      <c r="I695" s="2031"/>
      <c r="J695" s="2031"/>
      <c r="K695" s="2031"/>
      <c r="L695" s="2031"/>
      <c r="M695" s="2031"/>
      <c r="N695" s="2031"/>
      <c r="O695" s="2031"/>
      <c r="P695" s="2031"/>
      <c r="Q695" s="2031"/>
      <c r="R695" s="2031"/>
      <c r="U695" s="12" t="s">
        <v>616</v>
      </c>
      <c r="Z695" s="2071"/>
      <c r="AA695" s="2071"/>
      <c r="AB695" s="2071"/>
      <c r="AC695" s="2071"/>
      <c r="AD695" s="2071"/>
      <c r="AE695" s="2071"/>
      <c r="AF695" s="2071"/>
      <c r="AG695" s="2071"/>
      <c r="AH695" s="2071"/>
      <c r="AI695" s="2071"/>
      <c r="AJ695" s="2071"/>
      <c r="AK695" s="207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71"/>
      <c r="AA696" s="2071"/>
      <c r="AB696" s="2071"/>
      <c r="AC696" s="2071"/>
      <c r="AD696" s="2071"/>
      <c r="AE696" s="2071"/>
      <c r="AF696" s="2071"/>
      <c r="AG696" s="2071"/>
      <c r="AH696" s="2071"/>
      <c r="AI696" s="2071"/>
      <c r="AJ696" s="2071"/>
      <c r="AK696" s="2071"/>
      <c r="AZ696" s="58"/>
      <c r="BA696" s="58"/>
      <c r="BB696" s="58"/>
      <c r="BC696" s="58"/>
      <c r="BD696" s="58"/>
      <c r="BF696" s="454" t="s">
        <v>971</v>
      </c>
      <c r="BG696" s="463">
        <f>SUM(BG671:BG695)</f>
        <v>47</v>
      </c>
      <c r="BH696" s="464">
        <f>SUM(BH671:BH695)</f>
        <v>1</v>
      </c>
      <c r="BI696" s="464">
        <f>SUM(BI671:BI695)</f>
        <v>0.29999999999999993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86"/>
      <c r="H697" s="2086"/>
      <c r="I697" s="2086"/>
      <c r="J697" s="2086"/>
      <c r="K697" s="2086"/>
      <c r="L697" s="2086"/>
      <c r="O697" s="137" t="s">
        <v>211</v>
      </c>
      <c r="P697" s="2122"/>
      <c r="Q697" s="2122"/>
      <c r="R697" s="2122"/>
      <c r="U697" s="12" t="s">
        <v>326</v>
      </c>
      <c r="Z697" s="2086"/>
      <c r="AA697" s="2086"/>
      <c r="AB697" s="2086"/>
      <c r="AC697" s="2086"/>
      <c r="AD697" s="2086"/>
      <c r="AE697" s="2086"/>
      <c r="AH697" s="137" t="s">
        <v>211</v>
      </c>
      <c r="AI697" s="2122"/>
      <c r="AJ697" s="2122"/>
      <c r="AK697" s="212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707</v>
      </c>
      <c r="O699" s="2039"/>
      <c r="U699" s="12" t="s">
        <v>20</v>
      </c>
      <c r="AG699" s="2039" t="s">
        <v>707</v>
      </c>
      <c r="AH699" s="203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579</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24</v>
      </c>
      <c r="BH703" s="461">
        <f>BG703/$BG$728</f>
        <v>0.51063829787234039</v>
      </c>
      <c r="BI703" s="462">
        <f t="shared" ref="BI703:BI727" si="45">IF(BH703=0," ",BH703*AM728)</f>
        <v>0.15313120148710091</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579</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23</v>
      </c>
      <c r="BH704" s="461">
        <f t="shared" ref="BH704:BH727" si="46">BG704/$BG$728</f>
        <v>0.48936170212765956</v>
      </c>
      <c r="BI704" s="462">
        <f t="shared" si="45"/>
        <v>0.14670853889118293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09">
        <v>44231</v>
      </c>
      <c r="AF705" s="2209"/>
      <c r="AG705" s="2209"/>
      <c r="AH705" s="2209"/>
      <c r="AI705" s="220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0</v>
      </c>
      <c r="BH705" s="461">
        <f t="shared" si="46"/>
        <v>0</v>
      </c>
      <c r="BI705" s="462" t="str">
        <f t="shared" si="45"/>
        <v xml:space="preserve"> </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6">
        <v>44314</v>
      </c>
      <c r="AF706" s="2376"/>
      <c r="AG706" s="2376"/>
      <c r="AH706" s="2376"/>
      <c r="AI706" s="23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09">
        <v>44489</v>
      </c>
      <c r="AF708" s="2209"/>
      <c r="AG708" s="2209"/>
      <c r="AH708" s="2209"/>
      <c r="AI708" s="220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28">
        <v>0.54910000000000003</v>
      </c>
      <c r="AF709" s="2428"/>
      <c r="AG709" s="2428"/>
      <c r="AH709" s="2428"/>
      <c r="AI709" s="242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73" t="str">
        <f>H334</f>
        <v>California Municipal Finance Authority</v>
      </c>
      <c r="X710" s="2073"/>
      <c r="Y710" s="2073"/>
      <c r="Z710" s="2073"/>
      <c r="AA710" s="2073"/>
      <c r="AB710" s="2073"/>
      <c r="AC710" s="2073"/>
      <c r="AD710" s="2073"/>
      <c r="AE710" s="2073"/>
      <c r="AF710" s="2073"/>
      <c r="AG710" s="2073"/>
      <c r="AH710" s="2073"/>
      <c r="AI710" s="2073"/>
      <c r="AJ710" s="2073"/>
      <c r="AK710" s="207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707</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6"/>
      <c r="K715" s="2086"/>
      <c r="L715" s="2086"/>
      <c r="M715" s="2086"/>
      <c r="N715" s="2086"/>
      <c r="O715" s="2086"/>
      <c r="P715" s="7" t="s">
        <v>211</v>
      </c>
      <c r="Q715" s="7"/>
      <c r="R715" s="2122"/>
      <c r="S715" s="2122"/>
      <c r="T715" s="21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1" t="s">
        <v>317</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1" t="s">
        <v>344</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93" t="s">
        <v>408</v>
      </c>
      <c r="C724" s="2094"/>
      <c r="D724" s="2094"/>
      <c r="E724" s="2094"/>
      <c r="F724" s="2095"/>
      <c r="G724" s="2093" t="s">
        <v>292</v>
      </c>
      <c r="H724" s="2094"/>
      <c r="I724" s="2094"/>
      <c r="J724" s="2095"/>
      <c r="K724" s="2269" t="s">
        <v>2171</v>
      </c>
      <c r="L724" s="2270"/>
      <c r="M724" s="2270"/>
      <c r="N724" s="2271"/>
      <c r="O724" s="2093" t="s">
        <v>479</v>
      </c>
      <c r="P724" s="2094"/>
      <c r="Q724" s="2094"/>
      <c r="R724" s="2094"/>
      <c r="S724" s="2095"/>
      <c r="T724" s="2093" t="s">
        <v>293</v>
      </c>
      <c r="U724" s="2094"/>
      <c r="V724" s="2094"/>
      <c r="W724" s="2094"/>
      <c r="X724" s="2095"/>
      <c r="Y724" s="2093" t="s">
        <v>294</v>
      </c>
      <c r="Z724" s="2094"/>
      <c r="AA724" s="2094"/>
      <c r="AB724" s="2095"/>
      <c r="AC724" s="2093" t="s">
        <v>295</v>
      </c>
      <c r="AD724" s="2094"/>
      <c r="AE724" s="2094"/>
      <c r="AF724" s="2094"/>
      <c r="AG724" s="2095"/>
      <c r="AH724" s="2093" t="s">
        <v>409</v>
      </c>
      <c r="AI724" s="2094"/>
      <c r="AJ724" s="2094"/>
      <c r="AK724" s="2094"/>
      <c r="AL724" s="2095"/>
      <c r="AM724" s="2093" t="s">
        <v>683</v>
      </c>
      <c r="AN724" s="2094"/>
      <c r="AO724" s="209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96"/>
      <c r="C725" s="2097"/>
      <c r="D725" s="2097"/>
      <c r="E725" s="2097"/>
      <c r="F725" s="2098"/>
      <c r="G725" s="2096"/>
      <c r="H725" s="2097"/>
      <c r="I725" s="2097"/>
      <c r="J725" s="2098"/>
      <c r="K725" s="2272"/>
      <c r="L725" s="2273"/>
      <c r="M725" s="2273"/>
      <c r="N725" s="2274"/>
      <c r="O725" s="2096"/>
      <c r="P725" s="2097"/>
      <c r="Q725" s="2097"/>
      <c r="R725" s="2097"/>
      <c r="S725" s="2098"/>
      <c r="T725" s="2096"/>
      <c r="U725" s="2097"/>
      <c r="V725" s="2097"/>
      <c r="W725" s="2097"/>
      <c r="X725" s="2098"/>
      <c r="Y725" s="2096"/>
      <c r="Z725" s="2097"/>
      <c r="AA725" s="2097"/>
      <c r="AB725" s="2098"/>
      <c r="AC725" s="2096"/>
      <c r="AD725" s="2097"/>
      <c r="AE725" s="2097"/>
      <c r="AF725" s="2097"/>
      <c r="AG725" s="2098"/>
      <c r="AH725" s="2096"/>
      <c r="AI725" s="2097"/>
      <c r="AJ725" s="2097"/>
      <c r="AK725" s="2097"/>
      <c r="AL725" s="2098"/>
      <c r="AM725" s="2096"/>
      <c r="AN725" s="2097"/>
      <c r="AO725" s="209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96"/>
      <c r="C726" s="2097"/>
      <c r="D726" s="2097"/>
      <c r="E726" s="2097"/>
      <c r="F726" s="2098"/>
      <c r="G726" s="2096"/>
      <c r="H726" s="2097"/>
      <c r="I726" s="2097"/>
      <c r="J726" s="2098"/>
      <c r="K726" s="2272"/>
      <c r="L726" s="2273"/>
      <c r="M726" s="2273"/>
      <c r="N726" s="2274"/>
      <c r="O726" s="2096"/>
      <c r="P726" s="2097"/>
      <c r="Q726" s="2097"/>
      <c r="R726" s="2097"/>
      <c r="S726" s="2098"/>
      <c r="T726" s="2096"/>
      <c r="U726" s="2097"/>
      <c r="V726" s="2097"/>
      <c r="W726" s="2097"/>
      <c r="X726" s="2098"/>
      <c r="Y726" s="2096"/>
      <c r="Z726" s="2097"/>
      <c r="AA726" s="2097"/>
      <c r="AB726" s="2098"/>
      <c r="AC726" s="2096"/>
      <c r="AD726" s="2097"/>
      <c r="AE726" s="2097"/>
      <c r="AF726" s="2097"/>
      <c r="AG726" s="2098"/>
      <c r="AH726" s="2096"/>
      <c r="AI726" s="2097"/>
      <c r="AJ726" s="2097"/>
      <c r="AK726" s="2097"/>
      <c r="AL726" s="2098"/>
      <c r="AM726" s="2096"/>
      <c r="AN726" s="2097"/>
      <c r="AO726" s="209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9"/>
      <c r="C727" s="2100"/>
      <c r="D727" s="2100"/>
      <c r="E727" s="2100"/>
      <c r="F727" s="2101"/>
      <c r="G727" s="2099"/>
      <c r="H727" s="2100"/>
      <c r="I727" s="2100"/>
      <c r="J727" s="2101"/>
      <c r="K727" s="2272"/>
      <c r="L727" s="2273"/>
      <c r="M727" s="2273"/>
      <c r="N727" s="2274"/>
      <c r="O727" s="2099"/>
      <c r="P727" s="2100"/>
      <c r="Q727" s="2100"/>
      <c r="R727" s="2100"/>
      <c r="S727" s="2101"/>
      <c r="T727" s="2099"/>
      <c r="U727" s="2100"/>
      <c r="V727" s="2100"/>
      <c r="W727" s="2100"/>
      <c r="X727" s="2101"/>
      <c r="Y727" s="2099"/>
      <c r="Z727" s="2100"/>
      <c r="AA727" s="2100"/>
      <c r="AB727" s="2101"/>
      <c r="AC727" s="2099"/>
      <c r="AD727" s="2100"/>
      <c r="AE727" s="2100"/>
      <c r="AF727" s="2100"/>
      <c r="AG727" s="2101"/>
      <c r="AH727" s="2099"/>
      <c r="AI727" s="2100"/>
      <c r="AJ727" s="2100"/>
      <c r="AK727" s="2100"/>
      <c r="AL727" s="2101"/>
      <c r="AM727" s="2099"/>
      <c r="AN727" s="2100"/>
      <c r="AO727" s="210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8" t="s">
        <v>168</v>
      </c>
      <c r="C728" s="2019"/>
      <c r="D728" s="2019"/>
      <c r="E728" s="2019"/>
      <c r="F728" s="2020"/>
      <c r="G728" s="2351">
        <v>24</v>
      </c>
      <c r="H728" s="2352"/>
      <c r="I728" s="2352"/>
      <c r="J728" s="2353"/>
      <c r="K728" s="2048">
        <v>912</v>
      </c>
      <c r="L728" s="2049"/>
      <c r="M728" s="2049"/>
      <c r="N728" s="2050"/>
      <c r="O728" s="2366">
        <f>508-Y728</f>
        <v>452</v>
      </c>
      <c r="P728" s="2091"/>
      <c r="Q728" s="2091"/>
      <c r="R728" s="2091"/>
      <c r="S728" s="2092"/>
      <c r="T728" s="2284">
        <f t="shared" ref="T728:T752" si="47">G728*O728</f>
        <v>10848</v>
      </c>
      <c r="U728" s="2285"/>
      <c r="V728" s="2285"/>
      <c r="W728" s="2285"/>
      <c r="X728" s="2286"/>
      <c r="Y728" s="2090">
        <v>56</v>
      </c>
      <c r="Z728" s="2091"/>
      <c r="AA728" s="2091"/>
      <c r="AB728" s="2092"/>
      <c r="AC728" s="2284">
        <f t="shared" ref="AC728:AC752" si="48">O728+Y728</f>
        <v>508</v>
      </c>
      <c r="AD728" s="2285"/>
      <c r="AE728" s="2285"/>
      <c r="AF728" s="2285"/>
      <c r="AG728" s="2286"/>
      <c r="AH728" s="2266">
        <v>0.3</v>
      </c>
      <c r="AI728" s="2267"/>
      <c r="AJ728" s="2267"/>
      <c r="AK728" s="2267"/>
      <c r="AL728" s="2268"/>
      <c r="AM728" s="2348">
        <f t="shared" ref="AM728:AM752" si="49">IF($AH728&gt;0,($AC728/$BA670), " ")</f>
        <v>0.29988193624557263</v>
      </c>
      <c r="AN728" s="2349"/>
      <c r="AO728" s="2350"/>
      <c r="AP728" s="239"/>
      <c r="AQ728" s="239"/>
      <c r="AR728" s="239"/>
      <c r="AS728" s="239"/>
      <c r="AT728" s="239"/>
      <c r="AU728" s="239"/>
      <c r="AV728" s="239"/>
      <c r="AW728" s="239"/>
      <c r="AX728" s="239"/>
      <c r="AY728" s="239"/>
      <c r="AZ728" s="58"/>
      <c r="BA728" s="58"/>
      <c r="BB728" s="58"/>
      <c r="BC728" s="58"/>
      <c r="BD728" s="58"/>
      <c r="BE728" s="58"/>
      <c r="BF728" s="58"/>
      <c r="BG728" s="1422">
        <f>SUM(BG703:BG727)</f>
        <v>47</v>
      </c>
      <c r="BH728" s="464">
        <f>SUM(BH703:BH727)</f>
        <v>1</v>
      </c>
      <c r="BI728" s="464">
        <f>SUM(BI703:BI727)</f>
        <v>0.29983974037828387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8" t="s">
        <v>169</v>
      </c>
      <c r="C729" s="2019"/>
      <c r="D729" s="2019"/>
      <c r="E729" s="2019"/>
      <c r="F729" s="2020"/>
      <c r="G729" s="2351">
        <v>23</v>
      </c>
      <c r="H729" s="2352"/>
      <c r="I729" s="2352"/>
      <c r="J729" s="2353"/>
      <c r="K729" s="2048">
        <v>1159</v>
      </c>
      <c r="L729" s="2049"/>
      <c r="M729" s="2049"/>
      <c r="N729" s="2050"/>
      <c r="O729" s="2090">
        <f>587-Y729</f>
        <v>516</v>
      </c>
      <c r="P729" s="2091"/>
      <c r="Q729" s="2091"/>
      <c r="R729" s="2091"/>
      <c r="S729" s="2092"/>
      <c r="T729" s="2284">
        <f t="shared" si="47"/>
        <v>11868</v>
      </c>
      <c r="U729" s="2285"/>
      <c r="V729" s="2285"/>
      <c r="W729" s="2285"/>
      <c r="X729" s="2286"/>
      <c r="Y729" s="2090">
        <v>71</v>
      </c>
      <c r="Z729" s="2091"/>
      <c r="AA729" s="2091"/>
      <c r="AB729" s="2092"/>
      <c r="AC729" s="2284">
        <f t="shared" si="48"/>
        <v>587</v>
      </c>
      <c r="AD729" s="2285"/>
      <c r="AE729" s="2285"/>
      <c r="AF729" s="2285"/>
      <c r="AG729" s="2286"/>
      <c r="AH729" s="2266">
        <v>0.3</v>
      </c>
      <c r="AI729" s="2267"/>
      <c r="AJ729" s="2267"/>
      <c r="AK729" s="2267"/>
      <c r="AL729" s="2268"/>
      <c r="AM729" s="2348">
        <f t="shared" si="49"/>
        <v>0.29979570990806947</v>
      </c>
      <c r="AN729" s="2349"/>
      <c r="AO729" s="235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8"/>
      <c r="C730" s="2019"/>
      <c r="D730" s="2019"/>
      <c r="E730" s="2019"/>
      <c r="F730" s="2020"/>
      <c r="G730" s="2351"/>
      <c r="H730" s="2352"/>
      <c r="I730" s="2352"/>
      <c r="J730" s="2353"/>
      <c r="K730" s="2048"/>
      <c r="L730" s="2049"/>
      <c r="M730" s="2049"/>
      <c r="N730" s="2050"/>
      <c r="O730" s="2090"/>
      <c r="P730" s="2091"/>
      <c r="Q730" s="2091"/>
      <c r="R730" s="2091"/>
      <c r="S730" s="2092"/>
      <c r="T730" s="2284">
        <f t="shared" si="47"/>
        <v>0</v>
      </c>
      <c r="U730" s="2285"/>
      <c r="V730" s="2285"/>
      <c r="W730" s="2285"/>
      <c r="X730" s="2286"/>
      <c r="Y730" s="2090"/>
      <c r="Z730" s="2091"/>
      <c r="AA730" s="2091"/>
      <c r="AB730" s="2092"/>
      <c r="AC730" s="2284">
        <f t="shared" si="48"/>
        <v>0</v>
      </c>
      <c r="AD730" s="2285"/>
      <c r="AE730" s="2285"/>
      <c r="AF730" s="2285"/>
      <c r="AG730" s="2286"/>
      <c r="AH730" s="2266"/>
      <c r="AI730" s="2267"/>
      <c r="AJ730" s="2267"/>
      <c r="AK730" s="2267"/>
      <c r="AL730" s="2268"/>
      <c r="AM730" s="2348" t="str">
        <f t="shared" si="49"/>
        <v xml:space="preserve"> </v>
      </c>
      <c r="AN730" s="2349"/>
      <c r="AO730" s="235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8"/>
      <c r="C731" s="2019"/>
      <c r="D731" s="2019"/>
      <c r="E731" s="2019"/>
      <c r="F731" s="2020"/>
      <c r="G731" s="2351"/>
      <c r="H731" s="2352"/>
      <c r="I731" s="2352"/>
      <c r="J731" s="2353"/>
      <c r="K731" s="2048"/>
      <c r="L731" s="2049"/>
      <c r="M731" s="2049"/>
      <c r="N731" s="2050"/>
      <c r="O731" s="2090"/>
      <c r="P731" s="2091"/>
      <c r="Q731" s="2091"/>
      <c r="R731" s="2091"/>
      <c r="S731" s="2092"/>
      <c r="T731" s="2284">
        <f t="shared" si="47"/>
        <v>0</v>
      </c>
      <c r="U731" s="2285"/>
      <c r="V731" s="2285"/>
      <c r="W731" s="2285"/>
      <c r="X731" s="2286"/>
      <c r="Y731" s="2090"/>
      <c r="Z731" s="2091"/>
      <c r="AA731" s="2091"/>
      <c r="AB731" s="2092"/>
      <c r="AC731" s="2284">
        <f t="shared" si="48"/>
        <v>0</v>
      </c>
      <c r="AD731" s="2285"/>
      <c r="AE731" s="2285"/>
      <c r="AF731" s="2285"/>
      <c r="AG731" s="2286"/>
      <c r="AH731" s="2266"/>
      <c r="AI731" s="2267"/>
      <c r="AJ731" s="2267"/>
      <c r="AK731" s="2267"/>
      <c r="AL731" s="2268"/>
      <c r="AM731" s="2348" t="str">
        <f t="shared" si="49"/>
        <v xml:space="preserve"> </v>
      </c>
      <c r="AN731" s="2349"/>
      <c r="AO731" s="235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8"/>
      <c r="C732" s="2019"/>
      <c r="D732" s="2019"/>
      <c r="E732" s="2019"/>
      <c r="F732" s="2020"/>
      <c r="G732" s="2351"/>
      <c r="H732" s="2352"/>
      <c r="I732" s="2352"/>
      <c r="J732" s="2353"/>
      <c r="K732" s="2048"/>
      <c r="L732" s="2049"/>
      <c r="M732" s="2049"/>
      <c r="N732" s="2050"/>
      <c r="O732" s="2090"/>
      <c r="P732" s="2091"/>
      <c r="Q732" s="2091"/>
      <c r="R732" s="2091"/>
      <c r="S732" s="2092"/>
      <c r="T732" s="2284">
        <f t="shared" si="47"/>
        <v>0</v>
      </c>
      <c r="U732" s="2285"/>
      <c r="V732" s="2285"/>
      <c r="W732" s="2285"/>
      <c r="X732" s="2286"/>
      <c r="Y732" s="2090"/>
      <c r="Z732" s="2091"/>
      <c r="AA732" s="2091"/>
      <c r="AB732" s="2092"/>
      <c r="AC732" s="2284">
        <f t="shared" si="48"/>
        <v>0</v>
      </c>
      <c r="AD732" s="2285"/>
      <c r="AE732" s="2285"/>
      <c r="AF732" s="2285"/>
      <c r="AG732" s="2286"/>
      <c r="AH732" s="2266"/>
      <c r="AI732" s="2267"/>
      <c r="AJ732" s="2267"/>
      <c r="AK732" s="2267"/>
      <c r="AL732" s="2268"/>
      <c r="AM732" s="2348" t="str">
        <f t="shared" si="49"/>
        <v xml:space="preserve"> </v>
      </c>
      <c r="AN732" s="2349"/>
      <c r="AO732" s="235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8"/>
      <c r="C733" s="2019"/>
      <c r="D733" s="2019"/>
      <c r="E733" s="2019"/>
      <c r="F733" s="2020"/>
      <c r="G733" s="2351"/>
      <c r="H733" s="2352"/>
      <c r="I733" s="2352"/>
      <c r="J733" s="2353"/>
      <c r="K733" s="2048"/>
      <c r="L733" s="2049"/>
      <c r="M733" s="2049"/>
      <c r="N733" s="2050"/>
      <c r="O733" s="2090"/>
      <c r="P733" s="2091"/>
      <c r="Q733" s="2091"/>
      <c r="R733" s="2091"/>
      <c r="S733" s="2092"/>
      <c r="T733" s="2284">
        <f t="shared" si="47"/>
        <v>0</v>
      </c>
      <c r="U733" s="2285"/>
      <c r="V733" s="2285"/>
      <c r="W733" s="2285"/>
      <c r="X733" s="2286"/>
      <c r="Y733" s="2090"/>
      <c r="Z733" s="2091"/>
      <c r="AA733" s="2091"/>
      <c r="AB733" s="2092"/>
      <c r="AC733" s="2284">
        <f t="shared" si="48"/>
        <v>0</v>
      </c>
      <c r="AD733" s="2285"/>
      <c r="AE733" s="2285"/>
      <c r="AF733" s="2285"/>
      <c r="AG733" s="2286"/>
      <c r="AH733" s="2266"/>
      <c r="AI733" s="2267"/>
      <c r="AJ733" s="2267"/>
      <c r="AK733" s="2267"/>
      <c r="AL733" s="2268"/>
      <c r="AM733" s="2348" t="str">
        <f t="shared" si="49"/>
        <v xml:space="preserve"> </v>
      </c>
      <c r="AN733" s="2349"/>
      <c r="AO733" s="235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8"/>
      <c r="C734" s="2019"/>
      <c r="D734" s="2019"/>
      <c r="E734" s="2019"/>
      <c r="F734" s="2020"/>
      <c r="G734" s="2351"/>
      <c r="H734" s="2352"/>
      <c r="I734" s="2352"/>
      <c r="J734" s="2353"/>
      <c r="K734" s="2048"/>
      <c r="L734" s="2049"/>
      <c r="M734" s="2049"/>
      <c r="N734" s="2050"/>
      <c r="O734" s="2090"/>
      <c r="P734" s="2091"/>
      <c r="Q734" s="2091"/>
      <c r="R734" s="2091"/>
      <c r="S734" s="2092"/>
      <c r="T734" s="2284">
        <f t="shared" si="47"/>
        <v>0</v>
      </c>
      <c r="U734" s="2285"/>
      <c r="V734" s="2285"/>
      <c r="W734" s="2285"/>
      <c r="X734" s="2286"/>
      <c r="Y734" s="2090"/>
      <c r="Z734" s="2091"/>
      <c r="AA734" s="2091"/>
      <c r="AB734" s="2092"/>
      <c r="AC734" s="2284">
        <f t="shared" si="48"/>
        <v>0</v>
      </c>
      <c r="AD734" s="2285"/>
      <c r="AE734" s="2285"/>
      <c r="AF734" s="2285"/>
      <c r="AG734" s="2286"/>
      <c r="AH734" s="2266"/>
      <c r="AI734" s="2267"/>
      <c r="AJ734" s="2267"/>
      <c r="AK734" s="2267"/>
      <c r="AL734" s="2268"/>
      <c r="AM734" s="2348" t="str">
        <f t="shared" si="49"/>
        <v xml:space="preserve"> </v>
      </c>
      <c r="AN734" s="2349"/>
      <c r="AO734" s="235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8"/>
      <c r="C735" s="2019"/>
      <c r="D735" s="2019"/>
      <c r="E735" s="2019"/>
      <c r="F735" s="2020"/>
      <c r="G735" s="2351"/>
      <c r="H735" s="2352"/>
      <c r="I735" s="2352"/>
      <c r="J735" s="2353"/>
      <c r="K735" s="2048"/>
      <c r="L735" s="2049"/>
      <c r="M735" s="2049"/>
      <c r="N735" s="2050"/>
      <c r="O735" s="2090"/>
      <c r="P735" s="2091"/>
      <c r="Q735" s="2091"/>
      <c r="R735" s="2091"/>
      <c r="S735" s="2092"/>
      <c r="T735" s="2284">
        <f t="shared" si="47"/>
        <v>0</v>
      </c>
      <c r="U735" s="2285"/>
      <c r="V735" s="2285"/>
      <c r="W735" s="2285"/>
      <c r="X735" s="2286"/>
      <c r="Y735" s="2090"/>
      <c r="Z735" s="2091"/>
      <c r="AA735" s="2091"/>
      <c r="AB735" s="2092"/>
      <c r="AC735" s="2284">
        <f t="shared" si="48"/>
        <v>0</v>
      </c>
      <c r="AD735" s="2285"/>
      <c r="AE735" s="2285"/>
      <c r="AF735" s="2285"/>
      <c r="AG735" s="2286"/>
      <c r="AH735" s="2266"/>
      <c r="AI735" s="2267"/>
      <c r="AJ735" s="2267"/>
      <c r="AK735" s="2267"/>
      <c r="AL735" s="2268"/>
      <c r="AM735" s="2348" t="str">
        <f t="shared" si="49"/>
        <v xml:space="preserve"> </v>
      </c>
      <c r="AN735" s="2349"/>
      <c r="AO735" s="235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8"/>
      <c r="C736" s="2019"/>
      <c r="D736" s="2019"/>
      <c r="E736" s="2019"/>
      <c r="F736" s="2020"/>
      <c r="G736" s="2351"/>
      <c r="H736" s="2352"/>
      <c r="I736" s="2352"/>
      <c r="J736" s="2353"/>
      <c r="K736" s="2048"/>
      <c r="L736" s="2049"/>
      <c r="M736" s="2049"/>
      <c r="N736" s="2050"/>
      <c r="O736" s="2090"/>
      <c r="P736" s="2091"/>
      <c r="Q736" s="2091"/>
      <c r="R736" s="2091"/>
      <c r="S736" s="2092"/>
      <c r="T736" s="2284">
        <f t="shared" si="47"/>
        <v>0</v>
      </c>
      <c r="U736" s="2285"/>
      <c r="V736" s="2285"/>
      <c r="W736" s="2285"/>
      <c r="X736" s="2286"/>
      <c r="Y736" s="2090"/>
      <c r="Z736" s="2091"/>
      <c r="AA736" s="2091"/>
      <c r="AB736" s="2092"/>
      <c r="AC736" s="2284">
        <f t="shared" si="48"/>
        <v>0</v>
      </c>
      <c r="AD736" s="2285"/>
      <c r="AE736" s="2285"/>
      <c r="AF736" s="2285"/>
      <c r="AG736" s="2286"/>
      <c r="AH736" s="2266"/>
      <c r="AI736" s="2267"/>
      <c r="AJ736" s="2267"/>
      <c r="AK736" s="2267"/>
      <c r="AL736" s="2268"/>
      <c r="AM736" s="2348" t="str">
        <f t="shared" si="49"/>
        <v xml:space="preserve"> </v>
      </c>
      <c r="AN736" s="2349"/>
      <c r="AO736" s="235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8"/>
      <c r="C737" s="2019"/>
      <c r="D737" s="2019"/>
      <c r="E737" s="2019"/>
      <c r="F737" s="2020"/>
      <c r="G737" s="2351"/>
      <c r="H737" s="2352"/>
      <c r="I737" s="2352"/>
      <c r="J737" s="2353"/>
      <c r="K737" s="2048"/>
      <c r="L737" s="2049"/>
      <c r="M737" s="2049"/>
      <c r="N737" s="2050"/>
      <c r="O737" s="2090"/>
      <c r="P737" s="2091"/>
      <c r="Q737" s="2091"/>
      <c r="R737" s="2091"/>
      <c r="S737" s="2092"/>
      <c r="T737" s="2284">
        <f t="shared" si="47"/>
        <v>0</v>
      </c>
      <c r="U737" s="2285"/>
      <c r="V737" s="2285"/>
      <c r="W737" s="2285"/>
      <c r="X737" s="2286"/>
      <c r="Y737" s="2090"/>
      <c r="Z737" s="2091"/>
      <c r="AA737" s="2091"/>
      <c r="AB737" s="2092"/>
      <c r="AC737" s="2284">
        <f t="shared" si="48"/>
        <v>0</v>
      </c>
      <c r="AD737" s="2285"/>
      <c r="AE737" s="2285"/>
      <c r="AF737" s="2285"/>
      <c r="AG737" s="2286"/>
      <c r="AH737" s="2266"/>
      <c r="AI737" s="2267"/>
      <c r="AJ737" s="2267"/>
      <c r="AK737" s="2267"/>
      <c r="AL737" s="2268"/>
      <c r="AM737" s="2348" t="str">
        <f t="shared" si="49"/>
        <v xml:space="preserve"> </v>
      </c>
      <c r="AN737" s="2349"/>
      <c r="AO737" s="235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8"/>
      <c r="C738" s="2019"/>
      <c r="D738" s="2019"/>
      <c r="E738" s="2019"/>
      <c r="F738" s="2020"/>
      <c r="G738" s="2351"/>
      <c r="H738" s="2352"/>
      <c r="I738" s="2352"/>
      <c r="J738" s="2353"/>
      <c r="K738" s="2048"/>
      <c r="L738" s="2049"/>
      <c r="M738" s="2049"/>
      <c r="N738" s="2050"/>
      <c r="O738" s="2090"/>
      <c r="P738" s="2091"/>
      <c r="Q738" s="2091"/>
      <c r="R738" s="2091"/>
      <c r="S738" s="2092"/>
      <c r="T738" s="2284">
        <f t="shared" si="47"/>
        <v>0</v>
      </c>
      <c r="U738" s="2285"/>
      <c r="V738" s="2285"/>
      <c r="W738" s="2285"/>
      <c r="X738" s="2286"/>
      <c r="Y738" s="2090"/>
      <c r="Z738" s="2091"/>
      <c r="AA738" s="2091"/>
      <c r="AB738" s="2092"/>
      <c r="AC738" s="2284">
        <f t="shared" si="48"/>
        <v>0</v>
      </c>
      <c r="AD738" s="2285"/>
      <c r="AE738" s="2285"/>
      <c r="AF738" s="2285"/>
      <c r="AG738" s="2286"/>
      <c r="AH738" s="2266"/>
      <c r="AI738" s="2267"/>
      <c r="AJ738" s="2267"/>
      <c r="AK738" s="2267"/>
      <c r="AL738" s="2268"/>
      <c r="AM738" s="2348" t="str">
        <f t="shared" si="49"/>
        <v xml:space="preserve"> </v>
      </c>
      <c r="AN738" s="2349"/>
      <c r="AO738" s="235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8"/>
      <c r="C739" s="2019"/>
      <c r="D739" s="2019"/>
      <c r="E739" s="2019"/>
      <c r="F739" s="2020"/>
      <c r="G739" s="2351"/>
      <c r="H739" s="2352"/>
      <c r="I739" s="2352"/>
      <c r="J739" s="2353"/>
      <c r="K739" s="2048"/>
      <c r="L739" s="2049"/>
      <c r="M739" s="2049"/>
      <c r="N739" s="2050"/>
      <c r="O739" s="2090"/>
      <c r="P739" s="2091"/>
      <c r="Q739" s="2091"/>
      <c r="R739" s="2091"/>
      <c r="S739" s="2092"/>
      <c r="T739" s="2284">
        <f t="shared" si="47"/>
        <v>0</v>
      </c>
      <c r="U739" s="2285"/>
      <c r="V739" s="2285"/>
      <c r="W739" s="2285"/>
      <c r="X739" s="2286"/>
      <c r="Y739" s="2090">
        <v>0</v>
      </c>
      <c r="Z739" s="2091"/>
      <c r="AA739" s="2091"/>
      <c r="AB739" s="2092"/>
      <c r="AC739" s="2284">
        <f t="shared" si="48"/>
        <v>0</v>
      </c>
      <c r="AD739" s="2285"/>
      <c r="AE739" s="2285"/>
      <c r="AF739" s="2285"/>
      <c r="AG739" s="2286"/>
      <c r="AH739" s="2266">
        <v>0</v>
      </c>
      <c r="AI739" s="2267"/>
      <c r="AJ739" s="2267"/>
      <c r="AK739" s="2267"/>
      <c r="AL739" s="2268"/>
      <c r="AM739" s="2348" t="str">
        <f t="shared" si="49"/>
        <v xml:space="preserve"> </v>
      </c>
      <c r="AN739" s="2349"/>
      <c r="AO739" s="235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8"/>
      <c r="C740" s="2019"/>
      <c r="D740" s="2019"/>
      <c r="E740" s="2019"/>
      <c r="F740" s="2020"/>
      <c r="G740" s="2351"/>
      <c r="H740" s="2352"/>
      <c r="I740" s="2352"/>
      <c r="J740" s="2353"/>
      <c r="K740" s="2048"/>
      <c r="L740" s="2049"/>
      <c r="M740" s="2049"/>
      <c r="N740" s="2050"/>
      <c r="O740" s="2090"/>
      <c r="P740" s="2091"/>
      <c r="Q740" s="2091"/>
      <c r="R740" s="2091"/>
      <c r="S740" s="2092"/>
      <c r="T740" s="2284">
        <f t="shared" si="47"/>
        <v>0</v>
      </c>
      <c r="U740" s="2285"/>
      <c r="V740" s="2285"/>
      <c r="W740" s="2285"/>
      <c r="X740" s="2286"/>
      <c r="Y740" s="2090">
        <v>0</v>
      </c>
      <c r="Z740" s="2091"/>
      <c r="AA740" s="2091"/>
      <c r="AB740" s="2092"/>
      <c r="AC740" s="2284">
        <f t="shared" si="48"/>
        <v>0</v>
      </c>
      <c r="AD740" s="2285"/>
      <c r="AE740" s="2285"/>
      <c r="AF740" s="2285"/>
      <c r="AG740" s="2286"/>
      <c r="AH740" s="2266">
        <v>0</v>
      </c>
      <c r="AI740" s="2267"/>
      <c r="AJ740" s="2267"/>
      <c r="AK740" s="2267"/>
      <c r="AL740" s="2268"/>
      <c r="AM740" s="2348" t="str">
        <f t="shared" si="49"/>
        <v xml:space="preserve"> </v>
      </c>
      <c r="AN740" s="2349"/>
      <c r="AO740" s="235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8"/>
      <c r="C741" s="2019"/>
      <c r="D741" s="2019"/>
      <c r="E741" s="2019"/>
      <c r="F741" s="2020"/>
      <c r="G741" s="2351"/>
      <c r="H741" s="2352"/>
      <c r="I741" s="2352"/>
      <c r="J741" s="2353"/>
      <c r="K741" s="2048"/>
      <c r="L741" s="2049"/>
      <c r="M741" s="2049"/>
      <c r="N741" s="2050"/>
      <c r="O741" s="2090"/>
      <c r="P741" s="2091"/>
      <c r="Q741" s="2091"/>
      <c r="R741" s="2091"/>
      <c r="S741" s="2092"/>
      <c r="T741" s="2284">
        <f t="shared" si="47"/>
        <v>0</v>
      </c>
      <c r="U741" s="2285"/>
      <c r="V741" s="2285"/>
      <c r="W741" s="2285"/>
      <c r="X741" s="2286"/>
      <c r="Y741" s="2090">
        <v>0</v>
      </c>
      <c r="Z741" s="2091"/>
      <c r="AA741" s="2091"/>
      <c r="AB741" s="2092"/>
      <c r="AC741" s="2284">
        <f t="shared" si="48"/>
        <v>0</v>
      </c>
      <c r="AD741" s="2285"/>
      <c r="AE741" s="2285"/>
      <c r="AF741" s="2285"/>
      <c r="AG741" s="2286"/>
      <c r="AH741" s="2266">
        <v>0</v>
      </c>
      <c r="AI741" s="2267"/>
      <c r="AJ741" s="2267"/>
      <c r="AK741" s="2267"/>
      <c r="AL741" s="2268"/>
      <c r="AM741" s="2348" t="str">
        <f t="shared" si="49"/>
        <v xml:space="preserve"> </v>
      </c>
      <c r="AN741" s="2349"/>
      <c r="AO741" s="235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8"/>
      <c r="C742" s="2019"/>
      <c r="D742" s="2019"/>
      <c r="E742" s="2019"/>
      <c r="F742" s="2020"/>
      <c r="G742" s="2351"/>
      <c r="H742" s="2352"/>
      <c r="I742" s="2352"/>
      <c r="J742" s="2353"/>
      <c r="K742" s="2048"/>
      <c r="L742" s="2049"/>
      <c r="M742" s="2049"/>
      <c r="N742" s="2050"/>
      <c r="O742" s="2090"/>
      <c r="P742" s="2091"/>
      <c r="Q742" s="2091"/>
      <c r="R742" s="2091"/>
      <c r="S742" s="2092"/>
      <c r="T742" s="2284">
        <f t="shared" si="47"/>
        <v>0</v>
      </c>
      <c r="U742" s="2285"/>
      <c r="V742" s="2285"/>
      <c r="W742" s="2285"/>
      <c r="X742" s="2286"/>
      <c r="Y742" s="2090">
        <v>0</v>
      </c>
      <c r="Z742" s="2091"/>
      <c r="AA742" s="2091"/>
      <c r="AB742" s="2092"/>
      <c r="AC742" s="2284">
        <f t="shared" si="48"/>
        <v>0</v>
      </c>
      <c r="AD742" s="2285"/>
      <c r="AE742" s="2285"/>
      <c r="AF742" s="2285"/>
      <c r="AG742" s="2286"/>
      <c r="AH742" s="2266">
        <v>0</v>
      </c>
      <c r="AI742" s="2267"/>
      <c r="AJ742" s="2267"/>
      <c r="AK742" s="2267"/>
      <c r="AL742" s="2268"/>
      <c r="AM742" s="2348" t="str">
        <f t="shared" si="49"/>
        <v xml:space="preserve"> </v>
      </c>
      <c r="AN742" s="2349"/>
      <c r="AO742" s="235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8"/>
      <c r="C743" s="2019"/>
      <c r="D743" s="2019"/>
      <c r="E743" s="2019"/>
      <c r="F743" s="2020"/>
      <c r="G743" s="2351"/>
      <c r="H743" s="2352"/>
      <c r="I743" s="2352"/>
      <c r="J743" s="2353"/>
      <c r="K743" s="2048"/>
      <c r="L743" s="2049"/>
      <c r="M743" s="2049"/>
      <c r="N743" s="2050"/>
      <c r="O743" s="2090"/>
      <c r="P743" s="2091"/>
      <c r="Q743" s="2091"/>
      <c r="R743" s="2091"/>
      <c r="S743" s="2092"/>
      <c r="T743" s="2284">
        <f t="shared" si="47"/>
        <v>0</v>
      </c>
      <c r="U743" s="2285"/>
      <c r="V743" s="2285"/>
      <c r="W743" s="2285"/>
      <c r="X743" s="2286"/>
      <c r="Y743" s="2090">
        <v>0</v>
      </c>
      <c r="Z743" s="2091"/>
      <c r="AA743" s="2091"/>
      <c r="AB743" s="2092"/>
      <c r="AC743" s="2284">
        <f t="shared" si="48"/>
        <v>0</v>
      </c>
      <c r="AD743" s="2285"/>
      <c r="AE743" s="2285"/>
      <c r="AF743" s="2285"/>
      <c r="AG743" s="2286"/>
      <c r="AH743" s="2266">
        <v>0</v>
      </c>
      <c r="AI743" s="2267"/>
      <c r="AJ743" s="2267"/>
      <c r="AK743" s="2267"/>
      <c r="AL743" s="2268"/>
      <c r="AM743" s="2348" t="str">
        <f t="shared" si="49"/>
        <v xml:space="preserve"> </v>
      </c>
      <c r="AN743" s="2349"/>
      <c r="AO743" s="235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8"/>
      <c r="C744" s="2019"/>
      <c r="D744" s="2019"/>
      <c r="E744" s="2019"/>
      <c r="F744" s="2020"/>
      <c r="G744" s="2351"/>
      <c r="H744" s="2352"/>
      <c r="I744" s="2352"/>
      <c r="J744" s="2353"/>
      <c r="K744" s="2048"/>
      <c r="L744" s="2049"/>
      <c r="M744" s="2049"/>
      <c r="N744" s="2050"/>
      <c r="O744" s="2090"/>
      <c r="P744" s="2091"/>
      <c r="Q744" s="2091"/>
      <c r="R744" s="2091"/>
      <c r="S744" s="2092"/>
      <c r="T744" s="2284">
        <f t="shared" si="47"/>
        <v>0</v>
      </c>
      <c r="U744" s="2285"/>
      <c r="V744" s="2285"/>
      <c r="W744" s="2285"/>
      <c r="X744" s="2286"/>
      <c r="Y744" s="2090">
        <v>0</v>
      </c>
      <c r="Z744" s="2091"/>
      <c r="AA744" s="2091"/>
      <c r="AB744" s="2092"/>
      <c r="AC744" s="2284">
        <f t="shared" si="48"/>
        <v>0</v>
      </c>
      <c r="AD744" s="2285"/>
      <c r="AE744" s="2285"/>
      <c r="AF744" s="2285"/>
      <c r="AG744" s="2286"/>
      <c r="AH744" s="2266">
        <v>0</v>
      </c>
      <c r="AI744" s="2267"/>
      <c r="AJ744" s="2267"/>
      <c r="AK744" s="2267"/>
      <c r="AL744" s="2268"/>
      <c r="AM744" s="2348" t="str">
        <f t="shared" si="49"/>
        <v xml:space="preserve"> </v>
      </c>
      <c r="AN744" s="2349"/>
      <c r="AO744" s="235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8"/>
      <c r="C745" s="2019"/>
      <c r="D745" s="2019"/>
      <c r="E745" s="2019"/>
      <c r="F745" s="2020"/>
      <c r="G745" s="2351"/>
      <c r="H745" s="2352"/>
      <c r="I745" s="2352"/>
      <c r="J745" s="2353"/>
      <c r="K745" s="2048"/>
      <c r="L745" s="2049"/>
      <c r="M745" s="2049"/>
      <c r="N745" s="2050"/>
      <c r="O745" s="2090"/>
      <c r="P745" s="2091"/>
      <c r="Q745" s="2091"/>
      <c r="R745" s="2091"/>
      <c r="S745" s="2092"/>
      <c r="T745" s="2284">
        <f t="shared" si="47"/>
        <v>0</v>
      </c>
      <c r="U745" s="2285"/>
      <c r="V745" s="2285"/>
      <c r="W745" s="2285"/>
      <c r="X745" s="2286"/>
      <c r="Y745" s="2090">
        <v>0</v>
      </c>
      <c r="Z745" s="2091"/>
      <c r="AA745" s="2091"/>
      <c r="AB745" s="2092"/>
      <c r="AC745" s="2284">
        <f t="shared" si="48"/>
        <v>0</v>
      </c>
      <c r="AD745" s="2285"/>
      <c r="AE745" s="2285"/>
      <c r="AF745" s="2285"/>
      <c r="AG745" s="2286"/>
      <c r="AH745" s="2266">
        <v>0</v>
      </c>
      <c r="AI745" s="2267"/>
      <c r="AJ745" s="2267"/>
      <c r="AK745" s="2267"/>
      <c r="AL745" s="2268"/>
      <c r="AM745" s="2348" t="str">
        <f t="shared" si="49"/>
        <v xml:space="preserve"> </v>
      </c>
      <c r="AN745" s="2349"/>
      <c r="AO745" s="235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8"/>
      <c r="C746" s="2019"/>
      <c r="D746" s="2019"/>
      <c r="E746" s="2019"/>
      <c r="F746" s="2020"/>
      <c r="G746" s="2351"/>
      <c r="H746" s="2352"/>
      <c r="I746" s="2352"/>
      <c r="J746" s="2353"/>
      <c r="K746" s="2048"/>
      <c r="L746" s="2049"/>
      <c r="M746" s="2049"/>
      <c r="N746" s="2050"/>
      <c r="O746" s="2090"/>
      <c r="P746" s="2091"/>
      <c r="Q746" s="2091"/>
      <c r="R746" s="2091"/>
      <c r="S746" s="2092"/>
      <c r="T746" s="2284">
        <f t="shared" si="47"/>
        <v>0</v>
      </c>
      <c r="U746" s="2285"/>
      <c r="V746" s="2285"/>
      <c r="W746" s="2285"/>
      <c r="X746" s="2286"/>
      <c r="Y746" s="2090">
        <v>0</v>
      </c>
      <c r="Z746" s="2091"/>
      <c r="AA746" s="2091"/>
      <c r="AB746" s="2092"/>
      <c r="AC746" s="2284">
        <f t="shared" si="48"/>
        <v>0</v>
      </c>
      <c r="AD746" s="2285"/>
      <c r="AE746" s="2285"/>
      <c r="AF746" s="2285"/>
      <c r="AG746" s="2286"/>
      <c r="AH746" s="2266">
        <v>0</v>
      </c>
      <c r="AI746" s="2267"/>
      <c r="AJ746" s="2267"/>
      <c r="AK746" s="2267"/>
      <c r="AL746" s="2268"/>
      <c r="AM746" s="2348" t="str">
        <f t="shared" si="49"/>
        <v xml:space="preserve"> </v>
      </c>
      <c r="AN746" s="2349"/>
      <c r="AO746" s="235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8"/>
      <c r="C747" s="2019"/>
      <c r="D747" s="2019"/>
      <c r="E747" s="2019"/>
      <c r="F747" s="2020"/>
      <c r="G747" s="2351"/>
      <c r="H747" s="2352"/>
      <c r="I747" s="2352"/>
      <c r="J747" s="2353"/>
      <c r="K747" s="2048"/>
      <c r="L747" s="2049"/>
      <c r="M747" s="2049"/>
      <c r="N747" s="2050"/>
      <c r="O747" s="2090"/>
      <c r="P747" s="2091"/>
      <c r="Q747" s="2091"/>
      <c r="R747" s="2091"/>
      <c r="S747" s="2092"/>
      <c r="T747" s="2284">
        <f t="shared" si="47"/>
        <v>0</v>
      </c>
      <c r="U747" s="2285"/>
      <c r="V747" s="2285"/>
      <c r="W747" s="2285"/>
      <c r="X747" s="2286"/>
      <c r="Y747" s="2090">
        <v>0</v>
      </c>
      <c r="Z747" s="2091"/>
      <c r="AA747" s="2091"/>
      <c r="AB747" s="2092"/>
      <c r="AC747" s="2284">
        <f t="shared" si="48"/>
        <v>0</v>
      </c>
      <c r="AD747" s="2285"/>
      <c r="AE747" s="2285"/>
      <c r="AF747" s="2285"/>
      <c r="AG747" s="2286"/>
      <c r="AH747" s="2266">
        <v>0</v>
      </c>
      <c r="AI747" s="2267"/>
      <c r="AJ747" s="2267"/>
      <c r="AK747" s="2267"/>
      <c r="AL747" s="2268"/>
      <c r="AM747" s="2348" t="str">
        <f t="shared" si="49"/>
        <v xml:space="preserve"> </v>
      </c>
      <c r="AN747" s="2349"/>
      <c r="AO747" s="235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8"/>
      <c r="C748" s="2019"/>
      <c r="D748" s="2019"/>
      <c r="E748" s="2019"/>
      <c r="F748" s="2020"/>
      <c r="G748" s="2351"/>
      <c r="H748" s="2352"/>
      <c r="I748" s="2352"/>
      <c r="J748" s="2353"/>
      <c r="K748" s="2048"/>
      <c r="L748" s="2049"/>
      <c r="M748" s="2049"/>
      <c r="N748" s="2050"/>
      <c r="O748" s="2090"/>
      <c r="P748" s="2091"/>
      <c r="Q748" s="2091"/>
      <c r="R748" s="2091"/>
      <c r="S748" s="2092"/>
      <c r="T748" s="2284">
        <f t="shared" si="47"/>
        <v>0</v>
      </c>
      <c r="U748" s="2285"/>
      <c r="V748" s="2285"/>
      <c r="W748" s="2285"/>
      <c r="X748" s="2286"/>
      <c r="Y748" s="2090">
        <v>0</v>
      </c>
      <c r="Z748" s="2091"/>
      <c r="AA748" s="2091"/>
      <c r="AB748" s="2092"/>
      <c r="AC748" s="2284">
        <f t="shared" si="48"/>
        <v>0</v>
      </c>
      <c r="AD748" s="2285"/>
      <c r="AE748" s="2285"/>
      <c r="AF748" s="2285"/>
      <c r="AG748" s="2286"/>
      <c r="AH748" s="2266">
        <v>0</v>
      </c>
      <c r="AI748" s="2267"/>
      <c r="AJ748" s="2267"/>
      <c r="AK748" s="2267"/>
      <c r="AL748" s="2268"/>
      <c r="AM748" s="2348" t="str">
        <f t="shared" si="49"/>
        <v xml:space="preserve"> </v>
      </c>
      <c r="AN748" s="2349"/>
      <c r="AO748" s="235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8"/>
      <c r="C749" s="2019"/>
      <c r="D749" s="2019"/>
      <c r="E749" s="2019"/>
      <c r="F749" s="2020"/>
      <c r="G749" s="2351"/>
      <c r="H749" s="2352"/>
      <c r="I749" s="2352"/>
      <c r="J749" s="2353"/>
      <c r="K749" s="2048"/>
      <c r="L749" s="2049"/>
      <c r="M749" s="2049"/>
      <c r="N749" s="2050"/>
      <c r="O749" s="2090"/>
      <c r="P749" s="2091"/>
      <c r="Q749" s="2091"/>
      <c r="R749" s="2091"/>
      <c r="S749" s="2092"/>
      <c r="T749" s="2284">
        <f t="shared" si="47"/>
        <v>0</v>
      </c>
      <c r="U749" s="2285"/>
      <c r="V749" s="2285"/>
      <c r="W749" s="2285"/>
      <c r="X749" s="2286"/>
      <c r="Y749" s="2090">
        <v>0</v>
      </c>
      <c r="Z749" s="2091"/>
      <c r="AA749" s="2091"/>
      <c r="AB749" s="2092"/>
      <c r="AC749" s="2284">
        <f t="shared" si="48"/>
        <v>0</v>
      </c>
      <c r="AD749" s="2285"/>
      <c r="AE749" s="2285"/>
      <c r="AF749" s="2285"/>
      <c r="AG749" s="2286"/>
      <c r="AH749" s="2266">
        <v>0</v>
      </c>
      <c r="AI749" s="2267"/>
      <c r="AJ749" s="2267"/>
      <c r="AK749" s="2267"/>
      <c r="AL749" s="2268"/>
      <c r="AM749" s="2348" t="str">
        <f t="shared" si="49"/>
        <v xml:space="preserve"> </v>
      </c>
      <c r="AN749" s="2349"/>
      <c r="AO749" s="235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8"/>
      <c r="C750" s="2019"/>
      <c r="D750" s="2019"/>
      <c r="E750" s="2019"/>
      <c r="F750" s="2020"/>
      <c r="G750" s="2351"/>
      <c r="H750" s="2352"/>
      <c r="I750" s="2352"/>
      <c r="J750" s="2353"/>
      <c r="K750" s="2048"/>
      <c r="L750" s="2049"/>
      <c r="M750" s="2049"/>
      <c r="N750" s="2050"/>
      <c r="O750" s="2090"/>
      <c r="P750" s="2091"/>
      <c r="Q750" s="2091"/>
      <c r="R750" s="2091"/>
      <c r="S750" s="2092"/>
      <c r="T750" s="2284">
        <f t="shared" si="47"/>
        <v>0</v>
      </c>
      <c r="U750" s="2285"/>
      <c r="V750" s="2285"/>
      <c r="W750" s="2285"/>
      <c r="X750" s="2286"/>
      <c r="Y750" s="2090">
        <v>0</v>
      </c>
      <c r="Z750" s="2091"/>
      <c r="AA750" s="2091"/>
      <c r="AB750" s="2092"/>
      <c r="AC750" s="2284">
        <f t="shared" si="48"/>
        <v>0</v>
      </c>
      <c r="AD750" s="2285"/>
      <c r="AE750" s="2285"/>
      <c r="AF750" s="2285"/>
      <c r="AG750" s="2286"/>
      <c r="AH750" s="2266">
        <v>0</v>
      </c>
      <c r="AI750" s="2267"/>
      <c r="AJ750" s="2267"/>
      <c r="AK750" s="2267"/>
      <c r="AL750" s="2268"/>
      <c r="AM750" s="2348" t="str">
        <f t="shared" si="49"/>
        <v xml:space="preserve"> </v>
      </c>
      <c r="AN750" s="2349"/>
      <c r="AO750" s="235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8"/>
      <c r="C751" s="2019"/>
      <c r="D751" s="2019"/>
      <c r="E751" s="2019"/>
      <c r="F751" s="2020"/>
      <c r="G751" s="2351"/>
      <c r="H751" s="2352"/>
      <c r="I751" s="2352"/>
      <c r="J751" s="2353"/>
      <c r="K751" s="2048"/>
      <c r="L751" s="2049"/>
      <c r="M751" s="2049"/>
      <c r="N751" s="2050"/>
      <c r="O751" s="2090"/>
      <c r="P751" s="2091"/>
      <c r="Q751" s="2091"/>
      <c r="R751" s="2091"/>
      <c r="S751" s="2092"/>
      <c r="T751" s="2284">
        <f t="shared" si="47"/>
        <v>0</v>
      </c>
      <c r="U751" s="2285"/>
      <c r="V751" s="2285"/>
      <c r="W751" s="2285"/>
      <c r="X751" s="2286"/>
      <c r="Y751" s="2090">
        <v>0</v>
      </c>
      <c r="Z751" s="2091"/>
      <c r="AA751" s="2091"/>
      <c r="AB751" s="2092"/>
      <c r="AC751" s="2284">
        <f t="shared" si="48"/>
        <v>0</v>
      </c>
      <c r="AD751" s="2285"/>
      <c r="AE751" s="2285"/>
      <c r="AF751" s="2285"/>
      <c r="AG751" s="2286"/>
      <c r="AH751" s="2266">
        <v>0</v>
      </c>
      <c r="AI751" s="2267"/>
      <c r="AJ751" s="2267"/>
      <c r="AK751" s="2267"/>
      <c r="AL751" s="2268"/>
      <c r="AM751" s="2348" t="str">
        <f t="shared" si="49"/>
        <v xml:space="preserve"> </v>
      </c>
      <c r="AN751" s="2349"/>
      <c r="AO751" s="235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8"/>
      <c r="C752" s="2019"/>
      <c r="D752" s="2019"/>
      <c r="E752" s="2019"/>
      <c r="F752" s="2020"/>
      <c r="G752" s="2351"/>
      <c r="H752" s="2352"/>
      <c r="I752" s="2352"/>
      <c r="J752" s="2353"/>
      <c r="K752" s="2048"/>
      <c r="L752" s="2049"/>
      <c r="M752" s="2049"/>
      <c r="N752" s="2050"/>
      <c r="O752" s="2090"/>
      <c r="P752" s="2091"/>
      <c r="Q752" s="2091"/>
      <c r="R752" s="2091"/>
      <c r="S752" s="2092"/>
      <c r="T752" s="2284">
        <f t="shared" si="47"/>
        <v>0</v>
      </c>
      <c r="U752" s="2285"/>
      <c r="V752" s="2285"/>
      <c r="W752" s="2285"/>
      <c r="X752" s="2286"/>
      <c r="Y752" s="2090">
        <v>0</v>
      </c>
      <c r="Z752" s="2091"/>
      <c r="AA752" s="2091"/>
      <c r="AB752" s="2092"/>
      <c r="AC752" s="2284">
        <f t="shared" si="48"/>
        <v>0</v>
      </c>
      <c r="AD752" s="2285"/>
      <c r="AE752" s="2285"/>
      <c r="AF752" s="2285"/>
      <c r="AG752" s="2286"/>
      <c r="AH752" s="2266">
        <v>0</v>
      </c>
      <c r="AI752" s="2267"/>
      <c r="AJ752" s="2267"/>
      <c r="AK752" s="2267"/>
      <c r="AL752" s="2268"/>
      <c r="AM752" s="2348" t="str">
        <f t="shared" si="49"/>
        <v xml:space="preserve"> </v>
      </c>
      <c r="AN752" s="2349"/>
      <c r="AO752" s="235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9" t="s">
        <v>130</v>
      </c>
      <c r="C753" s="2160"/>
      <c r="D753" s="2160"/>
      <c r="E753" s="2160"/>
      <c r="F753" s="2162"/>
      <c r="G753" s="2279">
        <f>SUM(G728:J752)</f>
        <v>47</v>
      </c>
      <c r="H753" s="2280"/>
      <c r="I753" s="2280"/>
      <c r="J753" s="2281"/>
      <c r="O753" s="1587" t="s">
        <v>129</v>
      </c>
      <c r="P753" s="1588"/>
      <c r="Q753" s="1588"/>
      <c r="R753" s="1588"/>
      <c r="S753" s="1589"/>
      <c r="T753" s="2284">
        <f>SUM(T728:X752)</f>
        <v>22716</v>
      </c>
      <c r="U753" s="2285"/>
      <c r="V753" s="2285"/>
      <c r="W753" s="2285"/>
      <c r="X753" s="2286"/>
      <c r="AC753" s="1591" t="s">
        <v>972</v>
      </c>
      <c r="AD753" s="1590"/>
      <c r="AE753" s="1590"/>
      <c r="AF753" s="1590"/>
      <c r="AG753" s="1592"/>
      <c r="AH753" s="2373">
        <f>BI696</f>
        <v>0.29999999999999993</v>
      </c>
      <c r="AI753" s="2374"/>
      <c r="AJ753" s="2374"/>
      <c r="AK753" s="2374"/>
      <c r="AL753" s="2375"/>
      <c r="AM753" s="2373">
        <f>BI728</f>
        <v>0.29983974037828387</v>
      </c>
      <c r="AN753" s="2374"/>
      <c r="AO753" s="237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7" t="s">
        <v>627</v>
      </c>
      <c r="AG755" s="2287"/>
      <c r="AH755" s="228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93" t="s">
        <v>408</v>
      </c>
      <c r="K768" s="2094"/>
      <c r="L768" s="2094"/>
      <c r="M768" s="2094"/>
      <c r="N768" s="2095"/>
      <c r="O768" s="2372" t="s">
        <v>292</v>
      </c>
      <c r="P768" s="2372"/>
      <c r="Q768" s="2372"/>
      <c r="R768" s="2372"/>
      <c r="S768" s="2372"/>
      <c r="T768" s="2269" t="s">
        <v>2171</v>
      </c>
      <c r="U768" s="2270"/>
      <c r="V768" s="2270"/>
      <c r="W768" s="2271"/>
      <c r="X768" s="2093" t="s">
        <v>479</v>
      </c>
      <c r="Y768" s="2094"/>
      <c r="Z768" s="2094"/>
      <c r="AA768" s="2094"/>
      <c r="AB768" s="2095"/>
      <c r="AC768" s="2093" t="s">
        <v>293</v>
      </c>
      <c r="AD768" s="2094"/>
      <c r="AE768" s="2094"/>
      <c r="AF768" s="2094"/>
      <c r="AG768" s="209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6"/>
      <c r="K769" s="2097"/>
      <c r="L769" s="2097"/>
      <c r="M769" s="2097"/>
      <c r="N769" s="2098"/>
      <c r="O769" s="2372"/>
      <c r="P769" s="2372"/>
      <c r="Q769" s="2372"/>
      <c r="R769" s="2372"/>
      <c r="S769" s="2372"/>
      <c r="T769" s="2272"/>
      <c r="U769" s="2273"/>
      <c r="V769" s="2273"/>
      <c r="W769" s="2274"/>
      <c r="X769" s="2096"/>
      <c r="Y769" s="2097"/>
      <c r="Z769" s="2097"/>
      <c r="AA769" s="2097"/>
      <c r="AB769" s="2098"/>
      <c r="AC769" s="2096"/>
      <c r="AD769" s="2097"/>
      <c r="AE769" s="2097"/>
      <c r="AF769" s="2097"/>
      <c r="AG769" s="209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6"/>
      <c r="K770" s="2097"/>
      <c r="L770" s="2097"/>
      <c r="M770" s="2097"/>
      <c r="N770" s="2098"/>
      <c r="O770" s="2372"/>
      <c r="P770" s="2372"/>
      <c r="Q770" s="2372"/>
      <c r="R770" s="2372"/>
      <c r="S770" s="2372"/>
      <c r="T770" s="2272"/>
      <c r="U770" s="2273"/>
      <c r="V770" s="2273"/>
      <c r="W770" s="2274"/>
      <c r="X770" s="2096"/>
      <c r="Y770" s="2097"/>
      <c r="Z770" s="2097"/>
      <c r="AA770" s="2097"/>
      <c r="AB770" s="2098"/>
      <c r="AC770" s="2096"/>
      <c r="AD770" s="2097"/>
      <c r="AE770" s="2097"/>
      <c r="AF770" s="2097"/>
      <c r="AG770" s="209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9"/>
      <c r="K771" s="2100"/>
      <c r="L771" s="2100"/>
      <c r="M771" s="2100"/>
      <c r="N771" s="2101"/>
      <c r="O771" s="2372"/>
      <c r="P771" s="2372"/>
      <c r="Q771" s="2372"/>
      <c r="R771" s="2372"/>
      <c r="S771" s="2372"/>
      <c r="T771" s="2275"/>
      <c r="U771" s="2276"/>
      <c r="V771" s="2276"/>
      <c r="W771" s="2277"/>
      <c r="X771" s="2099"/>
      <c r="Y771" s="2100"/>
      <c r="Z771" s="2100"/>
      <c r="AA771" s="2100"/>
      <c r="AB771" s="2101"/>
      <c r="AC771" s="2099"/>
      <c r="AD771" s="2100"/>
      <c r="AE771" s="2100"/>
      <c r="AF771" s="2100"/>
      <c r="AG771" s="210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8" t="s">
        <v>169</v>
      </c>
      <c r="K772" s="2019"/>
      <c r="L772" s="2019"/>
      <c r="M772" s="2019"/>
      <c r="N772" s="2020"/>
      <c r="O772" s="2057">
        <v>1</v>
      </c>
      <c r="P772" s="2057"/>
      <c r="Q772" s="2057"/>
      <c r="R772" s="2057"/>
      <c r="S772" s="2057"/>
      <c r="T772" s="2048">
        <v>1159</v>
      </c>
      <c r="U772" s="2049"/>
      <c r="V772" s="2049"/>
      <c r="W772" s="2050"/>
      <c r="X772" s="2090"/>
      <c r="Y772" s="2091"/>
      <c r="Z772" s="2091"/>
      <c r="AA772" s="2091"/>
      <c r="AB772" s="2092"/>
      <c r="AC772" s="2284">
        <f>X772*O772</f>
        <v>0</v>
      </c>
      <c r="AD772" s="2285"/>
      <c r="AE772" s="2285"/>
      <c r="AF772" s="2285"/>
      <c r="AG772" s="2286"/>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8"/>
      <c r="K773" s="2019"/>
      <c r="L773" s="2019"/>
      <c r="M773" s="2019"/>
      <c r="N773" s="2020"/>
      <c r="O773" s="2057"/>
      <c r="P773" s="2057"/>
      <c r="Q773" s="2057"/>
      <c r="R773" s="2057"/>
      <c r="S773" s="2057"/>
      <c r="T773" s="2048"/>
      <c r="U773" s="2049"/>
      <c r="V773" s="2049"/>
      <c r="W773" s="2050"/>
      <c r="X773" s="2090"/>
      <c r="Y773" s="2091"/>
      <c r="Z773" s="2091"/>
      <c r="AA773" s="2091"/>
      <c r="AB773" s="2092"/>
      <c r="AC773" s="2284">
        <f>X773*O773</f>
        <v>0</v>
      </c>
      <c r="AD773" s="2285"/>
      <c r="AE773" s="2285"/>
      <c r="AF773" s="2285"/>
      <c r="AG773" s="2286"/>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8"/>
      <c r="K774" s="2019"/>
      <c r="L774" s="2019"/>
      <c r="M774" s="2019"/>
      <c r="N774" s="2020"/>
      <c r="O774" s="2057"/>
      <c r="P774" s="2057"/>
      <c r="Q774" s="2057"/>
      <c r="R774" s="2057"/>
      <c r="S774" s="2057"/>
      <c r="T774" s="2048"/>
      <c r="U774" s="2049"/>
      <c r="V774" s="2049"/>
      <c r="W774" s="2050"/>
      <c r="X774" s="2090"/>
      <c r="Y774" s="2091"/>
      <c r="Z774" s="2091"/>
      <c r="AA774" s="2091"/>
      <c r="AB774" s="2092"/>
      <c r="AC774" s="2284">
        <f>X774*O774</f>
        <v>0</v>
      </c>
      <c r="AD774" s="2285"/>
      <c r="AE774" s="2285"/>
      <c r="AF774" s="2285"/>
      <c r="AG774" s="2286"/>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8"/>
      <c r="K775" s="2019"/>
      <c r="L775" s="2019"/>
      <c r="M775" s="2019"/>
      <c r="N775" s="2020"/>
      <c r="O775" s="2057"/>
      <c r="P775" s="2057"/>
      <c r="Q775" s="2057"/>
      <c r="R775" s="2057"/>
      <c r="S775" s="2057"/>
      <c r="T775" s="2048"/>
      <c r="U775" s="2049"/>
      <c r="V775" s="2049"/>
      <c r="W775" s="2050"/>
      <c r="X775" s="2090"/>
      <c r="Y775" s="2091"/>
      <c r="Z775" s="2091"/>
      <c r="AA775" s="2091"/>
      <c r="AB775" s="2092"/>
      <c r="AC775" s="2284">
        <f>X775*O775</f>
        <v>0</v>
      </c>
      <c r="AD775" s="2285"/>
      <c r="AE775" s="2285"/>
      <c r="AF775" s="2285"/>
      <c r="AG775" s="2286"/>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9" t="s">
        <v>130</v>
      </c>
      <c r="K776" s="2160"/>
      <c r="L776" s="2160"/>
      <c r="M776" s="2160"/>
      <c r="N776" s="2162"/>
      <c r="O776" s="2438">
        <f>SUM(O772:S775)</f>
        <v>1</v>
      </c>
      <c r="P776" s="2439"/>
      <c r="Q776" s="2439"/>
      <c r="R776" s="2439"/>
      <c r="S776" s="2440"/>
      <c r="X776" s="2434" t="s">
        <v>129</v>
      </c>
      <c r="Y776" s="2435"/>
      <c r="Z776" s="2435"/>
      <c r="AA776" s="2435"/>
      <c r="AB776" s="2436"/>
      <c r="AC776" s="2284">
        <f>SUM(AC772:AG775)</f>
        <v>0</v>
      </c>
      <c r="AD776" s="2285"/>
      <c r="AE776" s="2285"/>
      <c r="AF776" s="2285"/>
      <c r="AG776" s="2286"/>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707</v>
      </c>
      <c r="K778" s="2062"/>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93" t="s">
        <v>408</v>
      </c>
      <c r="K782" s="2094"/>
      <c r="L782" s="2094"/>
      <c r="M782" s="2094"/>
      <c r="N782" s="2095"/>
      <c r="O782" s="2372" t="s">
        <v>292</v>
      </c>
      <c r="P782" s="2372"/>
      <c r="Q782" s="2372"/>
      <c r="R782" s="2372"/>
      <c r="S782" s="2372"/>
      <c r="T782" s="2269" t="s">
        <v>2171</v>
      </c>
      <c r="U782" s="2270"/>
      <c r="V782" s="2270"/>
      <c r="W782" s="2271"/>
      <c r="X782" s="2093" t="s">
        <v>479</v>
      </c>
      <c r="Y782" s="2094"/>
      <c r="Z782" s="2094"/>
      <c r="AA782" s="2094"/>
      <c r="AB782" s="2095"/>
      <c r="AC782" s="2093" t="s">
        <v>293</v>
      </c>
      <c r="AD782" s="2094"/>
      <c r="AE782" s="2094"/>
      <c r="AF782" s="2094"/>
      <c r="AG782" s="2095"/>
      <c r="AH782" s="2437" t="s">
        <v>2463</v>
      </c>
      <c r="AI782" s="2094"/>
      <c r="AJ782" s="2094"/>
      <c r="AK782" s="2094"/>
      <c r="AL782" s="209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6"/>
      <c r="K783" s="2097"/>
      <c r="L783" s="2097"/>
      <c r="M783" s="2097"/>
      <c r="N783" s="2098"/>
      <c r="O783" s="2372"/>
      <c r="P783" s="2372"/>
      <c r="Q783" s="2372"/>
      <c r="R783" s="2372"/>
      <c r="S783" s="2372"/>
      <c r="T783" s="2272"/>
      <c r="U783" s="2273"/>
      <c r="V783" s="2273"/>
      <c r="W783" s="2274"/>
      <c r="X783" s="2096"/>
      <c r="Y783" s="2097"/>
      <c r="Z783" s="2097"/>
      <c r="AA783" s="2097"/>
      <c r="AB783" s="2098"/>
      <c r="AC783" s="2096"/>
      <c r="AD783" s="2097"/>
      <c r="AE783" s="2097"/>
      <c r="AF783" s="2097"/>
      <c r="AG783" s="2098"/>
      <c r="AH783" s="2096"/>
      <c r="AI783" s="2097"/>
      <c r="AJ783" s="2097"/>
      <c r="AK783" s="2097"/>
      <c r="AL783" s="209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6"/>
      <c r="K784" s="2097"/>
      <c r="L784" s="2097"/>
      <c r="M784" s="2097"/>
      <c r="N784" s="2098"/>
      <c r="O784" s="2372"/>
      <c r="P784" s="2372"/>
      <c r="Q784" s="2372"/>
      <c r="R784" s="2372"/>
      <c r="S784" s="2372"/>
      <c r="T784" s="2272"/>
      <c r="U784" s="2273"/>
      <c r="V784" s="2273"/>
      <c r="W784" s="2274"/>
      <c r="X784" s="2096"/>
      <c r="Y784" s="2097"/>
      <c r="Z784" s="2097"/>
      <c r="AA784" s="2097"/>
      <c r="AB784" s="2098"/>
      <c r="AC784" s="2096"/>
      <c r="AD784" s="2097"/>
      <c r="AE784" s="2097"/>
      <c r="AF784" s="2097"/>
      <c r="AG784" s="2098"/>
      <c r="AH784" s="2096"/>
      <c r="AI784" s="2097"/>
      <c r="AJ784" s="2097"/>
      <c r="AK784" s="2097"/>
      <c r="AL784" s="20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9"/>
      <c r="K785" s="2100"/>
      <c r="L785" s="2100"/>
      <c r="M785" s="2100"/>
      <c r="N785" s="2101"/>
      <c r="O785" s="2372"/>
      <c r="P785" s="2372"/>
      <c r="Q785" s="2372"/>
      <c r="R785" s="2372"/>
      <c r="S785" s="2372"/>
      <c r="T785" s="2275"/>
      <c r="U785" s="2276"/>
      <c r="V785" s="2276"/>
      <c r="W785" s="2277"/>
      <c r="X785" s="2099"/>
      <c r="Y785" s="2100"/>
      <c r="Z785" s="2100"/>
      <c r="AA785" s="2100"/>
      <c r="AB785" s="2101"/>
      <c r="AC785" s="2099"/>
      <c r="AD785" s="2100"/>
      <c r="AE785" s="2100"/>
      <c r="AF785" s="2100"/>
      <c r="AG785" s="2101"/>
      <c r="AH785" s="2099"/>
      <c r="AI785" s="2100"/>
      <c r="AJ785" s="2100"/>
      <c r="AK785" s="2100"/>
      <c r="AL785" s="210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8"/>
      <c r="K786" s="2019"/>
      <c r="L786" s="2019"/>
      <c r="M786" s="2019"/>
      <c r="N786" s="2020"/>
      <c r="O786" s="2057"/>
      <c r="P786" s="2057"/>
      <c r="Q786" s="2057"/>
      <c r="R786" s="2057"/>
      <c r="S786" s="2057"/>
      <c r="T786" s="2048"/>
      <c r="U786" s="2049"/>
      <c r="V786" s="2049"/>
      <c r="W786" s="2050"/>
      <c r="X786" s="2090"/>
      <c r="Y786" s="2091"/>
      <c r="Z786" s="2091"/>
      <c r="AA786" s="2091"/>
      <c r="AB786" s="2092"/>
      <c r="AC786" s="2284">
        <f t="shared" ref="AC786:AC795" si="50">X786*O786</f>
        <v>0</v>
      </c>
      <c r="AD786" s="2285"/>
      <c r="AE786" s="2285"/>
      <c r="AF786" s="2285"/>
      <c r="AG786" s="2286"/>
      <c r="AH786" s="2266"/>
      <c r="AI786" s="2267"/>
      <c r="AJ786" s="2267"/>
      <c r="AK786" s="2267"/>
      <c r="AL786" s="226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8"/>
      <c r="K787" s="2019"/>
      <c r="L787" s="2019"/>
      <c r="M787" s="2019"/>
      <c r="N787" s="2020"/>
      <c r="O787" s="2057"/>
      <c r="P787" s="2057"/>
      <c r="Q787" s="2057"/>
      <c r="R787" s="2057"/>
      <c r="S787" s="2057"/>
      <c r="T787" s="2048"/>
      <c r="U787" s="2049"/>
      <c r="V787" s="2049"/>
      <c r="W787" s="2050"/>
      <c r="X787" s="2090"/>
      <c r="Y787" s="2091"/>
      <c r="Z787" s="2091"/>
      <c r="AA787" s="2091"/>
      <c r="AB787" s="2092"/>
      <c r="AC787" s="2284">
        <f t="shared" si="50"/>
        <v>0</v>
      </c>
      <c r="AD787" s="2285"/>
      <c r="AE787" s="2285"/>
      <c r="AF787" s="2285"/>
      <c r="AG787" s="2286"/>
      <c r="AH787" s="2266"/>
      <c r="AI787" s="2267"/>
      <c r="AJ787" s="2267"/>
      <c r="AK787" s="2267"/>
      <c r="AL787" s="226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8"/>
      <c r="K788" s="2019"/>
      <c r="L788" s="2019"/>
      <c r="M788" s="2019"/>
      <c r="N788" s="2020"/>
      <c r="O788" s="2057"/>
      <c r="P788" s="2057"/>
      <c r="Q788" s="2057"/>
      <c r="R788" s="2057"/>
      <c r="S788" s="2057"/>
      <c r="T788" s="2048"/>
      <c r="U788" s="2049"/>
      <c r="V788" s="2049"/>
      <c r="W788" s="2050"/>
      <c r="X788" s="2090"/>
      <c r="Y788" s="2091"/>
      <c r="Z788" s="2091"/>
      <c r="AA788" s="2091"/>
      <c r="AB788" s="2092"/>
      <c r="AC788" s="2284">
        <f t="shared" si="50"/>
        <v>0</v>
      </c>
      <c r="AD788" s="2285"/>
      <c r="AE788" s="2285"/>
      <c r="AF788" s="2285"/>
      <c r="AG788" s="2286"/>
      <c r="AH788" s="2266"/>
      <c r="AI788" s="2267"/>
      <c r="AJ788" s="2267"/>
      <c r="AK788" s="2267"/>
      <c r="AL788" s="226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8"/>
      <c r="K789" s="2019"/>
      <c r="L789" s="2019"/>
      <c r="M789" s="2019"/>
      <c r="N789" s="2020"/>
      <c r="O789" s="2057"/>
      <c r="P789" s="2057"/>
      <c r="Q789" s="2057"/>
      <c r="R789" s="2057"/>
      <c r="S789" s="2057"/>
      <c r="T789" s="2048"/>
      <c r="U789" s="2049"/>
      <c r="V789" s="2049"/>
      <c r="W789" s="2050"/>
      <c r="X789" s="2090"/>
      <c r="Y789" s="2091"/>
      <c r="Z789" s="2091"/>
      <c r="AA789" s="2091"/>
      <c r="AB789" s="2092"/>
      <c r="AC789" s="2284">
        <f t="shared" si="50"/>
        <v>0</v>
      </c>
      <c r="AD789" s="2285"/>
      <c r="AE789" s="2285"/>
      <c r="AF789" s="2285"/>
      <c r="AG789" s="2286"/>
      <c r="AH789" s="2266"/>
      <c r="AI789" s="2267"/>
      <c r="AJ789" s="2267"/>
      <c r="AK789" s="2267"/>
      <c r="AL789" s="226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8"/>
      <c r="K790" s="2019"/>
      <c r="L790" s="2019"/>
      <c r="M790" s="2019"/>
      <c r="N790" s="2020"/>
      <c r="O790" s="2057"/>
      <c r="P790" s="2057"/>
      <c r="Q790" s="2057"/>
      <c r="R790" s="2057"/>
      <c r="S790" s="2057"/>
      <c r="T790" s="2048"/>
      <c r="U790" s="2049"/>
      <c r="V790" s="2049"/>
      <c r="W790" s="2050"/>
      <c r="X790" s="2090"/>
      <c r="Y790" s="2091"/>
      <c r="Z790" s="2091"/>
      <c r="AA790" s="2091"/>
      <c r="AB790" s="2092"/>
      <c r="AC790" s="2284">
        <f t="shared" si="50"/>
        <v>0</v>
      </c>
      <c r="AD790" s="2285"/>
      <c r="AE790" s="2285"/>
      <c r="AF790" s="2285"/>
      <c r="AG790" s="2286"/>
      <c r="AH790" s="2266"/>
      <c r="AI790" s="2267"/>
      <c r="AJ790" s="2267"/>
      <c r="AK790" s="2267"/>
      <c r="AL790" s="226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8"/>
      <c r="K791" s="2019"/>
      <c r="L791" s="2019"/>
      <c r="M791" s="2019"/>
      <c r="N791" s="2020"/>
      <c r="O791" s="2057"/>
      <c r="P791" s="2057"/>
      <c r="Q791" s="2057"/>
      <c r="R791" s="2057"/>
      <c r="S791" s="2057"/>
      <c r="T791" s="2048"/>
      <c r="U791" s="2049"/>
      <c r="V791" s="2049"/>
      <c r="W791" s="2050"/>
      <c r="X791" s="2090"/>
      <c r="Y791" s="2091"/>
      <c r="Z791" s="2091"/>
      <c r="AA791" s="2091"/>
      <c r="AB791" s="2092"/>
      <c r="AC791" s="2284">
        <f t="shared" si="50"/>
        <v>0</v>
      </c>
      <c r="AD791" s="2285"/>
      <c r="AE791" s="2285"/>
      <c r="AF791" s="2285"/>
      <c r="AG791" s="2286"/>
      <c r="AH791" s="2266"/>
      <c r="AI791" s="2267"/>
      <c r="AJ791" s="2267"/>
      <c r="AK791" s="2267"/>
      <c r="AL791" s="226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8"/>
      <c r="K792" s="2019"/>
      <c r="L792" s="2019"/>
      <c r="M792" s="2019"/>
      <c r="N792" s="2020"/>
      <c r="O792" s="2057"/>
      <c r="P792" s="2057"/>
      <c r="Q792" s="2057"/>
      <c r="R792" s="2057"/>
      <c r="S792" s="2057"/>
      <c r="T792" s="2048"/>
      <c r="U792" s="2049"/>
      <c r="V792" s="2049"/>
      <c r="W792" s="2050"/>
      <c r="X792" s="2090"/>
      <c r="Y792" s="2091"/>
      <c r="Z792" s="2091"/>
      <c r="AA792" s="2091"/>
      <c r="AB792" s="2092"/>
      <c r="AC792" s="2284">
        <f t="shared" si="50"/>
        <v>0</v>
      </c>
      <c r="AD792" s="2285"/>
      <c r="AE792" s="2285"/>
      <c r="AF792" s="2285"/>
      <c r="AG792" s="2286"/>
      <c r="AH792" s="2266"/>
      <c r="AI792" s="2267"/>
      <c r="AJ792" s="2267"/>
      <c r="AK792" s="2267"/>
      <c r="AL792" s="226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8"/>
      <c r="K793" s="2019"/>
      <c r="L793" s="2019"/>
      <c r="M793" s="2019"/>
      <c r="N793" s="2020"/>
      <c r="O793" s="2057"/>
      <c r="P793" s="2057"/>
      <c r="Q793" s="2057"/>
      <c r="R793" s="2057"/>
      <c r="S793" s="2057"/>
      <c r="T793" s="2048"/>
      <c r="U793" s="2049"/>
      <c r="V793" s="2049"/>
      <c r="W793" s="2050"/>
      <c r="X793" s="2090"/>
      <c r="Y793" s="2091"/>
      <c r="Z793" s="2091"/>
      <c r="AA793" s="2091"/>
      <c r="AB793" s="2092"/>
      <c r="AC793" s="2284">
        <f t="shared" si="50"/>
        <v>0</v>
      </c>
      <c r="AD793" s="2285"/>
      <c r="AE793" s="2285"/>
      <c r="AF793" s="2285"/>
      <c r="AG793" s="2286"/>
      <c r="AH793" s="2266"/>
      <c r="AI793" s="2267"/>
      <c r="AJ793" s="2267"/>
      <c r="AK793" s="2267"/>
      <c r="AL793" s="226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8"/>
      <c r="K794" s="2019"/>
      <c r="L794" s="2019"/>
      <c r="M794" s="2019"/>
      <c r="N794" s="2020"/>
      <c r="O794" s="2057"/>
      <c r="P794" s="2057"/>
      <c r="Q794" s="2057"/>
      <c r="R794" s="2057"/>
      <c r="S794" s="2057"/>
      <c r="T794" s="2048"/>
      <c r="U794" s="2049"/>
      <c r="V794" s="2049"/>
      <c r="W794" s="2050"/>
      <c r="X794" s="2090"/>
      <c r="Y794" s="2091"/>
      <c r="Z794" s="2091"/>
      <c r="AA794" s="2091"/>
      <c r="AB794" s="2092"/>
      <c r="AC794" s="2284">
        <f t="shared" si="50"/>
        <v>0</v>
      </c>
      <c r="AD794" s="2285"/>
      <c r="AE794" s="2285"/>
      <c r="AF794" s="2285"/>
      <c r="AG794" s="2286"/>
      <c r="AH794" s="2266"/>
      <c r="AI794" s="2267"/>
      <c r="AJ794" s="2267"/>
      <c r="AK794" s="2267"/>
      <c r="AL794" s="226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8"/>
      <c r="K795" s="2019"/>
      <c r="L795" s="2019"/>
      <c r="M795" s="2019"/>
      <c r="N795" s="2020"/>
      <c r="O795" s="2057"/>
      <c r="P795" s="2057"/>
      <c r="Q795" s="2057"/>
      <c r="R795" s="2057"/>
      <c r="S795" s="2057"/>
      <c r="T795" s="2048"/>
      <c r="U795" s="2049"/>
      <c r="V795" s="2049"/>
      <c r="W795" s="2050"/>
      <c r="X795" s="2090"/>
      <c r="Y795" s="2091"/>
      <c r="Z795" s="2091"/>
      <c r="AA795" s="2091"/>
      <c r="AB795" s="2092"/>
      <c r="AC795" s="2284">
        <f t="shared" si="50"/>
        <v>0</v>
      </c>
      <c r="AD795" s="2285"/>
      <c r="AE795" s="2285"/>
      <c r="AF795" s="2285"/>
      <c r="AG795" s="2286"/>
      <c r="AH795" s="2266"/>
      <c r="AI795" s="2267"/>
      <c r="AJ795" s="2267"/>
      <c r="AK795" s="2267"/>
      <c r="AL795" s="226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9" t="s">
        <v>130</v>
      </c>
      <c r="K796" s="2160"/>
      <c r="L796" s="2160"/>
      <c r="M796" s="2160"/>
      <c r="N796" s="2162"/>
      <c r="O796" s="2265">
        <f>SUM(O786:S795)</f>
        <v>0</v>
      </c>
      <c r="P796" s="2265"/>
      <c r="Q796" s="2265"/>
      <c r="R796" s="2265"/>
      <c r="S796" s="2265"/>
      <c r="X796" s="1604" t="s">
        <v>129</v>
      </c>
      <c r="Y796" s="1605"/>
      <c r="Z796" s="1605"/>
      <c r="AA796" s="1605"/>
      <c r="AB796" s="1606"/>
      <c r="AC796" s="2284">
        <f>SUM(AC786:AG795)</f>
        <v>0</v>
      </c>
      <c r="AD796" s="2285"/>
      <c r="AE796" s="2285"/>
      <c r="AF796" s="2285"/>
      <c r="AG796" s="228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22716</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272592</v>
      </c>
      <c r="Z799" s="2137"/>
      <c r="AA799" s="2137"/>
      <c r="AB799" s="2137"/>
      <c r="AC799" s="2137"/>
      <c r="AZ799" s="58"/>
      <c r="BA799" s="51" t="s">
        <v>668</v>
      </c>
      <c r="BB799" s="51"/>
      <c r="BC799" s="51"/>
      <c r="BD799" s="51"/>
      <c r="BE799" s="51"/>
      <c r="BF799" s="51"/>
      <c r="BG799" s="51"/>
      <c r="BH799" s="51"/>
      <c r="BI799" s="51"/>
      <c r="BJ799" s="51"/>
      <c r="BK799" s="51"/>
      <c r="BL799" s="51"/>
      <c r="BM799" s="51"/>
      <c r="BN799" s="2370" t="s">
        <v>503</v>
      </c>
      <c r="BO799" s="2371"/>
      <c r="BP799" s="58"/>
      <c r="BQ799" s="58"/>
      <c r="BR799" s="58"/>
      <c r="BS799" s="51" t="s">
        <v>670</v>
      </c>
      <c r="BT799" s="51"/>
      <c r="BU799" s="51"/>
      <c r="BV799" s="51"/>
      <c r="BW799" s="51"/>
      <c r="BX799" s="51"/>
      <c r="BY799" s="51"/>
      <c r="BZ799" s="51"/>
      <c r="CA799" s="51"/>
      <c r="CB799" s="2367" t="str">
        <f>T189</f>
        <v>Riverside</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34">
        <v>47</v>
      </c>
      <c r="AA804" s="2335"/>
      <c r="AB804" s="2335"/>
      <c r="AC804" s="2335"/>
      <c r="AD804" s="2335"/>
      <c r="AE804" s="23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33">
        <v>20</v>
      </c>
      <c r="AA805" s="2335"/>
      <c r="AB805" s="2335"/>
      <c r="AC805" s="2335"/>
      <c r="AD805" s="2335"/>
      <c r="AE805" s="23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8">
        <v>52443</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619164</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2880</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344</v>
      </c>
      <c r="Q814" s="2293"/>
      <c r="R814" s="2293"/>
      <c r="S814" s="2293"/>
      <c r="T814" s="2293"/>
      <c r="U814" s="2293"/>
      <c r="V814" s="2293"/>
      <c r="W814" s="2293"/>
      <c r="X814" s="2293"/>
      <c r="Y814" s="2294"/>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2880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8">
        <f>Z815+Y799+Z807</f>
        <v>894636</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9" t="s">
        <v>131</v>
      </c>
      <c r="N821" s="2429"/>
      <c r="O821" s="2429"/>
      <c r="P821" s="2430"/>
      <c r="Q821" s="2291" t="s">
        <v>299</v>
      </c>
      <c r="R821" s="2291"/>
      <c r="S821" s="2291"/>
      <c r="T821" s="2291"/>
      <c r="U821" s="2291" t="s">
        <v>300</v>
      </c>
      <c r="V821" s="2291"/>
      <c r="W821" s="2291"/>
      <c r="X821" s="2291"/>
      <c r="Y821" s="2291" t="s">
        <v>301</v>
      </c>
      <c r="Z821" s="2291"/>
      <c r="AA821" s="2291"/>
      <c r="AB821" s="2291"/>
      <c r="AC821" s="2291" t="s">
        <v>372</v>
      </c>
      <c r="AD821" s="2291"/>
      <c r="AE821" s="2291"/>
      <c r="AF821" s="2291"/>
      <c r="AG821" s="2392" t="s">
        <v>345</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1"/>
      <c r="N822" s="2431"/>
      <c r="O822" s="2431"/>
      <c r="P822" s="2432"/>
      <c r="Q822" s="2291"/>
      <c r="R822" s="2291"/>
      <c r="S822" s="2291"/>
      <c r="T822" s="2291"/>
      <c r="U822" s="2291"/>
      <c r="V822" s="2291"/>
      <c r="W822" s="2291"/>
      <c r="X822" s="2291"/>
      <c r="Y822" s="2291"/>
      <c r="Z822" s="2291"/>
      <c r="AA822" s="2291"/>
      <c r="AB822" s="2291"/>
      <c r="AC822" s="2291"/>
      <c r="AD822" s="2291"/>
      <c r="AE822" s="2291"/>
      <c r="AF822" s="2291"/>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264"/>
      <c r="N823" s="2264"/>
      <c r="O823" s="2264"/>
      <c r="P823" s="2264"/>
      <c r="Q823" s="2264"/>
      <c r="R823" s="2264"/>
      <c r="S823" s="2264"/>
      <c r="T823" s="2264"/>
      <c r="U823" s="2264">
        <v>11</v>
      </c>
      <c r="V823" s="2264"/>
      <c r="W823" s="2264"/>
      <c r="X823" s="2264"/>
      <c r="Y823" s="2264">
        <v>12</v>
      </c>
      <c r="Z823" s="2264"/>
      <c r="AA823" s="2264"/>
      <c r="AB823" s="2264"/>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123" t="s">
        <v>44</v>
      </c>
      <c r="D824" s="2041"/>
      <c r="E824" s="2041"/>
      <c r="F824" s="2041"/>
      <c r="G824" s="2041"/>
      <c r="H824" s="2041"/>
      <c r="I824" s="77"/>
      <c r="J824" s="77"/>
      <c r="K824" s="77"/>
      <c r="L824" s="78"/>
      <c r="M824" s="2264"/>
      <c r="N824" s="2264"/>
      <c r="O824" s="2264"/>
      <c r="P824" s="2264"/>
      <c r="Q824" s="2264"/>
      <c r="R824" s="2264"/>
      <c r="S824" s="2264"/>
      <c r="T824" s="2264"/>
      <c r="U824" s="2264"/>
      <c r="V824" s="2264"/>
      <c r="W824" s="2264"/>
      <c r="X824" s="2264"/>
      <c r="Y824" s="2264"/>
      <c r="Z824" s="2264"/>
      <c r="AA824" s="2264"/>
      <c r="AB824" s="2264"/>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123" t="s">
        <v>45</v>
      </c>
      <c r="D825" s="2041"/>
      <c r="E825" s="2041"/>
      <c r="F825" s="2041"/>
      <c r="G825" s="2041"/>
      <c r="H825" s="2041"/>
      <c r="I825" s="96"/>
      <c r="J825" s="96"/>
      <c r="K825" s="96"/>
      <c r="L825" s="97"/>
      <c r="M825" s="2264"/>
      <c r="N825" s="2264"/>
      <c r="O825" s="2264"/>
      <c r="P825" s="2264"/>
      <c r="Q825" s="2264"/>
      <c r="R825" s="2264"/>
      <c r="S825" s="2264"/>
      <c r="T825" s="2264"/>
      <c r="U825" s="2264">
        <v>7</v>
      </c>
      <c r="V825" s="2264"/>
      <c r="W825" s="2264"/>
      <c r="X825" s="2264"/>
      <c r="Y825" s="2264">
        <v>9</v>
      </c>
      <c r="Z825" s="2264"/>
      <c r="AA825" s="2264"/>
      <c r="AB825" s="2264"/>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123" t="s">
        <v>823</v>
      </c>
      <c r="D826" s="2041"/>
      <c r="E826" s="2041"/>
      <c r="F826" s="2041"/>
      <c r="G826" s="2041"/>
      <c r="H826" s="2041"/>
      <c r="I826" s="96"/>
      <c r="J826" s="96"/>
      <c r="K826" s="96"/>
      <c r="L826" s="97"/>
      <c r="M826" s="2264"/>
      <c r="N826" s="2264"/>
      <c r="O826" s="2264"/>
      <c r="P826" s="2264"/>
      <c r="Q826" s="2264"/>
      <c r="R826" s="2264"/>
      <c r="S826" s="2264"/>
      <c r="T826" s="2264"/>
      <c r="U826" s="2264"/>
      <c r="V826" s="2264"/>
      <c r="W826" s="2264"/>
      <c r="X826" s="2264"/>
      <c r="Y826" s="2264"/>
      <c r="Z826" s="2264"/>
      <c r="AA826" s="2264"/>
      <c r="AB826" s="2264"/>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123" t="s">
        <v>493</v>
      </c>
      <c r="D827" s="2041"/>
      <c r="E827" s="2041"/>
      <c r="F827" s="2041"/>
      <c r="G827" s="2041"/>
      <c r="H827" s="2041"/>
      <c r="I827" s="96"/>
      <c r="J827" s="96"/>
      <c r="K827" s="96"/>
      <c r="L827" s="97"/>
      <c r="M827" s="2264"/>
      <c r="N827" s="2264"/>
      <c r="O827" s="2264"/>
      <c r="P827" s="2264"/>
      <c r="Q827" s="2264"/>
      <c r="R827" s="2264"/>
      <c r="S827" s="2264"/>
      <c r="T827" s="2264"/>
      <c r="U827" s="2264">
        <v>22</v>
      </c>
      <c r="V827" s="2264"/>
      <c r="W827" s="2264"/>
      <c r="X827" s="2264"/>
      <c r="Y827" s="2264">
        <v>30</v>
      </c>
      <c r="Z827" s="2264"/>
      <c r="AA827" s="2264"/>
      <c r="AB827" s="2264"/>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844</v>
      </c>
      <c r="D828" s="2041"/>
      <c r="E828" s="2041"/>
      <c r="F828" s="2041"/>
      <c r="G828" s="2041"/>
      <c r="H828" s="2041"/>
      <c r="I828" s="96"/>
      <c r="J828" s="96"/>
      <c r="K828" s="96"/>
      <c r="L828" s="97"/>
      <c r="M828" s="2264"/>
      <c r="N828" s="2264"/>
      <c r="O828" s="2264"/>
      <c r="P828" s="2264"/>
      <c r="Q828" s="2264"/>
      <c r="R828" s="2264"/>
      <c r="S828" s="2264"/>
      <c r="T828" s="2264"/>
      <c r="U828" s="2264">
        <v>16</v>
      </c>
      <c r="V828" s="2264"/>
      <c r="W828" s="2264"/>
      <c r="X828" s="2264"/>
      <c r="Y828" s="2264">
        <v>20</v>
      </c>
      <c r="Z828" s="2264"/>
      <c r="AA828" s="2264"/>
      <c r="AB828" s="2264"/>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04" t="s">
        <v>344</v>
      </c>
      <c r="G829" s="2282"/>
      <c r="H829" s="2282"/>
      <c r="I829" s="2282"/>
      <c r="J829" s="2282"/>
      <c r="K829" s="2282"/>
      <c r="L829" s="2283"/>
      <c r="M829" s="2264"/>
      <c r="N829" s="2264"/>
      <c r="O829" s="2264"/>
      <c r="P829" s="2264"/>
      <c r="Q829" s="2264"/>
      <c r="R829" s="2264"/>
      <c r="S829" s="2264"/>
      <c r="T829" s="2264"/>
      <c r="U829" s="2264"/>
      <c r="V829" s="2264"/>
      <c r="W829" s="2264"/>
      <c r="X829" s="2264"/>
      <c r="Y829" s="2264"/>
      <c r="Z829" s="2264"/>
      <c r="AA829" s="2264"/>
      <c r="AB829" s="2264"/>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9" t="s">
        <v>129</v>
      </c>
      <c r="D830" s="2160"/>
      <c r="E830" s="2160"/>
      <c r="F830" s="2160"/>
      <c r="G830" s="2160"/>
      <c r="H830" s="2160"/>
      <c r="I830" s="2160"/>
      <c r="J830" s="2160"/>
      <c r="K830" s="2160"/>
      <c r="L830" s="2162"/>
      <c r="M830" s="2278">
        <f>SUM(M823:P829)</f>
        <v>0</v>
      </c>
      <c r="N830" s="2278"/>
      <c r="O830" s="2278"/>
      <c r="P830" s="2278"/>
      <c r="Q830" s="2278">
        <f>SUM(Q823:T829)</f>
        <v>0</v>
      </c>
      <c r="R830" s="2278"/>
      <c r="S830" s="2278"/>
      <c r="T830" s="2278"/>
      <c r="U830" s="2278">
        <f>SUM(U823:X829)</f>
        <v>56</v>
      </c>
      <c r="V830" s="2278"/>
      <c r="W830" s="2278"/>
      <c r="X830" s="2278"/>
      <c r="Y830" s="2278">
        <f>SUM(Y823:AB829)</f>
        <v>71</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5" t="s">
        <v>2546</v>
      </c>
      <c r="D835" s="2446"/>
      <c r="E835" s="2446"/>
      <c r="F835" s="2446"/>
      <c r="G835" s="2446"/>
      <c r="H835" s="2446"/>
      <c r="I835" s="2446"/>
      <c r="J835" s="2446"/>
      <c r="K835" s="2446"/>
      <c r="L835" s="2446"/>
      <c r="M835" s="2446"/>
      <c r="N835" s="2446"/>
      <c r="O835" s="2446"/>
      <c r="P835" s="2446"/>
      <c r="Q835" s="2446"/>
      <c r="R835" s="2446"/>
      <c r="S835" s="2446"/>
      <c r="T835" s="2446"/>
      <c r="U835" s="2446"/>
      <c r="V835" s="2446"/>
      <c r="W835" s="2446"/>
      <c r="X835" s="2446"/>
      <c r="Y835" s="2446"/>
      <c r="Z835" s="2446"/>
      <c r="AA835" s="2446"/>
      <c r="AB835" s="2446"/>
      <c r="AC835" s="2446"/>
      <c r="AD835" s="2446"/>
      <c r="AE835" s="2446"/>
      <c r="AF835" s="2446"/>
      <c r="AG835" s="2446"/>
      <c r="AH835" s="2446"/>
      <c r="AI835" s="2446"/>
      <c r="AJ835" s="24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36">
        <v>1200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36">
        <v>4800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36">
        <v>12000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36">
        <v>2640</v>
      </c>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61" t="s">
        <v>2592</v>
      </c>
      <c r="N844" s="2282"/>
      <c r="O844" s="2282"/>
      <c r="P844" s="2282"/>
      <c r="Q844" s="2282"/>
      <c r="R844" s="2282"/>
      <c r="S844" s="2282"/>
      <c r="T844" s="2282"/>
      <c r="U844" s="2282"/>
      <c r="V844" s="2283"/>
      <c r="W844" s="2136">
        <v>4800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8">
        <f>ROUNDDOWN(BC932*2,2)</f>
        <v>0</v>
      </c>
      <c r="BJ844" s="2398"/>
      <c r="BK844" s="2398"/>
      <c r="BL844" s="239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8">
        <f>SUM(W840:AC844)</f>
        <v>25440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59" t="s">
        <v>356</v>
      </c>
      <c r="K847" s="2160"/>
      <c r="L847" s="2160"/>
      <c r="M847" s="2160"/>
      <c r="N847" s="2160"/>
      <c r="O847" s="2160"/>
      <c r="P847" s="2160"/>
      <c r="Q847" s="2160"/>
      <c r="R847" s="2160"/>
      <c r="S847" s="2160"/>
      <c r="T847" s="2160"/>
      <c r="U847" s="2160"/>
      <c r="V847" s="2162"/>
      <c r="W847" s="2028">
        <v>34560</v>
      </c>
      <c r="X847" s="2029"/>
      <c r="Y847" s="2029"/>
      <c r="Z847" s="2029"/>
      <c r="AA847" s="2029"/>
      <c r="AB847" s="2029"/>
      <c r="AC847" s="203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6">
        <v>7200</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6">
        <v>12000</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6">
        <v>24000</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10">
        <f>SUM(W849:AC852)</f>
        <v>43200</v>
      </c>
      <c r="X853" s="2310"/>
      <c r="Y853" s="2310"/>
      <c r="Z853" s="2310"/>
      <c r="AA853" s="2310"/>
      <c r="AB853" s="2310"/>
      <c r="AC853" s="23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7">
        <f>SUM(AZ821:AZ849)</f>
        <v>0</v>
      </c>
      <c r="BA854" s="2307"/>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44">
        <f>(56400+15216+2632+950)*0.6</f>
        <v>45118.799999999996</v>
      </c>
      <c r="X855" s="2142"/>
      <c r="Y855" s="2142"/>
      <c r="Z855" s="2142"/>
      <c r="AA855" s="2142"/>
      <c r="AB855" s="2142"/>
      <c r="AC855" s="214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14">
        <v>1</v>
      </c>
      <c r="U856" s="2177"/>
      <c r="V856" s="231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41">
        <f>(56400+15216+2632+950)*0.4</f>
        <v>30079.200000000001</v>
      </c>
      <c r="X857" s="2142"/>
      <c r="Y857" s="2142"/>
      <c r="Z857" s="2142"/>
      <c r="AA857" s="2142"/>
      <c r="AB857" s="2142"/>
      <c r="AC857" s="214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14">
        <v>1</v>
      </c>
      <c r="U858" s="2177"/>
      <c r="V858" s="231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4" t="s">
        <v>344</v>
      </c>
      <c r="N859" s="2282"/>
      <c r="O859" s="2282"/>
      <c r="P859" s="2282"/>
      <c r="Q859" s="2282"/>
      <c r="R859" s="2282"/>
      <c r="S859" s="2282"/>
      <c r="T859" s="2282"/>
      <c r="U859" s="2282"/>
      <c r="V859" s="2283"/>
      <c r="W859" s="2144"/>
      <c r="X859" s="2142"/>
      <c r="Y859" s="2142"/>
      <c r="Z859" s="2142"/>
      <c r="AA859" s="2142"/>
      <c r="AB859" s="2142"/>
      <c r="AC859" s="214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93">
        <f>SUM(W855:AC859)</f>
        <v>75198</v>
      </c>
      <c r="X860" s="2394"/>
      <c r="Y860" s="2394"/>
      <c r="Z860" s="2394"/>
      <c r="AA860" s="2394"/>
      <c r="AB860" s="2394"/>
      <c r="AC860" s="239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44">
        <v>12480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36">
        <v>7920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6">
        <v>24000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6">
        <v>19200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6">
        <v>6000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6">
        <v>6000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6">
        <v>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4"/>
      <c r="N869" s="2282"/>
      <c r="O869" s="2282"/>
      <c r="P869" s="2282"/>
      <c r="Q869" s="2282"/>
      <c r="R869" s="2282"/>
      <c r="S869" s="2282"/>
      <c r="T869" s="2282"/>
      <c r="U869" s="2282"/>
      <c r="V869" s="2283"/>
      <c r="W869" s="2136">
        <v>4754</v>
      </c>
      <c r="X869" s="2136"/>
      <c r="Y869" s="2136"/>
      <c r="Z869" s="2136"/>
      <c r="AA869" s="2136"/>
      <c r="AB869" s="2136"/>
      <c r="AC869" s="213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37">
        <f>SUM(W863:AC869)</f>
        <v>67874</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261" t="s">
        <v>2621</v>
      </c>
      <c r="N872" s="2282"/>
      <c r="O872" s="2282"/>
      <c r="P872" s="2282"/>
      <c r="Q872" s="2282"/>
      <c r="R872" s="2282"/>
      <c r="S872" s="2282"/>
      <c r="T872" s="2282"/>
      <c r="U872" s="2282"/>
      <c r="V872" s="2283"/>
      <c r="W872" s="2028">
        <v>4600</v>
      </c>
      <c r="X872" s="2029"/>
      <c r="Y872" s="2029"/>
      <c r="Z872" s="2029"/>
      <c r="AA872" s="2029"/>
      <c r="AB872" s="2029"/>
      <c r="AC872" s="203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304" t="s">
        <v>344</v>
      </c>
      <c r="N873" s="2282"/>
      <c r="O873" s="2282"/>
      <c r="P873" s="2282"/>
      <c r="Q873" s="2282"/>
      <c r="R873" s="2282"/>
      <c r="S873" s="2282"/>
      <c r="T873" s="2282"/>
      <c r="U873" s="2282"/>
      <c r="V873" s="2283"/>
      <c r="W873" s="2028"/>
      <c r="X873" s="2029"/>
      <c r="Y873" s="2029"/>
      <c r="Z873" s="2029"/>
      <c r="AA873" s="2029"/>
      <c r="AB873" s="2029"/>
      <c r="AC873" s="203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4" t="s">
        <v>344</v>
      </c>
      <c r="N874" s="2282"/>
      <c r="O874" s="2282"/>
      <c r="P874" s="2282"/>
      <c r="Q874" s="2282"/>
      <c r="R874" s="2282"/>
      <c r="S874" s="2282"/>
      <c r="T874" s="2282"/>
      <c r="U874" s="2282"/>
      <c r="V874" s="2283"/>
      <c r="W874" s="2028"/>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4" t="s">
        <v>344</v>
      </c>
      <c r="N875" s="2282"/>
      <c r="O875" s="2282"/>
      <c r="P875" s="2282"/>
      <c r="Q875" s="2282"/>
      <c r="R875" s="2282"/>
      <c r="S875" s="2282"/>
      <c r="T875" s="2282"/>
      <c r="U875" s="2282"/>
      <c r="V875" s="2283"/>
      <c r="W875" s="2028"/>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4" t="s">
        <v>344</v>
      </c>
      <c r="N876" s="2282"/>
      <c r="O876" s="2282"/>
      <c r="P876" s="2282"/>
      <c r="Q876" s="2282"/>
      <c r="R876" s="2282"/>
      <c r="S876" s="2282"/>
      <c r="T876" s="2282"/>
      <c r="U876" s="2282"/>
      <c r="V876" s="2283"/>
      <c r="W876" s="2028"/>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8">
        <f>SUM(W872:AC876)</f>
        <v>4600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9">
        <f>W845+W853+W860+W861+W870+W877+W847</f>
        <v>263352</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2">
        <f>O796+O776+G753</f>
        <v>48</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8" t="s">
        <v>33</v>
      </c>
      <c r="F883" s="2448"/>
      <c r="G883" s="2448"/>
      <c r="H883" s="2448"/>
      <c r="I883" s="2448"/>
      <c r="J883" s="2448"/>
      <c r="K883" s="2448"/>
      <c r="L883" s="2448"/>
      <c r="M883" s="2448"/>
      <c r="N883" s="2448"/>
      <c r="O883" s="2448"/>
      <c r="P883" s="2448"/>
      <c r="Q883" s="2448"/>
      <c r="R883" s="2448"/>
      <c r="S883" s="2448"/>
      <c r="T883" s="2448"/>
      <c r="U883" s="2448"/>
      <c r="V883" s="2448"/>
      <c r="W883" s="2448"/>
      <c r="X883" s="2448"/>
      <c r="Y883" s="2448"/>
      <c r="Z883" s="2448"/>
      <c r="AA883" s="2448"/>
      <c r="AB883" s="2449"/>
      <c r="AC883" s="2137">
        <f>IF(ISERROR((ROUNDDOWN(AC881/AC882,0))),0,(ROUNDDOWN(AC881/AC882,0)))</f>
        <v>5486</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57"/>
      <c r="AD884" s="2358"/>
      <c r="AE884" s="2358"/>
      <c r="AF884" s="2358"/>
      <c r="AG884" s="2358"/>
      <c r="AH884" s="23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30"/>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29">
        <v>54520</v>
      </c>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9">
        <v>24000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9">
        <v>7680</v>
      </c>
      <c r="AD889" s="2029"/>
      <c r="AE889" s="2029"/>
      <c r="AF889" s="2029"/>
      <c r="AG889" s="2029"/>
      <c r="AH889" s="203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29"/>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30" t="s">
        <v>2622</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v>9750</v>
      </c>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30" t="s">
        <v>1038</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1"/>
      <c r="BE901" s="230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3"/>
      <c r="BE902" s="2303"/>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2"/>
      <c r="BE903" s="2302"/>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2"/>
      <c r="BE904" s="2302"/>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2"/>
      <c r="BE905" s="2302"/>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1"/>
      <c r="BE906" s="2302"/>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58" t="s">
        <v>101</v>
      </c>
      <c r="B907" s="2058"/>
      <c r="C907" s="2058"/>
      <c r="D907" s="2058"/>
      <c r="E907" s="2058"/>
      <c r="F907" s="2058"/>
      <c r="G907" s="2058"/>
      <c r="H907" s="2058"/>
      <c r="I907" s="2058"/>
      <c r="J907" s="2058"/>
      <c r="K907" s="2058"/>
      <c r="L907" s="2058"/>
      <c r="M907" s="2058"/>
      <c r="N907" s="2058"/>
      <c r="O907" s="2058"/>
      <c r="P907" s="2058"/>
      <c r="Q907" s="2058"/>
      <c r="R907" s="2058"/>
      <c r="S907" s="2058"/>
      <c r="T907" s="2058"/>
      <c r="U907" s="2058"/>
      <c r="V907" s="2058"/>
      <c r="W907" s="2058"/>
      <c r="X907" s="2058"/>
      <c r="Y907" s="2058"/>
      <c r="Z907" s="2058"/>
      <c r="AA907" s="2058"/>
      <c r="AB907" s="2058"/>
      <c r="AC907" s="2058"/>
      <c r="AD907" s="2058"/>
      <c r="AE907" s="2058"/>
      <c r="AF907" s="2058"/>
      <c r="AG907" s="2058"/>
      <c r="AH907" s="2058"/>
      <c r="AI907" s="2058"/>
      <c r="AJ907" s="2058"/>
      <c r="AK907" s="2058"/>
      <c r="AL907" s="2058"/>
      <c r="AM907" s="144"/>
      <c r="AN907" s="144"/>
      <c r="AO907" s="144"/>
      <c r="AP907" s="144"/>
      <c r="AQ907" s="144"/>
      <c r="AR907" s="144"/>
      <c r="AS907" s="144"/>
      <c r="AT907" s="144"/>
      <c r="AU907" s="144"/>
      <c r="AV907" s="144"/>
      <c r="AW907" s="144"/>
      <c r="AX907" s="144"/>
      <c r="AY907" s="144"/>
      <c r="AZ907" s="61"/>
      <c r="BA907" s="25"/>
      <c r="BB907" s="127"/>
      <c r="BC907" s="1609"/>
      <c r="BD907" s="2311"/>
      <c r="BE907" s="2311"/>
      <c r="BF907" s="2311"/>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59"/>
      <c r="B908" s="2059"/>
      <c r="C908" s="2059"/>
      <c r="D908" s="2059"/>
      <c r="E908" s="2059"/>
      <c r="F908" s="2059"/>
      <c r="G908" s="2059"/>
      <c r="H908" s="2059"/>
      <c r="I908" s="2059"/>
      <c r="J908" s="2059"/>
      <c r="K908" s="2059"/>
      <c r="L908" s="2059"/>
      <c r="M908" s="2059"/>
      <c r="N908" s="2059"/>
      <c r="O908" s="2059"/>
      <c r="P908" s="2059"/>
      <c r="Q908" s="2059"/>
      <c r="R908" s="2059"/>
      <c r="S908" s="2059"/>
      <c r="T908" s="2059"/>
      <c r="U908" s="2059"/>
      <c r="V908" s="2059"/>
      <c r="W908" s="2059"/>
      <c r="X908" s="2059"/>
      <c r="Y908" s="2059"/>
      <c r="Z908" s="2059"/>
      <c r="AA908" s="2059"/>
      <c r="AB908" s="2059"/>
      <c r="AC908" s="2059"/>
      <c r="AD908" s="2059"/>
      <c r="AE908" s="2059"/>
      <c r="AF908" s="2059"/>
      <c r="AG908" s="2059"/>
      <c r="AH908" s="2059"/>
      <c r="AI908" s="2059"/>
      <c r="AJ908" s="2059"/>
      <c r="AK908" s="2059"/>
      <c r="AL908" s="2059"/>
      <c r="AM908" s="144"/>
      <c r="AN908" s="144"/>
      <c r="AO908" s="144"/>
      <c r="AP908" s="144"/>
      <c r="AQ908" s="144"/>
      <c r="AR908" s="144"/>
      <c r="AS908" s="144"/>
      <c r="AT908" s="144"/>
      <c r="AU908" s="144"/>
      <c r="AV908" s="144"/>
      <c r="AW908" s="144"/>
      <c r="AX908" s="144"/>
      <c r="AY908" s="144"/>
      <c r="AZ908" s="61"/>
      <c r="BA908" s="25"/>
      <c r="BB908" s="127"/>
      <c r="BC908" s="1609"/>
      <c r="BD908" s="2305"/>
      <c r="BE908" s="2305"/>
      <c r="BF908" s="230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2"/>
      <c r="BE909" s="2302"/>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1"/>
      <c r="BE910" s="2302"/>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9" t="s">
        <v>853</v>
      </c>
      <c r="G912" s="2330"/>
      <c r="H912" s="2330"/>
      <c r="I912" s="2330"/>
      <c r="J912" s="2330"/>
      <c r="K912" s="2330"/>
      <c r="L912" s="2330"/>
      <c r="M912" s="2330"/>
      <c r="N912" s="2330"/>
      <c r="O912" s="2330"/>
      <c r="P912" s="2330"/>
      <c r="Q912" s="2330"/>
      <c r="R912" s="2330"/>
      <c r="S912" s="2330"/>
      <c r="T912" s="2331"/>
      <c r="U912" s="2250" t="s">
        <v>32</v>
      </c>
      <c r="V912" s="2166"/>
      <c r="W912" s="2166"/>
      <c r="X912" s="2166"/>
      <c r="Y912" s="2166"/>
      <c r="Z912" s="2166"/>
      <c r="AA912" s="73"/>
      <c r="AB912" s="161"/>
      <c r="AC912" s="161"/>
      <c r="AD912" s="161"/>
      <c r="AE912" s="161"/>
      <c r="AF912" s="162"/>
      <c r="AZ912" s="61"/>
      <c r="BA912" s="1608"/>
      <c r="BB912" s="127"/>
      <c r="BC912" s="127"/>
      <c r="BD912" s="2301"/>
      <c r="BE912" s="2302"/>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1" t="s">
        <v>882</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19" t="s">
        <v>411</v>
      </c>
      <c r="AC914" s="2319"/>
      <c r="AD914" s="2319"/>
      <c r="AE914" s="2319"/>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97" t="s">
        <v>579</v>
      </c>
      <c r="V915" s="2072"/>
      <c r="W915" s="2072"/>
      <c r="X915" s="2072"/>
      <c r="Y915" s="2072"/>
      <c r="Z915" s="2121"/>
      <c r="AA915" s="2295">
        <v>12735866</v>
      </c>
      <c r="AB915" s="2014"/>
      <c r="AC915" s="2014"/>
      <c r="AD915" s="2014"/>
      <c r="AE915" s="2014"/>
      <c r="AF915" s="22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97" t="s">
        <v>579</v>
      </c>
      <c r="V916" s="2072"/>
      <c r="W916" s="2072"/>
      <c r="X916" s="2072"/>
      <c r="Y916" s="2072"/>
      <c r="Z916" s="2121"/>
      <c r="AA916" s="2295">
        <v>9336023</v>
      </c>
      <c r="AB916" s="2014"/>
      <c r="AC916" s="2014"/>
      <c r="AD916" s="2014"/>
      <c r="AE916" s="2014"/>
      <c r="AF916" s="22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97" t="s">
        <v>627</v>
      </c>
      <c r="V917" s="2072"/>
      <c r="W917" s="2072"/>
      <c r="X917" s="2072"/>
      <c r="Y917" s="2072"/>
      <c r="Z917" s="2121"/>
      <c r="AA917" s="2295"/>
      <c r="AB917" s="2014"/>
      <c r="AC917" s="2014"/>
      <c r="AD917" s="2014"/>
      <c r="AE917" s="2014"/>
      <c r="AF917" s="22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97" t="s">
        <v>627</v>
      </c>
      <c r="V918" s="2072"/>
      <c r="W918" s="2072"/>
      <c r="X918" s="2072"/>
      <c r="Y918" s="2072"/>
      <c r="Z918" s="2121"/>
      <c r="AA918" s="2295"/>
      <c r="AB918" s="2014"/>
      <c r="AC918" s="2014"/>
      <c r="AD918" s="2014"/>
      <c r="AE918" s="2014"/>
      <c r="AF918" s="22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97" t="s">
        <v>627</v>
      </c>
      <c r="V919" s="2072"/>
      <c r="W919" s="2072"/>
      <c r="X919" s="2072"/>
      <c r="Y919" s="2072"/>
      <c r="Z919" s="2121"/>
      <c r="AA919" s="2295"/>
      <c r="AB919" s="2014"/>
      <c r="AC919" s="2014"/>
      <c r="AD919" s="2014"/>
      <c r="AE919" s="2014"/>
      <c r="AF919" s="22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97" t="s">
        <v>627</v>
      </c>
      <c r="V920" s="2072"/>
      <c r="W920" s="2072"/>
      <c r="X920" s="2072"/>
      <c r="Y920" s="2072"/>
      <c r="Z920" s="2121"/>
      <c r="AA920" s="2295"/>
      <c r="AB920" s="2014"/>
      <c r="AC920" s="2014"/>
      <c r="AD920" s="2014"/>
      <c r="AE920" s="2014"/>
      <c r="AF920" s="22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97" t="s">
        <v>627</v>
      </c>
      <c r="V921" s="2072"/>
      <c r="W921" s="2072"/>
      <c r="X921" s="2072"/>
      <c r="Y921" s="2072"/>
      <c r="Z921" s="2121"/>
      <c r="AA921" s="2295"/>
      <c r="AB921" s="2014"/>
      <c r="AC921" s="2014"/>
      <c r="AD921" s="2014"/>
      <c r="AE921" s="2014"/>
      <c r="AF921" s="22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97" t="s">
        <v>627</v>
      </c>
      <c r="V922" s="2072"/>
      <c r="W922" s="2072"/>
      <c r="X922" s="2072"/>
      <c r="Y922" s="2072"/>
      <c r="Z922" s="2121"/>
      <c r="AA922" s="2295"/>
      <c r="AB922" s="2014"/>
      <c r="AC922" s="2014"/>
      <c r="AD922" s="2014"/>
      <c r="AE922" s="2014"/>
      <c r="AF922" s="22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97" t="s">
        <v>627</v>
      </c>
      <c r="V923" s="2072"/>
      <c r="W923" s="2072"/>
      <c r="X923" s="2072"/>
      <c r="Y923" s="2072"/>
      <c r="Z923" s="2121"/>
      <c r="AA923" s="2295"/>
      <c r="AB923" s="2014"/>
      <c r="AC923" s="2014"/>
      <c r="AD923" s="2014"/>
      <c r="AE923" s="2014"/>
      <c r="AF923" s="22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97" t="s">
        <v>627</v>
      </c>
      <c r="V924" s="2072"/>
      <c r="W924" s="2072"/>
      <c r="X924" s="2072"/>
      <c r="Y924" s="2072"/>
      <c r="Z924" s="2121"/>
      <c r="AA924" s="2295"/>
      <c r="AB924" s="2014"/>
      <c r="AC924" s="2014"/>
      <c r="AD924" s="2014"/>
      <c r="AE924" s="2014"/>
      <c r="AF924" s="22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97" t="s">
        <v>627</v>
      </c>
      <c r="V925" s="2072"/>
      <c r="W925" s="2072"/>
      <c r="X925" s="2072"/>
      <c r="Y925" s="2072"/>
      <c r="Z925" s="2121"/>
      <c r="AA925" s="2295"/>
      <c r="AB925" s="2014"/>
      <c r="AC925" s="2014"/>
      <c r="AD925" s="2014"/>
      <c r="AE925" s="2014"/>
      <c r="AF925" s="22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97" t="s">
        <v>627</v>
      </c>
      <c r="V926" s="2072"/>
      <c r="W926" s="2072"/>
      <c r="X926" s="2072"/>
      <c r="Y926" s="2072"/>
      <c r="Z926" s="2121"/>
      <c r="AA926" s="2295"/>
      <c r="AB926" s="2014"/>
      <c r="AC926" s="2014"/>
      <c r="AD926" s="2014"/>
      <c r="AE926" s="2014"/>
      <c r="AF926" s="22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97" t="s">
        <v>579</v>
      </c>
      <c r="V927" s="2072"/>
      <c r="W927" s="2072"/>
      <c r="X927" s="2072"/>
      <c r="Y927" s="2072"/>
      <c r="Z927" s="2121"/>
      <c r="AA927" s="2295">
        <v>11970030</v>
      </c>
      <c r="AB927" s="2014"/>
      <c r="AC927" s="2014"/>
      <c r="AD927" s="2014"/>
      <c r="AE927" s="2014"/>
      <c r="AF927" s="22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297" t="s">
        <v>627</v>
      </c>
      <c r="V928" s="2072"/>
      <c r="W928" s="2072"/>
      <c r="X928" s="2072"/>
      <c r="Y928" s="2072"/>
      <c r="Z928" s="2121"/>
      <c r="AA928" s="2295"/>
      <c r="AB928" s="2014"/>
      <c r="AC928" s="2014"/>
      <c r="AD928" s="2014"/>
      <c r="AE928" s="2014"/>
      <c r="AF928" s="22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297" t="s">
        <v>627</v>
      </c>
      <c r="V929" s="2072"/>
      <c r="W929" s="2072"/>
      <c r="X929" s="2072"/>
      <c r="Y929" s="2072"/>
      <c r="Z929" s="2121"/>
      <c r="AA929" s="2295"/>
      <c r="AB929" s="2014"/>
      <c r="AC929" s="2014"/>
      <c r="AD929" s="2014"/>
      <c r="AE929" s="2014"/>
      <c r="AF929" s="22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97" t="s">
        <v>707</v>
      </c>
      <c r="Q930" s="2072"/>
      <c r="R930" s="2072"/>
      <c r="S930" s="2072"/>
      <c r="T930" s="2121"/>
      <c r="U930" s="2297" t="s">
        <v>627</v>
      </c>
      <c r="V930" s="2072"/>
      <c r="W930" s="2072"/>
      <c r="X930" s="2072"/>
      <c r="Y930" s="2072"/>
      <c r="Z930" s="2121"/>
      <c r="AA930" s="2295"/>
      <c r="AB930" s="2014"/>
      <c r="AC930" s="2014"/>
      <c r="AD930" s="2014"/>
      <c r="AE930" s="2014"/>
      <c r="AF930" s="22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6" t="s">
        <v>344</v>
      </c>
      <c r="J931" s="2327"/>
      <c r="K931" s="2327"/>
      <c r="L931" s="2327"/>
      <c r="M931" s="2327"/>
      <c r="N931" s="2327"/>
      <c r="O931" s="2327"/>
      <c r="P931" s="2327"/>
      <c r="Q931" s="2327"/>
      <c r="R931" s="2327"/>
      <c r="S931" s="2327"/>
      <c r="T931" s="2328"/>
      <c r="U931" s="2297" t="s">
        <v>627</v>
      </c>
      <c r="V931" s="2072"/>
      <c r="W931" s="2072"/>
      <c r="X931" s="2072"/>
      <c r="Y931" s="2072"/>
      <c r="Z931" s="2121"/>
      <c r="AA931" s="2295"/>
      <c r="AB931" s="2014"/>
      <c r="AC931" s="2014"/>
      <c r="AD931" s="2014"/>
      <c r="AE931" s="2014"/>
      <c r="AF931" s="22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2" t="s">
        <v>344</v>
      </c>
      <c r="J932" s="2293"/>
      <c r="K932" s="2293"/>
      <c r="L932" s="2293"/>
      <c r="M932" s="2293"/>
      <c r="N932" s="2293"/>
      <c r="O932" s="2293"/>
      <c r="P932" s="2293"/>
      <c r="Q932" s="2293"/>
      <c r="R932" s="2293"/>
      <c r="S932" s="2293"/>
      <c r="T932" s="2294"/>
      <c r="U932" s="2297" t="s">
        <v>627</v>
      </c>
      <c r="V932" s="2072"/>
      <c r="W932" s="2072"/>
      <c r="X932" s="2072"/>
      <c r="Y932" s="2072"/>
      <c r="Z932" s="2121"/>
      <c r="AA932" s="2295"/>
      <c r="AB932" s="2014"/>
      <c r="AC932" s="2014"/>
      <c r="AD932" s="2014"/>
      <c r="AE932" s="2014"/>
      <c r="AF932" s="22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92" t="s">
        <v>344</v>
      </c>
      <c r="J933" s="2293"/>
      <c r="K933" s="2293"/>
      <c r="L933" s="2293"/>
      <c r="M933" s="2293"/>
      <c r="N933" s="2293"/>
      <c r="O933" s="2293"/>
      <c r="P933" s="2293"/>
      <c r="Q933" s="2293"/>
      <c r="R933" s="2293"/>
      <c r="S933" s="2293"/>
      <c r="T933" s="2294"/>
      <c r="U933" s="2297" t="s">
        <v>627</v>
      </c>
      <c r="V933" s="2072"/>
      <c r="W933" s="2072"/>
      <c r="X933" s="2072"/>
      <c r="Y933" s="2072"/>
      <c r="Z933" s="2121"/>
      <c r="AA933" s="2295"/>
      <c r="AB933" s="2014"/>
      <c r="AC933" s="2014"/>
      <c r="AD933" s="2014"/>
      <c r="AE933" s="2014"/>
      <c r="AF933" s="22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2" t="s">
        <v>344</v>
      </c>
      <c r="J934" s="2293"/>
      <c r="K934" s="2293"/>
      <c r="L934" s="2293"/>
      <c r="M934" s="2293"/>
      <c r="N934" s="2293"/>
      <c r="O934" s="2293"/>
      <c r="P934" s="2293"/>
      <c r="Q934" s="2293"/>
      <c r="R934" s="2293"/>
      <c r="S934" s="2293"/>
      <c r="T934" s="2294"/>
      <c r="U934" s="2297" t="s">
        <v>627</v>
      </c>
      <c r="V934" s="2072"/>
      <c r="W934" s="2072"/>
      <c r="X934" s="2072"/>
      <c r="Y934" s="2072"/>
      <c r="Z934" s="2121"/>
      <c r="AA934" s="2295"/>
      <c r="AB934" s="2014"/>
      <c r="AC934" s="2014"/>
      <c r="AD934" s="2014"/>
      <c r="AE934" s="2014"/>
      <c r="AF934" s="22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4">
        <v>43857</v>
      </c>
      <c r="N939" s="2289"/>
      <c r="O939" s="2289"/>
      <c r="P939" s="2289"/>
      <c r="Q939" s="2289"/>
      <c r="R939" s="2289"/>
      <c r="S939" s="2290"/>
      <c r="U939" s="103" t="s">
        <v>11</v>
      </c>
      <c r="V939" s="77"/>
      <c r="W939" s="77"/>
      <c r="X939" s="77"/>
      <c r="Y939" s="77"/>
      <c r="Z939" s="77"/>
      <c r="AA939" s="77"/>
      <c r="AB939" s="77"/>
      <c r="AC939" s="77"/>
      <c r="AD939" s="78"/>
      <c r="AE939" s="2344"/>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6" t="s">
        <v>2572</v>
      </c>
      <c r="N940" s="2317"/>
      <c r="O940" s="2317"/>
      <c r="P940" s="2317"/>
      <c r="Q940" s="2317"/>
      <c r="R940" s="2317"/>
      <c r="S940" s="2318"/>
      <c r="U940" s="103" t="s">
        <v>12</v>
      </c>
      <c r="V940" s="77"/>
      <c r="W940" s="77"/>
      <c r="X940" s="77"/>
      <c r="Y940" s="77"/>
      <c r="Z940" s="77"/>
      <c r="AA940" s="77"/>
      <c r="AB940" s="77"/>
      <c r="AC940" s="77"/>
      <c r="AD940" s="78"/>
      <c r="AE940" s="2316"/>
      <c r="AF940" s="2317"/>
      <c r="AG940" s="2317"/>
      <c r="AH940" s="2317"/>
      <c r="AI940" s="2317"/>
      <c r="AJ940" s="2317"/>
      <c r="AK940" s="231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0" t="s">
        <v>2573</v>
      </c>
      <c r="K941" s="2321"/>
      <c r="L941" s="2321"/>
      <c r="M941" s="2321"/>
      <c r="N941" s="2321"/>
      <c r="O941" s="2321"/>
      <c r="P941" s="2321"/>
      <c r="Q941" s="2321"/>
      <c r="R941" s="2321"/>
      <c r="S941" s="2322"/>
      <c r="U941" s="103" t="s">
        <v>948</v>
      </c>
      <c r="V941" s="77"/>
      <c r="W941" s="77"/>
      <c r="AB941" s="2320" t="s">
        <v>317</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8">
        <v>1</v>
      </c>
      <c r="N942" s="2299"/>
      <c r="O942" s="2299"/>
      <c r="P942" s="2299"/>
      <c r="Q942" s="2299"/>
      <c r="R942" s="2299"/>
      <c r="S942" s="2300"/>
      <c r="U942" s="103" t="s">
        <v>13</v>
      </c>
      <c r="V942" s="77"/>
      <c r="W942" s="77"/>
      <c r="X942" s="77"/>
      <c r="Y942" s="77"/>
      <c r="Z942" s="77"/>
      <c r="AA942" s="77"/>
      <c r="AB942" s="77"/>
      <c r="AC942" s="77"/>
      <c r="AD942" s="78"/>
      <c r="AE942" s="2343"/>
      <c r="AF942" s="2299"/>
      <c r="AG942" s="2299"/>
      <c r="AH942" s="2299"/>
      <c r="AI942" s="2299"/>
      <c r="AJ942" s="2299"/>
      <c r="AK942" s="23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4">
        <v>47</v>
      </c>
      <c r="N943" s="2335"/>
      <c r="O943" s="2335"/>
      <c r="P943" s="2335"/>
      <c r="Q943" s="2335"/>
      <c r="R943" s="2335"/>
      <c r="S943" s="2336"/>
      <c r="U943" s="103" t="s">
        <v>14</v>
      </c>
      <c r="V943" s="77"/>
      <c r="W943" s="77"/>
      <c r="X943" s="77"/>
      <c r="Y943" s="77"/>
      <c r="Z943" s="77"/>
      <c r="AA943" s="77"/>
      <c r="AB943" s="77"/>
      <c r="AC943" s="77"/>
      <c r="AD943" s="78"/>
      <c r="AE943" s="2334"/>
      <c r="AF943" s="2335"/>
      <c r="AG943" s="2335"/>
      <c r="AH943" s="2335"/>
      <c r="AI943" s="2335"/>
      <c r="AJ943" s="2335"/>
      <c r="AK943" s="23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5">
        <f>'Subsidy Contract Calculation'!I30</f>
        <v>619164</v>
      </c>
      <c r="N944" s="2014"/>
      <c r="O944" s="2014"/>
      <c r="P944" s="2014"/>
      <c r="Q944" s="2014"/>
      <c r="R944" s="2014"/>
      <c r="S944" s="2296"/>
      <c r="U944" s="103" t="s">
        <v>15</v>
      </c>
      <c r="V944" s="77"/>
      <c r="W944" s="77"/>
      <c r="X944" s="77"/>
      <c r="Y944" s="77"/>
      <c r="Z944" s="77"/>
      <c r="AA944" s="77"/>
      <c r="AB944" s="77"/>
      <c r="AC944" s="77"/>
      <c r="AD944" s="78"/>
      <c r="AE944" s="2295"/>
      <c r="AF944" s="2014"/>
      <c r="AG944" s="2014"/>
      <c r="AH944" s="2014"/>
      <c r="AI944" s="2014"/>
      <c r="AJ944" s="2014"/>
      <c r="AK944" s="22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5">
        <f>M944*M946</f>
        <v>12383280</v>
      </c>
      <c r="N945" s="2014"/>
      <c r="O945" s="2014"/>
      <c r="P945" s="2014"/>
      <c r="Q945" s="2014"/>
      <c r="R945" s="2014"/>
      <c r="S945" s="2296"/>
      <c r="U945" s="103" t="s">
        <v>16</v>
      </c>
      <c r="V945" s="77"/>
      <c r="W945" s="77"/>
      <c r="X945" s="77"/>
      <c r="Y945" s="77"/>
      <c r="Z945" s="77"/>
      <c r="AA945" s="77"/>
      <c r="AB945" s="77"/>
      <c r="AC945" s="77"/>
      <c r="AD945" s="78"/>
      <c r="AE945" s="2295"/>
      <c r="AF945" s="2014"/>
      <c r="AG945" s="2014"/>
      <c r="AH945" s="2014"/>
      <c r="AI945" s="2014"/>
      <c r="AJ945" s="2014"/>
      <c r="AK945" s="22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40">
        <v>20</v>
      </c>
      <c r="N946" s="2341"/>
      <c r="O946" s="2341"/>
      <c r="P946" s="2341"/>
      <c r="Q946" s="2341"/>
      <c r="R946" s="2341"/>
      <c r="S946" s="2342"/>
      <c r="U946" s="103" t="s">
        <v>606</v>
      </c>
      <c r="V946" s="77"/>
      <c r="W946" s="77"/>
      <c r="X946" s="77"/>
      <c r="Y946" s="77"/>
      <c r="Z946" s="77"/>
      <c r="AA946" s="77"/>
      <c r="AB946" s="77"/>
      <c r="AC946" s="77"/>
      <c r="AD946" s="78"/>
      <c r="AE946" s="2340"/>
      <c r="AF946" s="2341"/>
      <c r="AG946" s="2341"/>
      <c r="AH946" s="2341"/>
      <c r="AI946" s="2341"/>
      <c r="AJ946" s="2341"/>
      <c r="AK946" s="234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168"/>
      <c r="N951" s="2308"/>
      <c r="O951" s="2308"/>
      <c r="P951" s="2308"/>
      <c r="Q951" s="2308"/>
      <c r="R951" s="2308"/>
      <c r="S951" s="2309"/>
      <c r="T951" s="103" t="s">
        <v>851</v>
      </c>
      <c r="U951" s="77"/>
      <c r="V951" s="77"/>
      <c r="W951" s="77"/>
      <c r="X951" s="77"/>
      <c r="Y951" s="77"/>
      <c r="Z951" s="78"/>
      <c r="AA951" s="2168"/>
      <c r="AB951" s="2308"/>
      <c r="AC951" s="2308"/>
      <c r="AD951" s="2308"/>
      <c r="AE951" s="2308"/>
      <c r="AF951" s="2308"/>
      <c r="AG951" s="230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168"/>
      <c r="N952" s="2308"/>
      <c r="O952" s="2308"/>
      <c r="P952" s="2308"/>
      <c r="Q952" s="2308"/>
      <c r="R952" s="2308"/>
      <c r="S952" s="2309"/>
      <c r="T952" s="103" t="s">
        <v>850</v>
      </c>
      <c r="U952" s="77"/>
      <c r="V952" s="77"/>
      <c r="W952" s="77"/>
      <c r="X952" s="77"/>
      <c r="Y952" s="77"/>
      <c r="Z952" s="78"/>
      <c r="AA952" s="2168"/>
      <c r="AB952" s="2308"/>
      <c r="AC952" s="2308"/>
      <c r="AD952" s="2308"/>
      <c r="AE952" s="2308"/>
      <c r="AF952" s="2308"/>
      <c r="AG952" s="230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3" t="s">
        <v>627</v>
      </c>
      <c r="N953" s="2364"/>
      <c r="O953" s="2364"/>
      <c r="P953" s="2364"/>
      <c r="Q953" s="2364"/>
      <c r="R953" s="2364"/>
      <c r="S953" s="2365"/>
      <c r="T953" s="76" t="s">
        <v>347</v>
      </c>
      <c r="U953" s="77"/>
      <c r="V953" s="77"/>
      <c r="W953" s="77"/>
      <c r="X953" s="77"/>
      <c r="Y953" s="77"/>
      <c r="Z953" s="78"/>
      <c r="AA953" s="2168"/>
      <c r="AB953" s="2308"/>
      <c r="AC953" s="2308"/>
      <c r="AD953" s="2308"/>
      <c r="AE953" s="2308"/>
      <c r="AF953" s="2308"/>
      <c r="AG953" s="230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168"/>
      <c r="N954" s="2308"/>
      <c r="O954" s="2308"/>
      <c r="P954" s="2308"/>
      <c r="Q954" s="2308"/>
      <c r="R954" s="2308"/>
      <c r="S954" s="2309"/>
      <c r="T954" s="76" t="s">
        <v>348</v>
      </c>
      <c r="U954" s="77"/>
      <c r="V954" s="77"/>
      <c r="W954" s="77"/>
      <c r="X954" s="77"/>
      <c r="Y954" s="77"/>
      <c r="Z954" s="78"/>
      <c r="AA954" s="2168"/>
      <c r="AB954" s="2308"/>
      <c r="AC954" s="2308"/>
      <c r="AD954" s="2308"/>
      <c r="AE954" s="2308"/>
      <c r="AF954" s="2308"/>
      <c r="AG954" s="230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168"/>
      <c r="N955" s="2308"/>
      <c r="O955" s="2308"/>
      <c r="P955" s="2308"/>
      <c r="Q955" s="2308"/>
      <c r="R955" s="2308"/>
      <c r="S955" s="2309"/>
      <c r="T955" s="76" t="s">
        <v>395</v>
      </c>
      <c r="U955" s="77"/>
      <c r="V955" s="77"/>
      <c r="W955" s="77"/>
      <c r="X955" s="77"/>
      <c r="Y955" s="77"/>
      <c r="Z955" s="78"/>
      <c r="AA955" s="2168"/>
      <c r="AB955" s="2308"/>
      <c r="AC955" s="2308"/>
      <c r="AD955" s="2308"/>
      <c r="AE955" s="2308"/>
      <c r="AF955" s="2308"/>
      <c r="AG955" s="230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60" t="s">
        <v>317</v>
      </c>
      <c r="N956" s="2361"/>
      <c r="O956" s="2361"/>
      <c r="P956" s="2361"/>
      <c r="Q956" s="2361"/>
      <c r="R956" s="2361"/>
      <c r="S956" s="2362"/>
      <c r="T956" s="2323"/>
      <c r="U956" s="2324"/>
      <c r="V956" s="2324"/>
      <c r="W956" s="2324"/>
      <c r="X956" s="2324"/>
      <c r="Y956" s="2324"/>
      <c r="Z956" s="2325"/>
      <c r="AA956" s="2168"/>
      <c r="AB956" s="2308"/>
      <c r="AC956" s="2308"/>
      <c r="AD956" s="2308"/>
      <c r="AE956" s="2308"/>
      <c r="AF956" s="2308"/>
      <c r="AG956" s="230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168"/>
      <c r="N957" s="2308"/>
      <c r="O957" s="2308"/>
      <c r="P957" s="2308"/>
      <c r="Q957" s="2308"/>
      <c r="R957" s="2308"/>
      <c r="S957" s="2309"/>
      <c r="T957" s="2323"/>
      <c r="U957" s="2324"/>
      <c r="V957" s="2324"/>
      <c r="W957" s="2324"/>
      <c r="X957" s="2324"/>
      <c r="Y957" s="2324"/>
      <c r="Z957" s="2325"/>
      <c r="AA957" s="2168"/>
      <c r="AB957" s="2308"/>
      <c r="AC957" s="2308"/>
      <c r="AD957" s="2308"/>
      <c r="AE957" s="2308"/>
      <c r="AF957" s="2308"/>
      <c r="AG957" s="230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86" t="s">
        <v>707</v>
      </c>
      <c r="P958" s="2120"/>
      <c r="Q958" s="139"/>
      <c r="R958" s="139"/>
      <c r="S958" s="140"/>
      <c r="T958" s="71" t="s">
        <v>174</v>
      </c>
      <c r="U958" s="72"/>
      <c r="V958" s="72"/>
      <c r="W958" s="2304" t="s">
        <v>344</v>
      </c>
      <c r="X958" s="2282"/>
      <c r="Y958" s="2282"/>
      <c r="Z958" s="2282"/>
      <c r="AA958" s="2282"/>
      <c r="AB958" s="2282"/>
      <c r="AC958" s="2282"/>
      <c r="AD958" s="2282"/>
      <c r="AE958" s="2282"/>
      <c r="AF958" s="2282"/>
      <c r="AG958" s="228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168"/>
      <c r="N959" s="2308"/>
      <c r="O959" s="2308"/>
      <c r="P959" s="2308"/>
      <c r="Q959" s="2308"/>
      <c r="R959" s="2308"/>
      <c r="S959" s="2309"/>
      <c r="T959" s="79"/>
      <c r="U959" s="80"/>
      <c r="V959" s="80"/>
      <c r="W959" s="80"/>
      <c r="X959" s="80"/>
      <c r="Y959" s="80"/>
      <c r="Z959" s="188" t="s">
        <v>139</v>
      </c>
      <c r="AA959" s="2337"/>
      <c r="AB959" s="2338"/>
      <c r="AC959" s="2338"/>
      <c r="AD959" s="2338"/>
      <c r="AE959" s="2338"/>
      <c r="AF959" s="2338"/>
      <c r="AG959" s="23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44" t="s">
        <v>582</v>
      </c>
      <c r="B963" s="2444"/>
      <c r="C963" s="2444"/>
      <c r="D963" s="2444"/>
      <c r="E963" s="2444"/>
      <c r="F963" s="2444"/>
      <c r="G963" s="2444"/>
      <c r="H963" s="2444"/>
      <c r="I963" s="2444"/>
      <c r="J963" s="2444"/>
      <c r="K963" s="2444"/>
      <c r="L963" s="2444"/>
      <c r="M963" s="2444"/>
      <c r="N963" s="2444"/>
      <c r="O963" s="2444"/>
      <c r="P963" s="2444"/>
      <c r="Q963" s="2444"/>
      <c r="R963" s="2444"/>
      <c r="S963" s="2444"/>
      <c r="T963" s="2444"/>
      <c r="U963" s="2444"/>
      <c r="V963" s="2444"/>
      <c r="W963" s="2444"/>
      <c r="X963" s="2444"/>
      <c r="Y963" s="2444"/>
      <c r="Z963" s="2444"/>
      <c r="AA963" s="2444"/>
      <c r="AB963" s="2444"/>
      <c r="AC963" s="2444"/>
      <c r="AD963" s="2444"/>
      <c r="AE963" s="2444"/>
      <c r="AF963" s="2444"/>
      <c r="AG963" s="2444"/>
      <c r="AH963" s="2444"/>
      <c r="AI963" s="2444"/>
      <c r="AJ963" s="2444"/>
      <c r="AK963" s="2444"/>
      <c r="AL963" s="2444"/>
      <c r="AM963" s="2444"/>
      <c r="AN963" s="2444"/>
      <c r="AO963" s="2444"/>
      <c r="AP963" s="2444"/>
      <c r="AQ963" s="2444"/>
      <c r="AR963" s="2444"/>
      <c r="AS963" s="24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44"/>
      <c r="B964" s="2444"/>
      <c r="C964" s="2444"/>
      <c r="D964" s="2444"/>
      <c r="E964" s="2444"/>
      <c r="F964" s="2444"/>
      <c r="G964" s="2444"/>
      <c r="H964" s="2444"/>
      <c r="I964" s="2444"/>
      <c r="J964" s="2444"/>
      <c r="K964" s="2444"/>
      <c r="L964" s="2444"/>
      <c r="M964" s="2444"/>
      <c r="N964" s="2444"/>
      <c r="O964" s="2444"/>
      <c r="P964" s="2444"/>
      <c r="Q964" s="2444"/>
      <c r="R964" s="2444"/>
      <c r="S964" s="2444"/>
      <c r="T964" s="2444"/>
      <c r="U964" s="2444"/>
      <c r="V964" s="2444"/>
      <c r="W964" s="2444"/>
      <c r="X964" s="2444"/>
      <c r="Y964" s="2444"/>
      <c r="Z964" s="2444"/>
      <c r="AA964" s="2444"/>
      <c r="AB964" s="2444"/>
      <c r="AC964" s="2444"/>
      <c r="AD964" s="2444"/>
      <c r="AE964" s="2444"/>
      <c r="AF964" s="2444"/>
      <c r="AG964" s="2444"/>
      <c r="AH964" s="2444"/>
      <c r="AI964" s="2444"/>
      <c r="AJ964" s="2444"/>
      <c r="AK964" s="2444"/>
      <c r="AL964" s="2444"/>
      <c r="AM964" s="2444"/>
      <c r="AN964" s="2444"/>
      <c r="AO964" s="2444"/>
      <c r="AP964" s="2444"/>
      <c r="AQ964" s="2444"/>
      <c r="AR964" s="2444"/>
      <c r="AS964" s="24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08" t="s">
        <v>674</v>
      </c>
      <c r="E968" s="2509"/>
      <c r="F968" s="2509"/>
      <c r="G968" s="2509"/>
      <c r="H968" s="2509"/>
      <c r="I968" s="2509"/>
      <c r="J968" s="2509"/>
      <c r="K968" s="2509"/>
      <c r="L968" s="2509"/>
      <c r="M968" s="2509"/>
      <c r="N968" s="2509"/>
      <c r="O968" s="2509"/>
      <c r="P968" s="2509"/>
      <c r="Q968" s="2510"/>
      <c r="R968" s="2508" t="s">
        <v>675</v>
      </c>
      <c r="S968" s="2509"/>
      <c r="T968" s="2509"/>
      <c r="U968" s="2509"/>
      <c r="V968" s="2509"/>
      <c r="W968" s="2509"/>
      <c r="X968" s="2509"/>
      <c r="Y968" s="2509"/>
      <c r="Z968" s="2509"/>
      <c r="AA968" s="2510"/>
      <c r="AB968" s="2508" t="s">
        <v>676</v>
      </c>
      <c r="AC968" s="2509"/>
      <c r="AD968" s="2509"/>
      <c r="AE968" s="2509"/>
      <c r="AF968" s="2509"/>
      <c r="AG968" s="2509"/>
      <c r="AH968" s="2509"/>
      <c r="AI968" s="2510"/>
      <c r="AJ968" s="2508" t="s">
        <v>677</v>
      </c>
      <c r="AK968" s="2509"/>
      <c r="AL968" s="2509"/>
      <c r="AM968" s="2509"/>
      <c r="AN968" s="2509"/>
      <c r="AO968" s="2509"/>
      <c r="AP968" s="2509"/>
      <c r="AQ968" s="2510"/>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3" t="s">
        <v>669</v>
      </c>
      <c r="E969" s="2384"/>
      <c r="F969" s="2384"/>
      <c r="G969" s="2384"/>
      <c r="H969" s="2384"/>
      <c r="I969" s="2384"/>
      <c r="J969" s="2384"/>
      <c r="K969" s="2384"/>
      <c r="L969" s="2384"/>
      <c r="M969" s="2384"/>
      <c r="N969" s="2384"/>
      <c r="O969" s="2384"/>
      <c r="P969" s="2384"/>
      <c r="Q969" s="2385"/>
      <c r="R969" s="2332">
        <f>IF(ISNA(IF($BN$799="4%",(INDEX($BP$809:$BT$866,MATCH($CB$799,$BO$809:$BO$866,0),MATCH(D969,$BP$808:$BT$808,0))),(INDEX($BW$809:$CA$866,MATCH($CB$799,$BV$809:$BV$866,0),MATCH(D969,$BW$808:$CA$808,0))))),0,IF($BN$799="4%",(INDEX($BP$809:$BT$866,MATCH($CB$799,$BO$809:$BO$866,0),MATCH(D969,$BP$808:$BT$808,0))),(INDEX($BW$809:$CA$866,MATCH($CB$799,$BV$809:$BV$866,0),MATCH(D969,$BW$808:$CA$808,0)))))</f>
        <v>228930</v>
      </c>
      <c r="S969" s="2332"/>
      <c r="T969" s="2332"/>
      <c r="U969" s="2332"/>
      <c r="V969" s="2332"/>
      <c r="W969" s="2332"/>
      <c r="X969" s="2332"/>
      <c r="Y969" s="2332"/>
      <c r="Z969" s="2332"/>
      <c r="AA969" s="2332"/>
      <c r="AB969" s="2555">
        <f>BN663</f>
        <v>0</v>
      </c>
      <c r="AC969" s="2556"/>
      <c r="AD969" s="2556"/>
      <c r="AE969" s="2556"/>
      <c r="AF969" s="2556"/>
      <c r="AG969" s="2556"/>
      <c r="AH969" s="2556"/>
      <c r="AI969" s="2557"/>
      <c r="AJ969" s="2389">
        <f>IF(ISERROR((R969*AB969)),0,(R969*AB969))</f>
        <v>0</v>
      </c>
      <c r="AK969" s="2390"/>
      <c r="AL969" s="2390"/>
      <c r="AM969" s="2390"/>
      <c r="AN969" s="2390"/>
      <c r="AO969" s="2390"/>
      <c r="AP969" s="2390"/>
      <c r="AQ969" s="239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3" t="s">
        <v>335</v>
      </c>
      <c r="E970" s="2384"/>
      <c r="F970" s="2384"/>
      <c r="G970" s="2384"/>
      <c r="H970" s="2384"/>
      <c r="I970" s="2384"/>
      <c r="J970" s="2384"/>
      <c r="K970" s="2384"/>
      <c r="L970" s="2384"/>
      <c r="M970" s="2384"/>
      <c r="N970" s="2384"/>
      <c r="O970" s="2384"/>
      <c r="P970" s="2384"/>
      <c r="Q970" s="2385"/>
      <c r="R970" s="2332">
        <f>IF(ISNA(IF($BN$799="4%",(INDEX($BP$809:$BT$866,MATCH($CB$799,$BO$809:$BO$866,0),MATCH(D970,$BP$808:$BT$808,0))),(INDEX($BW$809:$CA$866,MATCH($CB$799,$BV$809:$BV$866,0),MATCH(D970,$BW$808:$CA$808,0))))),0,IF($BN$799="4%",(INDEX($BP$809:$BT$866,MATCH($CB$799,$BO$809:$BO$866,0),MATCH(D970,$BP$808:$BT$808,0))),(INDEX($BW$809:$CA$866,MATCH($CB$799,$BV$809:$BV$866,0),MATCH(D970,$BW$808:$CA$808,0)))))</f>
        <v>263954</v>
      </c>
      <c r="S970" s="2332"/>
      <c r="T970" s="2332"/>
      <c r="U970" s="2332"/>
      <c r="V970" s="2332"/>
      <c r="W970" s="2332"/>
      <c r="X970" s="2332"/>
      <c r="Y970" s="2332"/>
      <c r="Z970" s="2332"/>
      <c r="AA970" s="2332"/>
      <c r="AB970" s="2555">
        <f>BS663</f>
        <v>0</v>
      </c>
      <c r="AC970" s="2556"/>
      <c r="AD970" s="2556"/>
      <c r="AE970" s="2556"/>
      <c r="AF970" s="2556"/>
      <c r="AG970" s="2556"/>
      <c r="AH970" s="2556"/>
      <c r="AI970" s="2557"/>
      <c r="AJ970" s="2389">
        <f>IF(ISERROR((R970*AB970)),0,(R970*AB970))</f>
        <v>0</v>
      </c>
      <c r="AK970" s="2390"/>
      <c r="AL970" s="2390"/>
      <c r="AM970" s="2390"/>
      <c r="AN970" s="2390"/>
      <c r="AO970" s="2390"/>
      <c r="AP970" s="2390"/>
      <c r="AQ970" s="239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3" t="s">
        <v>168</v>
      </c>
      <c r="E971" s="2384"/>
      <c r="F971" s="2384"/>
      <c r="G971" s="2384"/>
      <c r="H971" s="2384"/>
      <c r="I971" s="2384"/>
      <c r="J971" s="2384"/>
      <c r="K971" s="2384"/>
      <c r="L971" s="2384"/>
      <c r="M971" s="2384"/>
      <c r="N971" s="2384"/>
      <c r="O971" s="2384"/>
      <c r="P971" s="2384"/>
      <c r="Q971" s="2385"/>
      <c r="R971" s="2332">
        <f>IF(ISNA(IF($BN$799="4%",(INDEX($BP$809:$BT$866,MATCH($CB$799,$BO$809:$BO$866,0),MATCH(D971,$BP$808:$BT$808,0))),(INDEX($BW$809:$CA$866,MATCH($CB$799,$BV$809:$BV$866,0),MATCH(D971,$BW$808:$CA$808,0))))),0,IF($BN$799="4%",(INDEX($BP$809:$BT$866,MATCH($CB$799,$BO$809:$BO$866,0),MATCH(D971,$BP$808:$BT$808,0))),(INDEX($BW$809:$CA$866,MATCH($CB$799,$BV$809:$BV$866,0),MATCH(D971,$BW$808:$CA$808,0)))))</f>
        <v>318400</v>
      </c>
      <c r="S971" s="2332"/>
      <c r="T971" s="2332"/>
      <c r="U971" s="2332"/>
      <c r="V971" s="2332"/>
      <c r="W971" s="2332"/>
      <c r="X971" s="2332"/>
      <c r="Y971" s="2332"/>
      <c r="Z971" s="2332"/>
      <c r="AA971" s="2332"/>
      <c r="AB971" s="2555">
        <f>BX663</f>
        <v>24</v>
      </c>
      <c r="AC971" s="2556"/>
      <c r="AD971" s="2556"/>
      <c r="AE971" s="2556"/>
      <c r="AF971" s="2556"/>
      <c r="AG971" s="2556"/>
      <c r="AH971" s="2556"/>
      <c r="AI971" s="2557"/>
      <c r="AJ971" s="2389">
        <f>IF(ISERROR((R971*AB971)),0,(R971*AB971))</f>
        <v>7641600</v>
      </c>
      <c r="AK971" s="2390"/>
      <c r="AL971" s="2390"/>
      <c r="AM971" s="2390"/>
      <c r="AN971" s="2390"/>
      <c r="AO971" s="2390"/>
      <c r="AP971" s="2390"/>
      <c r="AQ971" s="239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3" t="s">
        <v>169</v>
      </c>
      <c r="E972" s="2384"/>
      <c r="F972" s="2384"/>
      <c r="G972" s="2384"/>
      <c r="H972" s="2384"/>
      <c r="I972" s="2384"/>
      <c r="J972" s="2384"/>
      <c r="K972" s="2384"/>
      <c r="L972" s="2384"/>
      <c r="M972" s="2384"/>
      <c r="N972" s="2384"/>
      <c r="O972" s="2384"/>
      <c r="P972" s="2384"/>
      <c r="Q972" s="2385"/>
      <c r="R972" s="2332">
        <f>IF(ISNA(IF($BN$799="4%",(INDEX($BP$809:$BT$866,MATCH($CB$799,$BO$809:$BO$866,0),MATCH(D972,$BP$808:$BT$808,0))),(INDEX($BW$809:$CA$866,MATCH($CB$799,$BV$809:$BV$866,0),MATCH(D972,$BW$808:$CA$808,0))))),0,IF($BN$799="4%",(INDEX($BP$809:$BT$866,MATCH($CB$799,$BO$809:$BO$866,0),MATCH(D972,$BP$808:$BT$808,0))),(INDEX($BW$809:$CA$866,MATCH($CB$799,$BV$809:$BV$866,0),MATCH(D972,$BW$808:$CA$808,0)))))</f>
        <v>407552</v>
      </c>
      <c r="S972" s="2332"/>
      <c r="T972" s="2332"/>
      <c r="U972" s="2332"/>
      <c r="V972" s="2332"/>
      <c r="W972" s="2332"/>
      <c r="X972" s="2332"/>
      <c r="Y972" s="2332"/>
      <c r="Z972" s="2332"/>
      <c r="AA972" s="2332"/>
      <c r="AB972" s="2555">
        <f>CC663</f>
        <v>24</v>
      </c>
      <c r="AC972" s="2556"/>
      <c r="AD972" s="2556"/>
      <c r="AE972" s="2556"/>
      <c r="AF972" s="2556"/>
      <c r="AG972" s="2556"/>
      <c r="AH972" s="2556"/>
      <c r="AI972" s="2557"/>
      <c r="AJ972" s="2389">
        <f>IF(ISERROR((R972*AB972)),0,(R972*AB972))</f>
        <v>9781248</v>
      </c>
      <c r="AK972" s="2390"/>
      <c r="AL972" s="2390"/>
      <c r="AM972" s="2390"/>
      <c r="AN972" s="2390"/>
      <c r="AO972" s="2390"/>
      <c r="AP972" s="2390"/>
      <c r="AQ972" s="239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3" t="s">
        <v>494</v>
      </c>
      <c r="E973" s="2384"/>
      <c r="F973" s="2384"/>
      <c r="G973" s="2384"/>
      <c r="H973" s="2384"/>
      <c r="I973" s="2384"/>
      <c r="J973" s="2384"/>
      <c r="K973" s="2384"/>
      <c r="L973" s="2384"/>
      <c r="M973" s="2384"/>
      <c r="N973" s="2384"/>
      <c r="O973" s="2384"/>
      <c r="P973" s="2384"/>
      <c r="Q973" s="2385"/>
      <c r="R973" s="2332">
        <f>IF(ISNA(IF($BN$799="4%",(INDEX($BP$809:$BT$866,MATCH($CB$799,$BO$809:$BO$866,0),MATCH(D973,$BP$808:$BT$808,0))),(INDEX($BW$809:$CA$866,MATCH($CB$799,$BV$809:$BV$866,0),MATCH(D973,$BW$808:$CA$808,0))))),0,IF($BN$799="4%",(INDEX($BP$809:$BT$866,MATCH($CB$799,$BO$809:$BO$866,0),MATCH(D973,$BP$808:$BT$808,0))),(INDEX($BW$809:$CA$866,MATCH($CB$799,$BV$809:$BV$866,0),MATCH(D973,$BW$808:$CA$808,0)))))</f>
        <v>454038</v>
      </c>
      <c r="S973" s="2332"/>
      <c r="T973" s="2332"/>
      <c r="U973" s="2332"/>
      <c r="V973" s="2332"/>
      <c r="W973" s="2332"/>
      <c r="X973" s="2332"/>
      <c r="Y973" s="2332"/>
      <c r="Z973" s="2332"/>
      <c r="AA973" s="2332"/>
      <c r="AB973" s="2555">
        <f>CM663+CH663</f>
        <v>0</v>
      </c>
      <c r="AC973" s="2556"/>
      <c r="AD973" s="2556"/>
      <c r="AE973" s="2556"/>
      <c r="AF973" s="2556"/>
      <c r="AG973" s="2556"/>
      <c r="AH973" s="2556"/>
      <c r="AI973" s="2557"/>
      <c r="AJ973" s="2389">
        <f>IF(ISERROR((R973*AB973)),0,(R973*AB973))</f>
        <v>0</v>
      </c>
      <c r="AK973" s="2390"/>
      <c r="AL973" s="2390"/>
      <c r="AM973" s="2390"/>
      <c r="AN973" s="2390"/>
      <c r="AO973" s="2390"/>
      <c r="AP973" s="2390"/>
      <c r="AQ973" s="239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22" t="s">
        <v>852</v>
      </c>
      <c r="C974" s="2523"/>
      <c r="D974" s="2523"/>
      <c r="E974" s="2523"/>
      <c r="F974" s="2523"/>
      <c r="G974" s="2523"/>
      <c r="H974" s="2523"/>
      <c r="I974" s="2523"/>
      <c r="J974" s="2523"/>
      <c r="K974" s="2523"/>
      <c r="L974" s="2523"/>
      <c r="M974" s="2523"/>
      <c r="N974" s="2523"/>
      <c r="O974" s="2523"/>
      <c r="P974" s="2523"/>
      <c r="Q974" s="2523"/>
      <c r="R974" s="2523"/>
      <c r="S974" s="2523"/>
      <c r="T974" s="2523"/>
      <c r="U974" s="2523"/>
      <c r="V974" s="2523"/>
      <c r="W974" s="2523"/>
      <c r="X974" s="2523"/>
      <c r="Y974" s="2523"/>
      <c r="Z974" s="2523"/>
      <c r="AA974" s="2524"/>
      <c r="AB974" s="2555">
        <f>SUM(AB969:AI973)</f>
        <v>48</v>
      </c>
      <c r="AC974" s="2556"/>
      <c r="AD974" s="2556"/>
      <c r="AE974" s="2556"/>
      <c r="AF974" s="2556"/>
      <c r="AG974" s="2556"/>
      <c r="AH974" s="2556"/>
      <c r="AI974" s="2557"/>
      <c r="AJ974" s="2389"/>
      <c r="AK974" s="2390"/>
      <c r="AL974" s="2390"/>
      <c r="AM974" s="2390"/>
      <c r="AN974" s="2390"/>
      <c r="AO974" s="2390"/>
      <c r="AP974" s="2390"/>
      <c r="AQ974" s="239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441" t="s">
        <v>546</v>
      </c>
      <c r="C975" s="2442"/>
      <c r="D975" s="2442"/>
      <c r="E975" s="2442"/>
      <c r="F975" s="2442"/>
      <c r="G975" s="2442"/>
      <c r="H975" s="2442"/>
      <c r="I975" s="2442"/>
      <c r="J975" s="2442"/>
      <c r="K975" s="2442"/>
      <c r="L975" s="2442"/>
      <c r="M975" s="2442"/>
      <c r="N975" s="2442"/>
      <c r="O975" s="2442"/>
      <c r="P975" s="2442"/>
      <c r="Q975" s="2442"/>
      <c r="R975" s="2442"/>
      <c r="S975" s="2442"/>
      <c r="T975" s="2442"/>
      <c r="U975" s="2442"/>
      <c r="V975" s="2442"/>
      <c r="W975" s="2442"/>
      <c r="X975" s="2442"/>
      <c r="Y975" s="2442"/>
      <c r="Z975" s="2442"/>
      <c r="AA975" s="2442"/>
      <c r="AB975" s="2442"/>
      <c r="AC975" s="2442"/>
      <c r="AD975" s="2442"/>
      <c r="AE975" s="2442"/>
      <c r="AF975" s="2442"/>
      <c r="AG975" s="2442"/>
      <c r="AH975" s="2442"/>
      <c r="AI975" s="2443"/>
      <c r="AJ975" s="2389">
        <f>SUM(AJ969:AQ973)</f>
        <v>17422848</v>
      </c>
      <c r="AK975" s="2390"/>
      <c r="AL975" s="2390"/>
      <c r="AM975" s="2390"/>
      <c r="AN975" s="2390"/>
      <c r="AO975" s="2390"/>
      <c r="AP975" s="2390"/>
      <c r="AQ975" s="239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3"/>
      <c r="C976" s="2484"/>
      <c r="D976" s="2484"/>
      <c r="E976" s="2484"/>
      <c r="F976" s="2484"/>
      <c r="G976" s="2484"/>
      <c r="H976" s="2484"/>
      <c r="I976" s="2484"/>
      <c r="J976" s="2484"/>
      <c r="K976" s="2484"/>
      <c r="L976" s="2484"/>
      <c r="M976" s="2484"/>
      <c r="N976" s="2484"/>
      <c r="O976" s="2484"/>
      <c r="P976" s="2484"/>
      <c r="Q976" s="2484"/>
      <c r="R976" s="2484"/>
      <c r="S976" s="2484"/>
      <c r="T976" s="2484"/>
      <c r="U976" s="2484"/>
      <c r="V976" s="2484"/>
      <c r="W976" s="2484"/>
      <c r="X976" s="2484"/>
      <c r="Y976" s="2484"/>
      <c r="Z976" s="2484"/>
      <c r="AA976" s="2484"/>
      <c r="AB976" s="2484"/>
      <c r="AC976" s="2484"/>
      <c r="AD976" s="2484"/>
      <c r="AE976" s="2485"/>
      <c r="AF976" s="2486" t="s">
        <v>704</v>
      </c>
      <c r="AG976" s="2487"/>
      <c r="AH976" s="2487"/>
      <c r="AI976" s="2488"/>
      <c r="AJ976" s="2483"/>
      <c r="AK976" s="2484"/>
      <c r="AL976" s="2484"/>
      <c r="AM976" s="2484"/>
      <c r="AN976" s="2484"/>
      <c r="AO976" s="2484"/>
      <c r="AP976" s="2484"/>
      <c r="AQ976" s="248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91" t="s">
        <v>1437</v>
      </c>
      <c r="E977" s="2492"/>
      <c r="F977" s="2492"/>
      <c r="G977" s="2492"/>
      <c r="H977" s="2492"/>
      <c r="I977" s="2492"/>
      <c r="J977" s="2492"/>
      <c r="K977" s="2492"/>
      <c r="L977" s="2492"/>
      <c r="M977" s="2492"/>
      <c r="N977" s="2492"/>
      <c r="O977" s="2492"/>
      <c r="P977" s="2492"/>
      <c r="Q977" s="2492"/>
      <c r="R977" s="2492"/>
      <c r="S977" s="2492"/>
      <c r="T977" s="2492"/>
      <c r="U977" s="2492"/>
      <c r="V977" s="2492"/>
      <c r="W977" s="2492"/>
      <c r="X977" s="2492"/>
      <c r="Y977" s="2492"/>
      <c r="Z977" s="2492"/>
      <c r="AA977" s="2492"/>
      <c r="AB977" s="2492"/>
      <c r="AC977" s="2492"/>
      <c r="AD977" s="2492"/>
      <c r="AE977" s="2493"/>
      <c r="AF977" s="117"/>
      <c r="AG977" s="2489" t="s">
        <v>579</v>
      </c>
      <c r="AH977" s="2490"/>
      <c r="AI977" s="125"/>
      <c r="AJ977" s="2500">
        <f>ROUND(IF(AND(AG977="yes",D979&gt;0),AJ975*0.2,0),0)</f>
        <v>3484570</v>
      </c>
      <c r="AK977" s="2501"/>
      <c r="AL977" s="2501"/>
      <c r="AM977" s="2501"/>
      <c r="AN977" s="2501"/>
      <c r="AO977" s="2501"/>
      <c r="AP977" s="2501"/>
      <c r="AQ977" s="250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5" t="s">
        <v>1438</v>
      </c>
      <c r="E978" s="2526"/>
      <c r="F978" s="2526"/>
      <c r="G978" s="2526"/>
      <c r="H978" s="2526"/>
      <c r="I978" s="2526"/>
      <c r="J978" s="2526"/>
      <c r="K978" s="2526"/>
      <c r="L978" s="2526"/>
      <c r="M978" s="2526"/>
      <c r="N978" s="2526"/>
      <c r="O978" s="2526"/>
      <c r="P978" s="2526"/>
      <c r="Q978" s="2526"/>
      <c r="R978" s="2526"/>
      <c r="S978" s="2526"/>
      <c r="T978" s="2526"/>
      <c r="U978" s="2526"/>
      <c r="V978" s="2526"/>
      <c r="W978" s="2526"/>
      <c r="X978" s="2526"/>
      <c r="Y978" s="2526"/>
      <c r="Z978" s="2526"/>
      <c r="AA978" s="2526"/>
      <c r="AB978" s="2526"/>
      <c r="AC978" s="2526"/>
      <c r="AD978" s="2526"/>
      <c r="AE978" s="2527"/>
      <c r="AF978" s="110"/>
      <c r="AG978" s="112"/>
      <c r="AH978" s="112"/>
      <c r="AI978" s="121"/>
      <c r="AJ978" s="2503"/>
      <c r="AK978" s="2145"/>
      <c r="AL978" s="2145"/>
      <c r="AM978" s="2145"/>
      <c r="AN978" s="2145"/>
      <c r="AO978" s="2145"/>
      <c r="AP978" s="2145"/>
      <c r="AQ978" s="250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28" t="s">
        <v>864</v>
      </c>
      <c r="E979" s="2529"/>
      <c r="F979" s="2529"/>
      <c r="G979" s="2529"/>
      <c r="H979" s="2529"/>
      <c r="I979" s="2529"/>
      <c r="J979" s="2529"/>
      <c r="K979" s="2529"/>
      <c r="L979" s="2529"/>
      <c r="M979" s="2529"/>
      <c r="N979" s="2529"/>
      <c r="O979" s="2529"/>
      <c r="P979" s="2529"/>
      <c r="Q979" s="2529"/>
      <c r="R979" s="2529"/>
      <c r="S979" s="2529"/>
      <c r="T979" s="2529"/>
      <c r="U979" s="2529"/>
      <c r="V979" s="2529"/>
      <c r="W979" s="2529"/>
      <c r="X979" s="2529"/>
      <c r="Y979" s="2529"/>
      <c r="Z979" s="2529"/>
      <c r="AA979" s="2529"/>
      <c r="AB979" s="2529"/>
      <c r="AC979" s="2529"/>
      <c r="AD979" s="2529"/>
      <c r="AE979" s="2530"/>
      <c r="AF979" s="115"/>
      <c r="AG979" s="11"/>
      <c r="AH979" s="11"/>
      <c r="AI979" s="116"/>
      <c r="AJ979" s="2505"/>
      <c r="AK979" s="2506"/>
      <c r="AL979" s="2506"/>
      <c r="AM979" s="2506"/>
      <c r="AN979" s="2506"/>
      <c r="AO979" s="2506"/>
      <c r="AP979" s="2506"/>
      <c r="AQ979" s="250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2" t="s">
        <v>1541</v>
      </c>
      <c r="E980" s="2453"/>
      <c r="F980" s="2453"/>
      <c r="G980" s="2453"/>
      <c r="H980" s="2453"/>
      <c r="I980" s="2453"/>
      <c r="J980" s="2453"/>
      <c r="K980" s="2453"/>
      <c r="L980" s="2453"/>
      <c r="M980" s="2453"/>
      <c r="N980" s="2453"/>
      <c r="O980" s="2453"/>
      <c r="P980" s="2453"/>
      <c r="Q980" s="2453"/>
      <c r="R980" s="2453"/>
      <c r="S980" s="2453"/>
      <c r="T980" s="2453"/>
      <c r="U980" s="2453"/>
      <c r="V980" s="2453"/>
      <c r="W980" s="2453"/>
      <c r="X980" s="2453"/>
      <c r="Y980" s="2453"/>
      <c r="Z980" s="2453"/>
      <c r="AA980" s="2453"/>
      <c r="AB980" s="2453"/>
      <c r="AC980" s="2453"/>
      <c r="AD980" s="2453"/>
      <c r="AE980" s="2454"/>
      <c r="AF980" s="117"/>
      <c r="AG980" s="2464" t="s">
        <v>707</v>
      </c>
      <c r="AH980" s="2465"/>
      <c r="AI980" s="125"/>
      <c r="AJ980" s="2500">
        <f>ROUND(IF(AG980="yes",AJ975*0.05,0),0)</f>
        <v>0</v>
      </c>
      <c r="AK980" s="2501"/>
      <c r="AL980" s="2501"/>
      <c r="AM980" s="2501"/>
      <c r="AN980" s="2501"/>
      <c r="AO980" s="2501"/>
      <c r="AP980" s="2501"/>
      <c r="AQ980" s="250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25" t="s">
        <v>1539</v>
      </c>
      <c r="E981" s="2526"/>
      <c r="F981" s="2526"/>
      <c r="G981" s="2526"/>
      <c r="H981" s="2526"/>
      <c r="I981" s="2526"/>
      <c r="J981" s="2526"/>
      <c r="K981" s="2526"/>
      <c r="L981" s="2526"/>
      <c r="M981" s="2526"/>
      <c r="N981" s="2526"/>
      <c r="O981" s="2526"/>
      <c r="P981" s="2526"/>
      <c r="Q981" s="2526"/>
      <c r="R981" s="2526"/>
      <c r="S981" s="2526"/>
      <c r="T981" s="2526"/>
      <c r="U981" s="2526"/>
      <c r="V981" s="2526"/>
      <c r="W981" s="2526"/>
      <c r="X981" s="2526"/>
      <c r="Y981" s="2526"/>
      <c r="Z981" s="2526"/>
      <c r="AA981" s="2526"/>
      <c r="AB981" s="2526"/>
      <c r="AC981" s="2526"/>
      <c r="AD981" s="2526"/>
      <c r="AE981" s="2527"/>
      <c r="AF981" s="110"/>
      <c r="AG981" s="112"/>
      <c r="AH981" s="112"/>
      <c r="AI981" s="121"/>
      <c r="AJ981" s="2503"/>
      <c r="AK981" s="2145"/>
      <c r="AL981" s="2145"/>
      <c r="AM981" s="2145"/>
      <c r="AN981" s="2145"/>
      <c r="AO981" s="2145"/>
      <c r="AP981" s="2145"/>
      <c r="AQ981" s="250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5"/>
      <c r="E982" s="2526"/>
      <c r="F982" s="2526"/>
      <c r="G982" s="2526"/>
      <c r="H982" s="2526"/>
      <c r="I982" s="2526"/>
      <c r="J982" s="2526"/>
      <c r="K982" s="2526"/>
      <c r="L982" s="2526"/>
      <c r="M982" s="2526"/>
      <c r="N982" s="2526"/>
      <c r="O982" s="2526"/>
      <c r="P982" s="2526"/>
      <c r="Q982" s="2526"/>
      <c r="R982" s="2526"/>
      <c r="S982" s="2526"/>
      <c r="T982" s="2526"/>
      <c r="U982" s="2526"/>
      <c r="V982" s="2526"/>
      <c r="W982" s="2526"/>
      <c r="X982" s="2526"/>
      <c r="Y982" s="2526"/>
      <c r="Z982" s="2526"/>
      <c r="AA982" s="2526"/>
      <c r="AB982" s="2526"/>
      <c r="AC982" s="2526"/>
      <c r="AD982" s="2526"/>
      <c r="AE982" s="2527"/>
      <c r="AF982" s="110"/>
      <c r="AG982" s="112"/>
      <c r="AH982" s="112"/>
      <c r="AI982" s="121"/>
      <c r="AJ982" s="2503"/>
      <c r="AK982" s="2145"/>
      <c r="AL982" s="2145"/>
      <c r="AM982" s="2145"/>
      <c r="AN982" s="2145"/>
      <c r="AO982" s="2145"/>
      <c r="AP982" s="2145"/>
      <c r="AQ982" s="250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5"/>
      <c r="E983" s="2526"/>
      <c r="F983" s="2526"/>
      <c r="G983" s="2526"/>
      <c r="H983" s="2526"/>
      <c r="I983" s="2526"/>
      <c r="J983" s="2526"/>
      <c r="K983" s="2526"/>
      <c r="L983" s="2526"/>
      <c r="M983" s="2526"/>
      <c r="N983" s="2526"/>
      <c r="O983" s="2526"/>
      <c r="P983" s="2526"/>
      <c r="Q983" s="2526"/>
      <c r="R983" s="2526"/>
      <c r="S983" s="2526"/>
      <c r="T983" s="2526"/>
      <c r="U983" s="2526"/>
      <c r="V983" s="2526"/>
      <c r="W983" s="2526"/>
      <c r="X983" s="2526"/>
      <c r="Y983" s="2526"/>
      <c r="Z983" s="2526"/>
      <c r="AA983" s="2526"/>
      <c r="AB983" s="2526"/>
      <c r="AC983" s="2526"/>
      <c r="AD983" s="2526"/>
      <c r="AE983" s="2527"/>
      <c r="AF983" s="110"/>
      <c r="AG983" s="112"/>
      <c r="AH983" s="112"/>
      <c r="AI983" s="121"/>
      <c r="AJ983" s="2503"/>
      <c r="AK983" s="2145"/>
      <c r="AL983" s="2145"/>
      <c r="AM983" s="2145"/>
      <c r="AN983" s="2145"/>
      <c r="AO983" s="2145"/>
      <c r="AP983" s="2145"/>
      <c r="AQ983" s="250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5"/>
      <c r="E984" s="2526"/>
      <c r="F984" s="2526"/>
      <c r="G984" s="2526"/>
      <c r="H984" s="2526"/>
      <c r="I984" s="2526"/>
      <c r="J984" s="2526"/>
      <c r="K984" s="2526"/>
      <c r="L984" s="2526"/>
      <c r="M984" s="2526"/>
      <c r="N984" s="2526"/>
      <c r="O984" s="2526"/>
      <c r="P984" s="2526"/>
      <c r="Q984" s="2526"/>
      <c r="R984" s="2526"/>
      <c r="S984" s="2526"/>
      <c r="T984" s="2526"/>
      <c r="U984" s="2526"/>
      <c r="V984" s="2526"/>
      <c r="W984" s="2526"/>
      <c r="X984" s="2526"/>
      <c r="Y984" s="2526"/>
      <c r="Z984" s="2526"/>
      <c r="AA984" s="2526"/>
      <c r="AB984" s="2526"/>
      <c r="AC984" s="2526"/>
      <c r="AD984" s="2526"/>
      <c r="AE984" s="2527"/>
      <c r="AF984" s="110"/>
      <c r="AG984" s="112"/>
      <c r="AH984" s="112"/>
      <c r="AI984" s="121"/>
      <c r="AJ984" s="2503"/>
      <c r="AK984" s="2145"/>
      <c r="AL984" s="2145"/>
      <c r="AM984" s="2145"/>
      <c r="AN984" s="2145"/>
      <c r="AO984" s="2145"/>
      <c r="AP984" s="2145"/>
      <c r="AQ984" s="250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1"/>
      <c r="E985" s="2532"/>
      <c r="F985" s="2532"/>
      <c r="G985" s="2532"/>
      <c r="H985" s="2532"/>
      <c r="I985" s="2532"/>
      <c r="J985" s="2532"/>
      <c r="K985" s="2532"/>
      <c r="L985" s="2532"/>
      <c r="M985" s="2532"/>
      <c r="N985" s="2532"/>
      <c r="O985" s="2532"/>
      <c r="P985" s="2532"/>
      <c r="Q985" s="2532"/>
      <c r="R985" s="2532"/>
      <c r="S985" s="2532"/>
      <c r="T985" s="2532"/>
      <c r="U985" s="2532"/>
      <c r="V985" s="2532"/>
      <c r="W985" s="2532"/>
      <c r="X985" s="2532"/>
      <c r="Y985" s="2532"/>
      <c r="Z985" s="2532"/>
      <c r="AA985" s="2532"/>
      <c r="AB985" s="2532"/>
      <c r="AC985" s="2532"/>
      <c r="AD985" s="2532"/>
      <c r="AE985" s="2533"/>
      <c r="AF985" s="115"/>
      <c r="AG985" s="11"/>
      <c r="AH985" s="11"/>
      <c r="AI985" s="116"/>
      <c r="AJ985" s="2505"/>
      <c r="AK985" s="2506"/>
      <c r="AL985" s="2506"/>
      <c r="AM985" s="2506"/>
      <c r="AN985" s="2506"/>
      <c r="AO985" s="2506"/>
      <c r="AP985" s="2506"/>
      <c r="AQ985" s="250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52" t="s">
        <v>2186</v>
      </c>
      <c r="E986" s="2453"/>
      <c r="F986" s="2453"/>
      <c r="G986" s="2453"/>
      <c r="H986" s="2453"/>
      <c r="I986" s="2453"/>
      <c r="J986" s="2453"/>
      <c r="K986" s="2453"/>
      <c r="L986" s="2453"/>
      <c r="M986" s="2453"/>
      <c r="N986" s="2453"/>
      <c r="O986" s="2453"/>
      <c r="P986" s="2453"/>
      <c r="Q986" s="2453"/>
      <c r="R986" s="2453"/>
      <c r="S986" s="2453"/>
      <c r="T986" s="2453"/>
      <c r="U986" s="2453"/>
      <c r="V986" s="2453"/>
      <c r="W986" s="2453"/>
      <c r="X986" s="2453"/>
      <c r="Y986" s="2453"/>
      <c r="Z986" s="2453"/>
      <c r="AA986" s="2453"/>
      <c r="AB986" s="2453"/>
      <c r="AC986" s="2453"/>
      <c r="AD986" s="2453"/>
      <c r="AE986" s="2454"/>
      <c r="AF986" s="124"/>
      <c r="AG986" s="2464" t="s">
        <v>707</v>
      </c>
      <c r="AH986" s="2465"/>
      <c r="AI986" s="125"/>
      <c r="AJ986" s="2500">
        <f>ROUND(IF(AG986="yes",AJ975*0.1,0),0)</f>
        <v>0</v>
      </c>
      <c r="AK986" s="2501"/>
      <c r="AL986" s="2501"/>
      <c r="AM986" s="2501"/>
      <c r="AN986" s="2501"/>
      <c r="AO986" s="2501"/>
      <c r="AP986" s="2501"/>
      <c r="AQ986" s="250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55" t="s">
        <v>1540</v>
      </c>
      <c r="E987" s="2456"/>
      <c r="F987" s="2456"/>
      <c r="G987" s="2456"/>
      <c r="H987" s="2456"/>
      <c r="I987" s="2456"/>
      <c r="J987" s="2456"/>
      <c r="K987" s="2456"/>
      <c r="L987" s="2456"/>
      <c r="M987" s="2456"/>
      <c r="N987" s="2456"/>
      <c r="O987" s="2456"/>
      <c r="P987" s="2456"/>
      <c r="Q987" s="2456"/>
      <c r="R987" s="2456"/>
      <c r="S987" s="2456"/>
      <c r="T987" s="2456"/>
      <c r="U987" s="2456"/>
      <c r="V987" s="2456"/>
      <c r="W987" s="2456"/>
      <c r="X987" s="2456"/>
      <c r="Y987" s="2456"/>
      <c r="Z987" s="2456"/>
      <c r="AA987" s="2456"/>
      <c r="AB987" s="2456"/>
      <c r="AC987" s="2456"/>
      <c r="AD987" s="2456"/>
      <c r="AE987" s="2457"/>
      <c r="AF987" s="110"/>
      <c r="AG987" s="25"/>
      <c r="AH987" s="25"/>
      <c r="AI987" s="121"/>
      <c r="AJ987" s="2503"/>
      <c r="AK987" s="2145"/>
      <c r="AL987" s="2145"/>
      <c r="AM987" s="2145"/>
      <c r="AN987" s="2145"/>
      <c r="AO987" s="2145"/>
      <c r="AP987" s="2145"/>
      <c r="AQ987" s="2504"/>
      <c r="AR987" s="1585"/>
      <c r="AS987" s="1585"/>
      <c r="AT987" s="1585"/>
      <c r="AU987" s="1585"/>
      <c r="AV987" s="1585"/>
      <c r="AW987" s="1585"/>
      <c r="AX987" s="1585"/>
      <c r="AY987" s="1585"/>
      <c r="AZ987" s="61"/>
      <c r="BA987" s="1614">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55"/>
      <c r="E988" s="2456"/>
      <c r="F988" s="2456"/>
      <c r="G988" s="2456"/>
      <c r="H988" s="2456"/>
      <c r="I988" s="2456"/>
      <c r="J988" s="2456"/>
      <c r="K988" s="2456"/>
      <c r="L988" s="2456"/>
      <c r="M988" s="2456"/>
      <c r="N988" s="2456"/>
      <c r="O988" s="2456"/>
      <c r="P988" s="2456"/>
      <c r="Q988" s="2456"/>
      <c r="R988" s="2456"/>
      <c r="S988" s="2456"/>
      <c r="T988" s="2456"/>
      <c r="U988" s="2456"/>
      <c r="V988" s="2456"/>
      <c r="W988" s="2456"/>
      <c r="X988" s="2456"/>
      <c r="Y988" s="2456"/>
      <c r="Z988" s="2456"/>
      <c r="AA988" s="2456"/>
      <c r="AB988" s="2456"/>
      <c r="AC988" s="2456"/>
      <c r="AD988" s="2456"/>
      <c r="AE988" s="2457"/>
      <c r="AF988" s="110"/>
      <c r="AG988" s="112"/>
      <c r="AH988" s="112"/>
      <c r="AI988" s="121"/>
      <c r="AJ988" s="2503"/>
      <c r="AK988" s="2145"/>
      <c r="AL988" s="2145"/>
      <c r="AM988" s="2145"/>
      <c r="AN988" s="2145"/>
      <c r="AO988" s="2145"/>
      <c r="AP988" s="2145"/>
      <c r="AQ988" s="250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8"/>
      <c r="E989" s="2469"/>
      <c r="F989" s="2469"/>
      <c r="G989" s="2469"/>
      <c r="H989" s="2469"/>
      <c r="I989" s="2469"/>
      <c r="J989" s="2469"/>
      <c r="K989" s="2469"/>
      <c r="L989" s="2469"/>
      <c r="M989" s="2469"/>
      <c r="N989" s="2469"/>
      <c r="O989" s="2469"/>
      <c r="P989" s="2469"/>
      <c r="Q989" s="2469"/>
      <c r="R989" s="2469"/>
      <c r="S989" s="2469"/>
      <c r="T989" s="2469"/>
      <c r="U989" s="2469"/>
      <c r="V989" s="2469"/>
      <c r="W989" s="2469"/>
      <c r="X989" s="2469"/>
      <c r="Y989" s="2469"/>
      <c r="Z989" s="2469"/>
      <c r="AA989" s="2469"/>
      <c r="AB989" s="2469"/>
      <c r="AC989" s="2469"/>
      <c r="AD989" s="2469"/>
      <c r="AE989" s="2470"/>
      <c r="AF989" s="115"/>
      <c r="AG989" s="11"/>
      <c r="AH989" s="11"/>
      <c r="AI989" s="116"/>
      <c r="AJ989" s="2505"/>
      <c r="AK989" s="2506"/>
      <c r="AL989" s="2506"/>
      <c r="AM989" s="2506"/>
      <c r="AN989" s="2506"/>
      <c r="AO989" s="2506"/>
      <c r="AP989" s="2506"/>
      <c r="AQ989" s="2507"/>
      <c r="AR989" s="1585"/>
      <c r="AS989" s="1585"/>
      <c r="AT989" s="1585"/>
      <c r="AU989" s="1585"/>
      <c r="AV989" s="1585"/>
      <c r="AW989" s="1585"/>
      <c r="AX989" s="1585"/>
      <c r="AY989" s="1585"/>
      <c r="AZ989" s="61"/>
      <c r="BA989" s="1613">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2" t="s">
        <v>1542</v>
      </c>
      <c r="E990" s="2453"/>
      <c r="F990" s="2453"/>
      <c r="G990" s="2453"/>
      <c r="H990" s="2453"/>
      <c r="I990" s="2453"/>
      <c r="J990" s="2453"/>
      <c r="K990" s="2453"/>
      <c r="L990" s="2453"/>
      <c r="M990" s="2453"/>
      <c r="N990" s="2453"/>
      <c r="O990" s="2453"/>
      <c r="P990" s="2453"/>
      <c r="Q990" s="2453"/>
      <c r="R990" s="2453"/>
      <c r="S990" s="2453"/>
      <c r="T990" s="2453"/>
      <c r="U990" s="2453"/>
      <c r="V990" s="2453"/>
      <c r="W990" s="2453"/>
      <c r="X990" s="2453"/>
      <c r="Y990" s="2453"/>
      <c r="Z990" s="2453"/>
      <c r="AA990" s="2453"/>
      <c r="AB990" s="2453"/>
      <c r="AC990" s="2453"/>
      <c r="AD990" s="2453"/>
      <c r="AE990" s="2454"/>
      <c r="AF990" s="117"/>
      <c r="AG990" s="2464" t="s">
        <v>707</v>
      </c>
      <c r="AH990" s="2465"/>
      <c r="AI990" s="125"/>
      <c r="AJ990" s="2500">
        <f>ROUND(IF(AG990="yes",AJ975*0.02,0),0)</f>
        <v>0</v>
      </c>
      <c r="AK990" s="2501"/>
      <c r="AL990" s="2501"/>
      <c r="AM990" s="2501"/>
      <c r="AN990" s="2501"/>
      <c r="AO990" s="2501"/>
      <c r="AP990" s="2501"/>
      <c r="AQ990" s="2502"/>
      <c r="AR990" s="1585"/>
      <c r="AS990" s="1585"/>
      <c r="AT990" s="1585"/>
      <c r="AU990" s="1585"/>
      <c r="AV990" s="1585"/>
      <c r="AW990" s="1585"/>
      <c r="AX990" s="1585"/>
      <c r="AY990" s="1585"/>
      <c r="AZ990" s="61"/>
      <c r="BA990" s="1613">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8" t="s">
        <v>1543</v>
      </c>
      <c r="E991" s="2469"/>
      <c r="F991" s="2469"/>
      <c r="G991" s="2469"/>
      <c r="H991" s="2469"/>
      <c r="I991" s="2469"/>
      <c r="J991" s="2469"/>
      <c r="K991" s="2469"/>
      <c r="L991" s="2469"/>
      <c r="M991" s="2469"/>
      <c r="N991" s="2469"/>
      <c r="O991" s="2469"/>
      <c r="P991" s="2469"/>
      <c r="Q991" s="2469"/>
      <c r="R991" s="2469"/>
      <c r="S991" s="2469"/>
      <c r="T991" s="2469"/>
      <c r="U991" s="2469"/>
      <c r="V991" s="2469"/>
      <c r="W991" s="2469"/>
      <c r="X991" s="2469"/>
      <c r="Y991" s="2469"/>
      <c r="Z991" s="2469"/>
      <c r="AA991" s="2469"/>
      <c r="AB991" s="2469"/>
      <c r="AC991" s="2469"/>
      <c r="AD991" s="2469"/>
      <c r="AE991" s="2470"/>
      <c r="AF991" s="115"/>
      <c r="AG991" s="11"/>
      <c r="AH991" s="11"/>
      <c r="AI991" s="116"/>
      <c r="AJ991" s="2505"/>
      <c r="AK991" s="2506"/>
      <c r="AL991" s="2506"/>
      <c r="AM991" s="2506"/>
      <c r="AN991" s="2506"/>
      <c r="AO991" s="2506"/>
      <c r="AP991" s="2506"/>
      <c r="AQ991" s="2507"/>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52" t="s">
        <v>1544</v>
      </c>
      <c r="E992" s="2453"/>
      <c r="F992" s="2453"/>
      <c r="G992" s="2453"/>
      <c r="H992" s="2453"/>
      <c r="I992" s="2453"/>
      <c r="J992" s="2453"/>
      <c r="K992" s="2453"/>
      <c r="L992" s="2453"/>
      <c r="M992" s="2453"/>
      <c r="N992" s="2453"/>
      <c r="O992" s="2453"/>
      <c r="P992" s="2453"/>
      <c r="Q992" s="2453"/>
      <c r="R992" s="2453"/>
      <c r="S992" s="2453"/>
      <c r="T992" s="2453"/>
      <c r="U992" s="2453"/>
      <c r="V992" s="2453"/>
      <c r="W992" s="2453"/>
      <c r="X992" s="2453"/>
      <c r="Y992" s="2453"/>
      <c r="Z992" s="2453"/>
      <c r="AA992" s="2453"/>
      <c r="AB992" s="2453"/>
      <c r="AC992" s="2453"/>
      <c r="AD992" s="2453"/>
      <c r="AE992" s="2454"/>
      <c r="AF992" s="117"/>
      <c r="AG992" s="2464" t="s">
        <v>707</v>
      </c>
      <c r="AH992" s="2465"/>
      <c r="AI992" s="117"/>
      <c r="AJ992" s="2500">
        <f>ROUND(IF(AG992="yes",AJ975*0.02,0),0)</f>
        <v>0</v>
      </c>
      <c r="AK992" s="2501"/>
      <c r="AL992" s="2501"/>
      <c r="AM992" s="2501"/>
      <c r="AN992" s="2501"/>
      <c r="AO992" s="2501"/>
      <c r="AP992" s="2501"/>
      <c r="AQ992" s="2502"/>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55" t="s">
        <v>1545</v>
      </c>
      <c r="E993" s="2456"/>
      <c r="F993" s="2456"/>
      <c r="G993" s="2456"/>
      <c r="H993" s="2456"/>
      <c r="I993" s="2456"/>
      <c r="J993" s="2456"/>
      <c r="K993" s="2456"/>
      <c r="L993" s="2456"/>
      <c r="M993" s="2456"/>
      <c r="N993" s="2456"/>
      <c r="O993" s="2456"/>
      <c r="P993" s="2456"/>
      <c r="Q993" s="2456"/>
      <c r="R993" s="2456"/>
      <c r="S993" s="2456"/>
      <c r="T993" s="2456"/>
      <c r="U993" s="2456"/>
      <c r="V993" s="2456"/>
      <c r="W993" s="2456"/>
      <c r="X993" s="2456"/>
      <c r="Y993" s="2456"/>
      <c r="Z993" s="2456"/>
      <c r="AA993" s="2456"/>
      <c r="AB993" s="2456"/>
      <c r="AC993" s="2456"/>
      <c r="AD993" s="2456"/>
      <c r="AE993" s="2457"/>
      <c r="AF993" s="110"/>
      <c r="AG993" s="25"/>
      <c r="AH993" s="25"/>
      <c r="AI993" s="112"/>
      <c r="AJ993" s="2503"/>
      <c r="AK993" s="2145"/>
      <c r="AL993" s="2145"/>
      <c r="AM993" s="2145"/>
      <c r="AN993" s="2145"/>
      <c r="AO993" s="2145"/>
      <c r="AP993" s="2145"/>
      <c r="AQ993" s="2504"/>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8"/>
      <c r="E994" s="2469"/>
      <c r="F994" s="2469"/>
      <c r="G994" s="2469"/>
      <c r="H994" s="2469"/>
      <c r="I994" s="2469"/>
      <c r="J994" s="2469"/>
      <c r="K994" s="2469"/>
      <c r="L994" s="2469"/>
      <c r="M994" s="2469"/>
      <c r="N994" s="2469"/>
      <c r="O994" s="2469"/>
      <c r="P994" s="2469"/>
      <c r="Q994" s="2469"/>
      <c r="R994" s="2469"/>
      <c r="S994" s="2469"/>
      <c r="T994" s="2469"/>
      <c r="U994" s="2469"/>
      <c r="V994" s="2469"/>
      <c r="W994" s="2469"/>
      <c r="X994" s="2469"/>
      <c r="Y994" s="2469"/>
      <c r="Z994" s="2469"/>
      <c r="AA994" s="2469"/>
      <c r="AB994" s="2469"/>
      <c r="AC994" s="2469"/>
      <c r="AD994" s="2469"/>
      <c r="AE994" s="2470"/>
      <c r="AF994" s="115"/>
      <c r="AG994" s="11"/>
      <c r="AH994" s="11"/>
      <c r="AI994" s="116"/>
      <c r="AJ994" s="2505"/>
      <c r="AK994" s="2506"/>
      <c r="AL994" s="2506"/>
      <c r="AM994" s="2506"/>
      <c r="AN994" s="2506"/>
      <c r="AO994" s="2506"/>
      <c r="AP994" s="2506"/>
      <c r="AQ994" s="2507"/>
      <c r="AR994" s="1585"/>
      <c r="AS994" s="1585"/>
      <c r="AT994" s="1585"/>
      <c r="AU994" s="1585"/>
      <c r="AV994" s="1585"/>
      <c r="AW994" s="1585"/>
      <c r="AX994" s="1585"/>
      <c r="AY994" s="1585"/>
    </row>
    <row r="995" spans="1:96" s="720" customFormat="1" ht="12.75" customHeight="1">
      <c r="A995" s="51"/>
      <c r="B995" s="117"/>
      <c r="C995" s="118" t="s">
        <v>224</v>
      </c>
      <c r="D995" s="2491" t="s">
        <v>1546</v>
      </c>
      <c r="E995" s="2492"/>
      <c r="F995" s="2492"/>
      <c r="G995" s="2492"/>
      <c r="H995" s="2492"/>
      <c r="I995" s="2492"/>
      <c r="J995" s="2492"/>
      <c r="K995" s="2492"/>
      <c r="L995" s="2492"/>
      <c r="M995" s="2492"/>
      <c r="N995" s="2492"/>
      <c r="O995" s="2492"/>
      <c r="P995" s="2492"/>
      <c r="Q995" s="2492"/>
      <c r="R995" s="2492"/>
      <c r="S995" s="2492"/>
      <c r="T995" s="2492"/>
      <c r="U995" s="2492"/>
      <c r="V995" s="2492"/>
      <c r="W995" s="2492"/>
      <c r="X995" s="2492"/>
      <c r="Y995" s="2492"/>
      <c r="Z995" s="2492"/>
      <c r="AA995" s="2492"/>
      <c r="AB995" s="2492"/>
      <c r="AC995" s="2492"/>
      <c r="AD995" s="2492"/>
      <c r="AE995" s="2493"/>
      <c r="AF995" s="117"/>
      <c r="AG995" s="2464" t="s">
        <v>707</v>
      </c>
      <c r="AH995" s="2465"/>
      <c r="AI995" s="125"/>
      <c r="AJ995" s="2500">
        <f>IF(AG995="yes",AJ975*BA995,0)</f>
        <v>0</v>
      </c>
      <c r="AK995" s="2501"/>
      <c r="AL995" s="2501"/>
      <c r="AM995" s="2501"/>
      <c r="AN995" s="2501"/>
      <c r="AO995" s="2501"/>
      <c r="AP995" s="2501"/>
      <c r="AQ995" s="2502"/>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55" t="s">
        <v>1547</v>
      </c>
      <c r="E996" s="2456"/>
      <c r="F996" s="2456"/>
      <c r="G996" s="2456"/>
      <c r="H996" s="2456"/>
      <c r="I996" s="2456"/>
      <c r="J996" s="2456"/>
      <c r="K996" s="2456"/>
      <c r="L996" s="2456"/>
      <c r="M996" s="2456"/>
      <c r="N996" s="2456"/>
      <c r="O996" s="2456"/>
      <c r="P996" s="2456"/>
      <c r="Q996" s="2456"/>
      <c r="R996" s="2456"/>
      <c r="S996" s="2456"/>
      <c r="T996" s="2456"/>
      <c r="U996" s="2456"/>
      <c r="V996" s="2456"/>
      <c r="W996" s="2456"/>
      <c r="X996" s="2456"/>
      <c r="Y996" s="2456"/>
      <c r="Z996" s="2456"/>
      <c r="AA996" s="2456"/>
      <c r="AB996" s="2456"/>
      <c r="AC996" s="2456"/>
      <c r="AD996" s="2456"/>
      <c r="AE996" s="2457"/>
      <c r="AF996" s="110"/>
      <c r="AG996" s="112"/>
      <c r="AH996" s="112"/>
      <c r="AI996" s="121"/>
      <c r="AJ996" s="2503"/>
      <c r="AK996" s="2145"/>
      <c r="AL996" s="2145"/>
      <c r="AM996" s="2145"/>
      <c r="AN996" s="2145"/>
      <c r="AO996" s="2145"/>
      <c r="AP996" s="2145"/>
      <c r="AQ996" s="2504"/>
      <c r="AR996" s="1585"/>
      <c r="AS996" s="1585"/>
      <c r="AT996" s="1585"/>
      <c r="AU996" s="1585"/>
      <c r="AV996" s="1585"/>
      <c r="AW996" s="1585"/>
      <c r="AX996" s="1585"/>
      <c r="AY996" s="1585"/>
    </row>
    <row r="997" spans="1:96" ht="12.75" customHeight="1">
      <c r="A997" s="51"/>
      <c r="B997" s="110"/>
      <c r="C997" s="111"/>
      <c r="D997" s="2455"/>
      <c r="E997" s="2456"/>
      <c r="F997" s="2456"/>
      <c r="G997" s="2456"/>
      <c r="H997" s="2456"/>
      <c r="I997" s="2456"/>
      <c r="J997" s="2456"/>
      <c r="K997" s="2456"/>
      <c r="L997" s="2456"/>
      <c r="M997" s="2456"/>
      <c r="N997" s="2456"/>
      <c r="O997" s="2456"/>
      <c r="P997" s="2456"/>
      <c r="Q997" s="2456"/>
      <c r="R997" s="2456"/>
      <c r="S997" s="2456"/>
      <c r="T997" s="2456"/>
      <c r="U997" s="2456"/>
      <c r="V997" s="2456"/>
      <c r="W997" s="2456"/>
      <c r="X997" s="2456"/>
      <c r="Y997" s="2456"/>
      <c r="Z997" s="2456"/>
      <c r="AA997" s="2456"/>
      <c r="AB997" s="2456"/>
      <c r="AC997" s="2456"/>
      <c r="AD997" s="2456"/>
      <c r="AE997" s="2457"/>
      <c r="AF997" s="110"/>
      <c r="AG997" s="112"/>
      <c r="AH997" s="112"/>
      <c r="AI997" s="121"/>
      <c r="AJ997" s="2503"/>
      <c r="AK997" s="2145"/>
      <c r="AL997" s="2145"/>
      <c r="AM997" s="2145"/>
      <c r="AN997" s="2145"/>
      <c r="AO997" s="2145"/>
      <c r="AP997" s="2145"/>
      <c r="AQ997" s="2504"/>
      <c r="AR997" s="1585"/>
      <c r="AS997" s="1585"/>
      <c r="AT997" s="1585"/>
      <c r="AU997" s="1585"/>
      <c r="AV997" s="1585"/>
      <c r="AW997" s="1585"/>
      <c r="AX997" s="1585"/>
      <c r="AY997" s="1585"/>
      <c r="BA997" s="321">
        <f>IF(A1044="Yes",0.05,0)</f>
        <v>0</v>
      </c>
    </row>
    <row r="998" spans="1:96" ht="15" customHeight="1">
      <c r="A998" s="51"/>
      <c r="B998" s="119"/>
      <c r="C998" s="120"/>
      <c r="D998" s="2468"/>
      <c r="E998" s="2469"/>
      <c r="F998" s="2469"/>
      <c r="G998" s="2469"/>
      <c r="H998" s="2469"/>
      <c r="I998" s="2469"/>
      <c r="J998" s="2469"/>
      <c r="K998" s="2469"/>
      <c r="L998" s="2469"/>
      <c r="M998" s="2469"/>
      <c r="N998" s="2469"/>
      <c r="O998" s="2469"/>
      <c r="P998" s="2469"/>
      <c r="Q998" s="2469"/>
      <c r="R998" s="2469"/>
      <c r="S998" s="2469"/>
      <c r="T998" s="2469"/>
      <c r="U998" s="2469"/>
      <c r="V998" s="2469"/>
      <c r="W998" s="2469"/>
      <c r="X998" s="2469"/>
      <c r="Y998" s="2469"/>
      <c r="Z998" s="2469"/>
      <c r="AA998" s="2469"/>
      <c r="AB998" s="2469"/>
      <c r="AC998" s="2469"/>
      <c r="AD998" s="2469"/>
      <c r="AE998" s="2470"/>
      <c r="AF998" s="115"/>
      <c r="AG998" s="11"/>
      <c r="AH998" s="11"/>
      <c r="AI998" s="116"/>
      <c r="AJ998" s="2505"/>
      <c r="AK998" s="2506"/>
      <c r="AL998" s="2506"/>
      <c r="AM998" s="2506"/>
      <c r="AN998" s="2506"/>
      <c r="AO998" s="2506"/>
      <c r="AP998" s="2506"/>
      <c r="AQ998" s="2507"/>
      <c r="AR998" s="1585"/>
      <c r="AS998" s="1585"/>
      <c r="AT998" s="1585"/>
      <c r="AU998" s="1585"/>
      <c r="AV998" s="1585"/>
      <c r="AW998" s="1585"/>
      <c r="AX998" s="1585"/>
      <c r="AY998" s="1585"/>
      <c r="BA998" s="321">
        <f>IF(A1050="Yes",0.02,0)</f>
        <v>0</v>
      </c>
    </row>
    <row r="999" spans="1:96" s="720" customFormat="1" ht="15" customHeight="1">
      <c r="A999" s="51"/>
      <c r="B999" s="117"/>
      <c r="C999" s="118" t="s">
        <v>229</v>
      </c>
      <c r="D999" s="2546" t="s">
        <v>1548</v>
      </c>
      <c r="E999" s="2547"/>
      <c r="F999" s="2547"/>
      <c r="G999" s="2547"/>
      <c r="H999" s="2547"/>
      <c r="I999" s="2547"/>
      <c r="J999" s="2547"/>
      <c r="K999" s="2547"/>
      <c r="L999" s="2547"/>
      <c r="M999" s="2547"/>
      <c r="N999" s="2547"/>
      <c r="O999" s="2547"/>
      <c r="P999" s="2547"/>
      <c r="Q999" s="2547"/>
      <c r="R999" s="2547"/>
      <c r="S999" s="2547"/>
      <c r="T999" s="2547"/>
      <c r="U999" s="2547"/>
      <c r="V999" s="2547"/>
      <c r="W999" s="2547"/>
      <c r="X999" s="2547"/>
      <c r="Y999" s="2547"/>
      <c r="Z999" s="2547"/>
      <c r="AA999" s="2547"/>
      <c r="AB999" s="2547"/>
      <c r="AC999" s="2547"/>
      <c r="AD999" s="2547"/>
      <c r="AE999" s="2548"/>
      <c r="AF999" s="117"/>
      <c r="AG999" s="2464" t="s">
        <v>707</v>
      </c>
      <c r="AH999" s="2465"/>
      <c r="AI999" s="125"/>
      <c r="AJ999" s="2511"/>
      <c r="AK999" s="2512"/>
      <c r="AL999" s="2512"/>
      <c r="AM999" s="2512"/>
      <c r="AN999" s="2512"/>
      <c r="AO999" s="2512"/>
      <c r="AP999" s="2512"/>
      <c r="AQ999" s="2513"/>
      <c r="AR999" s="1585"/>
      <c r="AS999" s="1585"/>
      <c r="AT999" s="1585"/>
      <c r="AU999" s="1585"/>
      <c r="AV999" s="1585"/>
      <c r="AW999" s="1585"/>
      <c r="AX999" s="1585"/>
      <c r="AY999" s="1585"/>
      <c r="BA999" s="321">
        <f>IF(A1056="Yes",0.04,0)</f>
        <v>0</v>
      </c>
      <c r="CR999" s="25"/>
    </row>
    <row r="1000" spans="1:96" ht="12.75">
      <c r="A1000" s="51"/>
      <c r="B1000" s="119"/>
      <c r="C1000" s="122"/>
      <c r="D1000" s="2549"/>
      <c r="E1000" s="2550"/>
      <c r="F1000" s="2550"/>
      <c r="G1000" s="2550"/>
      <c r="H1000" s="2550"/>
      <c r="I1000" s="2550"/>
      <c r="J1000" s="2550"/>
      <c r="K1000" s="2550"/>
      <c r="L1000" s="2550"/>
      <c r="M1000" s="2550"/>
      <c r="N1000" s="2550"/>
      <c r="O1000" s="2550"/>
      <c r="P1000" s="2550"/>
      <c r="Q1000" s="2550"/>
      <c r="R1000" s="2550"/>
      <c r="S1000" s="2550"/>
      <c r="T1000" s="2550"/>
      <c r="U1000" s="2550"/>
      <c r="V1000" s="2550"/>
      <c r="W1000" s="2550"/>
      <c r="X1000" s="2550"/>
      <c r="Y1000" s="2550"/>
      <c r="Z1000" s="2550"/>
      <c r="AA1000" s="2550"/>
      <c r="AB1000" s="2550"/>
      <c r="AC1000" s="2550"/>
      <c r="AD1000" s="2550"/>
      <c r="AE1000" s="2551"/>
      <c r="AF1000" s="2534">
        <f>IF(AG999="yes","Please Select Type and Enter Amount:",0)</f>
        <v>0</v>
      </c>
      <c r="AG1000" s="2535"/>
      <c r="AH1000" s="2535"/>
      <c r="AI1000" s="2536"/>
      <c r="AJ1000" s="2514"/>
      <c r="AK1000" s="2515"/>
      <c r="AL1000" s="2515"/>
      <c r="AM1000" s="2515"/>
      <c r="AN1000" s="2515"/>
      <c r="AO1000" s="2515"/>
      <c r="AP1000" s="2515"/>
      <c r="AQ1000" s="2516"/>
      <c r="AR1000" s="1585"/>
      <c r="AS1000" s="1585"/>
      <c r="AT1000" s="1585"/>
      <c r="AU1000" s="1585"/>
      <c r="AV1000" s="1585"/>
      <c r="AW1000" s="1585"/>
      <c r="AX1000" s="1585"/>
      <c r="AY1000" s="1585"/>
      <c r="BA1000" s="321">
        <f>IF(A1063="Yes",0.04,0)</f>
        <v>0</v>
      </c>
    </row>
    <row r="1001" spans="1:96" ht="12.75" customHeight="1">
      <c r="A1001" s="51"/>
      <c r="B1001" s="119"/>
      <c r="C1001" s="122"/>
      <c r="D1001" s="2455" t="s">
        <v>1549</v>
      </c>
      <c r="E1001" s="2456"/>
      <c r="F1001" s="2456"/>
      <c r="G1001" s="2456"/>
      <c r="H1001" s="2456"/>
      <c r="I1001" s="2456"/>
      <c r="J1001" s="2456"/>
      <c r="K1001" s="2456"/>
      <c r="L1001" s="2456"/>
      <c r="M1001" s="2456"/>
      <c r="N1001" s="2456"/>
      <c r="O1001" s="2456"/>
      <c r="P1001" s="2456"/>
      <c r="Q1001" s="2456"/>
      <c r="R1001" s="2456"/>
      <c r="S1001" s="2456"/>
      <c r="T1001" s="2456"/>
      <c r="U1001" s="2456"/>
      <c r="V1001" s="2456"/>
      <c r="W1001" s="2456"/>
      <c r="X1001" s="2456"/>
      <c r="Y1001" s="2456"/>
      <c r="Z1001" s="2456"/>
      <c r="AA1001" s="2456"/>
      <c r="AB1001" s="2456"/>
      <c r="AC1001" s="2456"/>
      <c r="AD1001" s="2456"/>
      <c r="AE1001" s="2457"/>
      <c r="AF1001" s="2534"/>
      <c r="AG1001" s="2535"/>
      <c r="AH1001" s="2535"/>
      <c r="AI1001" s="2536"/>
      <c r="AJ1001" s="2514"/>
      <c r="AK1001" s="2515"/>
      <c r="AL1001" s="2515"/>
      <c r="AM1001" s="2515"/>
      <c r="AN1001" s="2515"/>
      <c r="AO1001" s="2515"/>
      <c r="AP1001" s="2515"/>
      <c r="AQ1001" s="2516"/>
      <c r="AR1001" s="1585"/>
      <c r="AS1001" s="1585"/>
      <c r="AT1001" s="1585"/>
      <c r="AU1001" s="1585"/>
      <c r="AV1001" s="1585"/>
      <c r="AW1001" s="1585"/>
      <c r="AX1001" s="1585"/>
      <c r="AY1001" s="1585"/>
      <c r="BA1001" s="321">
        <f>IF(A1066="Yes",0.01,0)</f>
        <v>0</v>
      </c>
    </row>
    <row r="1002" spans="1:96" ht="12.75" customHeight="1">
      <c r="A1002" s="51"/>
      <c r="B1002" s="119"/>
      <c r="C1002" s="122"/>
      <c r="D1002" s="2455"/>
      <c r="E1002" s="2456"/>
      <c r="F1002" s="2456"/>
      <c r="G1002" s="2456"/>
      <c r="H1002" s="2456"/>
      <c r="I1002" s="2456"/>
      <c r="J1002" s="2456"/>
      <c r="K1002" s="2456"/>
      <c r="L1002" s="2456"/>
      <c r="M1002" s="2456"/>
      <c r="N1002" s="2456"/>
      <c r="O1002" s="2456"/>
      <c r="P1002" s="2456"/>
      <c r="Q1002" s="2456"/>
      <c r="R1002" s="2456"/>
      <c r="S1002" s="2456"/>
      <c r="T1002" s="2456"/>
      <c r="U1002" s="2456"/>
      <c r="V1002" s="2456"/>
      <c r="W1002" s="2456"/>
      <c r="X1002" s="2456"/>
      <c r="Y1002" s="2456"/>
      <c r="Z1002" s="2456"/>
      <c r="AA1002" s="2456"/>
      <c r="AB1002" s="2456"/>
      <c r="AC1002" s="2456"/>
      <c r="AD1002" s="2456"/>
      <c r="AE1002" s="2457"/>
      <c r="AF1002" s="2534"/>
      <c r="AG1002" s="2535"/>
      <c r="AH1002" s="2535"/>
      <c r="AI1002" s="2536"/>
      <c r="AJ1002" s="2514"/>
      <c r="AK1002" s="2515"/>
      <c r="AL1002" s="2515"/>
      <c r="AM1002" s="2515"/>
      <c r="AN1002" s="2515"/>
      <c r="AO1002" s="2515"/>
      <c r="AP1002" s="2515"/>
      <c r="AQ1002" s="2516"/>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52" t="s">
        <v>627</v>
      </c>
      <c r="K1003" s="2553"/>
      <c r="L1003" s="2553"/>
      <c r="M1003" s="2553"/>
      <c r="N1003" s="2553"/>
      <c r="O1003" s="2553"/>
      <c r="P1003" s="2553"/>
      <c r="Q1003" s="2553"/>
      <c r="R1003" s="2553"/>
      <c r="S1003" s="2553"/>
      <c r="T1003" s="2553"/>
      <c r="U1003" s="2553"/>
      <c r="V1003" s="2553"/>
      <c r="W1003" s="2553"/>
      <c r="X1003" s="2553"/>
      <c r="Y1003" s="2553"/>
      <c r="Z1003" s="2553"/>
      <c r="AA1003" s="2553"/>
      <c r="AB1003" s="2553"/>
      <c r="AC1003" s="2553"/>
      <c r="AD1003" s="2553"/>
      <c r="AE1003" s="2554"/>
      <c r="AF1003" s="2537"/>
      <c r="AG1003" s="2538"/>
      <c r="AH1003" s="2538"/>
      <c r="AI1003" s="2539"/>
      <c r="AJ1003" s="2517"/>
      <c r="AK1003" s="2518"/>
      <c r="AL1003" s="2518"/>
      <c r="AM1003" s="2518"/>
      <c r="AN1003" s="2518"/>
      <c r="AO1003" s="2518"/>
      <c r="AP1003" s="2518"/>
      <c r="AQ1003" s="2519"/>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52" t="s">
        <v>1550</v>
      </c>
      <c r="E1004" s="2453"/>
      <c r="F1004" s="2453"/>
      <c r="G1004" s="2453"/>
      <c r="H1004" s="2453"/>
      <c r="I1004" s="2453"/>
      <c r="J1004" s="2453"/>
      <c r="K1004" s="2453"/>
      <c r="L1004" s="2453"/>
      <c r="M1004" s="2453"/>
      <c r="N1004" s="2453"/>
      <c r="O1004" s="2453"/>
      <c r="P1004" s="2453"/>
      <c r="Q1004" s="2453"/>
      <c r="R1004" s="2453"/>
      <c r="S1004" s="2453"/>
      <c r="T1004" s="2453"/>
      <c r="U1004" s="2453"/>
      <c r="V1004" s="2453"/>
      <c r="W1004" s="2453"/>
      <c r="X1004" s="2453"/>
      <c r="Y1004" s="2453"/>
      <c r="Z1004" s="2453"/>
      <c r="AA1004" s="2453"/>
      <c r="AB1004" s="2453"/>
      <c r="AC1004" s="2453"/>
      <c r="AD1004" s="2453"/>
      <c r="AE1004" s="2454"/>
      <c r="AF1004" s="117"/>
      <c r="AG1004" s="2464" t="s">
        <v>579</v>
      </c>
      <c r="AH1004" s="2465"/>
      <c r="AI1004" s="125"/>
      <c r="AJ1004" s="2511">
        <v>1533515</v>
      </c>
      <c r="AK1004" s="2512"/>
      <c r="AL1004" s="2512"/>
      <c r="AM1004" s="2512"/>
      <c r="AN1004" s="2512"/>
      <c r="AO1004" s="2512"/>
      <c r="AP1004" s="2512"/>
      <c r="AQ1004" s="2513"/>
      <c r="AR1004" s="1585"/>
      <c r="AS1004" s="1585"/>
      <c r="AT1004" s="1585"/>
      <c r="AU1004" s="1585"/>
      <c r="AV1004" s="1585"/>
      <c r="AW1004" s="1585"/>
      <c r="AX1004" s="1585"/>
      <c r="AY1004" s="1585"/>
      <c r="BA1004" s="321">
        <f>IF(A1078="Yes",0.02,0)</f>
        <v>0</v>
      </c>
    </row>
    <row r="1005" spans="1:96" ht="12.75" customHeight="1">
      <c r="A1005" s="51"/>
      <c r="B1005" s="110"/>
      <c r="C1005" s="111"/>
      <c r="D1005" s="2455" t="s">
        <v>2193</v>
      </c>
      <c r="E1005" s="2456"/>
      <c r="F1005" s="2456"/>
      <c r="G1005" s="2456"/>
      <c r="H1005" s="2456"/>
      <c r="I1005" s="2456"/>
      <c r="J1005" s="2456"/>
      <c r="K1005" s="2456"/>
      <c r="L1005" s="2456"/>
      <c r="M1005" s="2456"/>
      <c r="N1005" s="2456"/>
      <c r="O1005" s="2456"/>
      <c r="P1005" s="2456"/>
      <c r="Q1005" s="2456"/>
      <c r="R1005" s="2456"/>
      <c r="S1005" s="2456"/>
      <c r="T1005" s="2456"/>
      <c r="U1005" s="2456"/>
      <c r="V1005" s="2456"/>
      <c r="W1005" s="2456"/>
      <c r="X1005" s="2456"/>
      <c r="Y1005" s="2456"/>
      <c r="Z1005" s="2456"/>
      <c r="AA1005" s="2456"/>
      <c r="AB1005" s="2456"/>
      <c r="AC1005" s="2456"/>
      <c r="AD1005" s="2456"/>
      <c r="AE1005" s="2457"/>
      <c r="AF1005" s="2540" t="str">
        <f>IF(AG1004="yes","Please Enter Amount:",0)</f>
        <v>Please Enter Amount:</v>
      </c>
      <c r="AG1005" s="2541"/>
      <c r="AH1005" s="2541"/>
      <c r="AI1005" s="2542"/>
      <c r="AJ1005" s="2514"/>
      <c r="AK1005" s="2515"/>
      <c r="AL1005" s="2515"/>
      <c r="AM1005" s="2515"/>
      <c r="AN1005" s="2515"/>
      <c r="AO1005" s="2515"/>
      <c r="AP1005" s="2515"/>
      <c r="AQ1005" s="2516"/>
      <c r="AR1005" s="1585"/>
      <c r="AS1005" s="1585"/>
      <c r="AT1005" s="1585"/>
      <c r="AU1005" s="1585"/>
      <c r="AV1005" s="1585"/>
      <c r="AW1005" s="1585"/>
      <c r="AX1005" s="1585"/>
      <c r="AY1005" s="1585"/>
      <c r="BA1005" s="322">
        <f>IF(A1082="Yes",0.02,0)</f>
        <v>0</v>
      </c>
    </row>
    <row r="1006" spans="1:96" ht="12.75" customHeight="1">
      <c r="A1006" s="51"/>
      <c r="B1006" s="110"/>
      <c r="C1006" s="111"/>
      <c r="D1006" s="2455"/>
      <c r="E1006" s="2456"/>
      <c r="F1006" s="2456"/>
      <c r="G1006" s="2456"/>
      <c r="H1006" s="2456"/>
      <c r="I1006" s="2456"/>
      <c r="J1006" s="2456"/>
      <c r="K1006" s="2456"/>
      <c r="L1006" s="2456"/>
      <c r="M1006" s="2456"/>
      <c r="N1006" s="2456"/>
      <c r="O1006" s="2456"/>
      <c r="P1006" s="2456"/>
      <c r="Q1006" s="2456"/>
      <c r="R1006" s="2456"/>
      <c r="S1006" s="2456"/>
      <c r="T1006" s="2456"/>
      <c r="U1006" s="2456"/>
      <c r="V1006" s="2456"/>
      <c r="W1006" s="2456"/>
      <c r="X1006" s="2456"/>
      <c r="Y1006" s="2456"/>
      <c r="Z1006" s="2456"/>
      <c r="AA1006" s="2456"/>
      <c r="AB1006" s="2456"/>
      <c r="AC1006" s="2456"/>
      <c r="AD1006" s="2456"/>
      <c r="AE1006" s="2457"/>
      <c r="AF1006" s="2540"/>
      <c r="AG1006" s="2541"/>
      <c r="AH1006" s="2541"/>
      <c r="AI1006" s="2542"/>
      <c r="AJ1006" s="2514"/>
      <c r="AK1006" s="2515"/>
      <c r="AL1006" s="2515"/>
      <c r="AM1006" s="2515"/>
      <c r="AN1006" s="2515"/>
      <c r="AO1006" s="2515"/>
      <c r="AP1006" s="2515"/>
      <c r="AQ1006" s="2516"/>
      <c r="AR1006" s="1585"/>
      <c r="AS1006" s="1585"/>
      <c r="AT1006" s="1585"/>
      <c r="AU1006" s="1585"/>
      <c r="AV1006" s="1585"/>
      <c r="AW1006" s="1585"/>
      <c r="AX1006" s="1585"/>
      <c r="AY1006" s="1585"/>
    </row>
    <row r="1007" spans="1:96" ht="12.75" customHeight="1">
      <c r="A1007" s="51"/>
      <c r="B1007" s="123"/>
      <c r="C1007" s="122"/>
      <c r="D1007" s="2468"/>
      <c r="E1007" s="2469"/>
      <c r="F1007" s="2469"/>
      <c r="G1007" s="2469"/>
      <c r="H1007" s="2469"/>
      <c r="I1007" s="2469"/>
      <c r="J1007" s="2469"/>
      <c r="K1007" s="2469"/>
      <c r="L1007" s="2469"/>
      <c r="M1007" s="2469"/>
      <c r="N1007" s="2469"/>
      <c r="O1007" s="2469"/>
      <c r="P1007" s="2469"/>
      <c r="Q1007" s="2469"/>
      <c r="R1007" s="2469"/>
      <c r="S1007" s="2469"/>
      <c r="T1007" s="2469"/>
      <c r="U1007" s="2469"/>
      <c r="V1007" s="2469"/>
      <c r="W1007" s="2469"/>
      <c r="X1007" s="2469"/>
      <c r="Y1007" s="2469"/>
      <c r="Z1007" s="2469"/>
      <c r="AA1007" s="2469"/>
      <c r="AB1007" s="2469"/>
      <c r="AC1007" s="2469"/>
      <c r="AD1007" s="2469"/>
      <c r="AE1007" s="2470"/>
      <c r="AF1007" s="2543"/>
      <c r="AG1007" s="2544"/>
      <c r="AH1007" s="2544"/>
      <c r="AI1007" s="2545"/>
      <c r="AJ1007" s="2517"/>
      <c r="AK1007" s="2518"/>
      <c r="AL1007" s="2518"/>
      <c r="AM1007" s="2518"/>
      <c r="AN1007" s="2518"/>
      <c r="AO1007" s="2518"/>
      <c r="AP1007" s="2518"/>
      <c r="AQ1007" s="2519"/>
      <c r="AR1007" s="1585"/>
      <c r="AS1007" s="1585"/>
      <c r="AT1007" s="1585"/>
      <c r="AU1007" s="1585"/>
      <c r="AV1007" s="1585"/>
      <c r="AW1007" s="1585"/>
      <c r="AX1007" s="1585"/>
      <c r="AY1007" s="1585"/>
    </row>
    <row r="1008" spans="1:96" s="720" customFormat="1" ht="12.75" customHeight="1">
      <c r="A1008" s="51"/>
      <c r="B1008" s="117"/>
      <c r="C1008" s="118" t="s">
        <v>240</v>
      </c>
      <c r="D1008" s="2491" t="s">
        <v>1551</v>
      </c>
      <c r="E1008" s="2492"/>
      <c r="F1008" s="2492"/>
      <c r="G1008" s="2492"/>
      <c r="H1008" s="2492"/>
      <c r="I1008" s="2492"/>
      <c r="J1008" s="2492"/>
      <c r="K1008" s="2492"/>
      <c r="L1008" s="2492"/>
      <c r="M1008" s="2492"/>
      <c r="N1008" s="2492"/>
      <c r="O1008" s="2492"/>
      <c r="P1008" s="2492"/>
      <c r="Q1008" s="2492"/>
      <c r="R1008" s="2492"/>
      <c r="S1008" s="2492"/>
      <c r="T1008" s="2492"/>
      <c r="U1008" s="2492"/>
      <c r="V1008" s="2492"/>
      <c r="W1008" s="2492"/>
      <c r="X1008" s="2492"/>
      <c r="Y1008" s="2492"/>
      <c r="Z1008" s="2492"/>
      <c r="AA1008" s="2492"/>
      <c r="AB1008" s="2492"/>
      <c r="AC1008" s="2492"/>
      <c r="AD1008" s="2492"/>
      <c r="AE1008" s="2493"/>
      <c r="AF1008" s="117"/>
      <c r="AG1008" s="2464" t="s">
        <v>707</v>
      </c>
      <c r="AH1008" s="2465"/>
      <c r="AI1008" s="125"/>
      <c r="AJ1008" s="2500">
        <f>ROUND(IF(AG1008="yes",(AJ975*0.1),0),0)</f>
        <v>0</v>
      </c>
      <c r="AK1008" s="2501"/>
      <c r="AL1008" s="2501"/>
      <c r="AM1008" s="2501"/>
      <c r="AN1008" s="2501"/>
      <c r="AO1008" s="2501"/>
      <c r="AP1008" s="2501"/>
      <c r="AQ1008" s="2502"/>
      <c r="AR1008" s="1585"/>
      <c r="AS1008" s="1585"/>
      <c r="AT1008" s="1585"/>
      <c r="AU1008" s="1585"/>
      <c r="AV1008" s="1585"/>
      <c r="AW1008" s="1585"/>
      <c r="AX1008" s="1585"/>
      <c r="AY1008" s="1585"/>
      <c r="CR1008" s="25"/>
    </row>
    <row r="1009" spans="1:96" ht="12.75" customHeight="1">
      <c r="A1009" s="51"/>
      <c r="B1009" s="110"/>
      <c r="C1009" s="111"/>
      <c r="D1009" s="2455" t="s">
        <v>1552</v>
      </c>
      <c r="E1009" s="2456"/>
      <c r="F1009" s="2456"/>
      <c r="G1009" s="2456"/>
      <c r="H1009" s="2456"/>
      <c r="I1009" s="2456"/>
      <c r="J1009" s="2456"/>
      <c r="K1009" s="2456"/>
      <c r="L1009" s="2456"/>
      <c r="M1009" s="2456"/>
      <c r="N1009" s="2456"/>
      <c r="O1009" s="2456"/>
      <c r="P1009" s="2456"/>
      <c r="Q1009" s="2456"/>
      <c r="R1009" s="2456"/>
      <c r="S1009" s="2456"/>
      <c r="T1009" s="2456"/>
      <c r="U1009" s="2456"/>
      <c r="V1009" s="2456"/>
      <c r="W1009" s="2456"/>
      <c r="X1009" s="2456"/>
      <c r="Y1009" s="2456"/>
      <c r="Z1009" s="2456"/>
      <c r="AA1009" s="2456"/>
      <c r="AB1009" s="2456"/>
      <c r="AC1009" s="2456"/>
      <c r="AD1009" s="2456"/>
      <c r="AE1009" s="2457"/>
      <c r="AF1009" s="110"/>
      <c r="AG1009" s="112"/>
      <c r="AH1009" s="112"/>
      <c r="AI1009" s="121"/>
      <c r="AJ1009" s="2503"/>
      <c r="AK1009" s="2145"/>
      <c r="AL1009" s="2145"/>
      <c r="AM1009" s="2145"/>
      <c r="AN1009" s="2145"/>
      <c r="AO1009" s="2145"/>
      <c r="AP1009" s="2145"/>
      <c r="AQ1009" s="2504"/>
      <c r="AR1009" s="1585"/>
      <c r="AS1009" s="1585"/>
      <c r="AT1009" s="1585"/>
      <c r="AU1009" s="1585"/>
      <c r="AV1009" s="1585"/>
      <c r="AW1009" s="1585"/>
      <c r="AX1009" s="1585"/>
      <c r="AY1009" s="1585"/>
    </row>
    <row r="1010" spans="1:96" ht="12.75" customHeight="1">
      <c r="A1010" s="51"/>
      <c r="B1010" s="115"/>
      <c r="C1010" s="111"/>
      <c r="D1010" s="2468"/>
      <c r="E1010" s="2469"/>
      <c r="F1010" s="2469"/>
      <c r="G1010" s="2469"/>
      <c r="H1010" s="2469"/>
      <c r="I1010" s="2469"/>
      <c r="J1010" s="2469"/>
      <c r="K1010" s="2469"/>
      <c r="L1010" s="2469"/>
      <c r="M1010" s="2469"/>
      <c r="N1010" s="2469"/>
      <c r="O1010" s="2469"/>
      <c r="P1010" s="2469"/>
      <c r="Q1010" s="2469"/>
      <c r="R1010" s="2469"/>
      <c r="S1010" s="2469"/>
      <c r="T1010" s="2469"/>
      <c r="U1010" s="2469"/>
      <c r="V1010" s="2469"/>
      <c r="W1010" s="2469"/>
      <c r="X1010" s="2469"/>
      <c r="Y1010" s="2469"/>
      <c r="Z1010" s="2469"/>
      <c r="AA1010" s="2469"/>
      <c r="AB1010" s="2469"/>
      <c r="AC1010" s="2469"/>
      <c r="AD1010" s="2469"/>
      <c r="AE1010" s="2470"/>
      <c r="AF1010" s="110"/>
      <c r="AG1010" s="112"/>
      <c r="AH1010" s="112"/>
      <c r="AI1010" s="121"/>
      <c r="AJ1010" s="2505"/>
      <c r="AK1010" s="2506"/>
      <c r="AL1010" s="2506"/>
      <c r="AM1010" s="2506"/>
      <c r="AN1010" s="2506"/>
      <c r="AO1010" s="2506"/>
      <c r="AP1010" s="2506"/>
      <c r="AQ1010" s="2507"/>
      <c r="AR1010" s="1585"/>
      <c r="AS1010" s="1585"/>
      <c r="AT1010" s="1585"/>
      <c r="AU1010" s="1585"/>
      <c r="AV1010" s="1585"/>
      <c r="AW1010" s="1585"/>
      <c r="AX1010" s="1585"/>
      <c r="AY1010" s="1585"/>
    </row>
    <row r="1011" spans="1:96" s="720" customFormat="1" ht="12.75" customHeight="1">
      <c r="A1011" s="51"/>
      <c r="B1011" s="110"/>
      <c r="C1011" s="532" t="s">
        <v>726</v>
      </c>
      <c r="D1011" s="2452" t="s">
        <v>2189</v>
      </c>
      <c r="E1011" s="2453"/>
      <c r="F1011" s="2453"/>
      <c r="G1011" s="2453"/>
      <c r="H1011" s="2453"/>
      <c r="I1011" s="2453"/>
      <c r="J1011" s="2453"/>
      <c r="K1011" s="2453"/>
      <c r="L1011" s="2453"/>
      <c r="M1011" s="2453"/>
      <c r="N1011" s="2453"/>
      <c r="O1011" s="2453"/>
      <c r="P1011" s="2453"/>
      <c r="Q1011" s="2453"/>
      <c r="R1011" s="2453"/>
      <c r="S1011" s="2453"/>
      <c r="T1011" s="2453"/>
      <c r="U1011" s="2453"/>
      <c r="V1011" s="2453"/>
      <c r="W1011" s="2453"/>
      <c r="X1011" s="2453"/>
      <c r="Y1011" s="2453"/>
      <c r="Z1011" s="2453"/>
      <c r="AA1011" s="2453"/>
      <c r="AB1011" s="2453"/>
      <c r="AC1011" s="2453"/>
      <c r="AD1011" s="2453"/>
      <c r="AE1011" s="2454"/>
      <c r="AF1011" s="117"/>
      <c r="AG1011" s="2464" t="s">
        <v>707</v>
      </c>
      <c r="AH1011" s="2465"/>
      <c r="AI1011" s="125"/>
      <c r="AJ1011" s="2500">
        <f>ROUND(IF(AG1011="yes",(AJ975*0.15),0),0)</f>
        <v>0</v>
      </c>
      <c r="AK1011" s="2501"/>
      <c r="AL1011" s="2501"/>
      <c r="AM1011" s="2501"/>
      <c r="AN1011" s="2501"/>
      <c r="AO1011" s="2501"/>
      <c r="AP1011" s="2501"/>
      <c r="AQ1011" s="2502"/>
      <c r="AR1011" s="1585"/>
      <c r="AS1011" s="1585"/>
      <c r="AT1011" s="1585"/>
      <c r="AU1011" s="1585"/>
      <c r="AV1011" s="1585"/>
      <c r="AW1011" s="1585"/>
      <c r="AX1011" s="1585"/>
      <c r="AY1011" s="1585"/>
      <c r="CR1011" s="25"/>
    </row>
    <row r="1012" spans="1:96" s="720" customFormat="1" ht="12.75" customHeight="1">
      <c r="A1012" s="51"/>
      <c r="B1012" s="110"/>
      <c r="C1012" s="111"/>
      <c r="D1012" s="2494" t="s">
        <v>2190</v>
      </c>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615"/>
      <c r="AG1012" s="1616"/>
      <c r="AH1012" s="1616"/>
      <c r="AI1012" s="1617"/>
      <c r="AJ1012" s="2503"/>
      <c r="AK1012" s="2145"/>
      <c r="AL1012" s="2145"/>
      <c r="AM1012" s="2145"/>
      <c r="AN1012" s="2145"/>
      <c r="AO1012" s="2145"/>
      <c r="AP1012" s="2145"/>
      <c r="AQ1012" s="2504"/>
      <c r="AR1012" s="1585"/>
      <c r="AS1012" s="1585"/>
      <c r="AT1012" s="1585"/>
      <c r="AU1012" s="1585"/>
      <c r="AV1012" s="1585"/>
      <c r="AW1012" s="1585"/>
      <c r="AX1012" s="1585"/>
      <c r="AY1012" s="1585"/>
      <c r="CR1012" s="25"/>
    </row>
    <row r="1013" spans="1:96" s="720" customFormat="1" ht="12.75" customHeight="1">
      <c r="A1013" s="51"/>
      <c r="B1013" s="110"/>
      <c r="C1013" s="111"/>
      <c r="D1013" s="2494"/>
      <c r="E1013" s="2495"/>
      <c r="F1013" s="2495"/>
      <c r="G1013" s="2495"/>
      <c r="H1013" s="2495"/>
      <c r="I1013" s="2495"/>
      <c r="J1013" s="2495"/>
      <c r="K1013" s="2495"/>
      <c r="L1013" s="2495"/>
      <c r="M1013" s="2495"/>
      <c r="N1013" s="2495"/>
      <c r="O1013" s="2495"/>
      <c r="P1013" s="2495"/>
      <c r="Q1013" s="2495"/>
      <c r="R1013" s="2495"/>
      <c r="S1013" s="2495"/>
      <c r="T1013" s="2495"/>
      <c r="U1013" s="2495"/>
      <c r="V1013" s="2495"/>
      <c r="W1013" s="2495"/>
      <c r="X1013" s="2495"/>
      <c r="Y1013" s="2495"/>
      <c r="Z1013" s="2495"/>
      <c r="AA1013" s="2495"/>
      <c r="AB1013" s="2495"/>
      <c r="AC1013" s="2495"/>
      <c r="AD1013" s="2495"/>
      <c r="AE1013" s="2496"/>
      <c r="AF1013" s="1615"/>
      <c r="AG1013" s="1616"/>
      <c r="AH1013" s="1616"/>
      <c r="AI1013" s="1617"/>
      <c r="AJ1013" s="2503"/>
      <c r="AK1013" s="2145"/>
      <c r="AL1013" s="2145"/>
      <c r="AM1013" s="2145"/>
      <c r="AN1013" s="2145"/>
      <c r="AO1013" s="2145"/>
      <c r="AP1013" s="2145"/>
      <c r="AQ1013" s="2504"/>
      <c r="AR1013" s="1585"/>
      <c r="AS1013" s="1585"/>
      <c r="AT1013" s="1585"/>
      <c r="AU1013" s="1585"/>
      <c r="AV1013" s="1585"/>
      <c r="AW1013" s="1585"/>
      <c r="AX1013" s="1585"/>
      <c r="AY1013" s="1585"/>
      <c r="CR1013" s="25"/>
    </row>
    <row r="1014" spans="1:96" s="720" customFormat="1" ht="12.75" customHeight="1">
      <c r="A1014" s="51"/>
      <c r="B1014" s="110"/>
      <c r="C1014" s="111"/>
      <c r="D1014" s="2497"/>
      <c r="E1014" s="2498"/>
      <c r="F1014" s="2498"/>
      <c r="G1014" s="2498"/>
      <c r="H1014" s="2498"/>
      <c r="I1014" s="2498"/>
      <c r="J1014" s="2498"/>
      <c r="K1014" s="2498"/>
      <c r="L1014" s="2498"/>
      <c r="M1014" s="2498"/>
      <c r="N1014" s="2498"/>
      <c r="O1014" s="2498"/>
      <c r="P1014" s="2498"/>
      <c r="Q1014" s="2498"/>
      <c r="R1014" s="2498"/>
      <c r="S1014" s="2498"/>
      <c r="T1014" s="2498"/>
      <c r="U1014" s="2498"/>
      <c r="V1014" s="2498"/>
      <c r="W1014" s="2498"/>
      <c r="X1014" s="2498"/>
      <c r="Y1014" s="2498"/>
      <c r="Z1014" s="2498"/>
      <c r="AA1014" s="2498"/>
      <c r="AB1014" s="2498"/>
      <c r="AC1014" s="2498"/>
      <c r="AD1014" s="2498"/>
      <c r="AE1014" s="2499"/>
      <c r="AF1014" s="1618"/>
      <c r="AG1014" s="1619"/>
      <c r="AH1014" s="1619"/>
      <c r="AI1014" s="1620"/>
      <c r="AJ1014" s="2505"/>
      <c r="AK1014" s="2506"/>
      <c r="AL1014" s="2506"/>
      <c r="AM1014" s="2506"/>
      <c r="AN1014" s="2506"/>
      <c r="AO1014" s="2506"/>
      <c r="AP1014" s="2506"/>
      <c r="AQ1014" s="2507"/>
      <c r="AR1014" s="1585"/>
      <c r="AS1014" s="1585"/>
      <c r="AT1014" s="1585"/>
      <c r="AU1014" s="1585"/>
      <c r="AV1014" s="1585"/>
      <c r="AW1014" s="1585"/>
      <c r="AX1014" s="1585"/>
      <c r="AY1014" s="1585"/>
      <c r="CR1014" s="25"/>
    </row>
    <row r="1015" spans="1:96" s="720" customFormat="1" ht="12.75" customHeight="1">
      <c r="A1015" s="51"/>
      <c r="B1015" s="110"/>
      <c r="C1015" s="532" t="s">
        <v>726</v>
      </c>
      <c r="D1015" s="2491" t="s">
        <v>2191</v>
      </c>
      <c r="E1015" s="2492"/>
      <c r="F1015" s="2492"/>
      <c r="G1015" s="2492"/>
      <c r="H1015" s="2492"/>
      <c r="I1015" s="2492"/>
      <c r="J1015" s="2492"/>
      <c r="K1015" s="2492"/>
      <c r="L1015" s="2492"/>
      <c r="M1015" s="2492"/>
      <c r="N1015" s="2492"/>
      <c r="O1015" s="2492"/>
      <c r="P1015" s="2492"/>
      <c r="Q1015" s="2492"/>
      <c r="R1015" s="2492"/>
      <c r="S1015" s="2492"/>
      <c r="T1015" s="2492"/>
      <c r="U1015" s="2492"/>
      <c r="V1015" s="2492"/>
      <c r="W1015" s="2492"/>
      <c r="X1015" s="2492"/>
      <c r="Y1015" s="2492"/>
      <c r="Z1015" s="2492"/>
      <c r="AA1015" s="2492"/>
      <c r="AB1015" s="2492"/>
      <c r="AC1015" s="2492"/>
      <c r="AD1015" s="2492"/>
      <c r="AE1015" s="2493"/>
      <c r="AF1015" s="110"/>
      <c r="AG1015" s="2466" t="s">
        <v>707</v>
      </c>
      <c r="AH1015" s="2467"/>
      <c r="AI1015" s="121"/>
      <c r="AJ1015" s="2500">
        <f>ROUND(IF(AG1015="yes",(AJ975*0.1),0),0)</f>
        <v>0</v>
      </c>
      <c r="AK1015" s="2501"/>
      <c r="AL1015" s="2501"/>
      <c r="AM1015" s="2501"/>
      <c r="AN1015" s="2501"/>
      <c r="AO1015" s="2501"/>
      <c r="AP1015" s="2501"/>
      <c r="AQ1015" s="2502"/>
      <c r="AR1015" s="1585"/>
      <c r="AS1015" s="1585"/>
      <c r="AT1015" s="1585"/>
      <c r="AU1015" s="1585"/>
      <c r="AV1015" s="1585"/>
      <c r="AW1015" s="1585"/>
      <c r="AX1015" s="1585"/>
      <c r="AY1015" s="1585"/>
      <c r="CR1015" s="25"/>
    </row>
    <row r="1016" spans="1:96" s="720" customFormat="1" ht="12.75" customHeight="1">
      <c r="A1016" s="51"/>
      <c r="B1016" s="110"/>
      <c r="C1016" s="111"/>
      <c r="D1016" s="2494" t="s">
        <v>2192</v>
      </c>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10"/>
      <c r="AG1016" s="112"/>
      <c r="AH1016" s="112"/>
      <c r="AI1016" s="121"/>
      <c r="AJ1016" s="2503"/>
      <c r="AK1016" s="2145"/>
      <c r="AL1016" s="2145"/>
      <c r="AM1016" s="2145"/>
      <c r="AN1016" s="2145"/>
      <c r="AO1016" s="2145"/>
      <c r="AP1016" s="2145"/>
      <c r="AQ1016" s="2504"/>
      <c r="AR1016" s="1585"/>
      <c r="AS1016" s="1585"/>
      <c r="AT1016" s="1585"/>
      <c r="AU1016" s="1585"/>
      <c r="AV1016" s="1585"/>
      <c r="AW1016" s="1585"/>
      <c r="AX1016" s="1585"/>
      <c r="AY1016" s="1585"/>
      <c r="CR1016" s="25"/>
    </row>
    <row r="1017" spans="1:96" s="720" customFormat="1" ht="12.75" customHeight="1">
      <c r="A1017" s="51"/>
      <c r="B1017" s="110"/>
      <c r="C1017" s="111"/>
      <c r="D1017" s="2494"/>
      <c r="E1017" s="2495"/>
      <c r="F1017" s="2495"/>
      <c r="G1017" s="2495"/>
      <c r="H1017" s="2495"/>
      <c r="I1017" s="2495"/>
      <c r="J1017" s="2495"/>
      <c r="K1017" s="2495"/>
      <c r="L1017" s="2495"/>
      <c r="M1017" s="2495"/>
      <c r="N1017" s="2495"/>
      <c r="O1017" s="2495"/>
      <c r="P1017" s="2495"/>
      <c r="Q1017" s="2495"/>
      <c r="R1017" s="2495"/>
      <c r="S1017" s="2495"/>
      <c r="T1017" s="2495"/>
      <c r="U1017" s="2495"/>
      <c r="V1017" s="2495"/>
      <c r="W1017" s="2495"/>
      <c r="X1017" s="2495"/>
      <c r="Y1017" s="2495"/>
      <c r="Z1017" s="2495"/>
      <c r="AA1017" s="2495"/>
      <c r="AB1017" s="2495"/>
      <c r="AC1017" s="2495"/>
      <c r="AD1017" s="2495"/>
      <c r="AE1017" s="2496"/>
      <c r="AF1017" s="110"/>
      <c r="AG1017" s="112"/>
      <c r="AH1017" s="112"/>
      <c r="AI1017" s="121"/>
      <c r="AJ1017" s="2503"/>
      <c r="AK1017" s="2145"/>
      <c r="AL1017" s="2145"/>
      <c r="AM1017" s="2145"/>
      <c r="AN1017" s="2145"/>
      <c r="AO1017" s="2145"/>
      <c r="AP1017" s="2145"/>
      <c r="AQ1017" s="2504"/>
      <c r="AR1017" s="1585"/>
      <c r="AS1017" s="1585"/>
      <c r="AT1017" s="1585"/>
      <c r="AU1017" s="1585"/>
      <c r="AV1017" s="1585"/>
      <c r="AW1017" s="1585"/>
      <c r="AX1017" s="1585"/>
      <c r="AY1017" s="1585"/>
      <c r="CR1017" s="25"/>
    </row>
    <row r="1018" spans="1:96" s="720" customFormat="1" ht="12.75" customHeight="1">
      <c r="A1018" s="51"/>
      <c r="B1018" s="110"/>
      <c r="C1018" s="111"/>
      <c r="D1018" s="2494"/>
      <c r="E1018" s="2495"/>
      <c r="F1018" s="2495"/>
      <c r="G1018" s="2495"/>
      <c r="H1018" s="2495"/>
      <c r="I1018" s="2495"/>
      <c r="J1018" s="2495"/>
      <c r="K1018" s="2495"/>
      <c r="L1018" s="2495"/>
      <c r="M1018" s="2495"/>
      <c r="N1018" s="2495"/>
      <c r="O1018" s="2495"/>
      <c r="P1018" s="2495"/>
      <c r="Q1018" s="2495"/>
      <c r="R1018" s="2495"/>
      <c r="S1018" s="2495"/>
      <c r="T1018" s="2495"/>
      <c r="U1018" s="2495"/>
      <c r="V1018" s="2495"/>
      <c r="W1018" s="2495"/>
      <c r="X1018" s="2495"/>
      <c r="Y1018" s="2495"/>
      <c r="Z1018" s="2495"/>
      <c r="AA1018" s="2495"/>
      <c r="AB1018" s="2495"/>
      <c r="AC1018" s="2495"/>
      <c r="AD1018" s="2495"/>
      <c r="AE1018" s="2496"/>
      <c r="AF1018" s="110"/>
      <c r="AG1018" s="112"/>
      <c r="AH1018" s="112"/>
      <c r="AI1018" s="121"/>
      <c r="AJ1018" s="2503"/>
      <c r="AK1018" s="2145"/>
      <c r="AL1018" s="2145"/>
      <c r="AM1018" s="2145"/>
      <c r="AN1018" s="2145"/>
      <c r="AO1018" s="2145"/>
      <c r="AP1018" s="2145"/>
      <c r="AQ1018" s="2504"/>
      <c r="AR1018" s="1585"/>
      <c r="AS1018" s="1585"/>
      <c r="AT1018" s="1585"/>
      <c r="AU1018" s="1585"/>
      <c r="AV1018" s="1585"/>
      <c r="AW1018" s="1585"/>
      <c r="AX1018" s="1585"/>
      <c r="AY1018" s="1585"/>
      <c r="CR1018" s="25"/>
    </row>
    <row r="1019" spans="1:96" s="720" customFormat="1" ht="12.75" customHeight="1">
      <c r="A1019" s="51"/>
      <c r="B1019" s="110"/>
      <c r="C1019" s="111"/>
      <c r="D1019" s="2497"/>
      <c r="E1019" s="2498"/>
      <c r="F1019" s="2498"/>
      <c r="G1019" s="2498"/>
      <c r="H1019" s="2498"/>
      <c r="I1019" s="2498"/>
      <c r="J1019" s="2498"/>
      <c r="K1019" s="2498"/>
      <c r="L1019" s="2498"/>
      <c r="M1019" s="2498"/>
      <c r="N1019" s="2498"/>
      <c r="O1019" s="2498"/>
      <c r="P1019" s="2498"/>
      <c r="Q1019" s="2498"/>
      <c r="R1019" s="2498"/>
      <c r="S1019" s="2498"/>
      <c r="T1019" s="2498"/>
      <c r="U1019" s="2498"/>
      <c r="V1019" s="2498"/>
      <c r="W1019" s="2498"/>
      <c r="X1019" s="2498"/>
      <c r="Y1019" s="2498"/>
      <c r="Z1019" s="2498"/>
      <c r="AA1019" s="2498"/>
      <c r="AB1019" s="2498"/>
      <c r="AC1019" s="2498"/>
      <c r="AD1019" s="2498"/>
      <c r="AE1019" s="2499"/>
      <c r="AF1019" s="110"/>
      <c r="AG1019" s="112"/>
      <c r="AH1019" s="112"/>
      <c r="AI1019" s="121"/>
      <c r="AJ1019" s="2503"/>
      <c r="AK1019" s="2145"/>
      <c r="AL1019" s="2145"/>
      <c r="AM1019" s="2145"/>
      <c r="AN1019" s="2145"/>
      <c r="AO1019" s="2145"/>
      <c r="AP1019" s="2145"/>
      <c r="AQ1019" s="2504"/>
      <c r="AR1019" s="1585"/>
      <c r="AS1019" s="1585"/>
      <c r="AT1019" s="1585"/>
      <c r="AU1019" s="1585"/>
      <c r="AV1019" s="1585"/>
      <c r="AW1019" s="1585"/>
      <c r="AX1019" s="1585"/>
      <c r="AY1019" s="1585"/>
      <c r="CR1019" s="25"/>
    </row>
    <row r="1020" spans="1:96" s="720" customFormat="1" ht="12.75" customHeight="1">
      <c r="A1020" s="51"/>
      <c r="B1020" s="117"/>
      <c r="C1020" s="198" t="s">
        <v>1119</v>
      </c>
      <c r="D1020" s="2452" t="s">
        <v>1553</v>
      </c>
      <c r="E1020" s="2453"/>
      <c r="F1020" s="2453"/>
      <c r="G1020" s="2453"/>
      <c r="H1020" s="2453"/>
      <c r="I1020" s="2453"/>
      <c r="J1020" s="2453"/>
      <c r="K1020" s="2453"/>
      <c r="L1020" s="2453"/>
      <c r="M1020" s="2453"/>
      <c r="N1020" s="2453"/>
      <c r="O1020" s="2453"/>
      <c r="P1020" s="2453"/>
      <c r="Q1020" s="2453"/>
      <c r="R1020" s="2453"/>
      <c r="S1020" s="2453"/>
      <c r="T1020" s="2453"/>
      <c r="U1020" s="2453"/>
      <c r="V1020" s="2453"/>
      <c r="W1020" s="2453"/>
      <c r="X1020" s="2453"/>
      <c r="Y1020" s="2453"/>
      <c r="Z1020" s="2453"/>
      <c r="AA1020" s="2453"/>
      <c r="AB1020" s="2453"/>
      <c r="AC1020" s="2453"/>
      <c r="AD1020" s="2453"/>
      <c r="AE1020" s="2454"/>
      <c r="AF1020" s="117"/>
      <c r="AG1020" s="2464" t="s">
        <v>579</v>
      </c>
      <c r="AH1020" s="2465"/>
      <c r="AI1020" s="125"/>
      <c r="AJ1020" s="2500">
        <f>ROUND(IF(AG1020="yes",(AJ975*0.1),0),0)</f>
        <v>1742285</v>
      </c>
      <c r="AK1020" s="2501"/>
      <c r="AL1020" s="2501"/>
      <c r="AM1020" s="2501"/>
      <c r="AN1020" s="2501"/>
      <c r="AO1020" s="2501"/>
      <c r="AP1020" s="2501"/>
      <c r="AQ1020" s="2502"/>
      <c r="AR1020" s="1585"/>
      <c r="AS1020" s="1585"/>
      <c r="AT1020" s="1585"/>
      <c r="AU1020" s="1585"/>
      <c r="AV1020" s="1585"/>
      <c r="AW1020" s="1585"/>
      <c r="AX1020" s="1585"/>
      <c r="AY1020" s="1585"/>
      <c r="CR1020" s="25"/>
    </row>
    <row r="1021" spans="1:96" ht="12.75" customHeight="1">
      <c r="A1021" s="51"/>
      <c r="B1021" s="110"/>
      <c r="C1021" s="111"/>
      <c r="D1021" s="2455" t="s">
        <v>1554</v>
      </c>
      <c r="E1021" s="2456"/>
      <c r="F1021" s="2456"/>
      <c r="G1021" s="2456"/>
      <c r="H1021" s="2456"/>
      <c r="I1021" s="2456"/>
      <c r="J1021" s="2456"/>
      <c r="K1021" s="2456"/>
      <c r="L1021" s="2456"/>
      <c r="M1021" s="2456"/>
      <c r="N1021" s="2456"/>
      <c r="O1021" s="2456"/>
      <c r="P1021" s="2456"/>
      <c r="Q1021" s="2456"/>
      <c r="R1021" s="2456"/>
      <c r="S1021" s="2456"/>
      <c r="T1021" s="2456"/>
      <c r="U1021" s="2456"/>
      <c r="V1021" s="2456"/>
      <c r="W1021" s="2456"/>
      <c r="X1021" s="2456"/>
      <c r="Y1021" s="2456"/>
      <c r="Z1021" s="2456"/>
      <c r="AA1021" s="2456"/>
      <c r="AB1021" s="2456"/>
      <c r="AC1021" s="2456"/>
      <c r="AD1021" s="2456"/>
      <c r="AE1021" s="2457"/>
      <c r="AF1021" s="110"/>
      <c r="AG1021" s="112"/>
      <c r="AH1021" s="112"/>
      <c r="AI1021" s="121"/>
      <c r="AJ1021" s="2503"/>
      <c r="AK1021" s="2145"/>
      <c r="AL1021" s="2145"/>
      <c r="AM1021" s="2145"/>
      <c r="AN1021" s="2145"/>
      <c r="AO1021" s="2145"/>
      <c r="AP1021" s="2145"/>
      <c r="AQ1021" s="2504"/>
      <c r="AR1021" s="1585"/>
      <c r="AS1021" s="1585"/>
      <c r="AT1021" s="1585"/>
      <c r="AU1021" s="1585"/>
      <c r="AV1021" s="1585"/>
      <c r="AW1021" s="1585"/>
      <c r="AX1021" s="1585"/>
      <c r="AY1021" s="1585"/>
    </row>
    <row r="1022" spans="1:96" ht="12.75" customHeight="1">
      <c r="A1022" s="51"/>
      <c r="B1022" s="110"/>
      <c r="C1022" s="111"/>
      <c r="D1022" s="2455"/>
      <c r="E1022" s="2456"/>
      <c r="F1022" s="2456"/>
      <c r="G1022" s="2456"/>
      <c r="H1022" s="2456"/>
      <c r="I1022" s="2456"/>
      <c r="J1022" s="2456"/>
      <c r="K1022" s="2456"/>
      <c r="L1022" s="2456"/>
      <c r="M1022" s="2456"/>
      <c r="N1022" s="2456"/>
      <c r="O1022" s="2456"/>
      <c r="P1022" s="2456"/>
      <c r="Q1022" s="2456"/>
      <c r="R1022" s="2456"/>
      <c r="S1022" s="2456"/>
      <c r="T1022" s="2456"/>
      <c r="U1022" s="2456"/>
      <c r="V1022" s="2456"/>
      <c r="W1022" s="2456"/>
      <c r="X1022" s="2456"/>
      <c r="Y1022" s="2456"/>
      <c r="Z1022" s="2456"/>
      <c r="AA1022" s="2456"/>
      <c r="AB1022" s="2456"/>
      <c r="AC1022" s="2456"/>
      <c r="AD1022" s="2456"/>
      <c r="AE1022" s="2457"/>
      <c r="AF1022" s="110"/>
      <c r="AG1022" s="112"/>
      <c r="AH1022" s="112"/>
      <c r="AI1022" s="121"/>
      <c r="AJ1022" s="2503"/>
      <c r="AK1022" s="2145"/>
      <c r="AL1022" s="2145"/>
      <c r="AM1022" s="2145"/>
      <c r="AN1022" s="2145"/>
      <c r="AO1022" s="2145"/>
      <c r="AP1022" s="2145"/>
      <c r="AQ1022" s="2504"/>
      <c r="AR1022" s="1585"/>
      <c r="AS1022" s="1585"/>
      <c r="AT1022" s="1585"/>
      <c r="AU1022" s="1585"/>
      <c r="AV1022" s="1585"/>
      <c r="AW1022" s="1585"/>
      <c r="AX1022" s="1585"/>
      <c r="AY1022" s="1585"/>
    </row>
    <row r="1023" spans="1:96" s="683" customFormat="1" ht="12.75" customHeight="1">
      <c r="A1023" s="51"/>
      <c r="B1023" s="110"/>
      <c r="C1023" s="111"/>
      <c r="D1023" s="2468"/>
      <c r="E1023" s="2469"/>
      <c r="F1023" s="2469"/>
      <c r="G1023" s="2469"/>
      <c r="H1023" s="2469"/>
      <c r="I1023" s="2469"/>
      <c r="J1023" s="2469"/>
      <c r="K1023" s="2469"/>
      <c r="L1023" s="2469"/>
      <c r="M1023" s="2469"/>
      <c r="N1023" s="2469"/>
      <c r="O1023" s="2469"/>
      <c r="P1023" s="2469"/>
      <c r="Q1023" s="2469"/>
      <c r="R1023" s="2469"/>
      <c r="S1023" s="2469"/>
      <c r="T1023" s="2469"/>
      <c r="U1023" s="2469"/>
      <c r="V1023" s="2469"/>
      <c r="W1023" s="2469"/>
      <c r="X1023" s="2469"/>
      <c r="Y1023" s="2469"/>
      <c r="Z1023" s="2469"/>
      <c r="AA1023" s="2469"/>
      <c r="AB1023" s="2469"/>
      <c r="AC1023" s="2469"/>
      <c r="AD1023" s="2469"/>
      <c r="AE1023" s="2470"/>
      <c r="AF1023" s="110"/>
      <c r="AG1023" s="112"/>
      <c r="AH1023" s="112"/>
      <c r="AI1023" s="121"/>
      <c r="AJ1023" s="2505"/>
      <c r="AK1023" s="2506"/>
      <c r="AL1023" s="2506"/>
      <c r="AM1023" s="2506"/>
      <c r="AN1023" s="2506"/>
      <c r="AO1023" s="2506"/>
      <c r="AP1023" s="2506"/>
      <c r="AQ1023" s="2507"/>
      <c r="AR1023" s="1585"/>
      <c r="AS1023" s="1585"/>
      <c r="AT1023" s="1585"/>
      <c r="AU1023" s="1585"/>
      <c r="AV1023" s="1585"/>
      <c r="AW1023" s="1585"/>
      <c r="AX1023" s="1585"/>
      <c r="AY1023" s="1585"/>
      <c r="CR1023" s="25"/>
    </row>
    <row r="1024" spans="1:96" ht="12.75" customHeight="1">
      <c r="A1024" s="51"/>
      <c r="B1024" s="117"/>
      <c r="C1024" s="198" t="s">
        <v>2187</v>
      </c>
      <c r="D1024" s="2491" t="s">
        <v>2459</v>
      </c>
      <c r="E1024" s="2492"/>
      <c r="F1024" s="2492"/>
      <c r="G1024" s="2492"/>
      <c r="H1024" s="2492"/>
      <c r="I1024" s="2492"/>
      <c r="J1024" s="2492"/>
      <c r="K1024" s="2492"/>
      <c r="L1024" s="2492"/>
      <c r="M1024" s="2492"/>
      <c r="N1024" s="2492"/>
      <c r="O1024" s="2492"/>
      <c r="P1024" s="2492"/>
      <c r="Q1024" s="2492"/>
      <c r="R1024" s="2492"/>
      <c r="S1024" s="2492"/>
      <c r="T1024" s="2492"/>
      <c r="U1024" s="2492"/>
      <c r="V1024" s="2492"/>
      <c r="W1024" s="2492"/>
      <c r="X1024" s="2492"/>
      <c r="Y1024" s="2492"/>
      <c r="Z1024" s="2492"/>
      <c r="AA1024" s="2492"/>
      <c r="AB1024" s="2492"/>
      <c r="AC1024" s="2492"/>
      <c r="AD1024" s="2492"/>
      <c r="AE1024" s="2493"/>
      <c r="AF1024" s="117"/>
      <c r="AG1024" s="2462" t="str">
        <f>IF(X1027&gt;0,"Yes","No")</f>
        <v>No</v>
      </c>
      <c r="AH1024" s="2463"/>
      <c r="AI1024" s="125"/>
      <c r="AJ1024" s="2471">
        <f>IF((X1027=0),0,BA989*AJ975)</f>
        <v>0</v>
      </c>
      <c r="AK1024" s="2472"/>
      <c r="AL1024" s="2472"/>
      <c r="AM1024" s="2472"/>
      <c r="AN1024" s="2472"/>
      <c r="AO1024" s="2472"/>
      <c r="AP1024" s="2472"/>
      <c r="AQ1024" s="2473"/>
      <c r="AR1024" s="1585"/>
      <c r="AS1024" s="1585"/>
      <c r="AT1024" s="1585"/>
      <c r="AU1024" s="1585"/>
      <c r="AV1024" s="1585"/>
      <c r="AW1024" s="1585"/>
      <c r="AX1024" s="1585"/>
      <c r="AY1024" s="1585"/>
    </row>
    <row r="1025" spans="1:96" ht="12.75" customHeight="1">
      <c r="A1025" s="51"/>
      <c r="B1025" s="110"/>
      <c r="C1025" s="703"/>
      <c r="D1025" s="2455" t="s">
        <v>1556</v>
      </c>
      <c r="E1025" s="2456"/>
      <c r="F1025" s="2456"/>
      <c r="G1025" s="2456"/>
      <c r="H1025" s="2456"/>
      <c r="I1025" s="2456"/>
      <c r="J1025" s="2456"/>
      <c r="K1025" s="2456"/>
      <c r="L1025" s="2456"/>
      <c r="M1025" s="2456"/>
      <c r="N1025" s="2456"/>
      <c r="O1025" s="2456"/>
      <c r="P1025" s="2456"/>
      <c r="Q1025" s="2456"/>
      <c r="R1025" s="2456"/>
      <c r="S1025" s="2456"/>
      <c r="T1025" s="2456"/>
      <c r="U1025" s="2456"/>
      <c r="V1025" s="2456"/>
      <c r="W1025" s="2456"/>
      <c r="X1025" s="2456"/>
      <c r="Y1025" s="2456"/>
      <c r="Z1025" s="2456"/>
      <c r="AA1025" s="2456"/>
      <c r="AB1025" s="2456"/>
      <c r="AC1025" s="2456"/>
      <c r="AD1025" s="2456"/>
      <c r="AE1025" s="2457"/>
      <c r="AF1025" s="110"/>
      <c r="AG1025" s="704"/>
      <c r="AH1025" s="704"/>
      <c r="AI1025" s="121"/>
      <c r="AJ1025" s="2474"/>
      <c r="AK1025" s="2475"/>
      <c r="AL1025" s="2475"/>
      <c r="AM1025" s="2475"/>
      <c r="AN1025" s="2475"/>
      <c r="AO1025" s="2475"/>
      <c r="AP1025" s="2475"/>
      <c r="AQ1025" s="2476"/>
      <c r="AR1025" s="1585"/>
      <c r="AS1025" s="1585"/>
      <c r="AT1025" s="1585"/>
      <c r="AU1025" s="1585"/>
      <c r="AV1025" s="1585"/>
      <c r="AW1025" s="1585"/>
      <c r="AX1025" s="1585"/>
      <c r="AY1025" s="1585"/>
    </row>
    <row r="1026" spans="1:96" ht="12.75" customHeight="1">
      <c r="A1026" s="51"/>
      <c r="B1026" s="110"/>
      <c r="C1026" s="703"/>
      <c r="D1026" s="2455"/>
      <c r="E1026" s="2456"/>
      <c r="F1026" s="2456"/>
      <c r="G1026" s="2456"/>
      <c r="H1026" s="2456"/>
      <c r="I1026" s="2456"/>
      <c r="J1026" s="2456"/>
      <c r="K1026" s="2456"/>
      <c r="L1026" s="2456"/>
      <c r="M1026" s="2456"/>
      <c r="N1026" s="2456"/>
      <c r="O1026" s="2456"/>
      <c r="P1026" s="2456"/>
      <c r="Q1026" s="2456"/>
      <c r="R1026" s="2456"/>
      <c r="S1026" s="2456"/>
      <c r="T1026" s="2456"/>
      <c r="U1026" s="2456"/>
      <c r="V1026" s="2456"/>
      <c r="W1026" s="2456"/>
      <c r="X1026" s="2456"/>
      <c r="Y1026" s="2456"/>
      <c r="Z1026" s="2456"/>
      <c r="AA1026" s="2456"/>
      <c r="AB1026" s="2456"/>
      <c r="AC1026" s="2456"/>
      <c r="AD1026" s="2456"/>
      <c r="AE1026" s="2457"/>
      <c r="AF1026" s="110"/>
      <c r="AG1026" s="704"/>
      <c r="AH1026" s="704"/>
      <c r="AI1026" s="121"/>
      <c r="AJ1026" s="2474"/>
      <c r="AK1026" s="2475"/>
      <c r="AL1026" s="2475"/>
      <c r="AM1026" s="2475"/>
      <c r="AN1026" s="2475"/>
      <c r="AO1026" s="2475"/>
      <c r="AP1026" s="2475"/>
      <c r="AQ1026" s="2476"/>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60">
        <f>BA987</f>
        <v>47</v>
      </c>
      <c r="J1027" s="2461"/>
      <c r="K1027" s="11"/>
      <c r="L1027" s="200"/>
      <c r="M1027" s="200"/>
      <c r="N1027" s="200"/>
      <c r="O1027" s="200"/>
      <c r="P1027" s="200"/>
      <c r="Q1027" s="200"/>
      <c r="R1027" s="200"/>
      <c r="S1027" s="200"/>
      <c r="T1027" s="200"/>
      <c r="U1027" s="200"/>
      <c r="V1027" s="201" t="s">
        <v>1054</v>
      </c>
      <c r="W1027" s="80"/>
      <c r="X1027" s="2458">
        <f>BG635</f>
        <v>0</v>
      </c>
      <c r="Y1027" s="2459"/>
      <c r="Z1027" s="80"/>
      <c r="AA1027" s="80"/>
      <c r="AB1027" s="80"/>
      <c r="AC1027" s="80"/>
      <c r="AD1027" s="80"/>
      <c r="AE1027" s="81"/>
      <c r="AF1027" s="1624"/>
      <c r="AG1027" s="1625"/>
      <c r="AH1027" s="1625"/>
      <c r="AI1027" s="1626"/>
      <c r="AJ1027" s="2477"/>
      <c r="AK1027" s="2478"/>
      <c r="AL1027" s="2478"/>
      <c r="AM1027" s="2478"/>
      <c r="AN1027" s="2478"/>
      <c r="AO1027" s="2478"/>
      <c r="AP1027" s="2478"/>
      <c r="AQ1027" s="2479"/>
      <c r="AR1027" s="1585"/>
      <c r="AS1027" s="1585"/>
      <c r="AT1027" s="1585"/>
      <c r="AU1027" s="1585"/>
      <c r="AV1027" s="1585"/>
      <c r="AW1027" s="1585"/>
      <c r="AX1027" s="1585"/>
      <c r="AY1027" s="1585"/>
      <c r="CR1027" s="25"/>
    </row>
    <row r="1028" spans="1:96" ht="12.75" customHeight="1">
      <c r="A1028" s="51"/>
      <c r="B1028" s="117"/>
      <c r="C1028" s="198" t="s">
        <v>2188</v>
      </c>
      <c r="D1028" s="2452" t="s">
        <v>2460</v>
      </c>
      <c r="E1028" s="2453"/>
      <c r="F1028" s="2453"/>
      <c r="G1028" s="2453"/>
      <c r="H1028" s="2453"/>
      <c r="I1028" s="2453"/>
      <c r="J1028" s="2453"/>
      <c r="K1028" s="2453"/>
      <c r="L1028" s="2453"/>
      <c r="M1028" s="2453"/>
      <c r="N1028" s="2453"/>
      <c r="O1028" s="2453"/>
      <c r="P1028" s="2453"/>
      <c r="Q1028" s="2453"/>
      <c r="R1028" s="2453"/>
      <c r="S1028" s="2453"/>
      <c r="T1028" s="2453"/>
      <c r="U1028" s="2453"/>
      <c r="V1028" s="2453"/>
      <c r="W1028" s="2453"/>
      <c r="X1028" s="2453"/>
      <c r="Y1028" s="2453"/>
      <c r="Z1028" s="2453"/>
      <c r="AA1028" s="2453"/>
      <c r="AB1028" s="2453"/>
      <c r="AC1028" s="2453"/>
      <c r="AD1028" s="2453"/>
      <c r="AE1028" s="2454"/>
      <c r="AF1028" s="110"/>
      <c r="AG1028" s="2462" t="str">
        <f>IF(X1031&gt;0,"Yes","No")</f>
        <v>Yes</v>
      </c>
      <c r="AH1028" s="2463"/>
      <c r="AI1028" s="121"/>
      <c r="AJ1028" s="2471">
        <f>IF((X1031=0),0,(2*BA990)*AJ975)</f>
        <v>34845696</v>
      </c>
      <c r="AK1028" s="2472"/>
      <c r="AL1028" s="2472"/>
      <c r="AM1028" s="2472"/>
      <c r="AN1028" s="2472"/>
      <c r="AO1028" s="2472"/>
      <c r="AP1028" s="2472"/>
      <c r="AQ1028" s="2473"/>
      <c r="AR1028" s="1585"/>
      <c r="AS1028" s="1585"/>
      <c r="AT1028" s="1585"/>
      <c r="AU1028" s="1585"/>
      <c r="AV1028" s="1585"/>
      <c r="AW1028" s="1585"/>
      <c r="AX1028" s="1585"/>
      <c r="AY1028" s="1585"/>
    </row>
    <row r="1029" spans="1:96" ht="12.75" customHeight="1">
      <c r="A1029" s="51"/>
      <c r="B1029" s="110"/>
      <c r="C1029" s="703"/>
      <c r="D1029" s="2455" t="s">
        <v>1555</v>
      </c>
      <c r="E1029" s="2456"/>
      <c r="F1029" s="2456"/>
      <c r="G1029" s="2456"/>
      <c r="H1029" s="2456"/>
      <c r="I1029" s="2456"/>
      <c r="J1029" s="2456"/>
      <c r="K1029" s="2456"/>
      <c r="L1029" s="2456"/>
      <c r="M1029" s="2456"/>
      <c r="N1029" s="2456"/>
      <c r="O1029" s="2456"/>
      <c r="P1029" s="2456"/>
      <c r="Q1029" s="2456"/>
      <c r="R1029" s="2456"/>
      <c r="S1029" s="2456"/>
      <c r="T1029" s="2456"/>
      <c r="U1029" s="2456"/>
      <c r="V1029" s="2456"/>
      <c r="W1029" s="2456"/>
      <c r="X1029" s="2456"/>
      <c r="Y1029" s="2456"/>
      <c r="Z1029" s="2456"/>
      <c r="AA1029" s="2456"/>
      <c r="AB1029" s="2456"/>
      <c r="AC1029" s="2456"/>
      <c r="AD1029" s="2456"/>
      <c r="AE1029" s="2457"/>
      <c r="AF1029" s="110"/>
      <c r="AG1029" s="704"/>
      <c r="AH1029" s="704"/>
      <c r="AI1029" s="121"/>
      <c r="AJ1029" s="2474"/>
      <c r="AK1029" s="2475"/>
      <c r="AL1029" s="2475"/>
      <c r="AM1029" s="2475"/>
      <c r="AN1029" s="2475"/>
      <c r="AO1029" s="2475"/>
      <c r="AP1029" s="2475"/>
      <c r="AQ1029" s="2476"/>
      <c r="AR1029" s="1585"/>
      <c r="AS1029" s="1585"/>
      <c r="AT1029" s="1585"/>
      <c r="AU1029" s="1585"/>
      <c r="AV1029" s="1585"/>
      <c r="AW1029" s="1585"/>
      <c r="AX1029" s="1585"/>
      <c r="AY1029" s="1585"/>
    </row>
    <row r="1030" spans="1:96" ht="12.75" customHeight="1">
      <c r="A1030" s="51"/>
      <c r="B1030" s="110"/>
      <c r="C1030" s="121"/>
      <c r="D1030" s="2455"/>
      <c r="E1030" s="2456"/>
      <c r="F1030" s="2456"/>
      <c r="G1030" s="2456"/>
      <c r="H1030" s="2456"/>
      <c r="I1030" s="2456"/>
      <c r="J1030" s="2456"/>
      <c r="K1030" s="2456"/>
      <c r="L1030" s="2456"/>
      <c r="M1030" s="2456"/>
      <c r="N1030" s="2456"/>
      <c r="O1030" s="2456"/>
      <c r="P1030" s="2456"/>
      <c r="Q1030" s="2456"/>
      <c r="R1030" s="2456"/>
      <c r="S1030" s="2456"/>
      <c r="T1030" s="2456"/>
      <c r="U1030" s="2456"/>
      <c r="V1030" s="2456"/>
      <c r="W1030" s="2456"/>
      <c r="X1030" s="2456"/>
      <c r="Y1030" s="2456"/>
      <c r="Z1030" s="2456"/>
      <c r="AA1030" s="2456"/>
      <c r="AB1030" s="2456"/>
      <c r="AC1030" s="2456"/>
      <c r="AD1030" s="2456"/>
      <c r="AE1030" s="2457"/>
      <c r="AF1030" s="1621"/>
      <c r="AG1030" s="1622"/>
      <c r="AH1030" s="1622"/>
      <c r="AI1030" s="1623"/>
      <c r="AJ1030" s="2474"/>
      <c r="AK1030" s="2475"/>
      <c r="AL1030" s="2475"/>
      <c r="AM1030" s="2475"/>
      <c r="AN1030" s="2475"/>
      <c r="AO1030" s="2475"/>
      <c r="AP1030" s="2475"/>
      <c r="AQ1030" s="2476"/>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60">
        <f>BA987</f>
        <v>47</v>
      </c>
      <c r="J1031" s="2461"/>
      <c r="K1031" s="51"/>
      <c r="L1031" s="200"/>
      <c r="M1031" s="200"/>
      <c r="N1031" s="200"/>
      <c r="O1031" s="200"/>
      <c r="P1031" s="200"/>
      <c r="Q1031" s="200"/>
      <c r="R1031" s="200"/>
      <c r="S1031" s="200"/>
      <c r="T1031" s="200"/>
      <c r="U1031" s="200"/>
      <c r="V1031" s="201" t="s">
        <v>1055</v>
      </c>
      <c r="X1031" s="2458">
        <f>BK635</f>
        <v>47</v>
      </c>
      <c r="Y1031" s="2459"/>
      <c r="AF1031" s="1624"/>
      <c r="AG1031" s="1625"/>
      <c r="AH1031" s="1625"/>
      <c r="AI1031" s="1626"/>
      <c r="AJ1031" s="2477"/>
      <c r="AK1031" s="2478"/>
      <c r="AL1031" s="2478"/>
      <c r="AM1031" s="2478"/>
      <c r="AN1031" s="2478"/>
      <c r="AO1031" s="2478"/>
      <c r="AP1031" s="2478"/>
      <c r="AQ1031" s="2479"/>
      <c r="AR1031" s="1585"/>
      <c r="AS1031" s="1585"/>
      <c r="AT1031" s="1585"/>
      <c r="AU1031" s="1585"/>
      <c r="AV1031" s="1585"/>
      <c r="AW1031" s="1585"/>
      <c r="AX1031" s="1585"/>
      <c r="AY1031" s="1585"/>
      <c r="CR1031" s="25"/>
    </row>
    <row r="1032" spans="1:96" ht="12.75" customHeight="1">
      <c r="A1032" s="51"/>
      <c r="B1032" s="158"/>
      <c r="C1032" s="159"/>
      <c r="D1032" s="2450" t="s">
        <v>547</v>
      </c>
      <c r="E1032" s="2450"/>
      <c r="F1032" s="2450"/>
      <c r="G1032" s="2450"/>
      <c r="H1032" s="2450"/>
      <c r="I1032" s="2450"/>
      <c r="J1032" s="2450"/>
      <c r="K1032" s="2450"/>
      <c r="L1032" s="2450"/>
      <c r="M1032" s="2450"/>
      <c r="N1032" s="2450"/>
      <c r="O1032" s="2450"/>
      <c r="P1032" s="2450"/>
      <c r="Q1032" s="2450"/>
      <c r="R1032" s="2450"/>
      <c r="S1032" s="2450"/>
      <c r="T1032" s="2450"/>
      <c r="U1032" s="2450"/>
      <c r="V1032" s="2450"/>
      <c r="W1032" s="2450"/>
      <c r="X1032" s="2450"/>
      <c r="Y1032" s="2450"/>
      <c r="Z1032" s="2450"/>
      <c r="AA1032" s="2450"/>
      <c r="AB1032" s="2450"/>
      <c r="AC1032" s="2450"/>
      <c r="AD1032" s="2450"/>
      <c r="AE1032" s="2450"/>
      <c r="AF1032" s="2450"/>
      <c r="AG1032" s="2450"/>
      <c r="AH1032" s="2450"/>
      <c r="AI1032" s="2451"/>
      <c r="AJ1032" s="2480">
        <f>SUM(AJ975:AQ1031)</f>
        <v>59028914</v>
      </c>
      <c r="AK1032" s="2481"/>
      <c r="AL1032" s="2481"/>
      <c r="AM1032" s="2481"/>
      <c r="AN1032" s="2481"/>
      <c r="AO1032" s="2481"/>
      <c r="AP1032" s="2481"/>
      <c r="AQ1032" s="2482"/>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46" t="s">
        <v>1944</v>
      </c>
      <c r="C1034" s="2146"/>
      <c r="D1034" s="2146"/>
      <c r="E1034" s="2146"/>
      <c r="F1034" s="2146"/>
      <c r="G1034" s="2146"/>
      <c r="H1034" s="2146"/>
      <c r="I1034" s="2146"/>
      <c r="J1034" s="2146"/>
      <c r="K1034" s="2146"/>
      <c r="L1034" s="2146"/>
      <c r="M1034" s="2146"/>
      <c r="N1034" s="2146"/>
      <c r="O1034" s="2146"/>
      <c r="P1034" s="2146"/>
      <c r="Q1034" s="2146"/>
      <c r="R1034" s="2146"/>
      <c r="S1034" s="2146"/>
      <c r="T1034" s="2146"/>
      <c r="U1034" s="2146"/>
      <c r="V1034" s="2146"/>
      <c r="W1034" s="2146"/>
      <c r="X1034" s="2146"/>
      <c r="Y1034" s="2146"/>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7"/>
      <c r="Y1035" s="2387"/>
      <c r="Z1035" s="2387"/>
      <c r="AA1035" s="2387"/>
      <c r="AB1035" s="2387"/>
      <c r="AC1035" s="2387"/>
      <c r="AD1035" s="2127">
        <f>R971</f>
        <v>318400</v>
      </c>
      <c r="AE1035" s="2128"/>
      <c r="AF1035" s="2128"/>
      <c r="AG1035" s="2128"/>
      <c r="AH1035" s="2128"/>
      <c r="AI1035" s="2128"/>
      <c r="AJ1035" s="2128"/>
      <c r="AK1035" s="212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8"/>
      <c r="Y1036" s="2388"/>
      <c r="Z1036" s="2388"/>
      <c r="AA1036" s="2388"/>
      <c r="AB1036" s="2388"/>
      <c r="AC1036" s="2388"/>
      <c r="AD1036" s="2145">
        <f>MIN((BR809:BR866))</f>
        <v>318400</v>
      </c>
      <c r="AE1036" s="2145"/>
      <c r="AF1036" s="2145"/>
      <c r="AG1036" s="2145"/>
      <c r="AH1036" s="2145"/>
      <c r="AI1036" s="2145"/>
      <c r="AJ1036" s="2145"/>
      <c r="AK1036" s="214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9" t="s">
        <v>1947</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8"/>
      <c r="AA1037" s="1418"/>
      <c r="AB1037" s="1418"/>
      <c r="AC1037" s="1418"/>
      <c r="AD1037" s="2124">
        <f>IF(((AD1035-AD1036)/AD1036)&gt;0.3,0.3,((AD1035-AD1036)/AD1036))</f>
        <v>0</v>
      </c>
      <c r="AE1037" s="2125"/>
      <c r="AF1037" s="2125"/>
      <c r="AG1037" s="2125"/>
      <c r="AH1037" s="2125"/>
      <c r="AI1037" s="2125"/>
      <c r="AJ1037" s="2125"/>
      <c r="AK1037" s="212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6">
        <f>IF(ISNA(IF((AJ999&gt;(AJ975*0.15)),"(f) cannot be greater than 15% of unadjusted eligible basis.",0)),"",(IF((AJ999&gt;(AJ975*0.15)),"(f) cannot be greater than 15% of unadjusted eligible basis.",0)))</f>
        <v>0</v>
      </c>
      <c r="C1039" s="2396"/>
      <c r="D1039" s="2396"/>
      <c r="E1039" s="2396"/>
      <c r="F1039" s="2396"/>
      <c r="G1039" s="2396"/>
      <c r="H1039" s="2396"/>
      <c r="I1039" s="2396"/>
      <c r="J1039" s="2396"/>
      <c r="K1039" s="2396"/>
      <c r="L1039" s="2396"/>
      <c r="M1039" s="2396"/>
      <c r="N1039" s="2396"/>
      <c r="O1039" s="2396"/>
      <c r="P1039" s="2396"/>
      <c r="Q1039" s="2396"/>
      <c r="R1039" s="2396"/>
      <c r="S1039" s="2396"/>
      <c r="T1039" s="2396"/>
      <c r="U1039" s="2396"/>
      <c r="V1039" s="2396"/>
      <c r="W1039" s="2396"/>
      <c r="X1039" s="2396"/>
      <c r="Y1039" s="2396"/>
      <c r="Z1039" s="2396"/>
      <c r="AA1039" s="2396"/>
      <c r="AB1039" s="2396"/>
      <c r="AC1039" s="2396"/>
      <c r="AD1039" s="2396"/>
      <c r="AE1039" s="2396"/>
      <c r="AF1039" s="2396"/>
      <c r="AG1039" s="2396"/>
      <c r="AH1039" s="2396"/>
      <c r="AI1039" s="2396"/>
      <c r="AJ1039" s="2396"/>
      <c r="AK1039" s="2396"/>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4" t="s">
        <v>855</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627</v>
      </c>
      <c r="B1044" s="2039"/>
      <c r="C1044" s="13">
        <v>1</v>
      </c>
      <c r="D1044" s="1874" t="s">
        <v>1225</v>
      </c>
      <c r="E1044" s="1874"/>
      <c r="F1044" s="1874"/>
      <c r="G1044" s="1874"/>
      <c r="H1044" s="1874"/>
      <c r="I1044" s="1874"/>
      <c r="J1044" s="1874"/>
      <c r="K1044" s="1874"/>
      <c r="L1044" s="1874"/>
      <c r="M1044" s="1874"/>
      <c r="N1044" s="1874"/>
      <c r="O1044" s="1874"/>
      <c r="P1044" s="1874"/>
      <c r="Q1044" s="1874"/>
      <c r="R1044" s="1874"/>
      <c r="S1044" s="1874"/>
      <c r="T1044" s="1874"/>
      <c r="U1044" s="1874"/>
      <c r="V1044" s="1874"/>
      <c r="W1044" s="1874"/>
      <c r="X1044" s="1874"/>
      <c r="Y1044" s="1874"/>
      <c r="Z1044" s="1874"/>
      <c r="AA1044" s="1874"/>
      <c r="AB1044" s="1874"/>
      <c r="AC1044" s="1874"/>
      <c r="AD1044" s="1874"/>
      <c r="AE1044" s="1874"/>
      <c r="AF1044" s="1874"/>
      <c r="AG1044" s="1874"/>
      <c r="AH1044" s="1874"/>
      <c r="AI1044" s="1874"/>
      <c r="AJ1044" s="1874"/>
      <c r="AK1044" s="1874"/>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4"/>
      <c r="E1045" s="1874"/>
      <c r="F1045" s="1874"/>
      <c r="G1045" s="1874"/>
      <c r="H1045" s="1874"/>
      <c r="I1045" s="1874"/>
      <c r="J1045" s="1874"/>
      <c r="K1045" s="1874"/>
      <c r="L1045" s="1874"/>
      <c r="M1045" s="1874"/>
      <c r="N1045" s="1874"/>
      <c r="O1045" s="1874"/>
      <c r="P1045" s="1874"/>
      <c r="Q1045" s="1874"/>
      <c r="R1045" s="1874"/>
      <c r="S1045" s="1874"/>
      <c r="T1045" s="1874"/>
      <c r="U1045" s="1874"/>
      <c r="V1045" s="1874"/>
      <c r="W1045" s="1874"/>
      <c r="X1045" s="1874"/>
      <c r="Y1045" s="1874"/>
      <c r="Z1045" s="1874"/>
      <c r="AA1045" s="1874"/>
      <c r="AB1045" s="1874"/>
      <c r="AC1045" s="1874"/>
      <c r="AD1045" s="1874"/>
      <c r="AE1045" s="1874"/>
      <c r="AF1045" s="1874"/>
      <c r="AG1045" s="1874"/>
      <c r="AH1045" s="1874"/>
      <c r="AI1045" s="1874"/>
      <c r="AJ1045" s="1874"/>
      <c r="AK1045" s="1874"/>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4"/>
      <c r="E1046" s="1874"/>
      <c r="F1046" s="1874"/>
      <c r="G1046" s="1874"/>
      <c r="H1046" s="1874"/>
      <c r="I1046" s="1874"/>
      <c r="J1046" s="1874"/>
      <c r="K1046" s="1874"/>
      <c r="L1046" s="1874"/>
      <c r="M1046" s="1874"/>
      <c r="N1046" s="1874"/>
      <c r="O1046" s="1874"/>
      <c r="P1046" s="1874"/>
      <c r="Q1046" s="1874"/>
      <c r="R1046" s="1874"/>
      <c r="S1046" s="1874"/>
      <c r="T1046" s="1874"/>
      <c r="U1046" s="1874"/>
      <c r="V1046" s="1874"/>
      <c r="W1046" s="1874"/>
      <c r="X1046" s="1874"/>
      <c r="Y1046" s="1874"/>
      <c r="Z1046" s="1874"/>
      <c r="AA1046" s="1874"/>
      <c r="AB1046" s="1874"/>
      <c r="AC1046" s="1874"/>
      <c r="AD1046" s="1874"/>
      <c r="AE1046" s="1874"/>
      <c r="AF1046" s="1874"/>
      <c r="AG1046" s="1874"/>
      <c r="AH1046" s="1874"/>
      <c r="AI1046" s="1874"/>
      <c r="AJ1046" s="1874"/>
      <c r="AK1046" s="1874"/>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4"/>
      <c r="E1047" s="1874"/>
      <c r="F1047" s="1874"/>
      <c r="G1047" s="1874"/>
      <c r="H1047" s="1874"/>
      <c r="I1047" s="1874"/>
      <c r="J1047" s="1874"/>
      <c r="K1047" s="1874"/>
      <c r="L1047" s="1874"/>
      <c r="M1047" s="1874"/>
      <c r="N1047" s="1874"/>
      <c r="O1047" s="1874"/>
      <c r="P1047" s="1874"/>
      <c r="Q1047" s="1874"/>
      <c r="R1047" s="1874"/>
      <c r="S1047" s="1874"/>
      <c r="T1047" s="1874"/>
      <c r="U1047" s="1874"/>
      <c r="V1047" s="1874"/>
      <c r="W1047" s="1874"/>
      <c r="X1047" s="1874"/>
      <c r="Y1047" s="1874"/>
      <c r="Z1047" s="1874"/>
      <c r="AA1047" s="1874"/>
      <c r="AB1047" s="1874"/>
      <c r="AC1047" s="1874"/>
      <c r="AD1047" s="1874"/>
      <c r="AE1047" s="1874"/>
      <c r="AF1047" s="1874"/>
      <c r="AG1047" s="1874"/>
      <c r="AH1047" s="1874"/>
      <c r="AI1047" s="1874"/>
      <c r="AJ1047" s="1874"/>
      <c r="AK1047" s="1874"/>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4"/>
      <c r="E1048" s="1874"/>
      <c r="F1048" s="1874"/>
      <c r="G1048" s="1874"/>
      <c r="H1048" s="1874"/>
      <c r="I1048" s="1874"/>
      <c r="J1048" s="1874"/>
      <c r="K1048" s="1874"/>
      <c r="L1048" s="1874"/>
      <c r="M1048" s="1874"/>
      <c r="N1048" s="1874"/>
      <c r="O1048" s="1874"/>
      <c r="P1048" s="1874"/>
      <c r="Q1048" s="1874"/>
      <c r="R1048" s="1874"/>
      <c r="S1048" s="1874"/>
      <c r="T1048" s="1874"/>
      <c r="U1048" s="1874"/>
      <c r="V1048" s="1874"/>
      <c r="W1048" s="1874"/>
      <c r="X1048" s="1874"/>
      <c r="Y1048" s="1874"/>
      <c r="Z1048" s="1874"/>
      <c r="AA1048" s="1874"/>
      <c r="AB1048" s="1874"/>
      <c r="AC1048" s="1874"/>
      <c r="AD1048" s="1874"/>
      <c r="AE1048" s="1874"/>
      <c r="AF1048" s="1874"/>
      <c r="AG1048" s="1874"/>
      <c r="AH1048" s="1874"/>
      <c r="AI1048" s="1874"/>
      <c r="AJ1048" s="1874"/>
      <c r="AK1048" s="1874"/>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4"/>
      <c r="E1049" s="1874"/>
      <c r="F1049" s="1874"/>
      <c r="G1049" s="1874"/>
      <c r="H1049" s="1874"/>
      <c r="I1049" s="1874"/>
      <c r="J1049" s="1874"/>
      <c r="K1049" s="1874"/>
      <c r="L1049" s="1874"/>
      <c r="M1049" s="1874"/>
      <c r="N1049" s="1874"/>
      <c r="O1049" s="1874"/>
      <c r="P1049" s="1874"/>
      <c r="Q1049" s="1874"/>
      <c r="R1049" s="1874"/>
      <c r="S1049" s="1874"/>
      <c r="T1049" s="1874"/>
      <c r="U1049" s="1874"/>
      <c r="V1049" s="1874"/>
      <c r="W1049" s="1874"/>
      <c r="X1049" s="1874"/>
      <c r="Y1049" s="1874"/>
      <c r="Z1049" s="1874"/>
      <c r="AA1049" s="1874"/>
      <c r="AB1049" s="1874"/>
      <c r="AC1049" s="1874"/>
      <c r="AD1049" s="1874"/>
      <c r="AE1049" s="1874"/>
      <c r="AF1049" s="1874"/>
      <c r="AG1049" s="1874"/>
      <c r="AH1049" s="1874"/>
      <c r="AI1049" s="1874"/>
      <c r="AJ1049" s="1874"/>
      <c r="AK1049" s="1874"/>
      <c r="AL1049" s="105"/>
      <c r="AM1049" s="1585"/>
      <c r="AN1049" s="1585"/>
      <c r="AO1049" s="1585"/>
      <c r="AP1049" s="1585"/>
      <c r="AQ1049" s="1585"/>
      <c r="AR1049" s="1585"/>
      <c r="AS1049" s="1585"/>
      <c r="AT1049" s="1585"/>
      <c r="AU1049" s="1585"/>
      <c r="AV1049" s="1585"/>
      <c r="AW1049" s="1585"/>
      <c r="AX1049" s="1585"/>
      <c r="AY1049" s="1585"/>
    </row>
    <row r="1050" spans="1:51" ht="12.6" customHeight="1">
      <c r="A1050" s="2039" t="s">
        <v>627</v>
      </c>
      <c r="B1050" s="2039"/>
      <c r="C1050" s="13">
        <v>2</v>
      </c>
      <c r="D1050" s="1874" t="s">
        <v>1224</v>
      </c>
      <c r="E1050" s="1874"/>
      <c r="F1050" s="1874"/>
      <c r="G1050" s="1874"/>
      <c r="H1050" s="1874"/>
      <c r="I1050" s="1874"/>
      <c r="J1050" s="1874"/>
      <c r="K1050" s="1874"/>
      <c r="L1050" s="1874"/>
      <c r="M1050" s="1874"/>
      <c r="N1050" s="1874"/>
      <c r="O1050" s="1874"/>
      <c r="P1050" s="1874"/>
      <c r="Q1050" s="1874"/>
      <c r="R1050" s="1874"/>
      <c r="S1050" s="1874"/>
      <c r="T1050" s="1874"/>
      <c r="U1050" s="1874"/>
      <c r="V1050" s="1874"/>
      <c r="W1050" s="1874"/>
      <c r="X1050" s="1874"/>
      <c r="Y1050" s="1874"/>
      <c r="Z1050" s="1874"/>
      <c r="AA1050" s="1874"/>
      <c r="AB1050" s="1874"/>
      <c r="AC1050" s="1874"/>
      <c r="AD1050" s="1874"/>
      <c r="AE1050" s="1874"/>
      <c r="AF1050" s="1874"/>
      <c r="AG1050" s="1874"/>
      <c r="AH1050" s="1874"/>
      <c r="AI1050" s="1874"/>
      <c r="AJ1050" s="1874"/>
      <c r="AK1050" s="1874"/>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4"/>
      <c r="E1051" s="1874"/>
      <c r="F1051" s="1874"/>
      <c r="G1051" s="1874"/>
      <c r="H1051" s="1874"/>
      <c r="I1051" s="1874"/>
      <c r="J1051" s="1874"/>
      <c r="K1051" s="1874"/>
      <c r="L1051" s="1874"/>
      <c r="M1051" s="1874"/>
      <c r="N1051" s="1874"/>
      <c r="O1051" s="1874"/>
      <c r="P1051" s="1874"/>
      <c r="Q1051" s="1874"/>
      <c r="R1051" s="1874"/>
      <c r="S1051" s="1874"/>
      <c r="T1051" s="1874"/>
      <c r="U1051" s="1874"/>
      <c r="V1051" s="1874"/>
      <c r="W1051" s="1874"/>
      <c r="X1051" s="1874"/>
      <c r="Y1051" s="1874"/>
      <c r="Z1051" s="1874"/>
      <c r="AA1051" s="1874"/>
      <c r="AB1051" s="1874"/>
      <c r="AC1051" s="1874"/>
      <c r="AD1051" s="1874"/>
      <c r="AE1051" s="1874"/>
      <c r="AF1051" s="1874"/>
      <c r="AG1051" s="1874"/>
      <c r="AH1051" s="1874"/>
      <c r="AI1051" s="1874"/>
      <c r="AJ1051" s="1874"/>
      <c r="AK1051" s="1874"/>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4"/>
      <c r="E1052" s="1874"/>
      <c r="F1052" s="1874"/>
      <c r="G1052" s="1874"/>
      <c r="H1052" s="1874"/>
      <c r="I1052" s="1874"/>
      <c r="J1052" s="1874"/>
      <c r="K1052" s="1874"/>
      <c r="L1052" s="1874"/>
      <c r="M1052" s="1874"/>
      <c r="N1052" s="1874"/>
      <c r="O1052" s="1874"/>
      <c r="P1052" s="1874"/>
      <c r="Q1052" s="1874"/>
      <c r="R1052" s="1874"/>
      <c r="S1052" s="1874"/>
      <c r="T1052" s="1874"/>
      <c r="U1052" s="1874"/>
      <c r="V1052" s="1874"/>
      <c r="W1052" s="1874"/>
      <c r="X1052" s="1874"/>
      <c r="Y1052" s="1874"/>
      <c r="Z1052" s="1874"/>
      <c r="AA1052" s="1874"/>
      <c r="AB1052" s="1874"/>
      <c r="AC1052" s="1874"/>
      <c r="AD1052" s="1874"/>
      <c r="AE1052" s="1874"/>
      <c r="AF1052" s="1874"/>
      <c r="AG1052" s="1874"/>
      <c r="AH1052" s="1874"/>
      <c r="AI1052" s="1874"/>
      <c r="AJ1052" s="1874"/>
      <c r="AK1052" s="1874"/>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4"/>
      <c r="E1053" s="1874"/>
      <c r="F1053" s="1874"/>
      <c r="G1053" s="1874"/>
      <c r="H1053" s="1874"/>
      <c r="I1053" s="1874"/>
      <c r="J1053" s="1874"/>
      <c r="K1053" s="1874"/>
      <c r="L1053" s="1874"/>
      <c r="M1053" s="1874"/>
      <c r="N1053" s="1874"/>
      <c r="O1053" s="1874"/>
      <c r="P1053" s="1874"/>
      <c r="Q1053" s="1874"/>
      <c r="R1053" s="1874"/>
      <c r="S1053" s="1874"/>
      <c r="T1053" s="1874"/>
      <c r="U1053" s="1874"/>
      <c r="V1053" s="1874"/>
      <c r="W1053" s="1874"/>
      <c r="X1053" s="1874"/>
      <c r="Y1053" s="1874"/>
      <c r="Z1053" s="1874"/>
      <c r="AA1053" s="1874"/>
      <c r="AB1053" s="1874"/>
      <c r="AC1053" s="1874"/>
      <c r="AD1053" s="1874"/>
      <c r="AE1053" s="1874"/>
      <c r="AF1053" s="1874"/>
      <c r="AG1053" s="1874"/>
      <c r="AH1053" s="1874"/>
      <c r="AI1053" s="1874"/>
      <c r="AJ1053" s="1874"/>
      <c r="AK1053" s="1874"/>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4"/>
      <c r="E1054" s="1874"/>
      <c r="F1054" s="1874"/>
      <c r="G1054" s="1874"/>
      <c r="H1054" s="1874"/>
      <c r="I1054" s="1874"/>
      <c r="J1054" s="1874"/>
      <c r="K1054" s="1874"/>
      <c r="L1054" s="1874"/>
      <c r="M1054" s="1874"/>
      <c r="N1054" s="1874"/>
      <c r="O1054" s="1874"/>
      <c r="P1054" s="1874"/>
      <c r="Q1054" s="1874"/>
      <c r="R1054" s="1874"/>
      <c r="S1054" s="1874"/>
      <c r="T1054" s="1874"/>
      <c r="U1054" s="1874"/>
      <c r="V1054" s="1874"/>
      <c r="W1054" s="1874"/>
      <c r="X1054" s="1874"/>
      <c r="Y1054" s="1874"/>
      <c r="Z1054" s="1874"/>
      <c r="AA1054" s="1874"/>
      <c r="AB1054" s="1874"/>
      <c r="AC1054" s="1874"/>
      <c r="AD1054" s="1874"/>
      <c r="AE1054" s="1874"/>
      <c r="AF1054" s="1874"/>
      <c r="AG1054" s="1874"/>
      <c r="AH1054" s="1874"/>
      <c r="AI1054" s="1874"/>
      <c r="AJ1054" s="1874"/>
      <c r="AK1054" s="1874"/>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4"/>
      <c r="E1055" s="1874"/>
      <c r="F1055" s="1874"/>
      <c r="G1055" s="1874"/>
      <c r="H1055" s="1874"/>
      <c r="I1055" s="1874"/>
      <c r="J1055" s="1874"/>
      <c r="K1055" s="1874"/>
      <c r="L1055" s="1874"/>
      <c r="M1055" s="1874"/>
      <c r="N1055" s="1874"/>
      <c r="O1055" s="1874"/>
      <c r="P1055" s="1874"/>
      <c r="Q1055" s="1874"/>
      <c r="R1055" s="1874"/>
      <c r="S1055" s="1874"/>
      <c r="T1055" s="1874"/>
      <c r="U1055" s="1874"/>
      <c r="V1055" s="1874"/>
      <c r="W1055" s="1874"/>
      <c r="X1055" s="1874"/>
      <c r="Y1055" s="1874"/>
      <c r="Z1055" s="1874"/>
      <c r="AA1055" s="1874"/>
      <c r="AB1055" s="1874"/>
      <c r="AC1055" s="1874"/>
      <c r="AD1055" s="1874"/>
      <c r="AE1055" s="1874"/>
      <c r="AF1055" s="1874"/>
      <c r="AG1055" s="1874"/>
      <c r="AH1055" s="1874"/>
      <c r="AI1055" s="1874"/>
      <c r="AJ1055" s="1874"/>
      <c r="AK1055" s="1874"/>
    </row>
    <row r="1056" spans="1:51" ht="12.6" customHeight="1">
      <c r="A1056" s="2039" t="s">
        <v>627</v>
      </c>
      <c r="B1056" s="2039"/>
      <c r="C1056" s="13">
        <v>3</v>
      </c>
      <c r="D1056" s="1874" t="s">
        <v>1538</v>
      </c>
      <c r="E1056" s="1874"/>
      <c r="F1056" s="1874"/>
      <c r="G1056" s="1874"/>
      <c r="H1056" s="1874"/>
      <c r="I1056" s="1874"/>
      <c r="J1056" s="1874"/>
      <c r="K1056" s="1874"/>
      <c r="L1056" s="1874"/>
      <c r="M1056" s="1874"/>
      <c r="N1056" s="1874"/>
      <c r="O1056" s="1874"/>
      <c r="P1056" s="1874"/>
      <c r="Q1056" s="1874"/>
      <c r="R1056" s="1874"/>
      <c r="S1056" s="1874"/>
      <c r="T1056" s="1874"/>
      <c r="U1056" s="1874"/>
      <c r="V1056" s="1874"/>
      <c r="W1056" s="1874"/>
      <c r="X1056" s="1874"/>
      <c r="Y1056" s="1874"/>
      <c r="Z1056" s="1874"/>
      <c r="AA1056" s="1874"/>
      <c r="AB1056" s="1874"/>
      <c r="AC1056" s="1874"/>
      <c r="AD1056" s="1874"/>
      <c r="AE1056" s="1874"/>
      <c r="AF1056" s="1874"/>
      <c r="AG1056" s="1874"/>
      <c r="AH1056" s="1874"/>
      <c r="AI1056" s="1874"/>
      <c r="AJ1056" s="1874"/>
      <c r="AK1056" s="1874"/>
    </row>
    <row r="1057" spans="1:96" ht="12.6" customHeight="1">
      <c r="A1057" s="130"/>
      <c r="B1057" s="130"/>
      <c r="C1057" s="13"/>
      <c r="D1057" s="1874"/>
      <c r="E1057" s="1874"/>
      <c r="F1057" s="1874"/>
      <c r="G1057" s="1874"/>
      <c r="H1057" s="1874"/>
      <c r="I1057" s="1874"/>
      <c r="J1057" s="1874"/>
      <c r="K1057" s="1874"/>
      <c r="L1057" s="1874"/>
      <c r="M1057" s="1874"/>
      <c r="N1057" s="1874"/>
      <c r="O1057" s="1874"/>
      <c r="P1057" s="1874"/>
      <c r="Q1057" s="1874"/>
      <c r="R1057" s="1874"/>
      <c r="S1057" s="1874"/>
      <c r="T1057" s="1874"/>
      <c r="U1057" s="1874"/>
      <c r="V1057" s="1874"/>
      <c r="W1057" s="1874"/>
      <c r="X1057" s="1874"/>
      <c r="Y1057" s="1874"/>
      <c r="Z1057" s="1874"/>
      <c r="AA1057" s="1874"/>
      <c r="AB1057" s="1874"/>
      <c r="AC1057" s="1874"/>
      <c r="AD1057" s="1874"/>
      <c r="AE1057" s="1874"/>
      <c r="AF1057" s="1874"/>
      <c r="AG1057" s="1874"/>
      <c r="AH1057" s="1874"/>
      <c r="AI1057" s="1874"/>
      <c r="AJ1057" s="1874"/>
      <c r="AK1057" s="1874"/>
      <c r="AL1057" s="720"/>
    </row>
    <row r="1058" spans="1:96" ht="12.6" customHeight="1">
      <c r="A1058" s="130"/>
      <c r="B1058" s="130"/>
      <c r="C1058" s="13"/>
      <c r="D1058" s="1874"/>
      <c r="E1058" s="1874"/>
      <c r="F1058" s="1874"/>
      <c r="G1058" s="1874"/>
      <c r="H1058" s="1874"/>
      <c r="I1058" s="1874"/>
      <c r="J1058" s="1874"/>
      <c r="K1058" s="1874"/>
      <c r="L1058" s="1874"/>
      <c r="M1058" s="1874"/>
      <c r="N1058" s="1874"/>
      <c r="O1058" s="1874"/>
      <c r="P1058" s="1874"/>
      <c r="Q1058" s="1874"/>
      <c r="R1058" s="1874"/>
      <c r="S1058" s="1874"/>
      <c r="T1058" s="1874"/>
      <c r="U1058" s="1874"/>
      <c r="V1058" s="1874"/>
      <c r="W1058" s="1874"/>
      <c r="X1058" s="1874"/>
      <c r="Y1058" s="1874"/>
      <c r="Z1058" s="1874"/>
      <c r="AA1058" s="1874"/>
      <c r="AB1058" s="1874"/>
      <c r="AC1058" s="1874"/>
      <c r="AD1058" s="1874"/>
      <c r="AE1058" s="1874"/>
      <c r="AF1058" s="1874"/>
      <c r="AG1058" s="1874"/>
      <c r="AH1058" s="1874"/>
      <c r="AI1058" s="1874"/>
      <c r="AJ1058" s="1874"/>
      <c r="AK1058" s="1874"/>
    </row>
    <row r="1059" spans="1:96" s="720" customFormat="1" ht="12.6" customHeight="1">
      <c r="A1059" s="62"/>
      <c r="B1059" s="66"/>
      <c r="C1059" s="13"/>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4"/>
      <c r="E1060" s="1874"/>
      <c r="F1060" s="1874"/>
      <c r="G1060" s="1874"/>
      <c r="H1060" s="1874"/>
      <c r="I1060" s="1874"/>
      <c r="J1060" s="1874"/>
      <c r="K1060" s="1874"/>
      <c r="L1060" s="1874"/>
      <c r="M1060" s="1874"/>
      <c r="N1060" s="1874"/>
      <c r="O1060" s="1874"/>
      <c r="P1060" s="1874"/>
      <c r="Q1060" s="1874"/>
      <c r="R1060" s="1874"/>
      <c r="S1060" s="1874"/>
      <c r="T1060" s="1874"/>
      <c r="U1060" s="1874"/>
      <c r="V1060" s="1874"/>
      <c r="W1060" s="1874"/>
      <c r="X1060" s="1874"/>
      <c r="Y1060" s="1874"/>
      <c r="Z1060" s="1874"/>
      <c r="AA1060" s="1874"/>
      <c r="AB1060" s="1874"/>
      <c r="AC1060" s="1874"/>
      <c r="AD1060" s="1874"/>
      <c r="AE1060" s="1874"/>
      <c r="AF1060" s="1874"/>
      <c r="AG1060" s="1874"/>
      <c r="AH1060" s="1874"/>
      <c r="AI1060" s="1874"/>
      <c r="AJ1060" s="1874"/>
      <c r="AK1060" s="1874"/>
    </row>
    <row r="1061" spans="1:96" ht="12.6" customHeight="1">
      <c r="A1061" s="62"/>
      <c r="B1061" s="66"/>
      <c r="C1061" s="13"/>
      <c r="D1061" s="1874"/>
      <c r="E1061" s="1874"/>
      <c r="F1061" s="1874"/>
      <c r="G1061" s="1874"/>
      <c r="H1061" s="1874"/>
      <c r="I1061" s="1874"/>
      <c r="J1061" s="1874"/>
      <c r="K1061" s="1874"/>
      <c r="L1061" s="1874"/>
      <c r="M1061" s="1874"/>
      <c r="N1061" s="1874"/>
      <c r="O1061" s="1874"/>
      <c r="P1061" s="1874"/>
      <c r="Q1061" s="1874"/>
      <c r="R1061" s="1874"/>
      <c r="S1061" s="1874"/>
      <c r="T1061" s="1874"/>
      <c r="U1061" s="1874"/>
      <c r="V1061" s="1874"/>
      <c r="W1061" s="1874"/>
      <c r="X1061" s="1874"/>
      <c r="Y1061" s="1874"/>
      <c r="Z1061" s="1874"/>
      <c r="AA1061" s="1874"/>
      <c r="AB1061" s="1874"/>
      <c r="AC1061" s="1874"/>
      <c r="AD1061" s="1874"/>
      <c r="AE1061" s="1874"/>
      <c r="AF1061" s="1874"/>
      <c r="AG1061" s="1874"/>
      <c r="AH1061" s="1874"/>
      <c r="AI1061" s="1874"/>
      <c r="AJ1061" s="1874"/>
      <c r="AK1061" s="1874"/>
    </row>
    <row r="1062" spans="1:96" ht="12.6" customHeight="1">
      <c r="A1062" s="62"/>
      <c r="B1062" s="66"/>
      <c r="C1062" s="13"/>
      <c r="D1062" s="1874"/>
      <c r="E1062" s="1874"/>
      <c r="F1062" s="1874"/>
      <c r="G1062" s="1874"/>
      <c r="H1062" s="1874"/>
      <c r="I1062" s="1874"/>
      <c r="J1062" s="1874"/>
      <c r="K1062" s="1874"/>
      <c r="L1062" s="1874"/>
      <c r="M1062" s="1874"/>
      <c r="N1062" s="1874"/>
      <c r="O1062" s="1874"/>
      <c r="P1062" s="1874"/>
      <c r="Q1062" s="1874"/>
      <c r="R1062" s="1874"/>
      <c r="S1062" s="1874"/>
      <c r="T1062" s="1874"/>
      <c r="U1062" s="1874"/>
      <c r="V1062" s="1874"/>
      <c r="W1062" s="1874"/>
      <c r="X1062" s="1874"/>
      <c r="Y1062" s="1874"/>
      <c r="Z1062" s="1874"/>
      <c r="AA1062" s="1874"/>
      <c r="AB1062" s="1874"/>
      <c r="AC1062" s="1874"/>
      <c r="AD1062" s="1874"/>
      <c r="AE1062" s="1874"/>
      <c r="AF1062" s="1874"/>
      <c r="AG1062" s="1874"/>
      <c r="AH1062" s="1874"/>
      <c r="AI1062" s="1874"/>
      <c r="AJ1062" s="1874"/>
      <c r="AK1062" s="1874"/>
    </row>
    <row r="1063" spans="1:96" ht="12.6" customHeight="1">
      <c r="A1063" s="2039" t="s">
        <v>627</v>
      </c>
      <c r="B1063" s="2039"/>
      <c r="C1063" s="13">
        <v>4</v>
      </c>
      <c r="D1063" s="1874" t="s">
        <v>1210</v>
      </c>
      <c r="E1063" s="1874"/>
      <c r="F1063" s="1874"/>
      <c r="G1063" s="1874"/>
      <c r="H1063" s="1874"/>
      <c r="I1063" s="1874"/>
      <c r="J1063" s="1874"/>
      <c r="K1063" s="1874"/>
      <c r="L1063" s="1874"/>
      <c r="M1063" s="1874"/>
      <c r="N1063" s="1874"/>
      <c r="O1063" s="1874"/>
      <c r="P1063" s="1874"/>
      <c r="Q1063" s="1874"/>
      <c r="R1063" s="1874"/>
      <c r="S1063" s="1874"/>
      <c r="T1063" s="1874"/>
      <c r="U1063" s="1874"/>
      <c r="V1063" s="1874"/>
      <c r="W1063" s="1874"/>
      <c r="X1063" s="1874"/>
      <c r="Y1063" s="1874"/>
      <c r="Z1063" s="1874"/>
      <c r="AA1063" s="1874"/>
      <c r="AB1063" s="1874"/>
      <c r="AC1063" s="1874"/>
      <c r="AD1063" s="1874"/>
      <c r="AE1063" s="1874"/>
      <c r="AF1063" s="1874"/>
      <c r="AG1063" s="1874"/>
      <c r="AH1063" s="1874"/>
      <c r="AI1063" s="1874"/>
      <c r="AJ1063" s="1874"/>
      <c r="AK1063" s="1874"/>
    </row>
    <row r="1064" spans="1:96" ht="12.6" customHeight="1">
      <c r="A1064" s="235"/>
      <c r="B1064" s="235"/>
      <c r="C1064" s="13"/>
      <c r="D1064" s="1874"/>
      <c r="E1064" s="1874"/>
      <c r="F1064" s="1874"/>
      <c r="G1064" s="1874"/>
      <c r="H1064" s="1874"/>
      <c r="I1064" s="1874"/>
      <c r="J1064" s="1874"/>
      <c r="K1064" s="1874"/>
      <c r="L1064" s="1874"/>
      <c r="M1064" s="1874"/>
      <c r="N1064" s="1874"/>
      <c r="O1064" s="1874"/>
      <c r="P1064" s="1874"/>
      <c r="Q1064" s="1874"/>
      <c r="R1064" s="1874"/>
      <c r="S1064" s="1874"/>
      <c r="T1064" s="1874"/>
      <c r="U1064" s="1874"/>
      <c r="V1064" s="1874"/>
      <c r="W1064" s="1874"/>
      <c r="X1064" s="1874"/>
      <c r="Y1064" s="1874"/>
      <c r="Z1064" s="1874"/>
      <c r="AA1064" s="1874"/>
      <c r="AB1064" s="1874"/>
      <c r="AC1064" s="1874"/>
      <c r="AD1064" s="1874"/>
      <c r="AE1064" s="1874"/>
      <c r="AF1064" s="1874"/>
      <c r="AG1064" s="1874"/>
      <c r="AH1064" s="1874"/>
      <c r="AI1064" s="1874"/>
      <c r="AJ1064" s="1874"/>
      <c r="AK1064" s="1874"/>
    </row>
    <row r="1065" spans="1:96" ht="12.6" customHeight="1">
      <c r="A1065" s="62"/>
      <c r="B1065" s="66"/>
      <c r="C1065" s="13"/>
      <c r="D1065" s="1874"/>
      <c r="E1065" s="1874"/>
      <c r="F1065" s="1874"/>
      <c r="G1065" s="1874"/>
      <c r="H1065" s="1874"/>
      <c r="I1065" s="1874"/>
      <c r="J1065" s="1874"/>
      <c r="K1065" s="1874"/>
      <c r="L1065" s="1874"/>
      <c r="M1065" s="1874"/>
      <c r="N1065" s="1874"/>
      <c r="O1065" s="1874"/>
      <c r="P1065" s="1874"/>
      <c r="Q1065" s="1874"/>
      <c r="R1065" s="1874"/>
      <c r="S1065" s="1874"/>
      <c r="T1065" s="1874"/>
      <c r="U1065" s="1874"/>
      <c r="V1065" s="1874"/>
      <c r="W1065" s="1874"/>
      <c r="X1065" s="1874"/>
      <c r="Y1065" s="1874"/>
      <c r="Z1065" s="1874"/>
      <c r="AA1065" s="1874"/>
      <c r="AB1065" s="1874"/>
      <c r="AC1065" s="1874"/>
      <c r="AD1065" s="1874"/>
      <c r="AE1065" s="1874"/>
      <c r="AF1065" s="1874"/>
      <c r="AG1065" s="1874"/>
      <c r="AH1065" s="1874"/>
      <c r="AI1065" s="1874"/>
      <c r="AJ1065" s="1874"/>
      <c r="AK1065" s="1874"/>
    </row>
    <row r="1066" spans="1:96" s="683" customFormat="1" ht="12.6" customHeight="1">
      <c r="A1066" s="2039" t="s">
        <v>627</v>
      </c>
      <c r="B1066" s="2039"/>
      <c r="C1066" s="13">
        <v>5</v>
      </c>
      <c r="D1066" s="1874" t="s">
        <v>1423</v>
      </c>
      <c r="E1066" s="1874"/>
      <c r="F1066" s="1874"/>
      <c r="G1066" s="1874"/>
      <c r="H1066" s="1874"/>
      <c r="I1066" s="1874"/>
      <c r="J1066" s="1874"/>
      <c r="K1066" s="1874"/>
      <c r="L1066" s="1874"/>
      <c r="M1066" s="1874"/>
      <c r="N1066" s="1874"/>
      <c r="O1066" s="1874"/>
      <c r="P1066" s="1874"/>
      <c r="Q1066" s="1874"/>
      <c r="R1066" s="1874"/>
      <c r="S1066" s="1874"/>
      <c r="T1066" s="1874"/>
      <c r="U1066" s="1874"/>
      <c r="V1066" s="1874"/>
      <c r="W1066" s="1874"/>
      <c r="X1066" s="1874"/>
      <c r="Y1066" s="1874"/>
      <c r="Z1066" s="1874"/>
      <c r="AA1066" s="1874"/>
      <c r="AB1066" s="1874"/>
      <c r="AC1066" s="1874"/>
      <c r="AD1066" s="1874"/>
      <c r="AE1066" s="1874"/>
      <c r="AF1066" s="1874"/>
      <c r="AG1066" s="1874"/>
      <c r="AH1066" s="1874"/>
      <c r="AI1066" s="1874"/>
      <c r="AJ1066" s="1874"/>
      <c r="AK1066" s="187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4"/>
      <c r="E1067" s="1874"/>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row>
    <row r="1068" spans="1:96" ht="12.6" customHeight="1">
      <c r="A1068" s="235"/>
      <c r="B1068" s="235"/>
      <c r="C1068" s="13"/>
      <c r="D1068" s="1874"/>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row>
    <row r="1069" spans="1:96" ht="12.6" customHeight="1">
      <c r="A1069" s="235"/>
      <c r="B1069" s="235"/>
      <c r="C1069" s="13"/>
      <c r="D1069" s="1874"/>
      <c r="E1069" s="1874"/>
      <c r="F1069" s="1874"/>
      <c r="G1069" s="1874"/>
      <c r="H1069" s="1874"/>
      <c r="I1069" s="1874"/>
      <c r="J1069" s="1874"/>
      <c r="K1069" s="1874"/>
      <c r="L1069" s="1874"/>
      <c r="M1069" s="1874"/>
      <c r="N1069" s="1874"/>
      <c r="O1069" s="1874"/>
      <c r="P1069" s="1874"/>
      <c r="Q1069" s="1874"/>
      <c r="R1069" s="1874"/>
      <c r="S1069" s="1874"/>
      <c r="T1069" s="1874"/>
      <c r="U1069" s="1874"/>
      <c r="V1069" s="1874"/>
      <c r="W1069" s="1874"/>
      <c r="X1069" s="1874"/>
      <c r="Y1069" s="1874"/>
      <c r="Z1069" s="1874"/>
      <c r="AA1069" s="1874"/>
      <c r="AB1069" s="1874"/>
      <c r="AC1069" s="1874"/>
      <c r="AD1069" s="1874"/>
      <c r="AE1069" s="1874"/>
      <c r="AF1069" s="1874"/>
      <c r="AG1069" s="1874"/>
      <c r="AH1069" s="1874"/>
      <c r="AI1069" s="1874"/>
      <c r="AJ1069" s="1874"/>
      <c r="AK1069" s="1874"/>
      <c r="AL1069" s="683"/>
    </row>
    <row r="1070" spans="1:96" ht="12.6" customHeight="1">
      <c r="A1070" s="62"/>
      <c r="B1070" s="66"/>
      <c r="C1070" s="13"/>
      <c r="D1070" s="1874"/>
      <c r="E1070" s="1874"/>
      <c r="F1070" s="1874"/>
      <c r="G1070" s="1874"/>
      <c r="H1070" s="1874"/>
      <c r="I1070" s="1874"/>
      <c r="J1070" s="1874"/>
      <c r="K1070" s="1874"/>
      <c r="L1070" s="1874"/>
      <c r="M1070" s="1874"/>
      <c r="N1070" s="1874"/>
      <c r="O1070" s="1874"/>
      <c r="P1070" s="1874"/>
      <c r="Q1070" s="1874"/>
      <c r="R1070" s="1874"/>
      <c r="S1070" s="1874"/>
      <c r="T1070" s="1874"/>
      <c r="U1070" s="1874"/>
      <c r="V1070" s="1874"/>
      <c r="W1070" s="1874"/>
      <c r="X1070" s="1874"/>
      <c r="Y1070" s="1874"/>
      <c r="Z1070" s="1874"/>
      <c r="AA1070" s="1874"/>
      <c r="AB1070" s="1874"/>
      <c r="AC1070" s="1874"/>
      <c r="AD1070" s="1874"/>
      <c r="AE1070" s="1874"/>
      <c r="AF1070" s="1874"/>
      <c r="AG1070" s="1874"/>
      <c r="AH1070" s="1874"/>
      <c r="AI1070" s="1874"/>
      <c r="AJ1070" s="1874"/>
      <c r="AK1070" s="1874"/>
    </row>
    <row r="1071" spans="1:96" ht="12.6" customHeight="1">
      <c r="A1071" s="2039" t="s">
        <v>627</v>
      </c>
      <c r="B1071" s="2039"/>
      <c r="C1071" s="13">
        <v>6</v>
      </c>
      <c r="D1071" s="1874" t="s">
        <v>1211</v>
      </c>
      <c r="E1071" s="1874"/>
      <c r="F1071" s="1874"/>
      <c r="G1071" s="1874"/>
      <c r="H1071" s="1874"/>
      <c r="I1071" s="1874"/>
      <c r="J1071" s="1874"/>
      <c r="K1071" s="1874"/>
      <c r="L1071" s="1874"/>
      <c r="M1071" s="1874"/>
      <c r="N1071" s="1874"/>
      <c r="O1071" s="1874"/>
      <c r="P1071" s="1874"/>
      <c r="Q1071" s="1874"/>
      <c r="R1071" s="1874"/>
      <c r="S1071" s="1874"/>
      <c r="T1071" s="1874"/>
      <c r="U1071" s="1874"/>
      <c r="V1071" s="1874"/>
      <c r="W1071" s="1874"/>
      <c r="X1071" s="1874"/>
      <c r="Y1071" s="1874"/>
      <c r="Z1071" s="1874"/>
      <c r="AA1071" s="1874"/>
      <c r="AB1071" s="1874"/>
      <c r="AC1071" s="1874"/>
      <c r="AD1071" s="1874"/>
      <c r="AE1071" s="1874"/>
      <c r="AF1071" s="1874"/>
      <c r="AG1071" s="1874"/>
      <c r="AH1071" s="1874"/>
      <c r="AI1071" s="1874"/>
      <c r="AJ1071" s="1874"/>
      <c r="AK1071" s="1874"/>
    </row>
    <row r="1072" spans="1:96" ht="12.6" customHeight="1">
      <c r="A1072" s="62"/>
      <c r="B1072" s="318"/>
      <c r="C1072" s="13"/>
      <c r="D1072" s="1874"/>
      <c r="E1072" s="1874"/>
      <c r="F1072" s="1874"/>
      <c r="G1072" s="1874"/>
      <c r="H1072" s="1874"/>
      <c r="I1072" s="1874"/>
      <c r="J1072" s="1874"/>
      <c r="K1072" s="1874"/>
      <c r="L1072" s="1874"/>
      <c r="M1072" s="1874"/>
      <c r="N1072" s="1874"/>
      <c r="O1072" s="1874"/>
      <c r="P1072" s="1874"/>
      <c r="Q1072" s="1874"/>
      <c r="R1072" s="1874"/>
      <c r="S1072" s="1874"/>
      <c r="T1072" s="1874"/>
      <c r="U1072" s="1874"/>
      <c r="V1072" s="1874"/>
      <c r="W1072" s="1874"/>
      <c r="X1072" s="1874"/>
      <c r="Y1072" s="1874"/>
      <c r="Z1072" s="1874"/>
      <c r="AA1072" s="1874"/>
      <c r="AB1072" s="1874"/>
      <c r="AC1072" s="1874"/>
      <c r="AD1072" s="1874"/>
      <c r="AE1072" s="1874"/>
      <c r="AF1072" s="1874"/>
      <c r="AG1072" s="1874"/>
      <c r="AH1072" s="1874"/>
      <c r="AI1072" s="1874"/>
      <c r="AJ1072" s="1874"/>
      <c r="AK1072" s="1874"/>
    </row>
    <row r="1073" spans="1:96" ht="12.6" customHeight="1">
      <c r="A1073" s="62"/>
      <c r="B1073" s="66"/>
      <c r="C1073" s="13"/>
      <c r="D1073" s="1874"/>
      <c r="E1073" s="1874"/>
      <c r="F1073" s="1874"/>
      <c r="G1073" s="1874"/>
      <c r="H1073" s="1874"/>
      <c r="I1073" s="1874"/>
      <c r="J1073" s="1874"/>
      <c r="K1073" s="1874"/>
      <c r="L1073" s="1874"/>
      <c r="M1073" s="1874"/>
      <c r="N1073" s="1874"/>
      <c r="O1073" s="1874"/>
      <c r="P1073" s="1874"/>
      <c r="Q1073" s="1874"/>
      <c r="R1073" s="1874"/>
      <c r="S1073" s="1874"/>
      <c r="T1073" s="1874"/>
      <c r="U1073" s="1874"/>
      <c r="V1073" s="1874"/>
      <c r="W1073" s="1874"/>
      <c r="X1073" s="1874"/>
      <c r="Y1073" s="1874"/>
      <c r="Z1073" s="1874"/>
      <c r="AA1073" s="1874"/>
      <c r="AB1073" s="1874"/>
      <c r="AC1073" s="1874"/>
      <c r="AD1073" s="1874"/>
      <c r="AE1073" s="1874"/>
      <c r="AF1073" s="1874"/>
      <c r="AG1073" s="1874"/>
      <c r="AH1073" s="1874"/>
      <c r="AI1073" s="1874"/>
      <c r="AJ1073" s="1874"/>
      <c r="AK1073" s="1874"/>
    </row>
    <row r="1074" spans="1:96" ht="12.6" customHeight="1">
      <c r="A1074" s="2039" t="s">
        <v>627</v>
      </c>
      <c r="B1074" s="2039"/>
      <c r="C1074" s="319">
        <v>7</v>
      </c>
      <c r="D1074" s="1874" t="s">
        <v>1213</v>
      </c>
      <c r="E1074" s="1874"/>
      <c r="F1074" s="1874"/>
      <c r="G1074" s="1874"/>
      <c r="H1074" s="1874"/>
      <c r="I1074" s="1874"/>
      <c r="J1074" s="1874"/>
      <c r="K1074" s="1874"/>
      <c r="L1074" s="1874"/>
      <c r="M1074" s="1874"/>
      <c r="N1074" s="1874"/>
      <c r="O1074" s="1874"/>
      <c r="P1074" s="1874"/>
      <c r="Q1074" s="1874"/>
      <c r="R1074" s="1874"/>
      <c r="S1074" s="1874"/>
      <c r="T1074" s="1874"/>
      <c r="U1074" s="1874"/>
      <c r="V1074" s="1874"/>
      <c r="W1074" s="1874"/>
      <c r="X1074" s="1874"/>
      <c r="Y1074" s="1874"/>
      <c r="Z1074" s="1874"/>
      <c r="AA1074" s="1874"/>
      <c r="AB1074" s="1874"/>
      <c r="AC1074" s="1874"/>
      <c r="AD1074" s="1874"/>
      <c r="AE1074" s="1874"/>
      <c r="AF1074" s="1874"/>
      <c r="AG1074" s="1874"/>
      <c r="AH1074" s="1874"/>
      <c r="AI1074" s="1874"/>
      <c r="AJ1074" s="1874"/>
      <c r="AK1074" s="1874"/>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4"/>
      <c r="E1075" s="1874"/>
      <c r="F1075" s="1874"/>
      <c r="G1075" s="1874"/>
      <c r="H1075" s="1874"/>
      <c r="I1075" s="1874"/>
      <c r="J1075" s="1874"/>
      <c r="K1075" s="1874"/>
      <c r="L1075" s="1874"/>
      <c r="M1075" s="1874"/>
      <c r="N1075" s="1874"/>
      <c r="O1075" s="1874"/>
      <c r="P1075" s="1874"/>
      <c r="Q1075" s="1874"/>
      <c r="R1075" s="1874"/>
      <c r="S1075" s="1874"/>
      <c r="T1075" s="1874"/>
      <c r="U1075" s="1874"/>
      <c r="V1075" s="1874"/>
      <c r="W1075" s="1874"/>
      <c r="X1075" s="1874"/>
      <c r="Y1075" s="1874"/>
      <c r="Z1075" s="1874"/>
      <c r="AA1075" s="1874"/>
      <c r="AB1075" s="1874"/>
      <c r="AC1075" s="1874"/>
      <c r="AD1075" s="1874"/>
      <c r="AE1075" s="1874"/>
      <c r="AF1075" s="1874"/>
      <c r="AG1075" s="1874"/>
      <c r="AH1075" s="1874"/>
      <c r="AI1075" s="1874"/>
      <c r="AJ1075" s="1874"/>
      <c r="AK1075" s="1874"/>
    </row>
    <row r="1076" spans="1:96" ht="12.6" customHeight="1">
      <c r="A1076" s="235"/>
      <c r="B1076" s="235"/>
      <c r="C1076" s="320"/>
      <c r="D1076" s="1874"/>
      <c r="E1076" s="1874"/>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row>
    <row r="1077" spans="1:96" s="683" customFormat="1" ht="12.6" customHeight="1">
      <c r="A1077" s="62"/>
      <c r="B1077" s="66"/>
      <c r="C1077" s="319"/>
      <c r="D1077" s="1874"/>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2"/>
      <c r="AM1077" s="39"/>
      <c r="AN1077" s="39"/>
      <c r="AO1077" s="39"/>
      <c r="AP1077" s="39"/>
      <c r="AQ1077" s="39"/>
      <c r="AR1077" s="39"/>
      <c r="AS1077" s="39"/>
      <c r="AT1077" s="39"/>
      <c r="AU1077" s="39"/>
      <c r="AV1077" s="39"/>
      <c r="AW1077" s="39"/>
      <c r="AX1077" s="39"/>
      <c r="AY1077" s="39"/>
      <c r="CR1077" s="25"/>
    </row>
    <row r="1078" spans="1:96" ht="12.6" customHeight="1">
      <c r="A1078" s="2039" t="s">
        <v>627</v>
      </c>
      <c r="B1078" s="2039"/>
      <c r="C1078" s="319">
        <v>8</v>
      </c>
      <c r="D1078" s="2397" t="s">
        <v>2183</v>
      </c>
      <c r="E1078" s="2397"/>
      <c r="F1078" s="2397"/>
      <c r="G1078" s="2397"/>
      <c r="H1078" s="2397"/>
      <c r="I1078" s="2397"/>
      <c r="J1078" s="2397"/>
      <c r="K1078" s="2397"/>
      <c r="L1078" s="2397"/>
      <c r="M1078" s="2397"/>
      <c r="N1078" s="2397"/>
      <c r="O1078" s="2397"/>
      <c r="P1078" s="2397"/>
      <c r="Q1078" s="2397"/>
      <c r="R1078" s="2397"/>
      <c r="S1078" s="2397"/>
      <c r="T1078" s="2397"/>
      <c r="U1078" s="2397"/>
      <c r="V1078" s="2397"/>
      <c r="W1078" s="2397"/>
      <c r="X1078" s="2397"/>
      <c r="Y1078" s="2397"/>
      <c r="Z1078" s="2397"/>
      <c r="AA1078" s="2397"/>
      <c r="AB1078" s="2397"/>
      <c r="AC1078" s="2397"/>
      <c r="AD1078" s="2397"/>
      <c r="AE1078" s="2397"/>
      <c r="AF1078" s="2397"/>
      <c r="AG1078" s="2397"/>
      <c r="AH1078" s="2397"/>
      <c r="AI1078" s="2397"/>
      <c r="AJ1078" s="2397"/>
      <c r="AK1078" s="2397"/>
    </row>
    <row r="1079" spans="1:96" ht="12.6" customHeight="1">
      <c r="A1079" s="235"/>
      <c r="B1079" s="235"/>
      <c r="C1079" s="319"/>
      <c r="D1079" s="2397"/>
      <c r="E1079" s="2397"/>
      <c r="F1079" s="2397"/>
      <c r="G1079" s="2397"/>
      <c r="H1079" s="2397"/>
      <c r="I1079" s="2397"/>
      <c r="J1079" s="2397"/>
      <c r="K1079" s="2397"/>
      <c r="L1079" s="2397"/>
      <c r="M1079" s="2397"/>
      <c r="N1079" s="2397"/>
      <c r="O1079" s="2397"/>
      <c r="P1079" s="2397"/>
      <c r="Q1079" s="2397"/>
      <c r="R1079" s="2397"/>
      <c r="S1079" s="2397"/>
      <c r="T1079" s="2397"/>
      <c r="U1079" s="2397"/>
      <c r="V1079" s="2397"/>
      <c r="W1079" s="2397"/>
      <c r="X1079" s="2397"/>
      <c r="Y1079" s="2397"/>
      <c r="Z1079" s="2397"/>
      <c r="AA1079" s="2397"/>
      <c r="AB1079" s="2397"/>
      <c r="AC1079" s="2397"/>
      <c r="AD1079" s="2397"/>
      <c r="AE1079" s="2397"/>
      <c r="AF1079" s="2397"/>
      <c r="AG1079" s="2397"/>
      <c r="AH1079" s="2397"/>
      <c r="AI1079" s="2397"/>
      <c r="AJ1079" s="2397"/>
      <c r="AK1079" s="2397"/>
    </row>
    <row r="1080" spans="1:96" ht="12.6" customHeight="1">
      <c r="A1080" s="235"/>
      <c r="B1080" s="235"/>
      <c r="C1080" s="319"/>
      <c r="D1080" s="2397"/>
      <c r="E1080" s="2397"/>
      <c r="F1080" s="2397"/>
      <c r="G1080" s="2397"/>
      <c r="H1080" s="2397"/>
      <c r="I1080" s="2397"/>
      <c r="J1080" s="2397"/>
      <c r="K1080" s="2397"/>
      <c r="L1080" s="2397"/>
      <c r="M1080" s="2397"/>
      <c r="N1080" s="2397"/>
      <c r="O1080" s="2397"/>
      <c r="P1080" s="2397"/>
      <c r="Q1080" s="2397"/>
      <c r="R1080" s="2397"/>
      <c r="S1080" s="2397"/>
      <c r="T1080" s="2397"/>
      <c r="U1080" s="2397"/>
      <c r="V1080" s="2397"/>
      <c r="W1080" s="2397"/>
      <c r="X1080" s="2397"/>
      <c r="Y1080" s="2397"/>
      <c r="Z1080" s="2397"/>
      <c r="AA1080" s="2397"/>
      <c r="AB1080" s="2397"/>
      <c r="AC1080" s="2397"/>
      <c r="AD1080" s="2397"/>
      <c r="AE1080" s="2397"/>
      <c r="AF1080" s="2397"/>
      <c r="AG1080" s="2397"/>
      <c r="AH1080" s="2397"/>
      <c r="AI1080" s="2397"/>
      <c r="AJ1080" s="2397"/>
      <c r="AK1080" s="2397"/>
      <c r="AL1080" s="683"/>
    </row>
    <row r="1081" spans="1:96" ht="12" customHeight="1">
      <c r="A1081" s="62"/>
      <c r="B1081" s="66"/>
      <c r="C1081" s="319"/>
      <c r="D1081" s="2397"/>
      <c r="E1081" s="2397"/>
      <c r="F1081" s="2397"/>
      <c r="G1081" s="2397"/>
      <c r="H1081" s="2397"/>
      <c r="I1081" s="2397"/>
      <c r="J1081" s="2397"/>
      <c r="K1081" s="2397"/>
      <c r="L1081" s="2397"/>
      <c r="M1081" s="2397"/>
      <c r="N1081" s="2397"/>
      <c r="O1081" s="2397"/>
      <c r="P1081" s="2397"/>
      <c r="Q1081" s="2397"/>
      <c r="R1081" s="2397"/>
      <c r="S1081" s="2397"/>
      <c r="T1081" s="2397"/>
      <c r="U1081" s="2397"/>
      <c r="V1081" s="2397"/>
      <c r="W1081" s="2397"/>
      <c r="X1081" s="2397"/>
      <c r="Y1081" s="2397"/>
      <c r="Z1081" s="2397"/>
      <c r="AA1081" s="2397"/>
      <c r="AB1081" s="2397"/>
      <c r="AC1081" s="2397"/>
      <c r="AD1081" s="2397"/>
      <c r="AE1081" s="2397"/>
      <c r="AF1081" s="2397"/>
      <c r="AG1081" s="2397"/>
      <c r="AH1081" s="2397"/>
      <c r="AI1081" s="2397"/>
      <c r="AJ1081" s="2397"/>
      <c r="AK1081" s="2397"/>
    </row>
    <row r="1082" spans="1:96" ht="12.6" customHeight="1">
      <c r="A1082" s="2039" t="s">
        <v>627</v>
      </c>
      <c r="B1082" s="2039"/>
      <c r="C1082" s="319">
        <v>9</v>
      </c>
      <c r="D1082" s="1874" t="s">
        <v>1212</v>
      </c>
      <c r="E1082" s="1874"/>
      <c r="F1082" s="1874"/>
      <c r="G1082" s="1874"/>
      <c r="H1082" s="1874"/>
      <c r="I1082" s="1874"/>
      <c r="J1082" s="1874"/>
      <c r="K1082" s="1874"/>
      <c r="L1082" s="1874"/>
      <c r="M1082" s="1874"/>
      <c r="N1082" s="1874"/>
      <c r="O1082" s="1874"/>
      <c r="P1082" s="1874"/>
      <c r="Q1082" s="1874"/>
      <c r="R1082" s="1874"/>
      <c r="S1082" s="1874"/>
      <c r="T1082" s="1874"/>
      <c r="U1082" s="1874"/>
      <c r="V1082" s="1874"/>
      <c r="W1082" s="1874"/>
      <c r="X1082" s="1874"/>
      <c r="Y1082" s="1874"/>
      <c r="Z1082" s="1874"/>
      <c r="AA1082" s="1874"/>
      <c r="AB1082" s="1874"/>
      <c r="AC1082" s="1874"/>
      <c r="AD1082" s="1874"/>
      <c r="AE1082" s="1874"/>
      <c r="AF1082" s="1874"/>
      <c r="AG1082" s="1874"/>
      <c r="AH1082" s="1874"/>
      <c r="AI1082" s="1874"/>
      <c r="AJ1082" s="1874"/>
      <c r="AK1082" s="1874"/>
    </row>
    <row r="1083" spans="1:96" ht="15" customHeight="1">
      <c r="A1083" s="62"/>
      <c r="B1083" s="66"/>
      <c r="C1083" s="319"/>
      <c r="D1083" s="1874"/>
      <c r="E1083" s="1874"/>
      <c r="F1083" s="1874"/>
      <c r="G1083" s="1874"/>
      <c r="H1083" s="1874"/>
      <c r="I1083" s="1874"/>
      <c r="J1083" s="1874"/>
      <c r="K1083" s="1874"/>
      <c r="L1083" s="1874"/>
      <c r="M1083" s="1874"/>
      <c r="N1083" s="1874"/>
      <c r="O1083" s="1874"/>
      <c r="P1083" s="1874"/>
      <c r="Q1083" s="1874"/>
      <c r="R1083" s="1874"/>
      <c r="S1083" s="1874"/>
      <c r="T1083" s="1874"/>
      <c r="U1083" s="1874"/>
      <c r="V1083" s="1874"/>
      <c r="W1083" s="1874"/>
      <c r="X1083" s="1874"/>
      <c r="Y1083" s="1874"/>
      <c r="Z1083" s="1874"/>
      <c r="AA1083" s="1874"/>
      <c r="AB1083" s="1874"/>
      <c r="AC1083" s="1874"/>
      <c r="AD1083" s="1874"/>
      <c r="AE1083" s="1874"/>
      <c r="AF1083" s="1874"/>
      <c r="AG1083" s="1874"/>
      <c r="AH1083" s="1874"/>
      <c r="AI1083" s="1874"/>
      <c r="AJ1083" s="1874"/>
      <c r="AK1083" s="1874"/>
    </row>
    <row r="1084" spans="1:96" ht="15" customHeight="1">
      <c r="D1084" s="1874"/>
      <c r="E1084" s="1874"/>
      <c r="F1084" s="1874"/>
      <c r="G1084" s="1874"/>
      <c r="H1084" s="1874"/>
      <c r="I1084" s="1874"/>
      <c r="J1084" s="1874"/>
      <c r="K1084" s="1874"/>
      <c r="L1084" s="1874"/>
      <c r="M1084" s="1874"/>
      <c r="N1084" s="1874"/>
      <c r="O1084" s="1874"/>
      <c r="P1084" s="1874"/>
      <c r="Q1084" s="1874"/>
      <c r="R1084" s="1874"/>
      <c r="S1084" s="1874"/>
      <c r="T1084" s="1874"/>
      <c r="U1084" s="1874"/>
      <c r="V1084" s="1874"/>
      <c r="W1084" s="1874"/>
      <c r="X1084" s="1874"/>
      <c r="Y1084" s="1874"/>
      <c r="Z1084" s="1874"/>
      <c r="AA1084" s="1874"/>
      <c r="AB1084" s="1874"/>
      <c r="AC1084" s="1874"/>
      <c r="AD1084" s="1874"/>
      <c r="AE1084" s="1874"/>
      <c r="AF1084" s="1874"/>
      <c r="AG1084" s="1874"/>
      <c r="AH1084" s="1874"/>
      <c r="AI1084" s="1874"/>
      <c r="AJ1084" s="1874"/>
      <c r="AK1084" s="187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M651:DQ651"/>
    <mergeCell ref="DR651:DV651"/>
    <mergeCell ref="DH652:DL652"/>
    <mergeCell ref="DM652:DQ652"/>
    <mergeCell ref="DR652:DV652"/>
    <mergeCell ref="DH654:DL654"/>
    <mergeCell ref="DM654:DQ654"/>
    <mergeCell ref="DR654:DV654"/>
    <mergeCell ref="H314:M314"/>
    <mergeCell ref="H315:M315"/>
    <mergeCell ref="H316:R316"/>
    <mergeCell ref="H319:R319"/>
    <mergeCell ref="H320:R320"/>
    <mergeCell ref="H321:R321"/>
    <mergeCell ref="H318:R318"/>
    <mergeCell ref="H322:M322"/>
    <mergeCell ref="H324:R324"/>
    <mergeCell ref="AA312:AK312"/>
    <mergeCell ref="AA311:AK311"/>
    <mergeCell ref="AA310:AK310"/>
    <mergeCell ref="AA313:AK313"/>
    <mergeCell ref="AA319:AK319"/>
    <mergeCell ref="P314:R314"/>
    <mergeCell ref="CX654:DB654"/>
    <mergeCell ref="DC654:DG654"/>
    <mergeCell ref="CS652:CW652"/>
    <mergeCell ref="CX652:DB652"/>
    <mergeCell ref="DC652:DG652"/>
    <mergeCell ref="DC649:DG649"/>
    <mergeCell ref="O637:Q637"/>
    <mergeCell ref="Q571:S571"/>
    <mergeCell ref="Q572:S572"/>
    <mergeCell ref="Q573:S573"/>
    <mergeCell ref="Q574:S574"/>
    <mergeCell ref="Q575:S575"/>
    <mergeCell ref="U634:W636"/>
    <mergeCell ref="U637:W637"/>
    <mergeCell ref="U638:W638"/>
    <mergeCell ref="G621:R621"/>
    <mergeCell ref="H600:R600"/>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AH792:AL792"/>
    <mergeCell ref="AH793:AL793"/>
    <mergeCell ref="AH794:AL794"/>
    <mergeCell ref="AH795:AL795"/>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ER658:EV658"/>
    <mergeCell ref="H608:R608"/>
    <mergeCell ref="G614:R614"/>
    <mergeCell ref="G596:R596"/>
    <mergeCell ref="G613:R613"/>
    <mergeCell ref="N617:O617"/>
    <mergeCell ref="P607:R607"/>
    <mergeCell ref="C573:P573"/>
    <mergeCell ref="G599:L599"/>
    <mergeCell ref="G604:R604"/>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DH649:DL649"/>
    <mergeCell ref="DM649:DQ649"/>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C658:EG658"/>
    <mergeCell ref="EH658:EL658"/>
    <mergeCell ref="EM658:EQ658"/>
    <mergeCell ref="DX656:EB656"/>
    <mergeCell ref="EC656:EG656"/>
    <mergeCell ref="O640:Q640"/>
    <mergeCell ref="O641:Q641"/>
    <mergeCell ref="O642:Q642"/>
    <mergeCell ref="EC652:EG652"/>
    <mergeCell ref="R637:T637"/>
    <mergeCell ref="R638:T638"/>
    <mergeCell ref="R639:T639"/>
    <mergeCell ref="U639:W639"/>
    <mergeCell ref="CS650:CW650"/>
    <mergeCell ref="CX650:DB650"/>
    <mergeCell ref="DC650:DG650"/>
    <mergeCell ref="DX633:EB633"/>
    <mergeCell ref="DR649:DV649"/>
    <mergeCell ref="CS653:CW653"/>
    <mergeCell ref="CX653:DB653"/>
    <mergeCell ref="DC653:DG653"/>
    <mergeCell ref="DH653:DL653"/>
    <mergeCell ref="DM653:DQ653"/>
    <mergeCell ref="DR653:DV653"/>
    <mergeCell ref="CS654:CW654"/>
    <mergeCell ref="DH650:DL650"/>
    <mergeCell ref="DM650:DQ650"/>
    <mergeCell ref="DR650:DV650"/>
    <mergeCell ref="CS651:CW651"/>
    <mergeCell ref="CX651:DB651"/>
    <mergeCell ref="DC651:DG651"/>
    <mergeCell ref="DH651:DL651"/>
    <mergeCell ref="EH651:EL651"/>
    <mergeCell ref="EM651:EQ651"/>
    <mergeCell ref="ER651:EV651"/>
    <mergeCell ref="EW651:FA651"/>
    <mergeCell ref="ER654:EV654"/>
    <mergeCell ref="EW661:FA661"/>
    <mergeCell ref="DX663:EB663"/>
    <mergeCell ref="EW655:FA655"/>
    <mergeCell ref="EW650:FA650"/>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W642:FA642"/>
    <mergeCell ref="ER640:EV640"/>
    <mergeCell ref="DX643:EB643"/>
    <mergeCell ref="EC643:EG643"/>
    <mergeCell ref="EC639:EG639"/>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R638:EV638"/>
    <mergeCell ref="EW638:FA638"/>
    <mergeCell ref="DX639:EB639"/>
    <mergeCell ref="ER639:EV639"/>
    <mergeCell ref="EH639:EL639"/>
    <mergeCell ref="EM639:EQ639"/>
    <mergeCell ref="EW654:FA654"/>
    <mergeCell ref="EC651:EG651"/>
    <mergeCell ref="DX652:EB652"/>
    <mergeCell ref="EH652:EL652"/>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C633:EG633"/>
    <mergeCell ref="EH633:EL633"/>
    <mergeCell ref="EM633:EQ633"/>
    <mergeCell ref="ER633:EV633"/>
    <mergeCell ref="EW633:FA633"/>
    <mergeCell ref="DX634:EB634"/>
    <mergeCell ref="EC634:EG634"/>
    <mergeCell ref="EH634:EL634"/>
    <mergeCell ref="EM634:EQ634"/>
    <mergeCell ref="ER634:EV634"/>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C774:AG774"/>
    <mergeCell ref="AC782:AG785"/>
    <mergeCell ref="AC773:AG773"/>
    <mergeCell ref="X787:AB787"/>
    <mergeCell ref="X788:AB788"/>
    <mergeCell ref="X789:AB789"/>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G730:J730"/>
    <mergeCell ref="R645:T645"/>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R646:T646"/>
    <mergeCell ref="R647:T647"/>
    <mergeCell ref="R648:T648"/>
    <mergeCell ref="O645:Q645"/>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X638:AB638"/>
    <mergeCell ref="U648:W648"/>
    <mergeCell ref="G677:R677"/>
    <mergeCell ref="H674:R674"/>
    <mergeCell ref="G664:R664"/>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11:DG611"/>
    <mergeCell ref="CS611:CW611"/>
    <mergeCell ref="AO650:AS650"/>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AA318:AK318"/>
    <mergeCell ref="H327:R327"/>
    <mergeCell ref="Q364:AG364"/>
    <mergeCell ref="W468:Y468"/>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C729:AG729"/>
    <mergeCell ref="AE708:AI708"/>
    <mergeCell ref="AG699:AH699"/>
    <mergeCell ref="AO649:AS649"/>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BS641:BW641"/>
    <mergeCell ref="AI673:AK673"/>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O644:AS644"/>
    <mergeCell ref="BS652:BW652"/>
    <mergeCell ref="AH732:AL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H323:M323"/>
    <mergeCell ref="AA320:AK320"/>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Y363:Z363"/>
    <mergeCell ref="AA321:AK321"/>
    <mergeCell ref="H335:R335"/>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39:M339"/>
    <mergeCell ref="P344:AE344"/>
    <mergeCell ref="AI338:AK338"/>
    <mergeCell ref="AA339:AF339"/>
    <mergeCell ref="P342:AE342"/>
    <mergeCell ref="Q393:U393"/>
    <mergeCell ref="J384:U384"/>
    <mergeCell ref="V380:W380"/>
    <mergeCell ref="AI391:AJ391"/>
    <mergeCell ref="AG392:AJ392"/>
    <mergeCell ref="AG390:AJ390"/>
    <mergeCell ref="P348:AE348"/>
    <mergeCell ref="AC369:AF369"/>
    <mergeCell ref="P347:Z347"/>
    <mergeCell ref="N372:AF373"/>
    <mergeCell ref="W417:Y417"/>
    <mergeCell ref="S404:AJ404"/>
    <mergeCell ref="D436:AF436"/>
    <mergeCell ref="Q428:R428"/>
    <mergeCell ref="AG439:AJ439"/>
    <mergeCell ref="D443:AF443"/>
    <mergeCell ref="K402:AJ402"/>
    <mergeCell ref="W466:Y466"/>
    <mergeCell ref="AJ356:AK356"/>
    <mergeCell ref="AI322:AK322"/>
    <mergeCell ref="P345:AE345"/>
    <mergeCell ref="AA338:AF338"/>
    <mergeCell ref="H330:M330"/>
    <mergeCell ref="H340:R340"/>
    <mergeCell ref="AA329:AK329"/>
    <mergeCell ref="AA332:AK332"/>
    <mergeCell ref="I391:N391"/>
    <mergeCell ref="H413:AE414"/>
    <mergeCell ref="M354:N354"/>
    <mergeCell ref="AG389:AJ389"/>
    <mergeCell ref="AA336:AK336"/>
    <mergeCell ref="H337:R337"/>
    <mergeCell ref="AA330:AF330"/>
    <mergeCell ref="AC346:AE346"/>
    <mergeCell ref="Q390:U390"/>
    <mergeCell ref="AD376:AE376"/>
    <mergeCell ref="J385:U385"/>
    <mergeCell ref="N370:Q370"/>
    <mergeCell ref="N369:Q369"/>
    <mergeCell ref="V376:W376"/>
    <mergeCell ref="S376:T376"/>
    <mergeCell ref="N377:P377"/>
    <mergeCell ref="AA340:AK340"/>
    <mergeCell ref="AA334:AK33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U175:V175"/>
    <mergeCell ref="I184:AE184"/>
    <mergeCell ref="Y132:AK132"/>
    <mergeCell ref="A12:AL12"/>
    <mergeCell ref="G122:H122"/>
    <mergeCell ref="L122:N122"/>
    <mergeCell ref="Y129:AK129"/>
    <mergeCell ref="A11:AL11"/>
    <mergeCell ref="M232:AE232"/>
    <mergeCell ref="M233:T233"/>
    <mergeCell ref="M236:AE236"/>
    <mergeCell ref="O155:AH155"/>
    <mergeCell ref="O153:AH153"/>
    <mergeCell ref="O154:AH154"/>
    <mergeCell ref="AI226:AJ226"/>
    <mergeCell ref="J173:S173"/>
    <mergeCell ref="C124:K124"/>
    <mergeCell ref="D219:Z219"/>
    <mergeCell ref="AC233:AE233"/>
    <mergeCell ref="H16:AJ16"/>
    <mergeCell ref="A21:AL21"/>
    <mergeCell ref="T190:AE190"/>
    <mergeCell ref="I185:AE185"/>
    <mergeCell ref="M235:R235"/>
    <mergeCell ref="Z235:AE235"/>
    <mergeCell ref="A221:AL222"/>
    <mergeCell ref="M237:T237"/>
    <mergeCell ref="Z203:AF205"/>
    <mergeCell ref="M259:AE259"/>
    <mergeCell ref="M261:AE261"/>
    <mergeCell ref="U254:W254"/>
    <mergeCell ref="I189:P189"/>
    <mergeCell ref="O156:AH156"/>
    <mergeCell ref="O157:X157"/>
    <mergeCell ref="O158:R158"/>
    <mergeCell ref="W159:X159"/>
    <mergeCell ref="D164:AH164"/>
    <mergeCell ref="AI178:AK178"/>
    <mergeCell ref="J174:Z174"/>
    <mergeCell ref="M26:Q26"/>
    <mergeCell ref="F150:T150"/>
    <mergeCell ref="I190:N190"/>
    <mergeCell ref="M231:AK231"/>
    <mergeCell ref="A169:AL170"/>
    <mergeCell ref="H302:R302"/>
    <mergeCell ref="X269:AC269"/>
    <mergeCell ref="AA287:AK287"/>
    <mergeCell ref="H286:R286"/>
    <mergeCell ref="M256:T256"/>
    <mergeCell ref="L275:S275"/>
    <mergeCell ref="L277:Q277"/>
    <mergeCell ref="AA295:AK295"/>
    <mergeCell ref="AA290:AF290"/>
    <mergeCell ref="AI290:AK290"/>
    <mergeCell ref="N191:AE192"/>
    <mergeCell ref="D210:M210"/>
    <mergeCell ref="AI227:AJ227"/>
    <mergeCell ref="AI225:AJ225"/>
    <mergeCell ref="AH196:AI196"/>
    <mergeCell ref="AI228:AJ228"/>
    <mergeCell ref="M245:AE245"/>
    <mergeCell ref="W244:X244"/>
    <mergeCell ref="U246:W246"/>
    <mergeCell ref="AH253:AK253"/>
    <mergeCell ref="AH261:AK261"/>
    <mergeCell ref="T195:U195"/>
    <mergeCell ref="Y198:Z198"/>
    <mergeCell ref="P204:U204"/>
    <mergeCell ref="M242:AE242"/>
    <mergeCell ref="W233:X233"/>
    <mergeCell ref="M263:AE263"/>
    <mergeCell ref="AA264:AK264"/>
    <mergeCell ref="AF250:AK250"/>
    <mergeCell ref="M243:AE243"/>
    <mergeCell ref="AF258:AK258"/>
    <mergeCell ref="M252:T252"/>
    <mergeCell ref="H297:R297"/>
    <mergeCell ref="O159:T159"/>
    <mergeCell ref="M238:AE238"/>
    <mergeCell ref="AA237:AK237"/>
    <mergeCell ref="D269:H269"/>
    <mergeCell ref="T277:V277"/>
    <mergeCell ref="M255:AE255"/>
    <mergeCell ref="AA286:AK286"/>
    <mergeCell ref="T266:X266"/>
    <mergeCell ref="P298:R298"/>
    <mergeCell ref="X176:Y176"/>
    <mergeCell ref="X180:Y180"/>
    <mergeCell ref="Z262:AE262"/>
    <mergeCell ref="AC244:AE244"/>
    <mergeCell ref="H287:R287"/>
    <mergeCell ref="H294:R294"/>
    <mergeCell ref="H295:R295"/>
    <mergeCell ref="V275:W275"/>
    <mergeCell ref="H288:R288"/>
    <mergeCell ref="M254:R254"/>
    <mergeCell ref="M258:AE258"/>
    <mergeCell ref="AA256:AK256"/>
    <mergeCell ref="AC260:AE260"/>
    <mergeCell ref="M253:AE253"/>
    <mergeCell ref="AA299:AF299"/>
    <mergeCell ref="H305:R305"/>
    <mergeCell ref="P290:R290"/>
    <mergeCell ref="AA296:AK296"/>
    <mergeCell ref="L273:AJ273"/>
    <mergeCell ref="H290:M290"/>
    <mergeCell ref="L278:AD278"/>
    <mergeCell ref="AA306:AF306"/>
    <mergeCell ref="AA289:AK289"/>
    <mergeCell ref="AI298:AK298"/>
    <mergeCell ref="H296:R296"/>
    <mergeCell ref="H298:M298"/>
    <mergeCell ref="H326:R326"/>
    <mergeCell ref="H313:R313"/>
    <mergeCell ref="H310:R310"/>
    <mergeCell ref="H312:R312"/>
    <mergeCell ref="H311:R311"/>
    <mergeCell ref="H307:M307"/>
    <mergeCell ref="P306:R306"/>
    <mergeCell ref="AA298:AF298"/>
    <mergeCell ref="AI314:AK314"/>
    <mergeCell ref="L279:AD279"/>
    <mergeCell ref="AA291:AF291"/>
    <mergeCell ref="AB275:AD275"/>
    <mergeCell ref="Y277:AD277"/>
    <mergeCell ref="AA294:AK294"/>
    <mergeCell ref="L274:AD274"/>
    <mergeCell ref="H289:R289"/>
    <mergeCell ref="H299:M299"/>
    <mergeCell ref="H303:R303"/>
    <mergeCell ref="A281:AL282"/>
    <mergeCell ref="H292:R292"/>
    <mergeCell ref="H300:R300"/>
    <mergeCell ref="H308:R308"/>
    <mergeCell ref="AA308:AK308"/>
    <mergeCell ref="AA300:AK300"/>
    <mergeCell ref="H306:M306"/>
    <mergeCell ref="AA324:AK324"/>
    <mergeCell ref="AA315:AF315"/>
    <mergeCell ref="AA326:AK326"/>
    <mergeCell ref="M264:T264"/>
    <mergeCell ref="M260:T260"/>
    <mergeCell ref="W260:X260"/>
    <mergeCell ref="U262:W262"/>
    <mergeCell ref="Z254:AE254"/>
    <mergeCell ref="O160:T160"/>
    <mergeCell ref="O161:AH161"/>
    <mergeCell ref="AA288:AK288"/>
    <mergeCell ref="H291:M291"/>
    <mergeCell ref="AA292:AK292"/>
    <mergeCell ref="L276:AD276"/>
    <mergeCell ref="M262:R262"/>
    <mergeCell ref="M234:AE234"/>
    <mergeCell ref="AF242:AK242"/>
    <mergeCell ref="M244:T244"/>
    <mergeCell ref="D207:M207"/>
    <mergeCell ref="Z246:AE246"/>
    <mergeCell ref="T193:AI193"/>
    <mergeCell ref="D204:M204"/>
    <mergeCell ref="R177:S177"/>
    <mergeCell ref="U235:W235"/>
    <mergeCell ref="AA307:AF307"/>
    <mergeCell ref="AI306:AK306"/>
    <mergeCell ref="H304:R30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Y489:AC489"/>
    <mergeCell ref="T484:X485"/>
    <mergeCell ref="Y487:AC487"/>
    <mergeCell ref="Y486:AC486"/>
    <mergeCell ref="Y484:AC485"/>
    <mergeCell ref="AC518:AF518"/>
    <mergeCell ref="T487:X487"/>
    <mergeCell ref="AH514:AK514"/>
    <mergeCell ref="AC515:AF515"/>
    <mergeCell ref="AH531:AK531"/>
    <mergeCell ref="AC511:AK511"/>
    <mergeCell ref="T489:X489"/>
    <mergeCell ref="Y488:AC488"/>
    <mergeCell ref="AH518:AK518"/>
    <mergeCell ref="D437:AF437"/>
    <mergeCell ref="D438:AF438"/>
    <mergeCell ref="T492:X492"/>
    <mergeCell ref="T495:X495"/>
    <mergeCell ref="AD491:AH491"/>
    <mergeCell ref="AD495:AH495"/>
    <mergeCell ref="B526:H528"/>
    <mergeCell ref="B515:H520"/>
    <mergeCell ref="D470:V470"/>
    <mergeCell ref="AM565:AS565"/>
    <mergeCell ref="AH548:AK548"/>
    <mergeCell ref="AH535:AK535"/>
    <mergeCell ref="AC534:AF534"/>
    <mergeCell ref="O532:AA532"/>
    <mergeCell ref="AC539:AF539"/>
    <mergeCell ref="L520:AB520"/>
    <mergeCell ref="AC543:AF543"/>
    <mergeCell ref="AH543:AK543"/>
    <mergeCell ref="AC547:AF547"/>
    <mergeCell ref="AH549:AK549"/>
    <mergeCell ref="AC540:AF540"/>
    <mergeCell ref="O541:AA541"/>
    <mergeCell ref="AH538:AK538"/>
    <mergeCell ref="AH520:AK520"/>
    <mergeCell ref="AI565:AL565"/>
    <mergeCell ref="AC541:AF541"/>
    <mergeCell ref="AH539:AK539"/>
    <mergeCell ref="O544:AA544"/>
    <mergeCell ref="AC549:AF549"/>
    <mergeCell ref="W563:Y563"/>
    <mergeCell ref="AC548:AF548"/>
    <mergeCell ref="AD487:AH487"/>
    <mergeCell ref="AD490:AH490"/>
    <mergeCell ref="Q506:AK506"/>
    <mergeCell ref="AH534:AK534"/>
    <mergeCell ref="AC532:AF532"/>
    <mergeCell ref="AA616:AK616"/>
    <mergeCell ref="G615:L615"/>
    <mergeCell ref="Z613:AK613"/>
    <mergeCell ref="G591:L591"/>
    <mergeCell ref="Z615:AE615"/>
    <mergeCell ref="Z619:AK619"/>
    <mergeCell ref="G619:R619"/>
    <mergeCell ref="AG448:AJ448"/>
    <mergeCell ref="D464:V464"/>
    <mergeCell ref="W467:Y467"/>
    <mergeCell ref="AH515:AK515"/>
    <mergeCell ref="AH554:AK554"/>
    <mergeCell ref="W566:Y566"/>
    <mergeCell ref="AI564:AL564"/>
    <mergeCell ref="AI566:AL566"/>
    <mergeCell ref="Q498:AK498"/>
    <mergeCell ref="AE563:AH563"/>
    <mergeCell ref="AC519:AF519"/>
    <mergeCell ref="AH519:AK519"/>
    <mergeCell ref="AH516:AK516"/>
    <mergeCell ref="AH530:AK530"/>
    <mergeCell ref="AH526:AK526"/>
    <mergeCell ref="AC527:AF527"/>
    <mergeCell ref="AC526:AF526"/>
    <mergeCell ref="O547:AA547"/>
    <mergeCell ref="A478:AL479"/>
    <mergeCell ref="AC536:AF536"/>
    <mergeCell ref="AD484:AH485"/>
    <mergeCell ref="B501:P502"/>
    <mergeCell ref="Q566:S566"/>
    <mergeCell ref="AI563:AL563"/>
    <mergeCell ref="A556:AS557"/>
    <mergeCell ref="BX615:CB615"/>
    <mergeCell ref="CC615:CG615"/>
    <mergeCell ref="BK611:BL611"/>
    <mergeCell ref="CH619:CL619"/>
    <mergeCell ref="BS617:BW617"/>
    <mergeCell ref="BX619:CB619"/>
    <mergeCell ref="BK619:BL619"/>
    <mergeCell ref="BK617:BL617"/>
    <mergeCell ref="BX617:CB617"/>
    <mergeCell ref="CC617:CG617"/>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X622:CB622"/>
    <mergeCell ref="CC618:CG618"/>
    <mergeCell ref="BS615:BW61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G626:BH626"/>
    <mergeCell ref="BG625:BH625"/>
    <mergeCell ref="BX624:CB624"/>
    <mergeCell ref="BS627:BW627"/>
    <mergeCell ref="BX627:CB627"/>
    <mergeCell ref="BS626:BW626"/>
    <mergeCell ref="BI624:BJ624"/>
    <mergeCell ref="BK622:BL622"/>
    <mergeCell ref="BE618:BF618"/>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K632:BL632"/>
    <mergeCell ref="BE625:BF625"/>
    <mergeCell ref="BS622:BW622"/>
    <mergeCell ref="BE620:BF620"/>
    <mergeCell ref="BE628:BF628"/>
    <mergeCell ref="BG632:BH632"/>
    <mergeCell ref="BI632:BJ632"/>
    <mergeCell ref="BI625:BJ625"/>
    <mergeCell ref="BK625:BL625"/>
    <mergeCell ref="BG622:BH622"/>
    <mergeCell ref="BS621:BW62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E619:BF619"/>
    <mergeCell ref="BX653:CB653"/>
    <mergeCell ref="BX654:CB65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H626:CL626"/>
    <mergeCell ref="CH627:CL627"/>
    <mergeCell ref="CH630:CL630"/>
    <mergeCell ref="BX630:CB630"/>
    <mergeCell ref="CC630:CG630"/>
    <mergeCell ref="CC652:CG652"/>
    <mergeCell ref="CC653:CG653"/>
    <mergeCell ref="BS655:BW655"/>
    <mergeCell ref="BX644:CB644"/>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X656:CB656"/>
    <mergeCell ref="BX657:CB657"/>
    <mergeCell ref="Z612:AK612"/>
    <mergeCell ref="AE573:AH573"/>
    <mergeCell ref="G582:L582"/>
    <mergeCell ref="G597:R597"/>
    <mergeCell ref="G588:R588"/>
    <mergeCell ref="AG593:AH593"/>
    <mergeCell ref="AI591:AK591"/>
    <mergeCell ref="AC517:AF517"/>
    <mergeCell ref="AI567:AL567"/>
    <mergeCell ref="Y490:AC490"/>
    <mergeCell ref="AH513:AK513"/>
    <mergeCell ref="AH517:AK517"/>
    <mergeCell ref="AH532:AK532"/>
    <mergeCell ref="AH542:AK542"/>
    <mergeCell ref="AH544:AK544"/>
    <mergeCell ref="AH551:AK551"/>
    <mergeCell ref="AC544:AF544"/>
    <mergeCell ref="AC545:AF545"/>
    <mergeCell ref="AH545:AK545"/>
    <mergeCell ref="AH547:AK547"/>
    <mergeCell ref="Y492:AC492"/>
    <mergeCell ref="Y494:AC494"/>
    <mergeCell ref="Q499:AK499"/>
    <mergeCell ref="T494:X494"/>
    <mergeCell ref="AC525:AF525"/>
    <mergeCell ref="T567:V567"/>
    <mergeCell ref="W564:Y564"/>
    <mergeCell ref="W565:Y565"/>
    <mergeCell ref="Z563:AD563"/>
    <mergeCell ref="AE564:AH564"/>
    <mergeCell ref="AH550:AK550"/>
    <mergeCell ref="AH552:AK552"/>
    <mergeCell ref="AC554:AF554"/>
    <mergeCell ref="AM564:AS564"/>
    <mergeCell ref="AM572:AS572"/>
    <mergeCell ref="B529:H531"/>
    <mergeCell ref="AC537:AF537"/>
    <mergeCell ref="AC516:AF516"/>
    <mergeCell ref="W568:Y568"/>
    <mergeCell ref="AE568:AH568"/>
    <mergeCell ref="AC552:AF552"/>
    <mergeCell ref="AC551:AF551"/>
    <mergeCell ref="AC528:AF528"/>
    <mergeCell ref="Z567:AD567"/>
    <mergeCell ref="AH529:AK529"/>
    <mergeCell ref="AC546:AF546"/>
    <mergeCell ref="AH533:AK533"/>
    <mergeCell ref="AC542:AF542"/>
    <mergeCell ref="O538:AA538"/>
    <mergeCell ref="AC529:AF529"/>
    <mergeCell ref="AH546:AK546"/>
    <mergeCell ref="AM569:AS569"/>
    <mergeCell ref="AE569:AH569"/>
    <mergeCell ref="AC553:AF553"/>
    <mergeCell ref="AC538:AF538"/>
    <mergeCell ref="AE566:AH566"/>
    <mergeCell ref="AH540:AK540"/>
    <mergeCell ref="C571:P571"/>
    <mergeCell ref="AM573:AS573"/>
    <mergeCell ref="AM568:AS568"/>
    <mergeCell ref="AI570:AL570"/>
    <mergeCell ref="H592:R592"/>
    <mergeCell ref="G605:R605"/>
    <mergeCell ref="G606:R606"/>
    <mergeCell ref="G578:R578"/>
    <mergeCell ref="Z605:AK605"/>
    <mergeCell ref="Z582:AE582"/>
    <mergeCell ref="AM575:AS575"/>
    <mergeCell ref="T571:V571"/>
    <mergeCell ref="T572:V572"/>
    <mergeCell ref="T568:V568"/>
    <mergeCell ref="T569:V569"/>
    <mergeCell ref="T570:V570"/>
    <mergeCell ref="Q563:S563"/>
    <mergeCell ref="W567:Y567"/>
    <mergeCell ref="Z595:AK595"/>
    <mergeCell ref="N593:O593"/>
    <mergeCell ref="G603:R603"/>
    <mergeCell ref="N585:O585"/>
    <mergeCell ref="G579:R579"/>
    <mergeCell ref="Z597:AK597"/>
    <mergeCell ref="Q567:S567"/>
    <mergeCell ref="W569:Y569"/>
    <mergeCell ref="W570:Y570"/>
    <mergeCell ref="W571:Y571"/>
    <mergeCell ref="W572:Y572"/>
    <mergeCell ref="W573:Y573"/>
    <mergeCell ref="W574:Y574"/>
    <mergeCell ref="W575:Y575"/>
    <mergeCell ref="BE614:BF614"/>
    <mergeCell ref="G611:R611"/>
    <mergeCell ref="AC530:AF530"/>
    <mergeCell ref="AH536:AK536"/>
    <mergeCell ref="AH537:AK537"/>
    <mergeCell ref="AH541:AK541"/>
    <mergeCell ref="AM563:AS563"/>
    <mergeCell ref="AM567:AS567"/>
    <mergeCell ref="AM576:AS576"/>
    <mergeCell ref="AM571:AS571"/>
    <mergeCell ref="AI571:AL571"/>
    <mergeCell ref="AE572:AH572"/>
    <mergeCell ref="AI572:AL572"/>
    <mergeCell ref="Z568:AD568"/>
    <mergeCell ref="Z569:AD569"/>
    <mergeCell ref="Z570:AD570"/>
    <mergeCell ref="Q569:S569"/>
    <mergeCell ref="AC535:AF535"/>
    <mergeCell ref="AI573:AL573"/>
    <mergeCell ref="AE574:AH574"/>
    <mergeCell ref="AH553:AK553"/>
    <mergeCell ref="Z607:AE607"/>
    <mergeCell ref="Q564:S564"/>
    <mergeCell ref="Q565:S565"/>
    <mergeCell ref="Z578:AK578"/>
    <mergeCell ref="AE571:AH571"/>
    <mergeCell ref="AM574:AS574"/>
    <mergeCell ref="G589:R589"/>
    <mergeCell ref="B563:P563"/>
    <mergeCell ref="C564:P564"/>
    <mergeCell ref="C565:P565"/>
    <mergeCell ref="AM566:AS566"/>
    <mergeCell ref="AI599:AK599"/>
    <mergeCell ref="C574:P574"/>
    <mergeCell ref="C575:P575"/>
    <mergeCell ref="AI582:AK582"/>
    <mergeCell ref="AI569:AL569"/>
    <mergeCell ref="AE570:AH570"/>
    <mergeCell ref="T573:V573"/>
    <mergeCell ref="B576:AL576"/>
    <mergeCell ref="Q570:S570"/>
    <mergeCell ref="C572:P572"/>
    <mergeCell ref="C566:P566"/>
    <mergeCell ref="C567:P567"/>
    <mergeCell ref="C568:P568"/>
    <mergeCell ref="C569:P569"/>
    <mergeCell ref="Q568:S568"/>
    <mergeCell ref="P599:R599"/>
    <mergeCell ref="Z591:AE591"/>
    <mergeCell ref="Z596:AK596"/>
    <mergeCell ref="Z581:AK581"/>
    <mergeCell ref="Z587:AK587"/>
    <mergeCell ref="Z598:AK598"/>
    <mergeCell ref="P582:R582"/>
    <mergeCell ref="AG447:AJ447"/>
    <mergeCell ref="Z574:AD574"/>
    <mergeCell ref="Z575:AD575"/>
    <mergeCell ref="Q497:AK497"/>
    <mergeCell ref="P424:Q424"/>
    <mergeCell ref="AH525:AK525"/>
    <mergeCell ref="C570:P570"/>
    <mergeCell ref="Z571:AD571"/>
    <mergeCell ref="AI568:AL568"/>
    <mergeCell ref="AD488:AH488"/>
    <mergeCell ref="AE424:AF424"/>
    <mergeCell ref="D467:V467"/>
    <mergeCell ref="AH527:AK527"/>
    <mergeCell ref="AD486:AH48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Z580:AK58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X793:AB793"/>
    <mergeCell ref="AC520:AF520"/>
    <mergeCell ref="T795:W795"/>
    <mergeCell ref="X773:AB773"/>
    <mergeCell ref="AA682:AK682"/>
    <mergeCell ref="AA674:AK674"/>
    <mergeCell ref="AI615:AK615"/>
    <mergeCell ref="T490:X490"/>
    <mergeCell ref="G612:R612"/>
    <mergeCell ref="AD1036:AK1036"/>
    <mergeCell ref="B1034:Y1034"/>
    <mergeCell ref="AD489:AH489"/>
    <mergeCell ref="X790:AB790"/>
    <mergeCell ref="X791:AB791"/>
    <mergeCell ref="X792:AB792"/>
    <mergeCell ref="AC768:AG771"/>
    <mergeCell ref="E419:AJ419"/>
    <mergeCell ref="E417:G417"/>
    <mergeCell ref="F426:AH427"/>
    <mergeCell ref="AE567:AH567"/>
    <mergeCell ref="AC455:AF455"/>
    <mergeCell ref="D448:AF448"/>
    <mergeCell ref="D444:AF444"/>
    <mergeCell ref="B513:H514"/>
    <mergeCell ref="Y495:AC495"/>
    <mergeCell ref="AA608:AK608"/>
    <mergeCell ref="AD494:AH494"/>
    <mergeCell ref="AC514:AF514"/>
    <mergeCell ref="AH512:AK512"/>
    <mergeCell ref="Q501:R502"/>
    <mergeCell ref="AC531:AF531"/>
    <mergeCell ref="AC533:AF533"/>
    <mergeCell ref="Q500:AK500"/>
    <mergeCell ref="AH528:AK528"/>
    <mergeCell ref="Z566:AD566"/>
    <mergeCell ref="AG617:AH617"/>
    <mergeCell ref="H616:R616"/>
    <mergeCell ref="P615:R615"/>
    <mergeCell ref="Q505:AK505"/>
    <mergeCell ref="X772:AB772"/>
    <mergeCell ref="D445:AF445"/>
    <mergeCell ref="D446:AF446"/>
    <mergeCell ref="AG441:AJ441"/>
    <mergeCell ref="AG440:AJ44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A337:AK337"/>
    <mergeCell ref="AG379:AH379"/>
    <mergeCell ref="AC386:AJ386"/>
    <mergeCell ref="V387:AJ387"/>
    <mergeCell ref="D442:AF442"/>
    <mergeCell ref="I417:K417"/>
    <mergeCell ref="W470:Y470"/>
    <mergeCell ref="W465:Y465"/>
    <mergeCell ref="W471:Y471"/>
    <mergeCell ref="T772:W772"/>
    <mergeCell ref="Q503:AK503"/>
    <mergeCell ref="D439:AF439"/>
    <mergeCell ref="AG437:AJ437"/>
    <mergeCell ref="AE423:AF423"/>
    <mergeCell ref="AG393:AJ393"/>
    <mergeCell ref="AJ354:AK354"/>
    <mergeCell ref="A350:AL351"/>
    <mergeCell ref="AC384:AJ384"/>
    <mergeCell ref="AG376:AH376"/>
    <mergeCell ref="Z431:AA431"/>
    <mergeCell ref="AD410:AE410"/>
    <mergeCell ref="S412:T412"/>
    <mergeCell ref="T483:AH483"/>
    <mergeCell ref="D468:V468"/>
    <mergeCell ref="T488:X488"/>
    <mergeCell ref="AF429:AG429"/>
    <mergeCell ref="J386:U386"/>
    <mergeCell ref="AC385:AJ385"/>
    <mergeCell ref="T491:X491"/>
    <mergeCell ref="J387:U387"/>
    <mergeCell ref="AA600:AK600"/>
    <mergeCell ref="Z603:AK603"/>
    <mergeCell ref="H583:R583"/>
    <mergeCell ref="AG400:AJ400"/>
    <mergeCell ref="AG438:AJ438"/>
    <mergeCell ref="AG442:AJ442"/>
    <mergeCell ref="AG443:AJ443"/>
    <mergeCell ref="AC453:AF453"/>
    <mergeCell ref="Z433:AA433"/>
    <mergeCell ref="AD411:AE411"/>
    <mergeCell ref="D441:AF441"/>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CC644:CG644"/>
    <mergeCell ref="BE616:BF616"/>
    <mergeCell ref="BE615:BF615"/>
    <mergeCell ref="AG394:AJ394"/>
    <mergeCell ref="AA592:AK592"/>
    <mergeCell ref="S401:U401"/>
    <mergeCell ref="R411:S411"/>
    <mergeCell ref="D447:AF447"/>
    <mergeCell ref="AG444:AJ444"/>
    <mergeCell ref="AG445:AJ445"/>
    <mergeCell ref="BE611:BF611"/>
    <mergeCell ref="BE610:BF610"/>
    <mergeCell ref="AE401:AJ401"/>
    <mergeCell ref="K403:AJ403"/>
    <mergeCell ref="AG446:AJ446"/>
    <mergeCell ref="D405:AJ406"/>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H644:CL644"/>
    <mergeCell ref="CM644:CQ644"/>
    <mergeCell ref="CC655:CG655"/>
    <mergeCell ref="CC656:CG656"/>
    <mergeCell ref="CC657:CG657"/>
    <mergeCell ref="BX655:CB655"/>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8" zoomScale="90" zoomScaleNormal="100" zoomScaleSheetLayoutView="90" workbookViewId="0">
      <selection activeCell="D37" sqref="D37"/>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85" t="s">
        <v>657</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393</v>
      </c>
      <c r="D2" s="208" t="s">
        <v>392</v>
      </c>
      <c r="E2" s="208" t="s">
        <v>25</v>
      </c>
      <c r="F2" s="209" t="str">
        <f>Application!B637&amp;Application!C637</f>
        <v>1)Conventional Perm Loan (BBVA)</v>
      </c>
      <c r="G2" s="209" t="str">
        <f>Application!B638&amp;Application!C638</f>
        <v>2)MHP</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420000</v>
      </c>
      <c r="C4" s="217">
        <v>420000</v>
      </c>
      <c r="D4" s="217"/>
      <c r="E4" s="217">
        <f>C4-H4-G4-F4</f>
        <v>420000</v>
      </c>
      <c r="F4" s="217"/>
      <c r="G4" s="217"/>
      <c r="H4" s="217"/>
      <c r="I4" s="217"/>
      <c r="J4" s="217"/>
      <c r="K4" s="217"/>
      <c r="L4" s="217"/>
      <c r="M4" s="217"/>
      <c r="N4" s="217"/>
      <c r="O4" s="217"/>
      <c r="P4" s="217"/>
      <c r="Q4" s="217"/>
      <c r="R4" s="881">
        <f>SUM(E4:Q4)</f>
        <v>420000</v>
      </c>
      <c r="S4" s="218"/>
      <c r="T4" s="218"/>
      <c r="U4" s="213"/>
    </row>
    <row r="5" spans="1:21" s="214" customFormat="1">
      <c r="A5" s="215" t="s">
        <v>29</v>
      </c>
      <c r="B5" s="216">
        <f>SUM(C5+D5)</f>
        <v>0</v>
      </c>
      <c r="C5" s="217"/>
      <c r="D5" s="217"/>
      <c r="E5" s="217">
        <f t="shared" ref="E5:E7" si="0">C5-H5-G5-F5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35000</v>
      </c>
      <c r="C6" s="217">
        <v>35000</v>
      </c>
      <c r="D6" s="217"/>
      <c r="E6" s="217">
        <f t="shared" si="0"/>
        <v>35000</v>
      </c>
      <c r="F6" s="217"/>
      <c r="G6" s="217"/>
      <c r="H6" s="217"/>
      <c r="I6" s="217"/>
      <c r="J6" s="217"/>
      <c r="K6" s="217"/>
      <c r="L6" s="217"/>
      <c r="M6" s="217"/>
      <c r="N6" s="217"/>
      <c r="O6" s="217"/>
      <c r="P6" s="217"/>
      <c r="Q6" s="217"/>
      <c r="R6" s="881">
        <f>SUM(E6:Q6)</f>
        <v>35000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455000</v>
      </c>
      <c r="C8" s="216">
        <f t="shared" ref="C8:Q8" si="1">SUM(C4:C7)</f>
        <v>455000</v>
      </c>
      <c r="D8" s="216">
        <f t="shared" si="1"/>
        <v>0</v>
      </c>
      <c r="E8" s="216">
        <f t="shared" si="1"/>
        <v>455000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455000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195676</v>
      </c>
      <c r="C10" s="217">
        <v>195676</v>
      </c>
      <c r="D10" s="217"/>
      <c r="E10" s="217"/>
      <c r="F10" s="217"/>
      <c r="G10" s="217">
        <f>C10</f>
        <v>195676</v>
      </c>
      <c r="H10" s="217"/>
      <c r="I10" s="217"/>
      <c r="J10" s="217"/>
      <c r="K10" s="217"/>
      <c r="L10" s="217"/>
      <c r="M10" s="217"/>
      <c r="N10" s="217"/>
      <c r="O10" s="217"/>
      <c r="P10" s="217"/>
      <c r="Q10" s="217"/>
      <c r="R10" s="881">
        <f>SUM(E10:Q10)</f>
        <v>195676</v>
      </c>
      <c r="S10" s="217">
        <f>R10</f>
        <v>195676</v>
      </c>
      <c r="T10" s="217"/>
      <c r="U10" s="213"/>
    </row>
    <row r="11" spans="1:21" s="214" customFormat="1">
      <c r="A11" s="219" t="s">
        <v>632</v>
      </c>
      <c r="B11" s="216">
        <f>SUM(C11:D11)</f>
        <v>195676</v>
      </c>
      <c r="C11" s="216">
        <f t="shared" ref="C11:Q11" si="2">SUM(C9:C10)</f>
        <v>195676</v>
      </c>
      <c r="D11" s="216">
        <f t="shared" si="2"/>
        <v>0</v>
      </c>
      <c r="E11" s="216">
        <f t="shared" si="2"/>
        <v>0</v>
      </c>
      <c r="F11" s="216">
        <f t="shared" si="2"/>
        <v>0</v>
      </c>
      <c r="G11" s="216">
        <f t="shared" si="2"/>
        <v>195676</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195676</v>
      </c>
      <c r="S11" s="218"/>
      <c r="T11" s="220">
        <f>SUM(T9:T10)</f>
        <v>0</v>
      </c>
      <c r="U11" s="213"/>
    </row>
    <row r="12" spans="1:21" s="214" customFormat="1">
      <c r="A12" s="219" t="s">
        <v>89</v>
      </c>
      <c r="B12" s="216">
        <f t="shared" ref="B12:Q12" si="3">SUM(B8+B11)</f>
        <v>650676</v>
      </c>
      <c r="C12" s="216">
        <f t="shared" si="3"/>
        <v>650676</v>
      </c>
      <c r="D12" s="216">
        <f t="shared" si="3"/>
        <v>0</v>
      </c>
      <c r="E12" s="216">
        <f t="shared" si="3"/>
        <v>455000</v>
      </c>
      <c r="F12" s="216">
        <f t="shared" si="3"/>
        <v>0</v>
      </c>
      <c r="G12" s="216">
        <f t="shared" si="3"/>
        <v>195676</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650676</v>
      </c>
      <c r="S12" s="218"/>
      <c r="T12" s="218"/>
      <c r="U12" s="213"/>
    </row>
    <row r="13" spans="1:21" s="214" customFormat="1">
      <c r="A13" s="450" t="s">
        <v>974</v>
      </c>
      <c r="B13" s="216">
        <f>SUM(C13+D13)</f>
        <v>30000</v>
      </c>
      <c r="C13" s="217">
        <v>30000</v>
      </c>
      <c r="D13" s="217"/>
      <c r="E13" s="217">
        <f>C13-H13-G13-F13</f>
        <v>30000</v>
      </c>
      <c r="F13" s="217"/>
      <c r="G13" s="217"/>
      <c r="H13" s="217"/>
      <c r="I13" s="217"/>
      <c r="J13" s="217"/>
      <c r="K13" s="217"/>
      <c r="L13" s="217"/>
      <c r="M13" s="217"/>
      <c r="N13" s="217"/>
      <c r="O13" s="217"/>
      <c r="P13" s="217"/>
      <c r="Q13" s="217"/>
      <c r="R13" s="881">
        <f>SUM(E13:Q13)</f>
        <v>30000</v>
      </c>
      <c r="S13" s="217"/>
      <c r="T13" s="217"/>
      <c r="U13" s="213"/>
    </row>
    <row r="14" spans="1:21" s="214" customFormat="1" ht="24">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4">SUM(C17+D17)</f>
        <v>0</v>
      </c>
      <c r="C17" s="217"/>
      <c r="D17" s="217"/>
      <c r="E17" s="217">
        <f>C17-H17-G17-F17</f>
        <v>0</v>
      </c>
      <c r="F17" s="217"/>
      <c r="G17" s="217">
        <f>C17</f>
        <v>0</v>
      </c>
      <c r="H17" s="217"/>
      <c r="I17" s="217"/>
      <c r="J17" s="217"/>
      <c r="K17" s="217"/>
      <c r="L17" s="217"/>
      <c r="M17" s="217"/>
      <c r="N17" s="217"/>
      <c r="O17" s="217"/>
      <c r="P17" s="217"/>
      <c r="Q17" s="217"/>
      <c r="R17" s="881">
        <f>SUM(E17:Q17)</f>
        <v>0</v>
      </c>
      <c r="S17" s="217"/>
      <c r="T17" s="217"/>
      <c r="U17" s="213"/>
    </row>
    <row r="18" spans="1:21" s="214" customFormat="1">
      <c r="A18" s="215" t="s">
        <v>635</v>
      </c>
      <c r="B18" s="216">
        <f t="shared" si="4"/>
        <v>0</v>
      </c>
      <c r="C18" s="217"/>
      <c r="D18" s="217"/>
      <c r="E18" s="217">
        <f t="shared" ref="E18:E25" si="5">C18-H18-G18-F18</f>
        <v>0</v>
      </c>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4"/>
        <v>0</v>
      </c>
      <c r="C19" s="217"/>
      <c r="D19" s="217"/>
      <c r="E19" s="217">
        <f t="shared" si="5"/>
        <v>0</v>
      </c>
      <c r="F19" s="217"/>
      <c r="G19" s="217">
        <f>C19</f>
        <v>0</v>
      </c>
      <c r="H19" s="217"/>
      <c r="I19" s="217"/>
      <c r="J19" s="217"/>
      <c r="K19" s="217"/>
      <c r="L19" s="217"/>
      <c r="M19" s="217"/>
      <c r="N19" s="217"/>
      <c r="O19" s="217"/>
      <c r="P19" s="217"/>
      <c r="Q19" s="217"/>
      <c r="R19" s="881">
        <f>SUM(E19:Q19)</f>
        <v>0</v>
      </c>
      <c r="S19" s="217"/>
      <c r="T19" s="217"/>
      <c r="U19" s="213"/>
    </row>
    <row r="20" spans="1:21" s="214" customFormat="1">
      <c r="A20" s="215" t="s">
        <v>142</v>
      </c>
      <c r="B20" s="216">
        <f t="shared" si="4"/>
        <v>0</v>
      </c>
      <c r="C20" s="217"/>
      <c r="D20" s="217"/>
      <c r="E20" s="217">
        <f t="shared" si="5"/>
        <v>0</v>
      </c>
      <c r="F20" s="217"/>
      <c r="G20" s="217">
        <f>C20</f>
        <v>0</v>
      </c>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4"/>
        <v>0</v>
      </c>
      <c r="C21" s="217"/>
      <c r="D21" s="217"/>
      <c r="E21" s="217">
        <f t="shared" si="5"/>
        <v>0</v>
      </c>
      <c r="F21" s="217"/>
      <c r="G21" s="217">
        <f>C21</f>
        <v>0</v>
      </c>
      <c r="H21" s="217"/>
      <c r="I21" s="217"/>
      <c r="J21" s="217"/>
      <c r="K21" s="217"/>
      <c r="L21" s="217"/>
      <c r="M21" s="217"/>
      <c r="N21" s="217"/>
      <c r="O21" s="217"/>
      <c r="P21" s="217"/>
      <c r="Q21" s="217"/>
      <c r="R21" s="881">
        <f t="shared" si="6"/>
        <v>0</v>
      </c>
      <c r="S21" s="217"/>
      <c r="T21" s="217"/>
      <c r="U21" s="213"/>
    </row>
    <row r="22" spans="1:21" s="214" customFormat="1">
      <c r="A22" s="215" t="s">
        <v>144</v>
      </c>
      <c r="B22" s="216">
        <f t="shared" si="4"/>
        <v>0</v>
      </c>
      <c r="C22" s="217"/>
      <c r="D22" s="217"/>
      <c r="E22" s="217">
        <f t="shared" si="5"/>
        <v>0</v>
      </c>
      <c r="F22" s="217"/>
      <c r="G22" s="217">
        <f>C22</f>
        <v>0</v>
      </c>
      <c r="H22" s="217"/>
      <c r="I22" s="217"/>
      <c r="J22" s="217"/>
      <c r="K22" s="217"/>
      <c r="L22" s="217"/>
      <c r="M22" s="217"/>
      <c r="N22" s="217"/>
      <c r="O22" s="217"/>
      <c r="P22" s="217"/>
      <c r="Q22" s="217"/>
      <c r="R22" s="881">
        <f t="shared" si="6"/>
        <v>0</v>
      </c>
      <c r="S22" s="217"/>
      <c r="T22" s="217"/>
      <c r="U22" s="213"/>
    </row>
    <row r="23" spans="1:21" s="214" customFormat="1">
      <c r="A23" s="215" t="s">
        <v>145</v>
      </c>
      <c r="B23" s="216">
        <f t="shared" si="4"/>
        <v>0</v>
      </c>
      <c r="C23" s="217"/>
      <c r="D23" s="217"/>
      <c r="E23" s="217">
        <f t="shared" si="5"/>
        <v>0</v>
      </c>
      <c r="F23" s="217"/>
      <c r="G23" s="217">
        <f>C23</f>
        <v>0</v>
      </c>
      <c r="H23" s="217"/>
      <c r="I23" s="217"/>
      <c r="J23" s="217"/>
      <c r="K23" s="217"/>
      <c r="L23" s="217"/>
      <c r="M23" s="217"/>
      <c r="N23" s="217"/>
      <c r="O23" s="217"/>
      <c r="P23" s="217"/>
      <c r="Q23" s="217"/>
      <c r="R23" s="881">
        <f t="shared" si="6"/>
        <v>0</v>
      </c>
      <c r="S23" s="217"/>
      <c r="T23" s="217"/>
      <c r="U23" s="213"/>
    </row>
    <row r="24" spans="1:21" s="214" customFormat="1">
      <c r="A24" s="860" t="s">
        <v>2008</v>
      </c>
      <c r="B24" s="216"/>
      <c r="C24" s="217"/>
      <c r="D24" s="217"/>
      <c r="E24" s="217">
        <f t="shared" si="5"/>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4"/>
        <v>0</v>
      </c>
      <c r="C25" s="217"/>
      <c r="D25" s="217"/>
      <c r="E25" s="217">
        <f t="shared" si="5"/>
        <v>0</v>
      </c>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4"/>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1177190</v>
      </c>
      <c r="C29" s="217">
        <v>1177190</v>
      </c>
      <c r="D29" s="217"/>
      <c r="E29" s="217"/>
      <c r="F29" s="217"/>
      <c r="G29" s="217">
        <f>C29</f>
        <v>1177190</v>
      </c>
      <c r="H29" s="217"/>
      <c r="I29" s="217"/>
      <c r="J29" s="217"/>
      <c r="K29" s="217"/>
      <c r="L29" s="217"/>
      <c r="M29" s="217"/>
      <c r="N29" s="217"/>
      <c r="O29" s="217"/>
      <c r="P29" s="217"/>
      <c r="Q29" s="217"/>
      <c r="R29" s="881">
        <f t="shared" ref="R29:R37" si="9">SUM(E29:Q29)</f>
        <v>1177190</v>
      </c>
      <c r="S29" s="217">
        <f>R29</f>
        <v>1177190</v>
      </c>
      <c r="T29" s="217"/>
      <c r="U29" s="213"/>
    </row>
    <row r="30" spans="1:21" s="214" customFormat="1">
      <c r="A30" s="215" t="s">
        <v>635</v>
      </c>
      <c r="B30" s="216">
        <f t="shared" si="8"/>
        <v>8622996</v>
      </c>
      <c r="C30" s="217">
        <v>8622996</v>
      </c>
      <c r="D30" s="217"/>
      <c r="E30" s="217"/>
      <c r="F30" s="217">
        <f>F108</f>
        <v>4853000</v>
      </c>
      <c r="G30" s="217">
        <f>C30-F30</f>
        <v>3769996</v>
      </c>
      <c r="H30" s="217"/>
      <c r="I30" s="217"/>
      <c r="J30" s="217"/>
      <c r="K30" s="217"/>
      <c r="L30" s="217"/>
      <c r="M30" s="217"/>
      <c r="N30" s="217"/>
      <c r="O30" s="217"/>
      <c r="P30" s="217"/>
      <c r="Q30" s="217"/>
      <c r="R30" s="881">
        <f t="shared" si="9"/>
        <v>8622996</v>
      </c>
      <c r="S30" s="217">
        <f t="shared" ref="S30:S35" si="10">R30</f>
        <v>8622996</v>
      </c>
      <c r="T30" s="217"/>
      <c r="U30" s="213"/>
    </row>
    <row r="31" spans="1:21" s="214" customFormat="1">
      <c r="A31" s="215" t="s">
        <v>636</v>
      </c>
      <c r="B31" s="216">
        <f t="shared" si="8"/>
        <v>850612</v>
      </c>
      <c r="C31" s="217">
        <v>850612</v>
      </c>
      <c r="D31" s="217"/>
      <c r="E31" s="217"/>
      <c r="F31" s="217"/>
      <c r="G31" s="217">
        <f t="shared" ref="G31:G35" si="11">C31</f>
        <v>850612</v>
      </c>
      <c r="H31" s="217"/>
      <c r="I31" s="217"/>
      <c r="J31" s="217"/>
      <c r="K31" s="217"/>
      <c r="L31" s="217"/>
      <c r="M31" s="217"/>
      <c r="N31" s="217"/>
      <c r="O31" s="217"/>
      <c r="P31" s="217"/>
      <c r="Q31" s="217"/>
      <c r="R31" s="881">
        <f t="shared" si="9"/>
        <v>850612</v>
      </c>
      <c r="S31" s="217">
        <f t="shared" si="10"/>
        <v>850612</v>
      </c>
      <c r="T31" s="217"/>
      <c r="U31" s="213"/>
    </row>
    <row r="32" spans="1:21" s="214" customFormat="1">
      <c r="A32" s="215" t="s">
        <v>142</v>
      </c>
      <c r="B32" s="216">
        <f t="shared" si="8"/>
        <v>425306</v>
      </c>
      <c r="C32" s="217">
        <v>425306</v>
      </c>
      <c r="D32" s="217"/>
      <c r="E32" s="217"/>
      <c r="F32" s="217"/>
      <c r="G32" s="217">
        <f t="shared" si="11"/>
        <v>425306</v>
      </c>
      <c r="H32" s="217"/>
      <c r="I32" s="217"/>
      <c r="J32" s="217"/>
      <c r="K32" s="217"/>
      <c r="L32" s="217"/>
      <c r="M32" s="217"/>
      <c r="N32" s="217"/>
      <c r="O32" s="217"/>
      <c r="P32" s="217"/>
      <c r="Q32" s="217"/>
      <c r="R32" s="881">
        <f t="shared" si="9"/>
        <v>425306</v>
      </c>
      <c r="S32" s="217">
        <f t="shared" si="10"/>
        <v>425306</v>
      </c>
      <c r="T32" s="217"/>
      <c r="U32" s="213"/>
    </row>
    <row r="33" spans="1:21" s="214" customFormat="1">
      <c r="A33" s="215" t="s">
        <v>143</v>
      </c>
      <c r="B33" s="216">
        <f t="shared" si="8"/>
        <v>425306</v>
      </c>
      <c r="C33" s="217">
        <v>425306</v>
      </c>
      <c r="D33" s="217"/>
      <c r="E33" s="217"/>
      <c r="F33" s="217"/>
      <c r="G33" s="217">
        <f t="shared" si="11"/>
        <v>425306</v>
      </c>
      <c r="H33" s="217"/>
      <c r="I33" s="217"/>
      <c r="J33" s="217"/>
      <c r="K33" s="217"/>
      <c r="L33" s="217"/>
      <c r="M33" s="217"/>
      <c r="N33" s="217"/>
      <c r="O33" s="217"/>
      <c r="P33" s="217"/>
      <c r="Q33" s="217"/>
      <c r="R33" s="881">
        <f t="shared" si="9"/>
        <v>425306</v>
      </c>
      <c r="S33" s="217">
        <f t="shared" si="10"/>
        <v>425306</v>
      </c>
      <c r="T33" s="217"/>
      <c r="U33" s="213"/>
    </row>
    <row r="34" spans="1:21" s="214" customFormat="1">
      <c r="A34" s="215" t="s">
        <v>144</v>
      </c>
      <c r="B34" s="216">
        <f t="shared" si="8"/>
        <v>2155749</v>
      </c>
      <c r="C34" s="217">
        <v>2155749</v>
      </c>
      <c r="D34" s="217"/>
      <c r="E34" s="217"/>
      <c r="F34" s="217"/>
      <c r="G34" s="217">
        <f t="shared" si="11"/>
        <v>2155749</v>
      </c>
      <c r="H34" s="217"/>
      <c r="I34" s="217"/>
      <c r="J34" s="217"/>
      <c r="K34" s="217"/>
      <c r="L34" s="217"/>
      <c r="M34" s="217"/>
      <c r="N34" s="217"/>
      <c r="O34" s="217"/>
      <c r="P34" s="217"/>
      <c r="Q34" s="217"/>
      <c r="R34" s="881">
        <f t="shared" si="9"/>
        <v>2155749</v>
      </c>
      <c r="S34" s="217">
        <f t="shared" si="10"/>
        <v>2155749</v>
      </c>
      <c r="T34" s="217"/>
      <c r="U34" s="213"/>
    </row>
    <row r="35" spans="1:21" s="214" customFormat="1">
      <c r="A35" s="215" t="s">
        <v>145</v>
      </c>
      <c r="B35" s="216">
        <f t="shared" si="8"/>
        <v>215051</v>
      </c>
      <c r="C35" s="217">
        <v>215051</v>
      </c>
      <c r="D35" s="217"/>
      <c r="E35" s="217"/>
      <c r="F35" s="217"/>
      <c r="G35" s="217">
        <f t="shared" si="11"/>
        <v>215051</v>
      </c>
      <c r="H35" s="217"/>
      <c r="I35" s="217"/>
      <c r="J35" s="217"/>
      <c r="K35" s="217"/>
      <c r="L35" s="217"/>
      <c r="M35" s="217"/>
      <c r="N35" s="217"/>
      <c r="O35" s="217"/>
      <c r="P35" s="217"/>
      <c r="Q35" s="217"/>
      <c r="R35" s="881">
        <f t="shared" si="9"/>
        <v>215051</v>
      </c>
      <c r="S35" s="217">
        <f t="shared" si="10"/>
        <v>215051</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1">
        <f t="shared" si="9"/>
        <v>0</v>
      </c>
      <c r="S37" s="217"/>
      <c r="T37" s="217"/>
      <c r="U37" s="213"/>
    </row>
    <row r="38" spans="1:21" s="214" customFormat="1">
      <c r="A38" s="219" t="s">
        <v>148</v>
      </c>
      <c r="B38" s="216">
        <f t="shared" si="8"/>
        <v>13872210</v>
      </c>
      <c r="C38" s="216">
        <f>SUM(C29:C37)</f>
        <v>13872210</v>
      </c>
      <c r="D38" s="216">
        <f t="shared" ref="D38:Q38" si="12">SUM(D29:D37)</f>
        <v>0</v>
      </c>
      <c r="E38" s="216">
        <f t="shared" si="12"/>
        <v>0</v>
      </c>
      <c r="F38" s="216">
        <f t="shared" si="12"/>
        <v>4853000</v>
      </c>
      <c r="G38" s="216">
        <f t="shared" si="12"/>
        <v>9019210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13872210</v>
      </c>
      <c r="S38" s="220">
        <f>SUM(S29:S37)</f>
        <v>13872210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965000</v>
      </c>
      <c r="C40" s="217">
        <f>900000+65000</f>
        <v>965000</v>
      </c>
      <c r="D40" s="217"/>
      <c r="E40" s="217"/>
      <c r="F40" s="217"/>
      <c r="G40" s="217">
        <f>C40</f>
        <v>965000</v>
      </c>
      <c r="H40" s="217"/>
      <c r="I40" s="217"/>
      <c r="J40" s="217"/>
      <c r="K40" s="217"/>
      <c r="L40" s="217"/>
      <c r="M40" s="217"/>
      <c r="N40" s="217"/>
      <c r="O40" s="217"/>
      <c r="P40" s="217"/>
      <c r="Q40" s="217"/>
      <c r="R40" s="881">
        <f>SUM(E40:Q40)</f>
        <v>965000</v>
      </c>
      <c r="S40" s="217">
        <f>R40</f>
        <v>965000</v>
      </c>
      <c r="T40" s="217"/>
      <c r="U40" s="213"/>
    </row>
    <row r="41" spans="1:21" s="214" customFormat="1">
      <c r="A41" s="215" t="s">
        <v>151</v>
      </c>
      <c r="B41" s="216">
        <f>SUM(C41+D41)</f>
        <v>250000</v>
      </c>
      <c r="C41" s="217">
        <v>250000</v>
      </c>
      <c r="D41" s="217"/>
      <c r="E41" s="217"/>
      <c r="F41" s="217"/>
      <c r="G41" s="217">
        <f>C41</f>
        <v>250000</v>
      </c>
      <c r="H41" s="217"/>
      <c r="I41" s="217"/>
      <c r="J41" s="217"/>
      <c r="K41" s="217"/>
      <c r="L41" s="217"/>
      <c r="M41" s="217"/>
      <c r="N41" s="217"/>
      <c r="O41" s="217"/>
      <c r="P41" s="217"/>
      <c r="Q41" s="217"/>
      <c r="R41" s="881">
        <f>SUM(E41:Q41)</f>
        <v>250000</v>
      </c>
      <c r="S41" s="217">
        <f>R41</f>
        <v>250000</v>
      </c>
      <c r="T41" s="217"/>
      <c r="U41" s="213"/>
    </row>
    <row r="42" spans="1:21" s="214" customFormat="1">
      <c r="A42" s="219" t="s">
        <v>152</v>
      </c>
      <c r="B42" s="216">
        <f>SUM(C42:D42)</f>
        <v>1215000</v>
      </c>
      <c r="C42" s="216">
        <f>SUM(C39:C41)</f>
        <v>1215000</v>
      </c>
      <c r="D42" s="216">
        <f>SUM(D39:D41)</f>
        <v>0</v>
      </c>
      <c r="E42" s="216">
        <f t="shared" ref="E42:T42" si="13">SUM(E40:E41)</f>
        <v>0</v>
      </c>
      <c r="F42" s="216">
        <f t="shared" si="13"/>
        <v>0</v>
      </c>
      <c r="G42" s="216">
        <f t="shared" si="13"/>
        <v>1215000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1215000</v>
      </c>
      <c r="S42" s="220">
        <f t="shared" si="13"/>
        <v>1215000</v>
      </c>
      <c r="T42" s="220">
        <f t="shared" si="13"/>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1247609</v>
      </c>
      <c r="C45" s="217">
        <f>859671+388028-90</f>
        <v>1247609</v>
      </c>
      <c r="D45" s="217"/>
      <c r="E45" s="217">
        <f t="shared" ref="E45:E52" si="15">C45-H45-G45-F45</f>
        <v>1247609</v>
      </c>
      <c r="F45" s="217"/>
      <c r="G45" s="217"/>
      <c r="H45" s="217"/>
      <c r="I45" s="217"/>
      <c r="J45" s="217"/>
      <c r="K45" s="217"/>
      <c r="L45" s="217"/>
      <c r="M45" s="217"/>
      <c r="N45" s="217"/>
      <c r="O45" s="217"/>
      <c r="P45" s="217"/>
      <c r="Q45" s="217"/>
      <c r="R45" s="881">
        <f t="shared" ref="R45:R53" si="16">SUM(E45:Q45)</f>
        <v>1247609</v>
      </c>
      <c r="S45" s="217">
        <v>979603</v>
      </c>
      <c r="T45" s="217"/>
      <c r="U45" s="213"/>
    </row>
    <row r="46" spans="1:21" s="214" customFormat="1">
      <c r="A46" s="215" t="s">
        <v>156</v>
      </c>
      <c r="B46" s="216">
        <f t="shared" si="14"/>
        <v>220719</v>
      </c>
      <c r="C46" s="217">
        <f>221533-814</f>
        <v>220719</v>
      </c>
      <c r="D46" s="217"/>
      <c r="E46" s="217">
        <f t="shared" si="15"/>
        <v>220719</v>
      </c>
      <c r="F46" s="217"/>
      <c r="G46" s="217"/>
      <c r="H46" s="217"/>
      <c r="I46" s="217"/>
      <c r="J46" s="217"/>
      <c r="K46" s="217"/>
      <c r="L46" s="217"/>
      <c r="M46" s="217"/>
      <c r="N46" s="217"/>
      <c r="O46" s="217"/>
      <c r="P46" s="217"/>
      <c r="Q46" s="217"/>
      <c r="R46" s="881">
        <f t="shared" si="16"/>
        <v>220719</v>
      </c>
      <c r="S46" s="217"/>
      <c r="T46" s="217"/>
      <c r="U46" s="213"/>
    </row>
    <row r="47" spans="1:21" s="214" customFormat="1">
      <c r="A47" s="298" t="s">
        <v>157</v>
      </c>
      <c r="B47" s="216">
        <f t="shared" si="14"/>
        <v>0</v>
      </c>
      <c r="C47" s="217"/>
      <c r="D47" s="217"/>
      <c r="E47" s="217">
        <f t="shared" si="15"/>
        <v>0</v>
      </c>
      <c r="F47" s="217"/>
      <c r="G47" s="217"/>
      <c r="H47" s="217"/>
      <c r="I47" s="217"/>
      <c r="J47" s="217"/>
      <c r="K47" s="217"/>
      <c r="L47" s="217"/>
      <c r="M47" s="217"/>
      <c r="N47" s="217"/>
      <c r="O47" s="217"/>
      <c r="P47" s="217"/>
      <c r="Q47" s="217"/>
      <c r="R47" s="881">
        <f t="shared" si="16"/>
        <v>0</v>
      </c>
      <c r="S47" s="217"/>
      <c r="T47" s="217"/>
      <c r="U47" s="213"/>
    </row>
    <row r="48" spans="1:21" s="214" customFormat="1">
      <c r="A48" s="215" t="s">
        <v>158</v>
      </c>
      <c r="B48" s="216">
        <f t="shared" si="14"/>
        <v>130962</v>
      </c>
      <c r="C48" s="217">
        <v>130962</v>
      </c>
      <c r="D48" s="217"/>
      <c r="E48" s="217">
        <f t="shared" si="15"/>
        <v>0</v>
      </c>
      <c r="F48" s="217"/>
      <c r="G48" s="217">
        <f>C48</f>
        <v>130962</v>
      </c>
      <c r="H48" s="217"/>
      <c r="I48" s="217"/>
      <c r="J48" s="217"/>
      <c r="K48" s="217"/>
      <c r="L48" s="217"/>
      <c r="M48" s="217"/>
      <c r="N48" s="217"/>
      <c r="O48" s="217"/>
      <c r="P48" s="217"/>
      <c r="Q48" s="217"/>
      <c r="R48" s="881">
        <f t="shared" si="16"/>
        <v>130962</v>
      </c>
      <c r="S48" s="217">
        <f>C48</f>
        <v>130962</v>
      </c>
      <c r="T48" s="217"/>
      <c r="U48" s="213"/>
    </row>
    <row r="49" spans="1:21" s="214" customFormat="1">
      <c r="A49" s="215" t="s">
        <v>60</v>
      </c>
      <c r="B49" s="216">
        <f t="shared" si="14"/>
        <v>259869</v>
      </c>
      <c r="C49" s="217">
        <f>260147-100-159-19</f>
        <v>259869</v>
      </c>
      <c r="D49" s="217"/>
      <c r="E49" s="217">
        <f t="shared" si="15"/>
        <v>259869</v>
      </c>
      <c r="F49" s="217"/>
      <c r="G49" s="217"/>
      <c r="H49" s="217"/>
      <c r="I49" s="217"/>
      <c r="J49" s="217"/>
      <c r="K49" s="217"/>
      <c r="L49" s="217"/>
      <c r="M49" s="217"/>
      <c r="N49" s="217"/>
      <c r="O49" s="217"/>
      <c r="P49" s="217"/>
      <c r="Q49" s="217"/>
      <c r="R49" s="881">
        <f t="shared" si="16"/>
        <v>259869</v>
      </c>
      <c r="S49" s="217"/>
      <c r="T49" s="217"/>
      <c r="U49" s="213"/>
    </row>
    <row r="50" spans="1:21" s="214" customFormat="1">
      <c r="A50" s="215" t="s">
        <v>161</v>
      </c>
      <c r="B50" s="216">
        <f t="shared" si="14"/>
        <v>80000</v>
      </c>
      <c r="C50" s="217">
        <v>80000</v>
      </c>
      <c r="D50" s="217"/>
      <c r="E50" s="217">
        <f t="shared" si="15"/>
        <v>80000</v>
      </c>
      <c r="F50" s="217"/>
      <c r="G50" s="217"/>
      <c r="H50" s="217"/>
      <c r="I50" s="217"/>
      <c r="J50" s="217"/>
      <c r="K50" s="217"/>
      <c r="L50" s="217"/>
      <c r="M50" s="217"/>
      <c r="N50" s="217"/>
      <c r="O50" s="217"/>
      <c r="P50" s="217"/>
      <c r="Q50" s="217"/>
      <c r="R50" s="881">
        <f t="shared" si="16"/>
        <v>80000</v>
      </c>
      <c r="S50" s="217">
        <f>R50</f>
        <v>80000</v>
      </c>
      <c r="T50" s="217"/>
      <c r="U50" s="213"/>
    </row>
    <row r="51" spans="1:21" s="214" customFormat="1">
      <c r="A51" s="441" t="s">
        <v>159</v>
      </c>
      <c r="B51" s="216">
        <f t="shared" si="14"/>
        <v>5250</v>
      </c>
      <c r="C51" s="217">
        <v>5250</v>
      </c>
      <c r="D51" s="217"/>
      <c r="E51" s="217">
        <f t="shared" si="15"/>
        <v>0</v>
      </c>
      <c r="F51" s="217"/>
      <c r="G51" s="217">
        <f>C51</f>
        <v>5250</v>
      </c>
      <c r="H51" s="217"/>
      <c r="I51" s="217"/>
      <c r="J51" s="217"/>
      <c r="K51" s="217"/>
      <c r="L51" s="217"/>
      <c r="M51" s="217"/>
      <c r="N51" s="217"/>
      <c r="O51" s="217"/>
      <c r="P51" s="217"/>
      <c r="Q51" s="217"/>
      <c r="R51" s="881">
        <f t="shared" si="16"/>
        <v>5250</v>
      </c>
      <c r="S51" s="217">
        <f t="shared" ref="S51:S53" si="17">R51</f>
        <v>5250</v>
      </c>
      <c r="T51" s="217"/>
      <c r="U51" s="213"/>
    </row>
    <row r="52" spans="1:21" s="214" customFormat="1">
      <c r="A52" s="215" t="s">
        <v>160</v>
      </c>
      <c r="B52" s="216">
        <f t="shared" si="14"/>
        <v>80000</v>
      </c>
      <c r="C52" s="217">
        <v>80000</v>
      </c>
      <c r="D52" s="217"/>
      <c r="E52" s="217">
        <f t="shared" si="15"/>
        <v>0</v>
      </c>
      <c r="F52" s="217"/>
      <c r="G52" s="217">
        <f>C52</f>
        <v>80000</v>
      </c>
      <c r="H52" s="217"/>
      <c r="I52" s="217"/>
      <c r="J52" s="217"/>
      <c r="K52" s="217"/>
      <c r="L52" s="217"/>
      <c r="M52" s="217"/>
      <c r="N52" s="217"/>
      <c r="O52" s="217"/>
      <c r="P52" s="217"/>
      <c r="Q52" s="217"/>
      <c r="R52" s="881">
        <f t="shared" si="16"/>
        <v>80000</v>
      </c>
      <c r="S52" s="217">
        <f t="shared" si="17"/>
        <v>80000</v>
      </c>
      <c r="T52" s="217"/>
      <c r="U52" s="213"/>
    </row>
    <row r="53" spans="1:21" s="214" customFormat="1">
      <c r="A53" s="1850" t="s">
        <v>30</v>
      </c>
      <c r="B53" s="216">
        <f t="shared" si="14"/>
        <v>35000</v>
      </c>
      <c r="C53" s="217">
        <v>35000</v>
      </c>
      <c r="D53" s="217"/>
      <c r="E53" s="217">
        <f>C53-H53-G53-F53</f>
        <v>35000</v>
      </c>
      <c r="F53" s="217"/>
      <c r="G53" s="217"/>
      <c r="H53" s="217"/>
      <c r="I53" s="217"/>
      <c r="J53" s="217"/>
      <c r="K53" s="217"/>
      <c r="L53" s="217"/>
      <c r="M53" s="217"/>
      <c r="N53" s="217"/>
      <c r="O53" s="217"/>
      <c r="P53" s="217"/>
      <c r="Q53" s="217"/>
      <c r="R53" s="881">
        <f t="shared" si="16"/>
        <v>35000</v>
      </c>
      <c r="S53" s="217">
        <f t="shared" si="17"/>
        <v>35000</v>
      </c>
      <c r="T53" s="217"/>
      <c r="U53" s="213"/>
    </row>
    <row r="54" spans="1:21" s="224" customFormat="1">
      <c r="A54" s="219" t="s">
        <v>162</v>
      </c>
      <c r="B54" s="220">
        <f>SUM(C54:D54)</f>
        <v>2059409</v>
      </c>
      <c r="C54" s="220">
        <f t="shared" ref="C54:T54" si="18">SUM(C45:C53)</f>
        <v>2059409</v>
      </c>
      <c r="D54" s="220">
        <f t="shared" si="18"/>
        <v>0</v>
      </c>
      <c r="E54" s="220">
        <f t="shared" si="18"/>
        <v>1843197</v>
      </c>
      <c r="F54" s="220">
        <f t="shared" si="18"/>
        <v>0</v>
      </c>
      <c r="G54" s="220">
        <f t="shared" si="18"/>
        <v>216212</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2059409</v>
      </c>
      <c r="S54" s="220">
        <f t="shared" si="18"/>
        <v>1310815</v>
      </c>
      <c r="T54" s="220">
        <f t="shared" si="18"/>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24265</v>
      </c>
      <c r="C56" s="217">
        <v>24265</v>
      </c>
      <c r="D56" s="217"/>
      <c r="E56" s="217">
        <f t="shared" ref="E56:E61" si="20">C56-H56-G56-F56</f>
        <v>24265</v>
      </c>
      <c r="F56" s="217"/>
      <c r="G56" s="217"/>
      <c r="H56" s="217"/>
      <c r="I56" s="217"/>
      <c r="J56" s="217"/>
      <c r="K56" s="217"/>
      <c r="L56" s="217"/>
      <c r="M56" s="217"/>
      <c r="N56" s="217"/>
      <c r="O56" s="217"/>
      <c r="P56" s="217"/>
      <c r="Q56" s="217"/>
      <c r="R56" s="881">
        <f t="shared" ref="R56:R61" si="21">SUM(E56:Q56)</f>
        <v>24265</v>
      </c>
      <c r="S56" s="218"/>
      <c r="T56" s="218"/>
      <c r="U56" s="213"/>
    </row>
    <row r="57" spans="1:21" s="304" customFormat="1">
      <c r="A57" s="298" t="s">
        <v>157</v>
      </c>
      <c r="B57" s="305">
        <f t="shared" si="19"/>
        <v>0</v>
      </c>
      <c r="C57" s="302"/>
      <c r="D57" s="302"/>
      <c r="E57" s="217">
        <f t="shared" si="20"/>
        <v>0</v>
      </c>
      <c r="F57" s="302"/>
      <c r="G57" s="302"/>
      <c r="H57" s="302"/>
      <c r="I57" s="302"/>
      <c r="J57" s="302"/>
      <c r="K57" s="302"/>
      <c r="L57" s="302"/>
      <c r="M57" s="302"/>
      <c r="N57" s="302"/>
      <c r="O57" s="302"/>
      <c r="P57" s="302"/>
      <c r="Q57" s="302"/>
      <c r="R57" s="881">
        <f t="shared" si="21"/>
        <v>0</v>
      </c>
      <c r="S57" s="306"/>
      <c r="T57" s="306"/>
      <c r="U57" s="303"/>
    </row>
    <row r="58" spans="1:21" s="214" customFormat="1">
      <c r="A58" s="215" t="s">
        <v>161</v>
      </c>
      <c r="B58" s="216">
        <f t="shared" si="19"/>
        <v>5000</v>
      </c>
      <c r="C58" s="217">
        <v>5000</v>
      </c>
      <c r="D58" s="217"/>
      <c r="E58" s="217">
        <f t="shared" si="20"/>
        <v>5000</v>
      </c>
      <c r="F58" s="217"/>
      <c r="G58" s="217"/>
      <c r="H58" s="217"/>
      <c r="I58" s="217"/>
      <c r="J58" s="217"/>
      <c r="K58" s="217"/>
      <c r="L58" s="217"/>
      <c r="M58" s="217"/>
      <c r="N58" s="217"/>
      <c r="O58" s="217"/>
      <c r="P58" s="217"/>
      <c r="Q58" s="217"/>
      <c r="R58" s="881">
        <f t="shared" si="21"/>
        <v>5000</v>
      </c>
      <c r="S58" s="218"/>
      <c r="T58" s="218"/>
      <c r="U58" s="213"/>
    </row>
    <row r="59" spans="1:21" s="214" customFormat="1">
      <c r="A59" s="441" t="s">
        <v>159</v>
      </c>
      <c r="B59" s="216">
        <f t="shared" si="19"/>
        <v>0</v>
      </c>
      <c r="C59" s="217"/>
      <c r="D59" s="217"/>
      <c r="E59" s="217">
        <f t="shared" si="20"/>
        <v>0</v>
      </c>
      <c r="F59" s="217"/>
      <c r="G59" s="217"/>
      <c r="H59" s="217"/>
      <c r="I59" s="217"/>
      <c r="J59" s="217"/>
      <c r="K59" s="217"/>
      <c r="L59" s="217"/>
      <c r="M59" s="217"/>
      <c r="N59" s="217"/>
      <c r="O59" s="217"/>
      <c r="P59" s="217"/>
      <c r="Q59" s="217"/>
      <c r="R59" s="881">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81">
        <f t="shared" si="21"/>
        <v>0</v>
      </c>
      <c r="S60" s="218"/>
      <c r="T60" s="218"/>
      <c r="U60" s="213"/>
    </row>
    <row r="61" spans="1:21" s="214" customFormat="1">
      <c r="A61" s="1850" t="s">
        <v>2600</v>
      </c>
      <c r="B61" s="216">
        <f t="shared" si="19"/>
        <v>10000</v>
      </c>
      <c r="C61" s="217">
        <v>10000</v>
      </c>
      <c r="D61" s="217"/>
      <c r="E61" s="217">
        <f t="shared" si="20"/>
        <v>10000</v>
      </c>
      <c r="F61" s="217"/>
      <c r="G61" s="217"/>
      <c r="H61" s="217"/>
      <c r="I61" s="217"/>
      <c r="J61" s="217"/>
      <c r="K61" s="217"/>
      <c r="L61" s="217"/>
      <c r="M61" s="217"/>
      <c r="N61" s="217"/>
      <c r="O61" s="217"/>
      <c r="P61" s="217"/>
      <c r="Q61" s="217"/>
      <c r="R61" s="881">
        <f t="shared" si="21"/>
        <v>10000</v>
      </c>
      <c r="S61" s="218"/>
      <c r="T61" s="218"/>
      <c r="U61" s="213"/>
    </row>
    <row r="62" spans="1:21" s="214" customFormat="1" ht="13.7" customHeight="1">
      <c r="A62" s="219" t="s">
        <v>310</v>
      </c>
      <c r="B62" s="216">
        <f>SUM(C62:D62)</f>
        <v>39265</v>
      </c>
      <c r="C62" s="216">
        <f t="shared" ref="C62:R62" si="22">SUM(C56:C61)</f>
        <v>39265</v>
      </c>
      <c r="D62" s="216">
        <f t="shared" si="22"/>
        <v>0</v>
      </c>
      <c r="E62" s="216">
        <f t="shared" si="22"/>
        <v>39265</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5">
        <f t="shared" si="22"/>
        <v>39265</v>
      </c>
      <c r="S62" s="218"/>
      <c r="T62" s="218"/>
      <c r="U62" s="213"/>
    </row>
    <row r="63" spans="1:21" s="214" customFormat="1">
      <c r="A63" s="225" t="s">
        <v>311</v>
      </c>
      <c r="B63" s="216">
        <f t="shared" ref="B63:R63" si="23">SUM(B8+B11+B13+B14+B15+B26+B27+B38+B42+B43+B54+B62)</f>
        <v>17866560</v>
      </c>
      <c r="C63" s="216">
        <f t="shared" si="23"/>
        <v>17866560</v>
      </c>
      <c r="D63" s="216">
        <f t="shared" si="23"/>
        <v>0</v>
      </c>
      <c r="E63" s="216">
        <f t="shared" si="23"/>
        <v>2367462</v>
      </c>
      <c r="F63" s="216">
        <f t="shared" si="23"/>
        <v>4853000</v>
      </c>
      <c r="G63" s="216">
        <f t="shared" si="23"/>
        <v>10646098</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5">
        <f t="shared" si="23"/>
        <v>17866560</v>
      </c>
      <c r="S63" s="216">
        <f>SUM(S10+S13+S14+S15+S26+S27+S38+S42+S43+S54)</f>
        <v>16593701</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70483</v>
      </c>
      <c r="C65" s="217">
        <f>30000+15000+10483+15000</f>
        <v>70483</v>
      </c>
      <c r="D65" s="217"/>
      <c r="E65" s="217">
        <f>C65-H65-G65-F65</f>
        <v>70483</v>
      </c>
      <c r="F65" s="217"/>
      <c r="G65" s="217"/>
      <c r="H65" s="217"/>
      <c r="I65" s="217"/>
      <c r="J65" s="217"/>
      <c r="K65" s="217"/>
      <c r="L65" s="217"/>
      <c r="M65" s="217"/>
      <c r="N65" s="217"/>
      <c r="O65" s="217"/>
      <c r="P65" s="217"/>
      <c r="Q65" s="217"/>
      <c r="R65" s="881">
        <f>SUM(E65:Q65)</f>
        <v>70483</v>
      </c>
      <c r="S65" s="217"/>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SUM(E67:Q67)</f>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SUM(E68:Q68)</f>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70483</v>
      </c>
      <c r="C70" s="216">
        <f>SUM(C65:C69)</f>
        <v>70483</v>
      </c>
      <c r="D70" s="216">
        <f>SUM(D65:D69)</f>
        <v>0</v>
      </c>
      <c r="E70" s="216">
        <f t="shared" ref="E70:T70" si="24">SUM(E65:E69)</f>
        <v>70483</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70483</v>
      </c>
      <c r="S70" s="220">
        <f t="shared" si="24"/>
        <v>0</v>
      </c>
      <c r="T70" s="220">
        <f t="shared" si="24"/>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201549</v>
      </c>
      <c r="C73" s="217">
        <v>201549</v>
      </c>
      <c r="D73" s="217"/>
      <c r="E73" s="217">
        <f>C73-H73-G73-F73</f>
        <v>201549</v>
      </c>
      <c r="F73" s="217"/>
      <c r="G73" s="217"/>
      <c r="H73" s="217"/>
      <c r="I73" s="217"/>
      <c r="J73" s="217"/>
      <c r="K73" s="217"/>
      <c r="L73" s="217"/>
      <c r="M73" s="217"/>
      <c r="N73" s="217"/>
      <c r="O73" s="217"/>
      <c r="P73" s="217"/>
      <c r="Q73" s="217"/>
      <c r="R73" s="881">
        <f>SUM(E73:Q73)</f>
        <v>201549</v>
      </c>
      <c r="S73" s="218"/>
      <c r="T73" s="218"/>
      <c r="U73" s="213"/>
    </row>
    <row r="74" spans="1:21" s="214" customFormat="1">
      <c r="A74" s="739" t="s">
        <v>1088</v>
      </c>
      <c r="B74" s="216">
        <f>SUM(C74+D74)</f>
        <v>508190</v>
      </c>
      <c r="C74" s="217">
        <v>508190</v>
      </c>
      <c r="D74" s="217"/>
      <c r="E74" s="217">
        <f>C74-H74-G74-F74</f>
        <v>508190</v>
      </c>
      <c r="F74" s="217"/>
      <c r="G74" s="217"/>
      <c r="H74" s="217"/>
      <c r="I74" s="217"/>
      <c r="J74" s="217"/>
      <c r="K74" s="217"/>
      <c r="L74" s="217"/>
      <c r="M74" s="217"/>
      <c r="N74" s="217"/>
      <c r="O74" s="217"/>
      <c r="P74" s="217"/>
      <c r="Q74" s="217"/>
      <c r="R74" s="881">
        <f>SUM(E74:Q74)</f>
        <v>508190</v>
      </c>
      <c r="S74" s="218"/>
      <c r="T74" s="218"/>
      <c r="U74" s="213"/>
    </row>
    <row r="75" spans="1:21" s="214" customFormat="1">
      <c r="A75" s="215" t="s">
        <v>641</v>
      </c>
      <c r="B75" s="216">
        <f>SUM(C75+D75)</f>
        <v>0</v>
      </c>
      <c r="C75" s="217"/>
      <c r="D75" s="217"/>
      <c r="E75" s="217"/>
      <c r="F75" s="217"/>
      <c r="G75" s="217"/>
      <c r="H75" s="217"/>
      <c r="I75" s="217"/>
      <c r="J75" s="217"/>
      <c r="K75" s="217"/>
      <c r="L75" s="217"/>
      <c r="M75" s="217"/>
      <c r="N75" s="217"/>
      <c r="O75" s="217"/>
      <c r="P75" s="217"/>
      <c r="Q75" s="217"/>
      <c r="R75" s="88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709739</v>
      </c>
      <c r="C77" s="216">
        <f>SUM(C72:C76)</f>
        <v>709739</v>
      </c>
      <c r="D77" s="216">
        <f>SUM(D72:D76)</f>
        <v>0</v>
      </c>
      <c r="E77" s="216">
        <f t="shared" ref="E77:Q77" si="25">SUM(E72:E76)</f>
        <v>709739</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709739</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709942</v>
      </c>
      <c r="C79" s="217">
        <v>709942</v>
      </c>
      <c r="D79" s="217"/>
      <c r="E79" s="217">
        <f>C79-H79-G79-F79</f>
        <v>0</v>
      </c>
      <c r="F79" s="217"/>
      <c r="G79" s="217">
        <f>C79</f>
        <v>709942</v>
      </c>
      <c r="H79" s="217"/>
      <c r="I79" s="217"/>
      <c r="J79" s="217"/>
      <c r="K79" s="217"/>
      <c r="L79" s="217"/>
      <c r="M79" s="217"/>
      <c r="N79" s="217"/>
      <c r="O79" s="217"/>
      <c r="P79" s="217"/>
      <c r="Q79" s="217"/>
      <c r="R79" s="881">
        <f>SUM(E79:Q79)</f>
        <v>709942</v>
      </c>
      <c r="S79" s="217">
        <f>R79</f>
        <v>709942</v>
      </c>
      <c r="T79" s="217"/>
      <c r="U79" s="213"/>
    </row>
    <row r="80" spans="1:21" s="214" customFormat="1">
      <c r="A80" s="441" t="s">
        <v>61</v>
      </c>
      <c r="B80" s="216">
        <f>SUM(C80:D80)</f>
        <v>277001</v>
      </c>
      <c r="C80" s="217">
        <v>277001</v>
      </c>
      <c r="D80" s="217"/>
      <c r="E80" s="217">
        <f>C80-H80-G80-F80</f>
        <v>277001</v>
      </c>
      <c r="F80" s="217"/>
      <c r="G80" s="217"/>
      <c r="H80" s="217"/>
      <c r="I80" s="217"/>
      <c r="J80" s="217"/>
      <c r="K80" s="217"/>
      <c r="L80" s="217"/>
      <c r="M80" s="217"/>
      <c r="N80" s="217"/>
      <c r="O80" s="217"/>
      <c r="P80" s="217"/>
      <c r="Q80" s="217"/>
      <c r="R80" s="881">
        <f>SUM(E80:Q80)</f>
        <v>277001</v>
      </c>
      <c r="S80" s="217">
        <f>R80</f>
        <v>277001</v>
      </c>
      <c r="T80" s="217"/>
      <c r="U80" s="213"/>
    </row>
    <row r="81" spans="1:21" s="214" customFormat="1">
      <c r="A81" s="219" t="s">
        <v>1425</v>
      </c>
      <c r="B81" s="216">
        <f>SUM(C81:D81)</f>
        <v>986943</v>
      </c>
      <c r="C81" s="861">
        <f>SUM(C79:C80)</f>
        <v>986943</v>
      </c>
      <c r="D81" s="861">
        <f t="shared" ref="D81:T81" si="26">SUM(D79:D80)</f>
        <v>0</v>
      </c>
      <c r="E81" s="861">
        <f t="shared" si="26"/>
        <v>277001</v>
      </c>
      <c r="F81" s="861">
        <f t="shared" si="26"/>
        <v>0</v>
      </c>
      <c r="G81" s="861">
        <f t="shared" si="26"/>
        <v>709942</v>
      </c>
      <c r="H81" s="861">
        <f t="shared" si="26"/>
        <v>0</v>
      </c>
      <c r="I81" s="861">
        <f t="shared" si="26"/>
        <v>0</v>
      </c>
      <c r="J81" s="861">
        <f t="shared" si="26"/>
        <v>0</v>
      </c>
      <c r="K81" s="861">
        <f t="shared" si="26"/>
        <v>0</v>
      </c>
      <c r="L81" s="861">
        <f t="shared" si="26"/>
        <v>0</v>
      </c>
      <c r="M81" s="861">
        <f t="shared" si="26"/>
        <v>0</v>
      </c>
      <c r="N81" s="861">
        <f t="shared" si="26"/>
        <v>0</v>
      </c>
      <c r="O81" s="861">
        <f t="shared" si="26"/>
        <v>0</v>
      </c>
      <c r="P81" s="861">
        <f t="shared" si="26"/>
        <v>0</v>
      </c>
      <c r="Q81" s="861">
        <f t="shared" si="26"/>
        <v>0</v>
      </c>
      <c r="R81" s="861">
        <f t="shared" si="26"/>
        <v>986943</v>
      </c>
      <c r="S81" s="861">
        <f t="shared" si="26"/>
        <v>986943</v>
      </c>
      <c r="T81" s="861">
        <f t="shared" si="2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7">SUM(C83+D83)</f>
        <v>56767</v>
      </c>
      <c r="C83" s="217">
        <v>56767</v>
      </c>
      <c r="D83" s="217"/>
      <c r="E83" s="217">
        <f>C83-H83-G83-F83</f>
        <v>56767</v>
      </c>
      <c r="F83" s="217"/>
      <c r="G83" s="217"/>
      <c r="H83" s="217"/>
      <c r="I83" s="217"/>
      <c r="J83" s="217"/>
      <c r="K83" s="217"/>
      <c r="L83" s="217"/>
      <c r="M83" s="217"/>
      <c r="N83" s="217"/>
      <c r="O83" s="217"/>
      <c r="P83" s="217"/>
      <c r="Q83" s="217"/>
      <c r="R83" s="881">
        <f t="shared" ref="R83:R95" si="28">SUM(E83:Q83)</f>
        <v>56767</v>
      </c>
      <c r="S83" s="218"/>
      <c r="T83" s="218"/>
      <c r="U83" s="213"/>
    </row>
    <row r="84" spans="1:21" s="214" customFormat="1">
      <c r="A84" s="215" t="s">
        <v>828</v>
      </c>
      <c r="B84" s="216">
        <f t="shared" si="27"/>
        <v>85000</v>
      </c>
      <c r="C84" s="217">
        <v>85000</v>
      </c>
      <c r="D84" s="217"/>
      <c r="E84" s="217">
        <f t="shared" ref="E84:E95" si="29">C84-H84-G84-F84</f>
        <v>27721</v>
      </c>
      <c r="F84" s="217"/>
      <c r="G84" s="217">
        <f>C84-27721</f>
        <v>57279</v>
      </c>
      <c r="H84" s="217"/>
      <c r="I84" s="217"/>
      <c r="J84" s="217"/>
      <c r="K84" s="217"/>
      <c r="L84" s="217"/>
      <c r="M84" s="217"/>
      <c r="N84" s="217"/>
      <c r="O84" s="217"/>
      <c r="P84" s="217"/>
      <c r="Q84" s="217"/>
      <c r="R84" s="881">
        <f t="shared" si="28"/>
        <v>85000</v>
      </c>
      <c r="S84" s="217">
        <f>R84</f>
        <v>85000</v>
      </c>
      <c r="T84" s="217"/>
      <c r="U84" s="213"/>
    </row>
    <row r="85" spans="1:21" s="214" customFormat="1">
      <c r="A85" s="215" t="s">
        <v>829</v>
      </c>
      <c r="B85" s="216">
        <f t="shared" si="27"/>
        <v>1533515</v>
      </c>
      <c r="C85" s="217">
        <v>1533515</v>
      </c>
      <c r="D85" s="217"/>
      <c r="E85" s="217">
        <f t="shared" si="29"/>
        <v>1533515</v>
      </c>
      <c r="F85" s="217"/>
      <c r="G85" s="217"/>
      <c r="H85" s="217"/>
      <c r="I85" s="217"/>
      <c r="J85" s="217"/>
      <c r="K85" s="217"/>
      <c r="L85" s="217"/>
      <c r="M85" s="217"/>
      <c r="N85" s="217"/>
      <c r="O85" s="217"/>
      <c r="P85" s="217"/>
      <c r="Q85" s="217"/>
      <c r="R85" s="881">
        <f t="shared" si="28"/>
        <v>1533515</v>
      </c>
      <c r="S85" s="217">
        <f t="shared" ref="S85:S86" si="30">R85</f>
        <v>1533515</v>
      </c>
      <c r="T85" s="217"/>
      <c r="U85" s="213"/>
    </row>
    <row r="86" spans="1:21" s="214" customFormat="1">
      <c r="A86" s="215" t="s">
        <v>830</v>
      </c>
      <c r="B86" s="216">
        <f t="shared" si="27"/>
        <v>168000</v>
      </c>
      <c r="C86" s="217">
        <v>168000</v>
      </c>
      <c r="D86" s="217"/>
      <c r="E86" s="217">
        <f t="shared" si="29"/>
        <v>0</v>
      </c>
      <c r="F86" s="217"/>
      <c r="G86" s="217">
        <f>C86</f>
        <v>168000</v>
      </c>
      <c r="H86" s="217"/>
      <c r="I86" s="217"/>
      <c r="J86" s="217"/>
      <c r="K86" s="217"/>
      <c r="L86" s="217"/>
      <c r="M86" s="217"/>
      <c r="N86" s="217"/>
      <c r="O86" s="217"/>
      <c r="P86" s="217"/>
      <c r="Q86" s="217"/>
      <c r="R86" s="881">
        <f t="shared" si="28"/>
        <v>168000</v>
      </c>
      <c r="S86" s="217">
        <f t="shared" si="30"/>
        <v>168000</v>
      </c>
      <c r="T86" s="217"/>
      <c r="U86" s="213"/>
    </row>
    <row r="87" spans="1:21" s="214" customFormat="1">
      <c r="A87" s="215" t="s">
        <v>831</v>
      </c>
      <c r="B87" s="216">
        <f t="shared" si="27"/>
        <v>0</v>
      </c>
      <c r="C87" s="217"/>
      <c r="D87" s="217"/>
      <c r="E87" s="217">
        <f t="shared" si="29"/>
        <v>0</v>
      </c>
      <c r="F87" s="217"/>
      <c r="G87" s="217"/>
      <c r="H87" s="217"/>
      <c r="I87" s="217"/>
      <c r="J87" s="217"/>
      <c r="K87" s="217"/>
      <c r="L87" s="217"/>
      <c r="M87" s="217"/>
      <c r="N87" s="217"/>
      <c r="O87" s="217"/>
      <c r="P87" s="217"/>
      <c r="Q87" s="217"/>
      <c r="R87" s="881">
        <f t="shared" si="28"/>
        <v>0</v>
      </c>
      <c r="S87" s="217"/>
      <c r="T87" s="217"/>
      <c r="U87" s="213"/>
    </row>
    <row r="88" spans="1:21" s="214" customFormat="1">
      <c r="A88" s="215" t="s">
        <v>832</v>
      </c>
      <c r="B88" s="216">
        <f t="shared" si="27"/>
        <v>63373</v>
      </c>
      <c r="C88" s="217">
        <f>19500+43873</f>
        <v>63373</v>
      </c>
      <c r="D88" s="217"/>
      <c r="E88" s="217">
        <f t="shared" si="29"/>
        <v>63373</v>
      </c>
      <c r="F88" s="217"/>
      <c r="G88" s="217"/>
      <c r="H88" s="217"/>
      <c r="I88" s="217"/>
      <c r="J88" s="217"/>
      <c r="K88" s="217"/>
      <c r="L88" s="217"/>
      <c r="M88" s="217"/>
      <c r="N88" s="217"/>
      <c r="O88" s="217"/>
      <c r="P88" s="217"/>
      <c r="Q88" s="217"/>
      <c r="R88" s="881">
        <f t="shared" si="28"/>
        <v>63373</v>
      </c>
      <c r="S88" s="218"/>
      <c r="T88" s="218"/>
      <c r="U88" s="213"/>
    </row>
    <row r="89" spans="1:21" s="214" customFormat="1">
      <c r="A89" s="215" t="s">
        <v>833</v>
      </c>
      <c r="B89" s="216">
        <f t="shared" si="27"/>
        <v>32400</v>
      </c>
      <c r="C89" s="217">
        <v>32400</v>
      </c>
      <c r="D89" s="217"/>
      <c r="E89" s="217">
        <f t="shared" si="29"/>
        <v>32400</v>
      </c>
      <c r="F89" s="217"/>
      <c r="G89" s="217"/>
      <c r="H89" s="217"/>
      <c r="I89" s="217"/>
      <c r="J89" s="217"/>
      <c r="K89" s="217"/>
      <c r="L89" s="217"/>
      <c r="M89" s="217"/>
      <c r="N89" s="217"/>
      <c r="O89" s="217"/>
      <c r="P89" s="217"/>
      <c r="Q89" s="217"/>
      <c r="R89" s="881">
        <f t="shared" si="28"/>
        <v>32400</v>
      </c>
      <c r="S89" s="217">
        <f>R89</f>
        <v>32400</v>
      </c>
      <c r="T89" s="217"/>
      <c r="U89" s="213"/>
    </row>
    <row r="90" spans="1:21" s="214" customFormat="1">
      <c r="A90" s="215" t="s">
        <v>834</v>
      </c>
      <c r="B90" s="216">
        <f t="shared" si="27"/>
        <v>15000</v>
      </c>
      <c r="C90" s="217">
        <v>15000</v>
      </c>
      <c r="D90" s="217"/>
      <c r="E90" s="217">
        <f t="shared" si="29"/>
        <v>15000</v>
      </c>
      <c r="F90" s="217"/>
      <c r="G90" s="217"/>
      <c r="H90" s="217"/>
      <c r="I90" s="217"/>
      <c r="J90" s="217"/>
      <c r="K90" s="217"/>
      <c r="L90" s="217"/>
      <c r="M90" s="217"/>
      <c r="N90" s="217"/>
      <c r="O90" s="217"/>
      <c r="P90" s="217"/>
      <c r="Q90" s="217"/>
      <c r="R90" s="881">
        <f t="shared" si="28"/>
        <v>15000</v>
      </c>
      <c r="S90" s="217"/>
      <c r="T90" s="217"/>
      <c r="U90" s="213"/>
    </row>
    <row r="91" spans="1:21" s="214" customFormat="1">
      <c r="A91" s="1828" t="s">
        <v>391</v>
      </c>
      <c r="B91" s="216">
        <f t="shared" si="27"/>
        <v>0</v>
      </c>
      <c r="C91" s="217"/>
      <c r="D91" s="217"/>
      <c r="E91" s="217">
        <f t="shared" si="29"/>
        <v>0</v>
      </c>
      <c r="F91" s="217"/>
      <c r="G91" s="217"/>
      <c r="H91" s="217"/>
      <c r="I91" s="217"/>
      <c r="J91" s="217"/>
      <c r="K91" s="217"/>
      <c r="L91" s="217"/>
      <c r="M91" s="217"/>
      <c r="N91" s="217"/>
      <c r="O91" s="217"/>
      <c r="P91" s="217"/>
      <c r="Q91" s="217"/>
      <c r="R91" s="881">
        <f t="shared" si="28"/>
        <v>0</v>
      </c>
      <c r="S91" s="217"/>
      <c r="T91" s="217"/>
      <c r="U91" s="213"/>
    </row>
    <row r="92" spans="1:21" s="214" customFormat="1">
      <c r="A92" s="1827" t="s">
        <v>1427</v>
      </c>
      <c r="B92" s="216">
        <f t="shared" si="27"/>
        <v>15000</v>
      </c>
      <c r="C92" s="217">
        <v>15000</v>
      </c>
      <c r="D92" s="217"/>
      <c r="E92" s="217">
        <f t="shared" si="29"/>
        <v>15000</v>
      </c>
      <c r="F92" s="217"/>
      <c r="G92" s="217"/>
      <c r="H92" s="217"/>
      <c r="I92" s="217"/>
      <c r="J92" s="217"/>
      <c r="K92" s="217"/>
      <c r="L92" s="217"/>
      <c r="M92" s="217"/>
      <c r="N92" s="217"/>
      <c r="O92" s="217"/>
      <c r="P92" s="217"/>
      <c r="Q92" s="217"/>
      <c r="R92" s="881">
        <f t="shared" si="28"/>
        <v>15000</v>
      </c>
      <c r="S92" s="217">
        <f>R92</f>
        <v>15000</v>
      </c>
      <c r="T92" s="217"/>
      <c r="U92" s="213"/>
    </row>
    <row r="93" spans="1:21" s="214" customFormat="1">
      <c r="A93" s="1850" t="s">
        <v>2599</v>
      </c>
      <c r="B93" s="216">
        <f t="shared" si="27"/>
        <v>251384</v>
      </c>
      <c r="C93" s="217">
        <f>121384+130000</f>
        <v>251384</v>
      </c>
      <c r="D93" s="217"/>
      <c r="E93" s="217">
        <f t="shared" si="29"/>
        <v>0</v>
      </c>
      <c r="F93" s="217"/>
      <c r="G93" s="217">
        <f>C93</f>
        <v>251384</v>
      </c>
      <c r="H93" s="217"/>
      <c r="I93" s="217"/>
      <c r="J93" s="217"/>
      <c r="K93" s="217"/>
      <c r="L93" s="217"/>
      <c r="M93" s="217"/>
      <c r="N93" s="217"/>
      <c r="O93" s="217"/>
      <c r="P93" s="217"/>
      <c r="Q93" s="217"/>
      <c r="R93" s="881">
        <f t="shared" si="28"/>
        <v>251384</v>
      </c>
      <c r="S93" s="217">
        <f>R93</f>
        <v>251384</v>
      </c>
      <c r="T93" s="217"/>
      <c r="U93" s="213"/>
    </row>
    <row r="94" spans="1:21" s="214" customFormat="1">
      <c r="A94" s="1850" t="s">
        <v>2598</v>
      </c>
      <c r="B94" s="216">
        <f t="shared" si="27"/>
        <v>137327</v>
      </c>
      <c r="C94" s="217">
        <f>77327+60000</f>
        <v>137327</v>
      </c>
      <c r="D94" s="217"/>
      <c r="E94" s="217">
        <f t="shared" si="29"/>
        <v>0</v>
      </c>
      <c r="F94" s="217"/>
      <c r="G94" s="217">
        <f>C94</f>
        <v>137327</v>
      </c>
      <c r="H94" s="217"/>
      <c r="I94" s="217"/>
      <c r="J94" s="217"/>
      <c r="K94" s="217"/>
      <c r="L94" s="217"/>
      <c r="M94" s="217"/>
      <c r="N94" s="217"/>
      <c r="O94" s="217"/>
      <c r="P94" s="217"/>
      <c r="Q94" s="217"/>
      <c r="R94" s="881">
        <f t="shared" si="28"/>
        <v>137327</v>
      </c>
      <c r="S94" s="217">
        <f>R94</f>
        <v>137327</v>
      </c>
      <c r="T94" s="217"/>
      <c r="U94" s="213"/>
    </row>
    <row r="95" spans="1:21" s="214" customFormat="1">
      <c r="A95" s="222" t="s">
        <v>35</v>
      </c>
      <c r="B95" s="216">
        <f t="shared" si="27"/>
        <v>0</v>
      </c>
      <c r="C95" s="217"/>
      <c r="D95" s="217"/>
      <c r="E95" s="217">
        <f t="shared" si="29"/>
        <v>0</v>
      </c>
      <c r="F95" s="217"/>
      <c r="G95" s="217"/>
      <c r="H95" s="217"/>
      <c r="I95" s="217"/>
      <c r="J95" s="217"/>
      <c r="K95" s="217"/>
      <c r="L95" s="217"/>
      <c r="M95" s="217"/>
      <c r="N95" s="217"/>
      <c r="O95" s="217"/>
      <c r="P95" s="217"/>
      <c r="Q95" s="217"/>
      <c r="R95" s="881">
        <f t="shared" si="28"/>
        <v>0</v>
      </c>
      <c r="S95" s="217"/>
      <c r="T95" s="217"/>
      <c r="U95" s="213"/>
    </row>
    <row r="96" spans="1:21" s="214" customFormat="1">
      <c r="A96" s="219" t="s">
        <v>835</v>
      </c>
      <c r="B96" s="216">
        <f>SUM(C96:D96)</f>
        <v>2357766</v>
      </c>
      <c r="C96" s="216">
        <f t="shared" ref="C96:R96" si="31">SUM(C83:C95)</f>
        <v>2357766</v>
      </c>
      <c r="D96" s="216">
        <f t="shared" si="31"/>
        <v>0</v>
      </c>
      <c r="E96" s="216">
        <f t="shared" si="31"/>
        <v>1743776</v>
      </c>
      <c r="F96" s="216">
        <f t="shared" si="31"/>
        <v>0</v>
      </c>
      <c r="G96" s="216">
        <f t="shared" si="31"/>
        <v>613990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5">
        <f t="shared" si="31"/>
        <v>2357766</v>
      </c>
      <c r="S96" s="220">
        <f>SUM(S84:S87,S89:S95)</f>
        <v>2222626</v>
      </c>
      <c r="T96" s="216">
        <f>SUM(T84:T87,T89:T95)</f>
        <v>0</v>
      </c>
      <c r="U96" s="213"/>
    </row>
    <row r="97" spans="1:21" s="214" customFormat="1">
      <c r="A97" s="219" t="s">
        <v>836</v>
      </c>
      <c r="B97" s="216">
        <f>SUM(C97:D97)</f>
        <v>21991491</v>
      </c>
      <c r="C97" s="216">
        <f t="shared" ref="C97:R97" si="32">SUM(C63+C70+C77+C81+C96)</f>
        <v>21991491</v>
      </c>
      <c r="D97" s="216">
        <f t="shared" si="32"/>
        <v>0</v>
      </c>
      <c r="E97" s="216">
        <f t="shared" si="32"/>
        <v>5168461</v>
      </c>
      <c r="F97" s="216">
        <f t="shared" si="32"/>
        <v>4853000</v>
      </c>
      <c r="G97" s="216">
        <f t="shared" si="32"/>
        <v>11970030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21991491</v>
      </c>
      <c r="S97" s="216">
        <f>SUM(S63+S70+S81+S96)</f>
        <v>19803270</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2934462</v>
      </c>
      <c r="C99" s="1706">
        <v>2934462</v>
      </c>
      <c r="D99" s="1706"/>
      <c r="E99" s="1706">
        <f>C99-H99-G99-F99</f>
        <v>2500000</v>
      </c>
      <c r="F99" s="217"/>
      <c r="G99" s="217"/>
      <c r="H99" s="217">
        <f>H108</f>
        <v>434462</v>
      </c>
      <c r="I99" s="217"/>
      <c r="J99" s="217"/>
      <c r="K99" s="217"/>
      <c r="L99" s="217"/>
      <c r="M99" s="217"/>
      <c r="N99" s="217"/>
      <c r="O99" s="217"/>
      <c r="P99" s="217"/>
      <c r="Q99" s="217"/>
      <c r="R99" s="881">
        <f>SUM(E99:Q99)</f>
        <v>2934462</v>
      </c>
      <c r="S99" s="217">
        <f>R99</f>
        <v>2934462</v>
      </c>
      <c r="T99" s="217"/>
      <c r="U99" s="213"/>
    </row>
    <row r="100" spans="1:21" s="214" customFormat="1">
      <c r="A100" s="441" t="s">
        <v>2014</v>
      </c>
      <c r="B100" s="216">
        <f>SUM(C100+D100)</f>
        <v>0</v>
      </c>
      <c r="C100" s="217"/>
      <c r="D100" s="217"/>
      <c r="E100" s="217"/>
      <c r="F100" s="217"/>
      <c r="G100" s="217"/>
      <c r="H100" s="217"/>
      <c r="I100" s="217"/>
      <c r="J100" s="217"/>
      <c r="K100" s="217"/>
      <c r="L100" s="217"/>
      <c r="M100" s="217"/>
      <c r="N100" s="217"/>
      <c r="O100" s="217"/>
      <c r="P100" s="217"/>
      <c r="Q100" s="217"/>
      <c r="R100" s="881">
        <f>SUM(E100:Q100)</f>
        <v>0</v>
      </c>
      <c r="S100" s="217"/>
      <c r="T100" s="217"/>
      <c r="U100" s="213"/>
    </row>
    <row r="101" spans="1:21" s="214" customFormat="1" ht="12" customHeight="1">
      <c r="A101" s="215" t="s">
        <v>839</v>
      </c>
      <c r="B101" s="216">
        <f>SUM(C101+D101)</f>
        <v>0</v>
      </c>
      <c r="C101" s="217"/>
      <c r="D101" s="217"/>
      <c r="E101" s="217"/>
      <c r="F101" s="217"/>
      <c r="G101" s="217"/>
      <c r="H101" s="217"/>
      <c r="I101" s="217"/>
      <c r="J101" s="217"/>
      <c r="K101" s="217"/>
      <c r="L101" s="217"/>
      <c r="M101" s="217"/>
      <c r="N101" s="217"/>
      <c r="O101" s="217"/>
      <c r="P101" s="217"/>
      <c r="Q101" s="217"/>
      <c r="R101" s="881">
        <f>SUM(E101:Q101)</f>
        <v>0</v>
      </c>
      <c r="S101" s="217"/>
      <c r="T101" s="217"/>
      <c r="U101" s="213"/>
    </row>
    <row r="102" spans="1:21" s="214" customFormat="1">
      <c r="A102" s="441" t="s">
        <v>2015</v>
      </c>
      <c r="B102" s="216">
        <f>SUM(C102+D102)</f>
        <v>0</v>
      </c>
      <c r="C102" s="217"/>
      <c r="D102" s="217"/>
      <c r="E102" s="217"/>
      <c r="F102" s="217"/>
      <c r="G102" s="217"/>
      <c r="H102" s="217"/>
      <c r="I102" s="217"/>
      <c r="J102" s="217"/>
      <c r="K102" s="217"/>
      <c r="L102" s="217"/>
      <c r="M102" s="217"/>
      <c r="N102" s="217"/>
      <c r="O102" s="217"/>
      <c r="P102" s="217"/>
      <c r="Q102" s="217"/>
      <c r="R102" s="88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81">
        <f>SUM(E103:Q103)</f>
        <v>0</v>
      </c>
      <c r="S103" s="217"/>
      <c r="T103" s="217"/>
      <c r="U103" s="213"/>
    </row>
    <row r="104" spans="1:21" s="214" customFormat="1">
      <c r="A104" s="219" t="s">
        <v>840</v>
      </c>
      <c r="B104" s="216">
        <f>SUM(C104:D104)</f>
        <v>2934462</v>
      </c>
      <c r="C104" s="216">
        <f>SUM(C99:C103)</f>
        <v>2934462</v>
      </c>
      <c r="D104" s="216">
        <f t="shared" ref="D104:T104" si="33">SUM(D99:D103)</f>
        <v>0</v>
      </c>
      <c r="E104" s="216">
        <f t="shared" si="33"/>
        <v>2500000</v>
      </c>
      <c r="F104" s="216">
        <f t="shared" si="33"/>
        <v>0</v>
      </c>
      <c r="G104" s="216">
        <f t="shared" si="33"/>
        <v>0</v>
      </c>
      <c r="H104" s="216">
        <f t="shared" si="33"/>
        <v>434462</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5">
        <f t="shared" si="33"/>
        <v>2934462</v>
      </c>
      <c r="S104" s="220">
        <f t="shared" si="33"/>
        <v>2934462</v>
      </c>
      <c r="T104" s="220">
        <f t="shared" si="33"/>
        <v>0</v>
      </c>
      <c r="U104" s="213"/>
    </row>
    <row r="105" spans="1:21" s="214" customFormat="1">
      <c r="A105" s="219" t="s">
        <v>841</v>
      </c>
      <c r="B105" s="220">
        <f>SUM(C105:D105)</f>
        <v>24925953</v>
      </c>
      <c r="C105" s="220">
        <f t="shared" ref="C105:R105" si="34">SUM(C97+C104)</f>
        <v>24925953</v>
      </c>
      <c r="D105" s="220">
        <f t="shared" si="34"/>
        <v>0</v>
      </c>
      <c r="E105" s="220">
        <f t="shared" si="34"/>
        <v>7668461</v>
      </c>
      <c r="F105" s="220">
        <f t="shared" si="34"/>
        <v>4853000</v>
      </c>
      <c r="G105" s="220">
        <f t="shared" si="34"/>
        <v>11970030</v>
      </c>
      <c r="H105" s="220">
        <f t="shared" si="34"/>
        <v>434462</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5">
        <f t="shared" si="34"/>
        <v>24925953</v>
      </c>
      <c r="S105" s="220">
        <f>S97+S104</f>
        <v>22737732</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22737732</v>
      </c>
      <c r="T107" s="234">
        <f>T105+T106</f>
        <v>0</v>
      </c>
    </row>
    <row r="108" spans="1:21" s="301" customFormat="1">
      <c r="A108" s="233" t="s">
        <v>947</v>
      </c>
      <c r="B108" s="228"/>
      <c r="C108" s="228"/>
      <c r="D108" s="228"/>
      <c r="E108" s="465">
        <f>Application!AO650</f>
        <v>7668461</v>
      </c>
      <c r="F108" s="465">
        <f>Application!AO637</f>
        <v>4853000</v>
      </c>
      <c r="G108" s="465">
        <f>Application!AO638</f>
        <v>11970030</v>
      </c>
      <c r="H108" s="465">
        <f>Application!AO639</f>
        <v>434462</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90" t="s">
        <v>1098</v>
      </c>
      <c r="E122" s="2590"/>
      <c r="F122" s="2590"/>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80" t="s">
        <v>1445</v>
      </c>
      <c r="E123" s="2581"/>
      <c r="F123" s="2581"/>
      <c r="G123" s="2581"/>
      <c r="H123" s="2581"/>
      <c r="I123" s="2581"/>
      <c r="J123" s="2581"/>
      <c r="K123" s="2581"/>
      <c r="L123" s="2581"/>
      <c r="M123" s="2581"/>
      <c r="N123" s="2581"/>
      <c r="O123" s="2581"/>
      <c r="P123" s="2581"/>
      <c r="Q123" s="2581"/>
      <c r="R123" s="2581"/>
      <c r="S123" s="2581"/>
      <c r="T123" s="515"/>
      <c r="U123" s="517"/>
    </row>
    <row r="124" spans="1:21" ht="12.75">
      <c r="A124" s="514" t="s">
        <v>1100</v>
      </c>
      <c r="B124" s="524"/>
      <c r="C124" s="514"/>
      <c r="D124" s="2581"/>
      <c r="E124" s="2581"/>
      <c r="F124" s="2581"/>
      <c r="G124" s="2581"/>
      <c r="H124" s="2581"/>
      <c r="I124" s="2581"/>
      <c r="J124" s="2581"/>
      <c r="K124" s="2581"/>
      <c r="L124" s="2581"/>
      <c r="M124" s="2581"/>
      <c r="N124" s="2581"/>
      <c r="O124" s="2581"/>
      <c r="P124" s="2581"/>
      <c r="Q124" s="2581"/>
      <c r="R124" s="2581"/>
      <c r="S124" s="2581"/>
      <c r="T124" s="515"/>
      <c r="U124" s="517"/>
    </row>
    <row r="125" spans="1:21" ht="12.75">
      <c r="A125" s="514" t="s">
        <v>1101</v>
      </c>
      <c r="B125" s="524"/>
      <c r="C125" s="514"/>
      <c r="D125" s="2581"/>
      <c r="E125" s="2581"/>
      <c r="F125" s="2581"/>
      <c r="G125" s="2581"/>
      <c r="H125" s="2581"/>
      <c r="I125" s="2581"/>
      <c r="J125" s="2581"/>
      <c r="K125" s="2581"/>
      <c r="L125" s="2581"/>
      <c r="M125" s="2581"/>
      <c r="N125" s="2581"/>
      <c r="O125" s="2581"/>
      <c r="P125" s="2581"/>
      <c r="Q125" s="2581"/>
      <c r="R125" s="2581"/>
      <c r="S125" s="2581"/>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8"/>
      <c r="E128" s="2588"/>
      <c r="F128" s="2588"/>
      <c r="G128" s="2588"/>
      <c r="H128" s="2588"/>
      <c r="I128" s="514"/>
      <c r="J128" s="2579"/>
      <c r="K128" s="2579"/>
      <c r="L128" s="514"/>
      <c r="M128" s="514"/>
      <c r="N128" s="514"/>
      <c r="O128" s="514"/>
      <c r="P128" s="514"/>
      <c r="Q128" s="514"/>
      <c r="R128" s="514"/>
      <c r="S128" s="514"/>
      <c r="T128" s="515"/>
      <c r="U128" s="517"/>
    </row>
    <row r="129" spans="1:21" ht="12.75">
      <c r="A129" s="514" t="s">
        <v>309</v>
      </c>
      <c r="B129" s="524"/>
      <c r="C129" s="514"/>
      <c r="D129" s="2589" t="s">
        <v>1105</v>
      </c>
      <c r="E129" s="2589"/>
      <c r="F129" s="2589"/>
      <c r="G129" s="2589"/>
      <c r="H129" s="2589"/>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245"/>
      <c r="E131" s="2245"/>
      <c r="F131" s="2245"/>
      <c r="G131" s="2245"/>
      <c r="H131" s="2245"/>
      <c r="I131" s="514"/>
      <c r="J131" s="2245"/>
      <c r="K131" s="2245"/>
      <c r="L131" s="2245"/>
      <c r="M131" s="2245"/>
      <c r="N131" s="514"/>
      <c r="O131" s="514"/>
      <c r="P131" s="514"/>
      <c r="Q131" s="514"/>
      <c r="R131" s="514"/>
      <c r="S131" s="514"/>
      <c r="T131" s="515"/>
      <c r="U131" s="517"/>
    </row>
    <row r="132" spans="1:21" ht="12" customHeight="1">
      <c r="A132" s="528"/>
      <c r="B132" s="514"/>
      <c r="C132" s="514"/>
      <c r="D132" s="2582" t="s">
        <v>1108</v>
      </c>
      <c r="E132" s="2582"/>
      <c r="F132" s="2582"/>
      <c r="G132" s="2582"/>
      <c r="H132" s="2582"/>
      <c r="I132" s="514"/>
      <c r="J132" s="2582" t="s">
        <v>1109</v>
      </c>
      <c r="K132" s="2582"/>
      <c r="L132" s="2582"/>
      <c r="M132" s="258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3"/>
      <c r="B138" s="2584"/>
      <c r="C138" s="2584"/>
      <c r="D138" s="519"/>
      <c r="E138" s="2579"/>
      <c r="F138" s="2579"/>
      <c r="G138" s="514"/>
      <c r="H138" s="514"/>
      <c r="I138" s="514"/>
      <c r="J138" s="514"/>
      <c r="K138" s="514"/>
      <c r="L138" s="514"/>
      <c r="M138" s="514"/>
      <c r="N138" s="514"/>
      <c r="O138" s="514"/>
      <c r="P138" s="514"/>
      <c r="Q138" s="514"/>
      <c r="R138" s="514"/>
      <c r="S138" s="514"/>
      <c r="T138" s="521"/>
      <c r="U138" s="522"/>
    </row>
    <row r="139" spans="1:21" ht="12.75">
      <c r="A139" s="2577" t="s">
        <v>1112</v>
      </c>
      <c r="B139" s="2578"/>
      <c r="C139" s="2578"/>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5">
    <cfRule type="expression" dxfId="99" priority="169" stopIfTrue="1">
      <formula>(S29+T29)&gt;C29</formula>
    </cfRule>
  </conditionalFormatting>
  <conditionalFormatting sqref="S36">
    <cfRule type="expression" dxfId="98" priority="162" stopIfTrue="1">
      <formula>(S36+T36)&gt;C36</formula>
    </cfRule>
  </conditionalFormatting>
  <conditionalFormatting sqref="S37">
    <cfRule type="expression" dxfId="97" priority="161" stopIfTrue="1">
      <formula>(S37+T37)&gt;C37</formula>
    </cfRule>
  </conditionalFormatting>
  <conditionalFormatting sqref="S40:S41">
    <cfRule type="expression" dxfId="96" priority="153" stopIfTrue="1">
      <formula>(S40+T40)&gt;C40</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S53">
    <cfRule type="expression" dxfId="89" priority="138" stopIfTrue="1">
      <formula>(S50+T50)&gt;C50</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S86">
    <cfRule type="expression" dxfId="85" priority="116" stopIfTrue="1">
      <formula>(S84+T84)&gt;C84</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S94">
    <cfRule type="expression" dxfId="79" priority="104" stopIfTrue="1">
      <formula>(S93+T93)&gt;C93</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10" sqref="I1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7" t="s">
        <v>1448</v>
      </c>
      <c r="B1" s="2598"/>
      <c r="C1" s="2598"/>
      <c r="D1" s="2598"/>
      <c r="E1" s="2598"/>
      <c r="F1" s="2598"/>
      <c r="G1" s="2598"/>
      <c r="H1" s="2598"/>
      <c r="I1" s="2598"/>
      <c r="J1" s="2599"/>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420000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35000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455000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195676</v>
      </c>
      <c r="C10" s="567"/>
      <c r="D10" s="567"/>
      <c r="E10" s="566">
        <f>'Sources and Uses Budget'!S10</f>
        <v>195676</v>
      </c>
      <c r="F10" s="567"/>
      <c r="G10" s="567"/>
      <c r="H10" s="566">
        <f>'Sources and Uses Budget'!T10</f>
        <v>0</v>
      </c>
      <c r="I10" s="567"/>
      <c r="J10" s="567"/>
      <c r="K10" s="564"/>
    </row>
    <row r="11" spans="1:11" s="565" customFormat="1">
      <c r="A11" s="570" t="s">
        <v>632</v>
      </c>
      <c r="B11" s="566">
        <f>'Sources and Uses Budget'!C11</f>
        <v>195676</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650676</v>
      </c>
      <c r="C12" s="566">
        <f>SUM(C8+C11)</f>
        <v>0</v>
      </c>
      <c r="D12" s="566">
        <f>SUM(D8+D11)</f>
        <v>0</v>
      </c>
      <c r="E12" s="568"/>
      <c r="F12" s="568"/>
      <c r="G12" s="568"/>
      <c r="H12" s="568"/>
      <c r="I12" s="568"/>
      <c r="J12" s="568"/>
      <c r="K12" s="564"/>
    </row>
    <row r="13" spans="1:11" s="565" customFormat="1">
      <c r="A13" s="571" t="s">
        <v>974</v>
      </c>
      <c r="B13" s="566">
        <f>'Sources and Uses Budget'!C13</f>
        <v>30000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1177190</v>
      </c>
      <c r="C29" s="567"/>
      <c r="D29" s="567"/>
      <c r="E29" s="566">
        <f>'Sources and Uses Budget'!S29</f>
        <v>1177190</v>
      </c>
      <c r="F29" s="567"/>
      <c r="G29" s="567"/>
      <c r="H29" s="566">
        <f>'Sources and Uses Budget'!T29</f>
        <v>0</v>
      </c>
      <c r="I29" s="567"/>
      <c r="J29" s="567"/>
      <c r="K29" s="564"/>
    </row>
    <row r="30" spans="1:11" s="565" customFormat="1">
      <c r="A30" s="215" t="s">
        <v>635</v>
      </c>
      <c r="B30" s="566">
        <f>'Sources and Uses Budget'!C30</f>
        <v>8622996</v>
      </c>
      <c r="C30" s="567"/>
      <c r="D30" s="567"/>
      <c r="E30" s="566">
        <f>'Sources and Uses Budget'!S30</f>
        <v>8622996</v>
      </c>
      <c r="F30" s="567"/>
      <c r="G30" s="567"/>
      <c r="H30" s="566">
        <f>'Sources and Uses Budget'!T30</f>
        <v>0</v>
      </c>
      <c r="I30" s="567"/>
      <c r="J30" s="567"/>
      <c r="K30" s="564"/>
    </row>
    <row r="31" spans="1:11" s="565" customFormat="1">
      <c r="A31" s="215" t="s">
        <v>636</v>
      </c>
      <c r="B31" s="566">
        <f>'Sources and Uses Budget'!C31</f>
        <v>850612</v>
      </c>
      <c r="C31" s="567"/>
      <c r="D31" s="567"/>
      <c r="E31" s="566">
        <f>'Sources and Uses Budget'!S31</f>
        <v>850612</v>
      </c>
      <c r="F31" s="567"/>
      <c r="G31" s="567"/>
      <c r="H31" s="566">
        <f>'Sources and Uses Budget'!T31</f>
        <v>0</v>
      </c>
      <c r="I31" s="567"/>
      <c r="J31" s="567"/>
      <c r="K31" s="564"/>
    </row>
    <row r="32" spans="1:11" s="565" customFormat="1">
      <c r="A32" s="215" t="s">
        <v>142</v>
      </c>
      <c r="B32" s="566">
        <f>'Sources and Uses Budget'!C32</f>
        <v>425306</v>
      </c>
      <c r="C32" s="567"/>
      <c r="D32" s="567"/>
      <c r="E32" s="566">
        <f>'Sources and Uses Budget'!S32</f>
        <v>425306</v>
      </c>
      <c r="F32" s="567"/>
      <c r="G32" s="567"/>
      <c r="H32" s="566">
        <f>'Sources and Uses Budget'!T32</f>
        <v>0</v>
      </c>
      <c r="I32" s="567"/>
      <c r="J32" s="567"/>
      <c r="K32" s="564"/>
    </row>
    <row r="33" spans="1:11" s="565" customFormat="1">
      <c r="A33" s="215" t="s">
        <v>143</v>
      </c>
      <c r="B33" s="566">
        <f>'Sources and Uses Budget'!C33</f>
        <v>425306</v>
      </c>
      <c r="C33" s="567"/>
      <c r="D33" s="567"/>
      <c r="E33" s="566">
        <f>'Sources and Uses Budget'!S33</f>
        <v>425306</v>
      </c>
      <c r="F33" s="567"/>
      <c r="G33" s="567"/>
      <c r="H33" s="566">
        <f>'Sources and Uses Budget'!T33</f>
        <v>0</v>
      </c>
      <c r="I33" s="567"/>
      <c r="J33" s="567"/>
      <c r="K33" s="564"/>
    </row>
    <row r="34" spans="1:11" s="565" customFormat="1">
      <c r="A34" s="215" t="s">
        <v>144</v>
      </c>
      <c r="B34" s="566">
        <f>'Sources and Uses Budget'!C34</f>
        <v>2155749</v>
      </c>
      <c r="C34" s="567"/>
      <c r="D34" s="567"/>
      <c r="E34" s="566">
        <f>'Sources and Uses Budget'!S34</f>
        <v>2155749</v>
      </c>
      <c r="F34" s="567"/>
      <c r="G34" s="567"/>
      <c r="H34" s="566">
        <f>'Sources and Uses Budget'!T34</f>
        <v>0</v>
      </c>
      <c r="I34" s="567"/>
      <c r="J34" s="567"/>
      <c r="K34" s="564"/>
    </row>
    <row r="35" spans="1:11" s="565" customFormat="1">
      <c r="A35" s="215" t="s">
        <v>145</v>
      </c>
      <c r="B35" s="566">
        <f>'Sources and Uses Budget'!C35</f>
        <v>215051</v>
      </c>
      <c r="C35" s="567"/>
      <c r="D35" s="567"/>
      <c r="E35" s="566">
        <f>'Sources and Uses Budget'!S35</f>
        <v>215051</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13872210</v>
      </c>
      <c r="C38" s="566">
        <f>SUM(C29:C37)</f>
        <v>0</v>
      </c>
      <c r="D38" s="566">
        <f>SUM(D29:D37)</f>
        <v>0</v>
      </c>
      <c r="E38" s="566">
        <f>'Sources and Uses Budget'!S38</f>
        <v>13872210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965000</v>
      </c>
      <c r="C40" s="567"/>
      <c r="D40" s="567"/>
      <c r="E40" s="566">
        <f>'Sources and Uses Budget'!S40</f>
        <v>965000</v>
      </c>
      <c r="F40" s="567"/>
      <c r="G40" s="567"/>
      <c r="H40" s="566">
        <f>'Sources and Uses Budget'!T40</f>
        <v>0</v>
      </c>
      <c r="I40" s="567"/>
      <c r="J40" s="567"/>
      <c r="K40" s="564"/>
    </row>
    <row r="41" spans="1:11" s="565" customFormat="1">
      <c r="A41" s="569" t="s">
        <v>151</v>
      </c>
      <c r="B41" s="566">
        <f>'Sources and Uses Budget'!C41</f>
        <v>250000</v>
      </c>
      <c r="C41" s="567"/>
      <c r="D41" s="567"/>
      <c r="E41" s="566">
        <f>'Sources and Uses Budget'!S41</f>
        <v>250000</v>
      </c>
      <c r="F41" s="567"/>
      <c r="G41" s="567"/>
      <c r="H41" s="566">
        <f>'Sources and Uses Budget'!T41</f>
        <v>0</v>
      </c>
      <c r="I41" s="567"/>
      <c r="J41" s="567"/>
      <c r="K41" s="564"/>
    </row>
    <row r="42" spans="1:11" s="565" customFormat="1">
      <c r="A42" s="570" t="s">
        <v>152</v>
      </c>
      <c r="B42" s="566">
        <f>'Sources and Uses Budget'!C42</f>
        <v>1215000</v>
      </c>
      <c r="C42" s="566">
        <f>SUM(C39:C41)</f>
        <v>0</v>
      </c>
      <c r="D42" s="566">
        <f>SUM(D39:D41)</f>
        <v>0</v>
      </c>
      <c r="E42" s="566">
        <f>'Sources and Uses Budget'!S42</f>
        <v>1215000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1247609</v>
      </c>
      <c r="C45" s="567"/>
      <c r="D45" s="567"/>
      <c r="E45" s="566">
        <f>'Sources and Uses Budget'!S45</f>
        <v>979603</v>
      </c>
      <c r="F45" s="567"/>
      <c r="G45" s="567"/>
      <c r="H45" s="566">
        <f>'Sources and Uses Budget'!T45</f>
        <v>0</v>
      </c>
      <c r="I45" s="567"/>
      <c r="J45" s="567"/>
      <c r="K45" s="564"/>
    </row>
    <row r="46" spans="1:11" s="565" customFormat="1">
      <c r="A46" s="569" t="s">
        <v>156</v>
      </c>
      <c r="B46" s="566">
        <f>'Sources and Uses Budget'!C46</f>
        <v>220719</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130962</v>
      </c>
      <c r="C48" s="567"/>
      <c r="D48" s="567"/>
      <c r="E48" s="566">
        <f>'Sources and Uses Budget'!S48</f>
        <v>130962</v>
      </c>
      <c r="F48" s="567"/>
      <c r="G48" s="567"/>
      <c r="H48" s="566">
        <f>'Sources and Uses Budget'!T48</f>
        <v>0</v>
      </c>
      <c r="I48" s="567"/>
      <c r="J48" s="567"/>
      <c r="K48" s="564"/>
    </row>
    <row r="49" spans="1:11" s="565" customFormat="1">
      <c r="A49" s="441" t="s">
        <v>60</v>
      </c>
      <c r="B49" s="566">
        <f>'Sources and Uses Budget'!C49</f>
        <v>259869</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5250</v>
      </c>
      <c r="C51" s="567"/>
      <c r="D51" s="567"/>
      <c r="E51" s="566">
        <f>'Sources and Uses Budget'!S51</f>
        <v>5250</v>
      </c>
      <c r="F51" s="567"/>
      <c r="G51" s="567"/>
      <c r="H51" s="566">
        <f>'Sources and Uses Budget'!T51</f>
        <v>0</v>
      </c>
      <c r="I51" s="567"/>
      <c r="J51" s="567"/>
      <c r="K51" s="564"/>
    </row>
    <row r="52" spans="1:11" s="565" customFormat="1">
      <c r="A52" s="569" t="s">
        <v>160</v>
      </c>
      <c r="B52" s="566">
        <f>'Sources and Uses Budget'!C52</f>
        <v>80000</v>
      </c>
      <c r="C52" s="567"/>
      <c r="D52" s="567"/>
      <c r="E52" s="566">
        <f>'Sources and Uses Budget'!S52</f>
        <v>80000</v>
      </c>
      <c r="F52" s="567"/>
      <c r="G52" s="567"/>
      <c r="H52" s="566">
        <f>'Sources and Uses Budget'!T52</f>
        <v>0</v>
      </c>
      <c r="I52" s="567"/>
      <c r="J52" s="567"/>
      <c r="K52" s="564"/>
    </row>
    <row r="53" spans="1:11" s="565" customFormat="1">
      <c r="A53" s="572" t="str">
        <f>'Sources and Uses Budget'!$A53</f>
        <v>Legal</v>
      </c>
      <c r="B53" s="566">
        <f>'Sources and Uses Budget'!C53</f>
        <v>35000</v>
      </c>
      <c r="C53" s="567"/>
      <c r="D53" s="567"/>
      <c r="E53" s="566">
        <f>'Sources and Uses Budget'!S53</f>
        <v>35000</v>
      </c>
      <c r="F53" s="567"/>
      <c r="G53" s="567"/>
      <c r="H53" s="566">
        <f>'Sources and Uses Budget'!T53</f>
        <v>0</v>
      </c>
      <c r="I53" s="567"/>
      <c r="J53" s="567"/>
      <c r="K53" s="564"/>
    </row>
    <row r="54" spans="1:11" s="576" customFormat="1">
      <c r="A54" s="570" t="s">
        <v>162</v>
      </c>
      <c r="B54" s="566">
        <f>'Sources and Uses Budget'!C54</f>
        <v>2059409</v>
      </c>
      <c r="C54" s="573">
        <f>SUM(C45:C53)</f>
        <v>0</v>
      </c>
      <c r="D54" s="573">
        <f>SUM(D45:D53)</f>
        <v>0</v>
      </c>
      <c r="E54" s="566">
        <f>'Sources and Uses Budget'!S54</f>
        <v>1310815</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24265</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Perm Legal</v>
      </c>
      <c r="B61" s="566">
        <f>'Sources and Uses Budget'!C61</f>
        <v>10000</v>
      </c>
      <c r="C61" s="567"/>
      <c r="D61" s="567"/>
      <c r="E61" s="568"/>
      <c r="F61" s="568"/>
      <c r="G61" s="568"/>
      <c r="H61" s="568"/>
      <c r="I61" s="568"/>
      <c r="J61" s="568"/>
      <c r="K61" s="564"/>
    </row>
    <row r="62" spans="1:11" s="565" customFormat="1" ht="13.7" customHeight="1">
      <c r="A62" s="570" t="s">
        <v>310</v>
      </c>
      <c r="B62" s="566">
        <f>'Sources and Uses Budget'!C62</f>
        <v>39265</v>
      </c>
      <c r="C62" s="566">
        <f>SUM(C56:C61)</f>
        <v>0</v>
      </c>
      <c r="D62" s="566">
        <f>SUM(D56:D61)</f>
        <v>0</v>
      </c>
      <c r="E62" s="568"/>
      <c r="F62" s="568"/>
      <c r="G62" s="568"/>
      <c r="H62" s="568"/>
      <c r="I62" s="568"/>
      <c r="J62" s="568"/>
      <c r="K62" s="564"/>
    </row>
    <row r="63" spans="1:11" s="565" customFormat="1">
      <c r="A63" s="577" t="s">
        <v>311</v>
      </c>
      <c r="B63" s="566">
        <f>'Sources and Uses Budget'!C63</f>
        <v>17866560</v>
      </c>
      <c r="C63" s="566">
        <f>SUM(C8+C11+C13+C14+C15+C26+C27+C38+C42+C43+C54+C62)</f>
        <v>0</v>
      </c>
      <c r="D63" s="566">
        <f>SUM(D8+D11+D13+D14+D15+D26+D27+D38+D42+D43+D54+D62)</f>
        <v>0</v>
      </c>
      <c r="E63" s="566">
        <f>'Sources and Uses Budget'!S63</f>
        <v>16593701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175</v>
      </c>
      <c r="B65" s="566">
        <f>'Sources and Uses Budget'!C65</f>
        <v>70483</v>
      </c>
      <c r="C65" s="567"/>
      <c r="D65" s="567"/>
      <c r="E65" s="566">
        <f>'Sources and Uses Budget'!S65</f>
        <v>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70483</v>
      </c>
      <c r="C70" s="566">
        <f>SUM(C64:C69)</f>
        <v>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201549</v>
      </c>
      <c r="C73" s="567"/>
      <c r="D73" s="567"/>
      <c r="E73" s="568"/>
      <c r="F73" s="568"/>
      <c r="G73" s="568"/>
      <c r="H73" s="568"/>
      <c r="I73" s="568"/>
      <c r="J73" s="568"/>
      <c r="K73" s="564"/>
    </row>
    <row r="74" spans="1:11" s="565" customFormat="1">
      <c r="A74" s="740" t="s">
        <v>1088</v>
      </c>
      <c r="B74" s="566">
        <f>'Sources and Uses Budget'!C74</f>
        <v>508190</v>
      </c>
      <c r="C74" s="567"/>
      <c r="D74" s="567"/>
      <c r="E74" s="568"/>
      <c r="F74" s="568"/>
      <c r="G74" s="568"/>
      <c r="H74" s="568"/>
      <c r="I74" s="568"/>
      <c r="J74" s="568"/>
      <c r="K74" s="564"/>
    </row>
    <row r="75" spans="1:11" s="565" customFormat="1">
      <c r="A75" s="569" t="s">
        <v>641</v>
      </c>
      <c r="B75" s="566">
        <f>'Sources and Uses Budget'!C75</f>
        <v>0</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709739</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709942</v>
      </c>
      <c r="C79" s="567"/>
      <c r="D79" s="567"/>
      <c r="E79" s="566">
        <f>'Sources and Uses Budget'!S79</f>
        <v>709942</v>
      </c>
      <c r="F79" s="567"/>
      <c r="G79" s="567"/>
      <c r="H79" s="566">
        <f>'Sources and Uses Budget'!T79</f>
        <v>0</v>
      </c>
      <c r="I79" s="567"/>
      <c r="J79" s="567"/>
      <c r="K79" s="564"/>
    </row>
    <row r="80" spans="1:11" s="565" customFormat="1">
      <c r="A80" s="569" t="s">
        <v>61</v>
      </c>
      <c r="B80" s="566">
        <f>'Sources and Uses Budget'!C80</f>
        <v>277001</v>
      </c>
      <c r="C80" s="567"/>
      <c r="D80" s="567"/>
      <c r="E80" s="566">
        <f>'Sources and Uses Budget'!S80</f>
        <v>277001</v>
      </c>
      <c r="F80" s="567"/>
      <c r="G80" s="567"/>
      <c r="H80" s="566">
        <f>'Sources and Uses Budget'!T80</f>
        <v>0</v>
      </c>
      <c r="I80" s="567"/>
      <c r="J80" s="567"/>
      <c r="K80" s="564"/>
    </row>
    <row r="81" spans="1:11" s="565" customFormat="1">
      <c r="A81" s="570" t="s">
        <v>1425</v>
      </c>
      <c r="B81" s="566">
        <f>'Sources and Uses Budget'!C81</f>
        <v>986943</v>
      </c>
      <c r="C81" s="566">
        <f>SUM(C79:C80)</f>
        <v>0</v>
      </c>
      <c r="D81" s="566">
        <f>SUM(D79:D80)</f>
        <v>0</v>
      </c>
      <c r="E81" s="566">
        <f>'Sources and Uses Budget'!S81</f>
        <v>986943</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56767</v>
      </c>
      <c r="C83" s="567"/>
      <c r="D83" s="567"/>
      <c r="E83" s="568"/>
      <c r="F83" s="568"/>
      <c r="G83" s="568"/>
      <c r="H83" s="568"/>
      <c r="I83" s="568"/>
      <c r="J83" s="568"/>
      <c r="K83" s="564"/>
    </row>
    <row r="84" spans="1:11" s="565" customFormat="1">
      <c r="A84" s="215" t="s">
        <v>828</v>
      </c>
      <c r="B84" s="566">
        <f>'Sources and Uses Budget'!C84</f>
        <v>85000</v>
      </c>
      <c r="C84" s="567"/>
      <c r="D84" s="567"/>
      <c r="E84" s="566">
        <f>'Sources and Uses Budget'!S84</f>
        <v>85000</v>
      </c>
      <c r="F84" s="567"/>
      <c r="G84" s="567"/>
      <c r="H84" s="566">
        <f>'Sources and Uses Budget'!T84</f>
        <v>0</v>
      </c>
      <c r="I84" s="567"/>
      <c r="J84" s="567"/>
      <c r="K84" s="564"/>
    </row>
    <row r="85" spans="1:11" s="565" customFormat="1">
      <c r="A85" s="215" t="s">
        <v>829</v>
      </c>
      <c r="B85" s="566">
        <f>'Sources and Uses Budget'!C85</f>
        <v>1533515</v>
      </c>
      <c r="C85" s="567"/>
      <c r="D85" s="567"/>
      <c r="E85" s="566">
        <f>'Sources and Uses Budget'!S85</f>
        <v>1533515</v>
      </c>
      <c r="F85" s="567"/>
      <c r="G85" s="567"/>
      <c r="H85" s="566">
        <f>'Sources and Uses Budget'!T85</f>
        <v>0</v>
      </c>
      <c r="I85" s="567"/>
      <c r="J85" s="567"/>
      <c r="K85" s="564"/>
    </row>
    <row r="86" spans="1:11" s="565" customFormat="1">
      <c r="A86" s="215" t="s">
        <v>830</v>
      </c>
      <c r="B86" s="566">
        <f>'Sources and Uses Budget'!C86</f>
        <v>168000</v>
      </c>
      <c r="C86" s="567"/>
      <c r="D86" s="567"/>
      <c r="E86" s="566">
        <f>'Sources and Uses Budget'!S86</f>
        <v>168000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63373</v>
      </c>
      <c r="C88" s="567"/>
      <c r="D88" s="567"/>
      <c r="E88" s="568"/>
      <c r="F88" s="568"/>
      <c r="G88" s="568"/>
      <c r="H88" s="568"/>
      <c r="I88" s="568"/>
      <c r="J88" s="568"/>
      <c r="K88" s="564"/>
    </row>
    <row r="89" spans="1:11" s="565" customFormat="1">
      <c r="A89" s="215" t="s">
        <v>833</v>
      </c>
      <c r="B89" s="566">
        <f>'Sources and Uses Budget'!C89</f>
        <v>32400</v>
      </c>
      <c r="C89" s="567"/>
      <c r="D89" s="567"/>
      <c r="E89" s="566">
        <f>'Sources and Uses Budget'!S89</f>
        <v>32400</v>
      </c>
      <c r="F89" s="567"/>
      <c r="G89" s="567"/>
      <c r="H89" s="566">
        <f>'Sources and Uses Budget'!T89</f>
        <v>0</v>
      </c>
      <c r="I89" s="567"/>
      <c r="J89" s="567"/>
      <c r="K89" s="564"/>
    </row>
    <row r="90" spans="1:11" s="565" customFormat="1">
      <c r="A90" s="215" t="s">
        <v>834</v>
      </c>
      <c r="B90" s="566">
        <f>'Sources and Uses Budget'!C90</f>
        <v>15000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15000</v>
      </c>
      <c r="C92" s="567"/>
      <c r="D92" s="567"/>
      <c r="E92" s="566">
        <f>'Sources and Uses Budget'!S92</f>
        <v>15000</v>
      </c>
      <c r="F92" s="567"/>
      <c r="G92" s="567"/>
      <c r="H92" s="566">
        <f>'Sources and Uses Budget'!T92</f>
        <v>0</v>
      </c>
      <c r="I92" s="567"/>
      <c r="J92" s="567"/>
      <c r="K92" s="564"/>
    </row>
    <row r="93" spans="1:11" s="565" customFormat="1">
      <c r="A93" s="572" t="str">
        <f>'Sources and Uses Budget'!$A93</f>
        <v>Security and Construction Management</v>
      </c>
      <c r="B93" s="566">
        <f>'Sources and Uses Budget'!C93</f>
        <v>251384</v>
      </c>
      <c r="C93" s="567"/>
      <c r="D93" s="567"/>
      <c r="E93" s="566">
        <f>'Sources and Uses Budget'!S93</f>
        <v>251384</v>
      </c>
      <c r="F93" s="567"/>
      <c r="G93" s="567"/>
      <c r="H93" s="566">
        <f>'Sources and Uses Budget'!T93</f>
        <v>0</v>
      </c>
      <c r="I93" s="567"/>
      <c r="J93" s="567"/>
      <c r="K93" s="564"/>
    </row>
    <row r="94" spans="1:11" s="565" customFormat="1">
      <c r="A94" s="572" t="str">
        <f>'Sources and Uses Budget'!$A94</f>
        <v xml:space="preserve">Special Inspections and  Energy </v>
      </c>
      <c r="B94" s="566">
        <f>'Sources and Uses Budget'!C94</f>
        <v>137327</v>
      </c>
      <c r="C94" s="567"/>
      <c r="D94" s="567"/>
      <c r="E94" s="566">
        <f>'Sources and Uses Budget'!S94</f>
        <v>137327</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2357766</v>
      </c>
      <c r="C96" s="566">
        <f>SUM(C83:C95)</f>
        <v>0</v>
      </c>
      <c r="D96" s="566">
        <f>SUM(D83:D95)</f>
        <v>0</v>
      </c>
      <c r="E96" s="566">
        <f>'Sources and Uses Budget'!S96</f>
        <v>2222626</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21991491</v>
      </c>
      <c r="C97" s="566">
        <f>SUM(C63+C70+C77+C81+C96)</f>
        <v>0</v>
      </c>
      <c r="D97" s="566">
        <f>SUM(D63+D70+D77+D81+D96)</f>
        <v>0</v>
      </c>
      <c r="E97" s="566">
        <f>'Sources and Uses Budget'!S97</f>
        <v>19803270</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2934462</v>
      </c>
      <c r="C99" s="567"/>
      <c r="D99" s="567"/>
      <c r="E99" s="566">
        <f>'Sources and Uses Budget'!S99</f>
        <v>2934462</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2934462</v>
      </c>
      <c r="C104" s="566">
        <f>SUM(C99:C103)</f>
        <v>0</v>
      </c>
      <c r="D104" s="566">
        <f>SUM(D99:D103)</f>
        <v>0</v>
      </c>
      <c r="E104" s="566">
        <f>'Sources and Uses Budget'!S104</f>
        <v>2934462</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24925953</v>
      </c>
      <c r="C105" s="573">
        <f>SUM(C97+C104)</f>
        <v>0</v>
      </c>
      <c r="D105" s="573">
        <f>SUM(D97+D104)</f>
        <v>0</v>
      </c>
      <c r="E105" s="566">
        <f>'Sources and Uses Budget'!S105</f>
        <v>22737732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22737732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1"/>
      <c r="E124" s="2592"/>
      <c r="F124" s="2592"/>
      <c r="G124" s="2592"/>
      <c r="H124" s="2592"/>
      <c r="I124" s="2592"/>
      <c r="J124" s="584"/>
      <c r="K124" s="564"/>
    </row>
    <row r="125" spans="1:11" s="565" customFormat="1" ht="12.75">
      <c r="A125" s="595"/>
      <c r="B125" s="594"/>
      <c r="C125" s="595"/>
      <c r="D125" s="2592"/>
      <c r="E125" s="2592"/>
      <c r="F125" s="2592"/>
      <c r="G125" s="2592"/>
      <c r="H125" s="2592"/>
      <c r="I125" s="2592"/>
      <c r="J125" s="584"/>
      <c r="K125" s="564"/>
    </row>
    <row r="126" spans="1:11" s="565" customFormat="1" ht="12.75">
      <c r="A126" s="595"/>
      <c r="B126" s="594"/>
      <c r="C126" s="595"/>
      <c r="D126" s="2592"/>
      <c r="E126" s="2592"/>
      <c r="F126" s="2592"/>
      <c r="G126" s="2592"/>
      <c r="H126" s="2592"/>
      <c r="I126" s="259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3"/>
      <c r="B139" s="2594"/>
      <c r="C139" s="2594"/>
      <c r="D139" s="607"/>
      <c r="E139" s="595"/>
      <c r="F139" s="595"/>
      <c r="G139" s="595"/>
    </row>
    <row r="140" spans="1:11" ht="12" customHeight="1">
      <c r="A140" s="2595"/>
      <c r="B140" s="2596"/>
      <c r="C140" s="259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Q13" sqref="Q13:T13"/>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600" t="s">
        <v>2047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2048</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606" t="str">
        <f>IF(Application!H18="","",Application!H18)</f>
        <v>Allegheny Apartments (FKA Beaumont 2)</v>
      </c>
      <c r="M4" s="2607"/>
      <c r="N4" s="2607"/>
      <c r="O4" s="2607"/>
      <c r="P4" s="2607"/>
      <c r="Q4" s="2607"/>
      <c r="R4" s="2607"/>
      <c r="S4" s="2607"/>
      <c r="T4" s="2607"/>
      <c r="U4" s="2607"/>
      <c r="V4" s="2607"/>
      <c r="W4" s="2607"/>
      <c r="X4" s="2607"/>
      <c r="Y4" s="2607"/>
      <c r="Z4" s="2607"/>
      <c r="AA4" s="2607"/>
      <c r="AB4" s="2607"/>
      <c r="AC4" s="2608"/>
      <c r="AD4" s="1531"/>
      <c r="AE4" s="1531"/>
      <c r="AF4" s="2609" t="s">
        <v>2049</v>
      </c>
      <c r="AG4" s="2610"/>
      <c r="AH4" s="2610"/>
      <c r="AI4" s="2610"/>
      <c r="AJ4" s="2610"/>
      <c r="AK4" s="2610"/>
      <c r="AL4" s="2610"/>
      <c r="AM4" s="2610"/>
      <c r="AN4" s="2610"/>
      <c r="AO4" s="2610"/>
      <c r="AP4" s="2611">
        <v>44197</v>
      </c>
      <c r="AQ4" s="2612"/>
      <c r="AR4" s="2612"/>
      <c r="AS4" s="2612"/>
      <c r="AT4" s="2612"/>
      <c r="AU4" s="261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4" t="s">
        <v>2050</v>
      </c>
      <c r="AG5" s="2615"/>
      <c r="AH5" s="2615"/>
      <c r="AI5" s="2615"/>
      <c r="AJ5" s="2615"/>
      <c r="AK5" s="2615"/>
      <c r="AL5" s="2615"/>
      <c r="AM5" s="2615"/>
      <c r="AN5" s="2615"/>
      <c r="AO5" s="2615"/>
      <c r="AP5" s="2611">
        <v>44197</v>
      </c>
      <c r="AQ5" s="2612"/>
      <c r="AR5" s="2612"/>
      <c r="AS5" s="2612"/>
      <c r="AT5" s="2612"/>
      <c r="AU5" s="2613"/>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30" t="str">
        <f>IF(Application!H16="","",Application!H16)</f>
        <v>LINC-Beaumont 2 APTS, LLC</v>
      </c>
      <c r="M6" s="2631"/>
      <c r="N6" s="2631"/>
      <c r="O6" s="2631"/>
      <c r="P6" s="2631"/>
      <c r="Q6" s="2631"/>
      <c r="R6" s="2631"/>
      <c r="S6" s="2631"/>
      <c r="T6" s="2631"/>
      <c r="U6" s="2631"/>
      <c r="V6" s="2631"/>
      <c r="W6" s="2631"/>
      <c r="X6" s="2631"/>
      <c r="Y6" s="2631"/>
      <c r="Z6" s="2631"/>
      <c r="AA6" s="2631"/>
      <c r="AB6" s="2631"/>
      <c r="AC6" s="263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33" t="str">
        <f>Application!T196</f>
        <v>No</v>
      </c>
      <c r="AC8" s="2634"/>
      <c r="AD8" s="263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636" t="e">
        <f>VLOOKUP("CalHFA Permanent Loan",Application!C564:AS575,37,TRUE)</f>
        <v>#N/A</v>
      </c>
      <c r="O10" s="2637"/>
      <c r="P10" s="2637"/>
      <c r="Q10" s="2637"/>
      <c r="R10" s="2637"/>
      <c r="S10" s="2637"/>
      <c r="T10" s="2638"/>
      <c r="U10" s="1531"/>
      <c r="V10" s="1531"/>
      <c r="W10" s="1531"/>
      <c r="X10" s="2616" t="s">
        <v>2055</v>
      </c>
      <c r="Y10" s="2617"/>
      <c r="Z10" s="2617"/>
      <c r="AA10" s="2617"/>
      <c r="AB10" s="2617"/>
      <c r="AC10" s="2617"/>
      <c r="AD10" s="2617"/>
      <c r="AE10" s="2617"/>
      <c r="AF10" s="2617"/>
      <c r="AG10" s="2617"/>
      <c r="AH10" s="2617"/>
      <c r="AI10" s="2617"/>
      <c r="AJ10" s="2617"/>
      <c r="AK10" s="2618"/>
      <c r="AL10" s="2622">
        <f>Application!W471</f>
        <v>12</v>
      </c>
      <c r="AM10" s="2623"/>
      <c r="AN10" s="2623"/>
      <c r="AO10" s="2623"/>
      <c r="AP10" s="2624"/>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639">
        <f>Application!AA925</f>
        <v>0</v>
      </c>
      <c r="O11" s="2640"/>
      <c r="P11" s="2640"/>
      <c r="Q11" s="2640"/>
      <c r="R11" s="2640"/>
      <c r="S11" s="2640"/>
      <c r="T11" s="2641"/>
      <c r="U11" s="1531"/>
      <c r="V11" s="1531"/>
      <c r="W11" s="1531"/>
      <c r="X11" s="2642" t="s">
        <v>2057</v>
      </c>
      <c r="Y11" s="2643"/>
      <c r="Z11" s="2643"/>
      <c r="AA11" s="2643"/>
      <c r="AB11" s="2643"/>
      <c r="AC11" s="2643"/>
      <c r="AD11" s="2643"/>
      <c r="AE11" s="2643"/>
      <c r="AF11" s="2643"/>
      <c r="AG11" s="2643"/>
      <c r="AH11" s="2643"/>
      <c r="AI11" s="2643"/>
      <c r="AJ11" s="2643"/>
      <c r="AK11" s="2644"/>
      <c r="AL11" s="2619">
        <v>44197</v>
      </c>
      <c r="AM11" s="2620"/>
      <c r="AN11" s="2620"/>
      <c r="AO11" s="2620"/>
      <c r="AP11" s="2621"/>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6" t="s">
        <v>2058</v>
      </c>
      <c r="Y12" s="2617"/>
      <c r="Z12" s="2617"/>
      <c r="AA12" s="2617"/>
      <c r="AB12" s="2617"/>
      <c r="AC12" s="2617"/>
      <c r="AD12" s="2617"/>
      <c r="AE12" s="2617"/>
      <c r="AF12" s="2617"/>
      <c r="AG12" s="2617"/>
      <c r="AH12" s="2617"/>
      <c r="AI12" s="2617"/>
      <c r="AJ12" s="2617"/>
      <c r="AK12" s="2618"/>
      <c r="AL12" s="2619">
        <v>44197</v>
      </c>
      <c r="AM12" s="2620"/>
      <c r="AN12" s="2620"/>
      <c r="AO12" s="2620"/>
      <c r="AP12" s="2621"/>
      <c r="AQ12" s="1534"/>
      <c r="AR12" s="1534"/>
      <c r="AS12" s="1534"/>
      <c r="AT12" s="1534"/>
      <c r="AU12" s="1534"/>
      <c r="AV12" s="1531"/>
      <c r="AW12" s="1531"/>
      <c r="AX12" s="1531"/>
      <c r="AY12" s="1531"/>
      <c r="AZ12" s="1531"/>
      <c r="BA12" s="1531"/>
      <c r="BB12" s="1531"/>
      <c r="BC12" s="1531"/>
      <c r="BD12" s="1531"/>
      <c r="BE12" s="1537"/>
    </row>
    <row r="13" spans="1:58" thickBot="1">
      <c r="A13" s="1836"/>
      <c r="B13" s="2616" t="s">
        <v>2059</v>
      </c>
      <c r="C13" s="2617"/>
      <c r="D13" s="2617"/>
      <c r="E13" s="2617"/>
      <c r="F13" s="2617"/>
      <c r="G13" s="2617"/>
      <c r="H13" s="2617"/>
      <c r="I13" s="2617"/>
      <c r="J13" s="2617"/>
      <c r="K13" s="2617"/>
      <c r="L13" s="2617"/>
      <c r="M13" s="2617"/>
      <c r="N13" s="2617"/>
      <c r="O13" s="2617"/>
      <c r="P13" s="2618"/>
      <c r="Q13" s="2625" t="s">
        <v>2053</v>
      </c>
      <c r="R13" s="2612"/>
      <c r="S13" s="2612"/>
      <c r="T13" s="261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6" t="s">
        <v>2060</v>
      </c>
      <c r="C15" s="2626"/>
      <c r="D15" s="2626"/>
      <c r="E15" s="2626"/>
      <c r="F15" s="2626"/>
      <c r="G15" s="2626"/>
      <c r="H15" s="2626"/>
      <c r="I15" s="2626"/>
      <c r="J15" s="2626"/>
      <c r="K15" s="2626"/>
      <c r="L15" s="2627"/>
      <c r="M15" s="2609" t="s">
        <v>2061</v>
      </c>
      <c r="N15" s="2610"/>
      <c r="O15" s="2610"/>
      <c r="P15" s="2610"/>
      <c r="Q15" s="2610"/>
      <c r="R15" s="2610"/>
      <c r="S15" s="2628" t="str">
        <f>IF(Application!AB214="","",Application!AB214)</f>
        <v/>
      </c>
      <c r="T15" s="2628"/>
      <c r="U15" s="2628"/>
      <c r="V15" s="2628"/>
      <c r="W15" s="262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5" t="s">
        <v>2062</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31"/>
      <c r="BA17" s="1531"/>
      <c r="BB17" s="1531"/>
      <c r="BC17" s="1531"/>
      <c r="BD17" s="1531"/>
      <c r="BE17" s="1537"/>
      <c r="BF17" s="1529"/>
    </row>
    <row r="18" spans="1:58" ht="15.75" customHeight="1">
      <c r="A18" s="1836"/>
      <c r="B18" s="2648" t="s">
        <v>2063</v>
      </c>
      <c r="C18" s="2649"/>
      <c r="D18" s="2649"/>
      <c r="E18" s="2649"/>
      <c r="F18" s="2649"/>
      <c r="G18" s="2649"/>
      <c r="H18" s="2649"/>
      <c r="I18" s="2650"/>
      <c r="J18" s="2651" t="s">
        <v>1893</v>
      </c>
      <c r="K18" s="2652"/>
      <c r="L18" s="2652"/>
      <c r="M18" s="2652"/>
      <c r="N18" s="2652"/>
      <c r="O18" s="2653"/>
      <c r="P18" s="2651" t="s">
        <v>334</v>
      </c>
      <c r="Q18" s="2652"/>
      <c r="R18" s="2652"/>
      <c r="S18" s="2652"/>
      <c r="T18" s="2652"/>
      <c r="U18" s="2653"/>
      <c r="V18" s="2651" t="s">
        <v>335</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2064</v>
      </c>
      <c r="AU18" s="2652"/>
      <c r="AV18" s="2652"/>
      <c r="AW18" s="2652"/>
      <c r="AX18" s="2652"/>
      <c r="AY18" s="2654"/>
      <c r="AZ18" s="1531"/>
      <c r="BA18" s="1531"/>
      <c r="BB18" s="1531"/>
      <c r="BC18" s="1531"/>
      <c r="BD18" s="1531"/>
      <c r="BE18" s="1537"/>
    </row>
    <row r="19" spans="1:58" ht="15">
      <c r="A19" s="1836"/>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8"/>
      <c r="BA19" s="1531"/>
      <c r="BB19" s="1531"/>
      <c r="BC19" s="1531"/>
      <c r="BD19" s="1531"/>
      <c r="BE19" s="1537"/>
    </row>
    <row r="20" spans="1:58" ht="15" customHeight="1">
      <c r="A20" s="1836"/>
      <c r="B20" s="2661">
        <v>0.3</v>
      </c>
      <c r="C20" s="2662"/>
      <c r="D20" s="2662"/>
      <c r="E20" s="2662"/>
      <c r="F20" s="2662"/>
      <c r="G20" s="2662"/>
      <c r="H20" s="2662"/>
      <c r="I20" s="2662"/>
      <c r="J20" s="2651">
        <f t="shared" ref="J20:J27" si="1">SUM(P20:AS20)</f>
        <v>47</v>
      </c>
      <c r="K20" s="2652"/>
      <c r="L20" s="2652"/>
      <c r="M20" s="2652"/>
      <c r="N20" s="2652"/>
      <c r="O20" s="2653"/>
      <c r="P20" s="2655" cm="1">
        <f t="array" ref="P20">SUMPRODUCT((Application!$B$728:$B$752 = 'CalHFA Addendum'!P$18)*(Application!$AH$728:$AH$752 = 'CalHFA Addendum'!$B20),Application!$G$728:$G$752)</f>
        <v>0</v>
      </c>
      <c r="Q20" s="2656"/>
      <c r="R20" s="2656"/>
      <c r="S20" s="2656"/>
      <c r="T20" s="2656"/>
      <c r="U20" s="2657"/>
      <c r="V20" s="2655" cm="1">
        <f t="array" ref="V20">SUMPRODUCT((Application!$B$728:$B$752 = 'CalHFA Addendum'!V$18)*(Application!$AH$728:$AH$752 = 'CalHFA Addendum'!$B20),Application!$G$728:$G$752)</f>
        <v>0</v>
      </c>
      <c r="W20" s="2656"/>
      <c r="X20" s="2656"/>
      <c r="Y20" s="2656"/>
      <c r="Z20" s="2656"/>
      <c r="AA20" s="2657"/>
      <c r="AB20" s="2655" cm="1">
        <f t="array" ref="AB20">SUMPRODUCT((Application!$B$728:$B$752 = 'CalHFA Addendum'!AB$18)*(Application!$AH$728:$AH$752 = 'CalHFA Addendum'!$B20),Application!$G$728:$G$752)</f>
        <v>24</v>
      </c>
      <c r="AC20" s="2656"/>
      <c r="AD20" s="2656"/>
      <c r="AE20" s="2656"/>
      <c r="AF20" s="2656"/>
      <c r="AG20" s="2657"/>
      <c r="AH20" s="2655" cm="1">
        <f t="array" ref="AH20">SUMPRODUCT((Application!$B$728:$B$752 = 'CalHFA Addendum'!AH$18)*(Application!$AH$728:$AH$752 = 'CalHFA Addendum'!$B20),Application!$G$728:$G$752)</f>
        <v>23</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0.97916666666666663</v>
      </c>
      <c r="AU20" s="2659"/>
      <c r="AV20" s="2659"/>
      <c r="AW20" s="2659"/>
      <c r="AX20" s="2659"/>
      <c r="AY20" s="2660"/>
      <c r="AZ20" s="1531"/>
      <c r="BA20" s="1531"/>
      <c r="BB20" s="1531"/>
      <c r="BC20" s="1531"/>
      <c r="BD20" s="1531"/>
      <c r="BE20" s="1537"/>
    </row>
    <row r="21" spans="1:58" ht="15">
      <c r="A21" s="1836"/>
      <c r="B21" s="2661">
        <v>0.4</v>
      </c>
      <c r="C21" s="2662"/>
      <c r="D21" s="2662"/>
      <c r="E21" s="2662"/>
      <c r="F21" s="2662"/>
      <c r="G21" s="2662"/>
      <c r="H21" s="2662"/>
      <c r="I21" s="2662"/>
      <c r="J21" s="2651">
        <f t="shared" si="1"/>
        <v>0</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0</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v>
      </c>
      <c r="AU21" s="2659"/>
      <c r="AV21" s="2659"/>
      <c r="AW21" s="2659"/>
      <c r="AX21" s="2659"/>
      <c r="AY21" s="2660"/>
      <c r="AZ21" s="1531"/>
      <c r="BA21" s="1531"/>
      <c r="BB21" s="1531"/>
      <c r="BC21" s="1531"/>
      <c r="BD21" s="1531"/>
      <c r="BE21" s="1537"/>
    </row>
    <row r="22" spans="1:58" ht="15">
      <c r="A22" s="1836"/>
      <c r="B22" s="2661">
        <v>0.5</v>
      </c>
      <c r="C22" s="2662"/>
      <c r="D22" s="2662"/>
      <c r="E22" s="2662"/>
      <c r="F22" s="2662"/>
      <c r="G22" s="2662"/>
      <c r="H22" s="2662"/>
      <c r="I22" s="2662"/>
      <c r="J22" s="2651">
        <f t="shared" si="1"/>
        <v>0</v>
      </c>
      <c r="K22" s="2652"/>
      <c r="L22" s="2652"/>
      <c r="M22" s="2652"/>
      <c r="N22" s="2652"/>
      <c r="O22" s="2653"/>
      <c r="P22" s="2655" cm="1">
        <f t="array" ref="P22">SUMPRODUCT((Application!$B$728:$B$752 = 'CalHFA Addendum'!P$18)*(Application!$AH$728:$AH$752 = 'CalHFA Addendum'!$B22),Application!$G$728:$G$752)</f>
        <v>0</v>
      </c>
      <c r="Q22" s="2656"/>
      <c r="R22" s="2656"/>
      <c r="S22" s="2656"/>
      <c r="T22" s="2656"/>
      <c r="U22" s="2657"/>
      <c r="V22" s="2655" cm="1">
        <f t="array" ref="V22">SUMPRODUCT((Application!$B$728:$B$752 = 'CalHFA Addendum'!V$18)*(Application!$AH$728:$AH$752 = 'CalHFA Addendum'!$B22),Application!$G$728:$G$752)</f>
        <v>0</v>
      </c>
      <c r="W22" s="2656"/>
      <c r="X22" s="2656"/>
      <c r="Y22" s="2656"/>
      <c r="Z22" s="2656"/>
      <c r="AA22" s="2657"/>
      <c r="AB22" s="2655" cm="1">
        <f t="array" ref="AB22">SUMPRODUCT((Application!$B$728:$B$752 = 'CalHFA Addendum'!AB$18)*(Application!$AH$728:$AH$752 = 'CalHFA Addendum'!$B22),Application!$G$728:$G$752)</f>
        <v>0</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v>
      </c>
      <c r="AU22" s="2659"/>
      <c r="AV22" s="2659"/>
      <c r="AW22" s="2659"/>
      <c r="AX22" s="2659"/>
      <c r="AY22" s="2660"/>
      <c r="AZ22" s="1531"/>
      <c r="BA22" s="1531"/>
      <c r="BB22" s="1531"/>
      <c r="BC22" s="1531"/>
      <c r="BD22" s="1531"/>
      <c r="BE22" s="1537"/>
    </row>
    <row r="23" spans="1:58" ht="15">
      <c r="A23" s="1836"/>
      <c r="B23" s="2661">
        <v>0.6</v>
      </c>
      <c r="C23" s="2662"/>
      <c r="D23" s="2662"/>
      <c r="E23" s="2662"/>
      <c r="F23" s="2662"/>
      <c r="G23" s="2662"/>
      <c r="H23" s="2662"/>
      <c r="I23" s="2662"/>
      <c r="J23" s="2651">
        <f t="shared" si="1"/>
        <v>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v>
      </c>
      <c r="AU23" s="2659"/>
      <c r="AV23" s="2659"/>
      <c r="AW23" s="2659"/>
      <c r="AX23" s="2659"/>
      <c r="AY23" s="2660"/>
      <c r="AZ23" s="1531"/>
      <c r="BA23" s="1531"/>
      <c r="BB23" s="1531"/>
      <c r="BC23" s="1531"/>
      <c r="BD23" s="1531"/>
      <c r="BE23" s="1537"/>
    </row>
    <row r="24" spans="1:58" ht="15">
      <c r="A24" s="1836"/>
      <c r="B24" s="2661">
        <v>0.7</v>
      </c>
      <c r="C24" s="2662"/>
      <c r="D24" s="2662"/>
      <c r="E24" s="2662"/>
      <c r="F24" s="2662"/>
      <c r="G24" s="2662"/>
      <c r="H24" s="2662"/>
      <c r="I24" s="2662"/>
      <c r="J24" s="2651">
        <f t="shared" si="1"/>
        <v>0</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v>
      </c>
      <c r="AU24" s="2659"/>
      <c r="AV24" s="2659"/>
      <c r="AW24" s="2659"/>
      <c r="AX24" s="2659"/>
      <c r="AY24" s="2660"/>
      <c r="AZ24" s="1531"/>
      <c r="BA24" s="1531"/>
      <c r="BB24" s="1531"/>
      <c r="BC24" s="1531"/>
      <c r="BD24" s="1531"/>
      <c r="BE24" s="1537"/>
    </row>
    <row r="25" spans="1:58" ht="15">
      <c r="A25" s="1836"/>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31"/>
      <c r="BA25" s="1531"/>
      <c r="BB25" s="1531"/>
      <c r="BC25" s="1531"/>
      <c r="BD25" s="1531"/>
      <c r="BE25" s="1537"/>
    </row>
    <row r="26" spans="1:58" ht="15">
      <c r="A26" s="1836"/>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31"/>
      <c r="BA26" s="1531"/>
      <c r="BB26" s="1531"/>
      <c r="BC26" s="1531"/>
      <c r="BD26" s="1531"/>
      <c r="BE26" s="1537"/>
    </row>
    <row r="27" spans="1:58" ht="15">
      <c r="A27" s="1836"/>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31"/>
      <c r="BA27" s="1531"/>
      <c r="BB27" s="1531"/>
      <c r="BC27" s="1531"/>
      <c r="BD27" s="1531"/>
      <c r="BE27" s="1537"/>
      <c r="BF27" s="1704"/>
    </row>
    <row r="28" spans="1:58" thickBot="1">
      <c r="A28" s="1836"/>
      <c r="B28" s="2673" t="s">
        <v>2065</v>
      </c>
      <c r="C28" s="2674"/>
      <c r="D28" s="2674"/>
      <c r="E28" s="2674"/>
      <c r="F28" s="2674"/>
      <c r="G28" s="2674"/>
      <c r="H28" s="2674"/>
      <c r="I28" s="2675"/>
      <c r="J28" s="2651">
        <f>SUM(P28:AS28)</f>
        <v>1</v>
      </c>
      <c r="K28" s="2652"/>
      <c r="L28" s="2652"/>
      <c r="M28" s="2652"/>
      <c r="N28" s="2652"/>
      <c r="O28" s="2653"/>
      <c r="P28" s="2663">
        <f>_xlfn.IFNA(VLOOKUP(P$18,Application!$J$772:$S$775,6,FALSE), 0)</f>
        <v>0</v>
      </c>
      <c r="Q28" s="2664"/>
      <c r="R28" s="2664"/>
      <c r="S28" s="2664"/>
      <c r="T28" s="2664"/>
      <c r="U28" s="2665"/>
      <c r="V28" s="2663">
        <f>_xlfn.IFNA(VLOOKUP(V$18,Application!$J$772:$S$775,6,FALSE), 0)</f>
        <v>0</v>
      </c>
      <c r="W28" s="2664"/>
      <c r="X28" s="2664"/>
      <c r="Y28" s="2664"/>
      <c r="Z28" s="2664"/>
      <c r="AA28" s="2665"/>
      <c r="AB28" s="2663">
        <f>_xlfn.IFNA(VLOOKUP(AB$18,Application!$J$772:$S$775,6,FALSE), 0)</f>
        <v>0</v>
      </c>
      <c r="AC28" s="2664"/>
      <c r="AD28" s="2664"/>
      <c r="AE28" s="2664"/>
      <c r="AF28" s="2664"/>
      <c r="AG28" s="2665"/>
      <c r="AH28" s="2663">
        <f>_xlfn.IFNA(VLOOKUP(AH$18,Application!$J$772:$S$775,6,FALSE), 0)</f>
        <v>1</v>
      </c>
      <c r="AI28" s="2664"/>
      <c r="AJ28" s="2664"/>
      <c r="AK28" s="2664"/>
      <c r="AL28" s="2664"/>
      <c r="AM28" s="2665"/>
      <c r="AN28" s="2663">
        <f>_xlfn.IFNA(VLOOKUP(AN$18,Application!$J$772:$S$775,6,FALSE), 0)</f>
        <v>0</v>
      </c>
      <c r="AO28" s="2664"/>
      <c r="AP28" s="2664"/>
      <c r="AQ28" s="2664"/>
      <c r="AR28" s="2664"/>
      <c r="AS28" s="2665"/>
      <c r="AT28" s="2658">
        <f>J28/$J$29</f>
        <v>2.0833333333333332E-2</v>
      </c>
      <c r="AU28" s="2659"/>
      <c r="AV28" s="2659"/>
      <c r="AW28" s="2659"/>
      <c r="AX28" s="2659"/>
      <c r="AY28" s="2660"/>
      <c r="AZ28" s="1531"/>
      <c r="BA28" s="1531"/>
      <c r="BB28" s="1531"/>
      <c r="BC28" s="1531"/>
      <c r="BD28" s="1531"/>
      <c r="BE28" s="1537"/>
    </row>
    <row r="29" spans="1:58" thickBot="1">
      <c r="A29" s="1836"/>
      <c r="B29" s="2666" t="s">
        <v>1893</v>
      </c>
      <c r="C29" s="2667"/>
      <c r="D29" s="2667"/>
      <c r="E29" s="2667"/>
      <c r="F29" s="2667"/>
      <c r="G29" s="2667"/>
      <c r="H29" s="2667"/>
      <c r="I29" s="2668"/>
      <c r="J29" s="2669">
        <f>SUM(J19:O28)</f>
        <v>48</v>
      </c>
      <c r="K29" s="2667"/>
      <c r="L29" s="2667"/>
      <c r="M29" s="2667"/>
      <c r="N29" s="2667"/>
      <c r="O29" s="2668"/>
      <c r="P29" s="2669">
        <f>SUM(P19:U28)</f>
        <v>0</v>
      </c>
      <c r="Q29" s="2667"/>
      <c r="R29" s="2667"/>
      <c r="S29" s="2667"/>
      <c r="T29" s="2667"/>
      <c r="U29" s="2668"/>
      <c r="V29" s="2669">
        <f>SUM(V19:AA28)</f>
        <v>0</v>
      </c>
      <c r="W29" s="2667"/>
      <c r="X29" s="2667"/>
      <c r="Y29" s="2667"/>
      <c r="Z29" s="2667"/>
      <c r="AA29" s="2668"/>
      <c r="AB29" s="2669">
        <f>SUM(AB19:AG28)</f>
        <v>24</v>
      </c>
      <c r="AC29" s="2667"/>
      <c r="AD29" s="2667"/>
      <c r="AE29" s="2667"/>
      <c r="AF29" s="2667"/>
      <c r="AG29" s="2668"/>
      <c r="AH29" s="2669">
        <f>SUM(AH19:AM28)</f>
        <v>24</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76" t="s">
        <v>2066</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31"/>
      <c r="BB31" s="1531"/>
      <c r="BC31" s="1531"/>
      <c r="BD31" s="1531"/>
      <c r="BE31" s="1537"/>
    </row>
    <row r="32" spans="1:58" thickBot="1">
      <c r="A32" s="1836"/>
      <c r="B32" s="2679" t="s">
        <v>2067</v>
      </c>
      <c r="C32" s="2680"/>
      <c r="D32" s="2680"/>
      <c r="E32" s="2680"/>
      <c r="F32" s="2680"/>
      <c r="G32" s="2680"/>
      <c r="H32" s="2680"/>
      <c r="I32" s="2681"/>
      <c r="J32" s="2683" t="s">
        <v>2068</v>
      </c>
      <c r="K32" s="2684"/>
      <c r="L32" s="2684"/>
      <c r="M32" s="2685"/>
      <c r="N32" s="2683" t="s">
        <v>2069</v>
      </c>
      <c r="O32" s="2684"/>
      <c r="P32" s="2684"/>
      <c r="Q32" s="2684"/>
      <c r="R32" s="2687" t="s">
        <v>2070</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31"/>
      <c r="BB32" s="1531"/>
      <c r="BC32" s="1531"/>
      <c r="BD32" s="1531"/>
      <c r="BE32" s="1537"/>
    </row>
    <row r="33" spans="1:58" ht="15" customHeight="1">
      <c r="A33" s="1836"/>
      <c r="B33" s="2682"/>
      <c r="C33" s="2680"/>
      <c r="D33" s="2680"/>
      <c r="E33" s="2680"/>
      <c r="F33" s="2680"/>
      <c r="G33" s="2680"/>
      <c r="H33" s="2680"/>
      <c r="I33" s="2681"/>
      <c r="J33" s="2686"/>
      <c r="K33" s="2684"/>
      <c r="L33" s="2684"/>
      <c r="M33" s="2685"/>
      <c r="N33" s="2686"/>
      <c r="O33" s="2684"/>
      <c r="P33" s="2684"/>
      <c r="Q33" s="2684"/>
      <c r="R33" s="2690" t="s">
        <v>2071</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8"/>
      <c r="BB33" s="1531"/>
      <c r="BC33" s="1531"/>
      <c r="BD33" s="1531"/>
      <c r="BE33" s="1537"/>
    </row>
    <row r="34" spans="1:58" ht="15.75" customHeight="1" thickBot="1">
      <c r="A34" s="1836"/>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8"/>
      <c r="BB34" s="1531"/>
      <c r="BC34" s="1531"/>
      <c r="BD34" s="1531"/>
      <c r="BE34" s="1537"/>
    </row>
    <row r="35" spans="1:58" ht="15.75" customHeight="1" thickBot="1">
      <c r="A35" s="1836"/>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2072</v>
      </c>
      <c r="AP35" s="2709"/>
      <c r="AQ35" s="2709"/>
      <c r="AR35" s="2709"/>
      <c r="AS35" s="2709"/>
      <c r="AT35" s="2710"/>
      <c r="AU35" s="2708" t="s">
        <v>2073</v>
      </c>
      <c r="AV35" s="2709"/>
      <c r="AW35" s="2709"/>
      <c r="AX35" s="2709"/>
      <c r="AY35" s="2709"/>
      <c r="AZ35" s="2710"/>
      <c r="BA35" s="1538"/>
      <c r="BB35" s="1531"/>
      <c r="BC35" s="1531"/>
      <c r="BD35" s="1531"/>
      <c r="BE35" s="1537"/>
      <c r="BF35" s="1529"/>
    </row>
    <row r="36" spans="1:58" ht="15.75" customHeight="1">
      <c r="A36" s="1836"/>
      <c r="B36" s="2711" t="s">
        <v>2074</v>
      </c>
      <c r="C36" s="2712"/>
      <c r="D36" s="2712"/>
      <c r="E36" s="2712"/>
      <c r="F36" s="2712"/>
      <c r="G36" s="2712"/>
      <c r="H36" s="2712"/>
      <c r="I36" s="2713"/>
      <c r="J36" s="2714" t="s">
        <v>2075</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2.0625</v>
      </c>
      <c r="AV36" s="2722"/>
      <c r="AW36" s="2722"/>
      <c r="AX36" s="2722"/>
      <c r="AY36" s="2722"/>
      <c r="AZ36" s="2722"/>
      <c r="BA36" s="1531"/>
      <c r="BB36" s="1531"/>
      <c r="BC36" s="1531"/>
      <c r="BD36" s="1531"/>
      <c r="BE36" s="1537"/>
      <c r="BF36" s="1529"/>
    </row>
    <row r="37" spans="1:58" ht="15.75" customHeight="1">
      <c r="A37" s="1836"/>
      <c r="B37" s="2699" t="s">
        <v>2076</v>
      </c>
      <c r="C37" s="2700"/>
      <c r="D37" s="2700"/>
      <c r="E37" s="2700"/>
      <c r="F37" s="2700"/>
      <c r="G37" s="2700"/>
      <c r="H37" s="2700"/>
      <c r="I37" s="2701"/>
      <c r="J37" s="2702" t="s">
        <v>2077</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2">SUM(R37:AN37)</f>
        <v>0</v>
      </c>
      <c r="AP37" s="2721"/>
      <c r="AQ37" s="2721"/>
      <c r="AR37" s="2721"/>
      <c r="AS37" s="2721"/>
      <c r="AT37" s="2721"/>
      <c r="AU37" s="2722">
        <f t="shared" ref="AU37:AU47" si="3">AO37/$J$29</f>
        <v>0</v>
      </c>
      <c r="AV37" s="2722"/>
      <c r="AW37" s="2722"/>
      <c r="AX37" s="2722"/>
      <c r="AY37" s="2722"/>
      <c r="AZ37" s="2722"/>
      <c r="BA37" s="1531"/>
      <c r="BB37" s="1531"/>
      <c r="BC37" s="1531"/>
      <c r="BD37" s="1531"/>
      <c r="BE37" s="1537"/>
      <c r="BF37" s="1529"/>
    </row>
    <row r="38" spans="1:58" ht="15.75" customHeight="1">
      <c r="A38" s="1836"/>
      <c r="B38" s="2699" t="s">
        <v>2078</v>
      </c>
      <c r="C38" s="2700"/>
      <c r="D38" s="2700"/>
      <c r="E38" s="2700"/>
      <c r="F38" s="2700"/>
      <c r="G38" s="2700"/>
      <c r="H38" s="2700"/>
      <c r="I38" s="2701"/>
      <c r="J38" s="2702" t="s">
        <v>2079</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2"/>
        <v>0</v>
      </c>
      <c r="AP38" s="2721"/>
      <c r="AQ38" s="2721"/>
      <c r="AR38" s="2721"/>
      <c r="AS38" s="2721"/>
      <c r="AT38" s="2721"/>
      <c r="AU38" s="2722">
        <f t="shared" si="3"/>
        <v>0</v>
      </c>
      <c r="AV38" s="2722"/>
      <c r="AW38" s="2722"/>
      <c r="AX38" s="2722"/>
      <c r="AY38" s="2722"/>
      <c r="AZ38" s="2722"/>
      <c r="BA38" s="1531"/>
      <c r="BB38" s="1531"/>
      <c r="BC38" s="1531"/>
      <c r="BD38" s="1531"/>
      <c r="BE38" s="1537"/>
      <c r="BF38" s="1529"/>
    </row>
    <row r="39" spans="1:58" ht="15.75" customHeight="1">
      <c r="A39" s="1836"/>
      <c r="B39" s="2699" t="s">
        <v>2080</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2"/>
        <v>0</v>
      </c>
      <c r="AP39" s="2721"/>
      <c r="AQ39" s="2721"/>
      <c r="AR39" s="2721"/>
      <c r="AS39" s="2721"/>
      <c r="AT39" s="2721"/>
      <c r="AU39" s="2722">
        <f t="shared" si="3"/>
        <v>0</v>
      </c>
      <c r="AV39" s="2722"/>
      <c r="AW39" s="2722"/>
      <c r="AX39" s="2722"/>
      <c r="AY39" s="2722"/>
      <c r="AZ39" s="2722"/>
      <c r="BA39" s="1531"/>
      <c r="BB39" s="1531"/>
      <c r="BC39" s="1531"/>
      <c r="BD39" s="1531"/>
      <c r="BE39" s="1537"/>
    </row>
    <row r="40" spans="1:58" ht="15.75" customHeight="1">
      <c r="A40" s="1836"/>
      <c r="B40" s="2699" t="s">
        <v>2080</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2"/>
        <v>0</v>
      </c>
      <c r="AP40" s="2721"/>
      <c r="AQ40" s="2721"/>
      <c r="AR40" s="2721"/>
      <c r="AS40" s="2721"/>
      <c r="AT40" s="2721"/>
      <c r="AU40" s="2722">
        <f t="shared" si="3"/>
        <v>0</v>
      </c>
      <c r="AV40" s="2722"/>
      <c r="AW40" s="2722"/>
      <c r="AX40" s="2722"/>
      <c r="AY40" s="2722"/>
      <c r="AZ40" s="2722"/>
      <c r="BA40" s="1531"/>
      <c r="BB40" s="1531"/>
      <c r="BC40" s="1531"/>
      <c r="BD40" s="1531"/>
      <c r="BE40" s="1537"/>
    </row>
    <row r="41" spans="1:58" ht="15.75" customHeight="1">
      <c r="A41" s="1836"/>
      <c r="B41" s="2729" t="s">
        <v>2081</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2"/>
        <v>0</v>
      </c>
      <c r="AP41" s="2721"/>
      <c r="AQ41" s="2721"/>
      <c r="AR41" s="2721"/>
      <c r="AS41" s="2721"/>
      <c r="AT41" s="2721"/>
      <c r="AU41" s="2722">
        <f t="shared" si="3"/>
        <v>0</v>
      </c>
      <c r="AV41" s="2722"/>
      <c r="AW41" s="2722"/>
      <c r="AX41" s="2722"/>
      <c r="AY41" s="2722"/>
      <c r="AZ41" s="2722"/>
      <c r="BA41" s="1531"/>
      <c r="BB41" s="1531"/>
      <c r="BC41" s="1531"/>
      <c r="BD41" s="1531"/>
      <c r="BE41" s="1537"/>
    </row>
    <row r="42" spans="1:58" ht="15.75" customHeight="1">
      <c r="A42" s="1836"/>
      <c r="B42" s="2729" t="s">
        <v>2081</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2"/>
        <v>0</v>
      </c>
      <c r="AP42" s="2721"/>
      <c r="AQ42" s="2721"/>
      <c r="AR42" s="2721"/>
      <c r="AS42" s="2721"/>
      <c r="AT42" s="2721"/>
      <c r="AU42" s="2722">
        <f t="shared" si="3"/>
        <v>0</v>
      </c>
      <c r="AV42" s="2722"/>
      <c r="AW42" s="2722"/>
      <c r="AX42" s="2722"/>
      <c r="AY42" s="2722"/>
      <c r="AZ42" s="2722"/>
      <c r="BA42" s="1531"/>
      <c r="BB42" s="1531"/>
      <c r="BC42" s="1531"/>
      <c r="BD42" s="1531"/>
      <c r="BE42" s="1537"/>
    </row>
    <row r="43" spans="1:58" ht="15.75" customHeight="1">
      <c r="A43" s="1836"/>
      <c r="B43" s="2732" t="s">
        <v>2082</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2"/>
        <v>0</v>
      </c>
      <c r="AP43" s="2721"/>
      <c r="AQ43" s="2721"/>
      <c r="AR43" s="2721"/>
      <c r="AS43" s="2721"/>
      <c r="AT43" s="2721"/>
      <c r="AU43" s="2722">
        <f t="shared" si="3"/>
        <v>0</v>
      </c>
      <c r="AV43" s="2722"/>
      <c r="AW43" s="2722"/>
      <c r="AX43" s="2722"/>
      <c r="AY43" s="2722"/>
      <c r="AZ43" s="2722"/>
      <c r="BA43" s="1531"/>
      <c r="BB43" s="1531"/>
      <c r="BC43" s="1531"/>
      <c r="BD43" s="1531"/>
      <c r="BE43" s="1537"/>
    </row>
    <row r="44" spans="1:58" ht="15.75" customHeight="1">
      <c r="A44" s="1836"/>
      <c r="B44" s="2732" t="s">
        <v>2083</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2"/>
        <v>0</v>
      </c>
      <c r="AP44" s="2721"/>
      <c r="AQ44" s="2721"/>
      <c r="AR44" s="2721"/>
      <c r="AS44" s="2721"/>
      <c r="AT44" s="2721"/>
      <c r="AU44" s="2722">
        <f t="shared" si="3"/>
        <v>0</v>
      </c>
      <c r="AV44" s="2722"/>
      <c r="AW44" s="2722"/>
      <c r="AX44" s="2722"/>
      <c r="AY44" s="2722"/>
      <c r="AZ44" s="2722"/>
      <c r="BA44" s="1531"/>
      <c r="BB44" s="1531"/>
      <c r="BC44" s="1531"/>
      <c r="BD44" s="1531"/>
      <c r="BE44" s="1537"/>
    </row>
    <row r="45" spans="1:58" ht="15.75" customHeight="1">
      <c r="A45" s="1836"/>
      <c r="B45" s="2735" t="s">
        <v>2084</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2"/>
        <v>0</v>
      </c>
      <c r="AP45" s="2721"/>
      <c r="AQ45" s="2721"/>
      <c r="AR45" s="2721"/>
      <c r="AS45" s="2721"/>
      <c r="AT45" s="2721"/>
      <c r="AU45" s="2722">
        <f t="shared" si="3"/>
        <v>0</v>
      </c>
      <c r="AV45" s="2722"/>
      <c r="AW45" s="2722"/>
      <c r="AX45" s="2722"/>
      <c r="AY45" s="2722"/>
      <c r="AZ45" s="2722"/>
      <c r="BA45" s="1531"/>
      <c r="BB45" s="1531"/>
      <c r="BC45" s="1531"/>
      <c r="BD45" s="1531"/>
      <c r="BE45" s="1537"/>
    </row>
    <row r="46" spans="1:58" ht="15.75" customHeight="1">
      <c r="A46" s="1836"/>
      <c r="B46" s="2735" t="s">
        <v>2085</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2"/>
        <v>0</v>
      </c>
      <c r="AP46" s="2721"/>
      <c r="AQ46" s="2721"/>
      <c r="AR46" s="2721"/>
      <c r="AS46" s="2721"/>
      <c r="AT46" s="2721"/>
      <c r="AU46" s="2722">
        <f t="shared" si="3"/>
        <v>0</v>
      </c>
      <c r="AV46" s="2722"/>
      <c r="AW46" s="2722"/>
      <c r="AX46" s="2722"/>
      <c r="AY46" s="2722"/>
      <c r="AZ46" s="2722"/>
      <c r="BA46" s="1531"/>
      <c r="BB46" s="1531"/>
      <c r="BC46" s="1531"/>
      <c r="BD46" s="1531"/>
      <c r="BE46" s="1537"/>
    </row>
    <row r="47" spans="1:58" ht="15.75" customHeight="1" thickBot="1">
      <c r="A47" s="1836"/>
      <c r="B47" s="2738" t="s">
        <v>309</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2"/>
        <v>0</v>
      </c>
      <c r="AP47" s="2721"/>
      <c r="AQ47" s="2721"/>
      <c r="AR47" s="2721"/>
      <c r="AS47" s="2721"/>
      <c r="AT47" s="2721"/>
      <c r="AU47" s="2722">
        <f t="shared" si="3"/>
        <v>0</v>
      </c>
      <c r="AV47" s="2722"/>
      <c r="AW47" s="2722"/>
      <c r="AX47" s="2722"/>
      <c r="AY47" s="2722"/>
      <c r="AZ47" s="2722"/>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6" t="s">
        <v>2088</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9" t="s">
        <v>2089</v>
      </c>
      <c r="C51" s="2750"/>
      <c r="D51" s="2750"/>
      <c r="E51" s="2750"/>
      <c r="F51" s="2750"/>
      <c r="G51" s="2750"/>
      <c r="H51" s="2750"/>
      <c r="I51" s="2751"/>
      <c r="J51" s="2749" t="s">
        <v>2090</v>
      </c>
      <c r="K51" s="2750"/>
      <c r="L51" s="2750"/>
      <c r="M51" s="2750"/>
      <c r="N51" s="2750"/>
      <c r="O51" s="2750"/>
      <c r="P51" s="2750"/>
      <c r="Q51" s="2751"/>
      <c r="R51" s="2752" t="s">
        <v>2091</v>
      </c>
      <c r="S51" s="2753"/>
      <c r="T51" s="2753"/>
      <c r="U51" s="2753"/>
      <c r="V51" s="2753"/>
      <c r="W51" s="2753"/>
      <c r="X51" s="2753"/>
      <c r="Y51" s="2754"/>
      <c r="Z51" s="2755" t="s">
        <v>2092</v>
      </c>
      <c r="AA51" s="2756"/>
      <c r="AB51" s="2756"/>
      <c r="AC51" s="2756"/>
      <c r="AD51" s="2756"/>
      <c r="AE51" s="2756"/>
      <c r="AF51" s="2756"/>
      <c r="AG51" s="2757"/>
      <c r="AH51" s="2755" t="s">
        <v>2093</v>
      </c>
      <c r="AI51" s="2756"/>
      <c r="AJ51" s="2756"/>
      <c r="AK51" s="2756"/>
      <c r="AL51" s="2756"/>
      <c r="AM51" s="2756"/>
      <c r="AN51" s="2756"/>
      <c r="AO51" s="275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5" t="s">
        <v>1893</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SUM(Z52:AG56)</f>
        <v>0</v>
      </c>
      <c r="AA57" s="2777"/>
      <c r="AB57" s="2777"/>
      <c r="AC57" s="2777"/>
      <c r="AD57" s="2777"/>
      <c r="AE57" s="2777"/>
      <c r="AF57" s="2777"/>
      <c r="AG57" s="2777"/>
      <c r="AH57" s="2777">
        <f>SUM(AH52:AO56)</f>
        <v>0</v>
      </c>
      <c r="AI57" s="2777"/>
      <c r="AJ57" s="2777"/>
      <c r="AK57" s="2777"/>
      <c r="AL57" s="2777"/>
      <c r="AM57" s="2777"/>
      <c r="AN57" s="2777"/>
      <c r="AO57" s="277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62" t="s">
        <v>2089</v>
      </c>
      <c r="C59" s="2763"/>
      <c r="D59" s="2763"/>
      <c r="E59" s="2763"/>
      <c r="F59" s="2763"/>
      <c r="G59" s="2763"/>
      <c r="H59" s="2763"/>
      <c r="I59" s="2764"/>
      <c r="J59" s="2765" t="s">
        <v>2094</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31"/>
      <c r="AY59" s="1531"/>
      <c r="AZ59" s="1531"/>
      <c r="BA59" s="1531"/>
      <c r="BB59" s="1531"/>
      <c r="BC59" s="1531"/>
      <c r="BD59" s="1531"/>
      <c r="BE59" s="1537"/>
    </row>
    <row r="60" spans="1:58" ht="15.75" customHeight="1">
      <c r="A60" s="1836"/>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31"/>
      <c r="AY60" s="1531"/>
      <c r="AZ60" s="1531"/>
      <c r="BA60" s="1531"/>
      <c r="BB60" s="1531"/>
      <c r="BC60" s="1531"/>
      <c r="BD60" s="1531"/>
      <c r="BE60" s="1537"/>
    </row>
    <row r="61" spans="1:58" ht="15.75" customHeight="1">
      <c r="A61" s="1836"/>
      <c r="B61" s="2767" t="str">
        <f>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31"/>
      <c r="AY61" s="1531"/>
      <c r="AZ61" s="1531"/>
      <c r="BA61" s="1531"/>
      <c r="BB61" s="1531"/>
      <c r="BC61" s="1531"/>
      <c r="BD61" s="1531"/>
      <c r="BE61" s="1537"/>
    </row>
    <row r="62" spans="1:58" ht="15.75" customHeight="1">
      <c r="A62" s="1836"/>
      <c r="B62" s="2767" t="str">
        <f>IF(B54="", "", B54)</f>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31"/>
      <c r="AY62" s="1531"/>
      <c r="AZ62" s="1531"/>
      <c r="BA62" s="1531"/>
      <c r="BB62" s="1531"/>
      <c r="BC62" s="1531"/>
      <c r="BD62" s="1531"/>
      <c r="BE62" s="1537"/>
    </row>
    <row r="63" spans="1:58" ht="15.75" customHeight="1">
      <c r="A63" s="1836"/>
      <c r="B63" s="2767" t="str">
        <f>IF(B55="", "", B55)</f>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31"/>
      <c r="AY63" s="1531"/>
      <c r="AZ63" s="1531"/>
      <c r="BA63" s="1531"/>
      <c r="BB63" s="1531"/>
      <c r="BC63" s="1531"/>
      <c r="BD63" s="1531"/>
      <c r="BE63" s="1537"/>
    </row>
    <row r="64" spans="1:58" ht="15.75" customHeight="1" thickBot="1">
      <c r="A64" s="1836"/>
      <c r="B64" s="2790" t="str">
        <f>IF(B56="", "", B56)</f>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5" t="s">
        <v>2096</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31"/>
      <c r="AC68" s="2804" t="s">
        <v>2097</v>
      </c>
      <c r="AD68" s="2805"/>
      <c r="AE68" s="2805"/>
      <c r="AF68" s="2805"/>
      <c r="AG68" s="2805"/>
      <c r="AH68" s="2805"/>
      <c r="AI68" s="2805"/>
      <c r="AJ68" s="2805"/>
      <c r="AK68" s="2805"/>
      <c r="AL68" s="2805"/>
      <c r="AM68" s="2805"/>
      <c r="AN68" s="2805"/>
      <c r="AO68" s="2805"/>
      <c r="AP68" s="2805"/>
      <c r="AQ68" s="2805"/>
      <c r="AR68" s="2805"/>
      <c r="AS68" s="2805"/>
      <c r="AT68" s="2805"/>
      <c r="AU68" s="2805"/>
      <c r="AV68" s="2778" t="s">
        <v>2053</v>
      </c>
      <c r="AW68" s="2778"/>
      <c r="AX68" s="2778"/>
      <c r="AY68" s="2778"/>
      <c r="AZ68" s="2778"/>
      <c r="BA68" s="2778"/>
      <c r="BB68" s="2778"/>
      <c r="BC68" s="2779"/>
      <c r="BD68" s="1531"/>
      <c r="BE68" s="1537"/>
    </row>
    <row r="69" spans="1:57" ht="15.75" customHeight="1" thickBot="1">
      <c r="A69" s="1836"/>
      <c r="B69" s="2780" t="s">
        <v>2098</v>
      </c>
      <c r="C69" s="2781"/>
      <c r="D69" s="2781"/>
      <c r="E69" s="2781"/>
      <c r="F69" s="2781"/>
      <c r="G69" s="2781"/>
      <c r="H69" s="2781"/>
      <c r="I69" s="2781"/>
      <c r="J69" s="2781"/>
      <c r="K69" s="2781"/>
      <c r="L69" s="2781"/>
      <c r="M69" s="2781"/>
      <c r="N69" s="2781"/>
      <c r="O69" s="2782" t="s">
        <v>2099</v>
      </c>
      <c r="P69" s="2783"/>
      <c r="Q69" s="2783"/>
      <c r="R69" s="2783"/>
      <c r="S69" s="2783"/>
      <c r="T69" s="2783"/>
      <c r="U69" s="2783"/>
      <c r="V69" s="2783"/>
      <c r="W69" s="2783"/>
      <c r="X69" s="2783"/>
      <c r="Y69" s="2783"/>
      <c r="Z69" s="2783"/>
      <c r="AA69" s="2784"/>
      <c r="AB69" s="1531"/>
      <c r="AC69" s="2785" t="s">
        <v>2100</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31"/>
      <c r="BE69" s="1537"/>
    </row>
    <row r="70" spans="1:57" ht="15.75" customHeight="1">
      <c r="A70" s="1836"/>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31"/>
      <c r="AC70" s="2798" t="s">
        <v>2101</v>
      </c>
      <c r="AD70" s="2799"/>
      <c r="AE70" s="2799"/>
      <c r="AF70" s="2800"/>
      <c r="AG70" s="2800"/>
      <c r="AH70" s="2800"/>
      <c r="AI70" s="2800"/>
      <c r="AJ70" s="2800"/>
      <c r="AK70" s="2800"/>
      <c r="AL70" s="2800"/>
      <c r="AM70" s="2800"/>
      <c r="AN70" s="2800"/>
      <c r="AO70" s="2800"/>
      <c r="AP70" s="2800"/>
      <c r="AQ70" s="2800"/>
      <c r="AR70" s="2800"/>
      <c r="AS70" s="2800"/>
      <c r="AT70" s="2800"/>
      <c r="AU70" s="2801"/>
      <c r="AV70" s="1531"/>
      <c r="AW70" s="1531"/>
      <c r="AX70" s="1531"/>
      <c r="AY70" s="1531"/>
      <c r="AZ70" s="1531"/>
      <c r="BA70" s="1531"/>
      <c r="BB70" s="1531"/>
      <c r="BC70" s="1531"/>
      <c r="BD70" s="1531"/>
      <c r="BE70" s="1537"/>
    </row>
    <row r="71" spans="1:57" ht="15.75" customHeight="1" thickBot="1">
      <c r="A71" s="1836"/>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31"/>
      <c r="AC71" s="2802" t="s">
        <v>2102</v>
      </c>
      <c r="AD71" s="2803"/>
      <c r="AE71" s="2803"/>
      <c r="AF71" s="2742"/>
      <c r="AG71" s="2742"/>
      <c r="AH71" s="2742"/>
      <c r="AI71" s="2742"/>
      <c r="AJ71" s="2742"/>
      <c r="AK71" s="2742"/>
      <c r="AL71" s="2742"/>
      <c r="AM71" s="2742"/>
      <c r="AN71" s="2742"/>
      <c r="AO71" s="2742"/>
      <c r="AP71" s="2742"/>
      <c r="AQ71" s="2742"/>
      <c r="AR71" s="2742"/>
      <c r="AS71" s="2742"/>
      <c r="AT71" s="2742"/>
      <c r="AU71" s="2743"/>
      <c r="AV71" s="1531"/>
      <c r="AW71" s="1531"/>
      <c r="AX71" s="1531"/>
      <c r="AY71" s="1531"/>
      <c r="AZ71" s="1531"/>
      <c r="BA71" s="1531"/>
      <c r="BB71" s="1531"/>
      <c r="BC71" s="1531"/>
      <c r="BD71" s="1531"/>
      <c r="BE71" s="1537"/>
    </row>
    <row r="72" spans="1:57" ht="15.75" customHeight="1">
      <c r="A72" s="1836"/>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31"/>
      <c r="AC72" s="2811" t="s">
        <v>2103</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31"/>
      <c r="BE72" s="1537"/>
    </row>
    <row r="73" spans="1:57" ht="15.75" customHeight="1">
      <c r="A73" s="1836"/>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31"/>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31"/>
      <c r="BE73" s="1537"/>
    </row>
    <row r="74" spans="1:57" ht="15.75" customHeight="1" thickBot="1">
      <c r="A74" s="1836"/>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31"/>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31"/>
      <c r="BE74" s="1537"/>
    </row>
    <row r="75" spans="1:57" ht="15.75" customHeight="1" thickTop="1" thickBot="1">
      <c r="A75" s="1836"/>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31"/>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6" t="s">
        <v>2105</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6"/>
      <c r="C80" s="2617"/>
      <c r="D80" s="2617"/>
      <c r="E80" s="2617"/>
      <c r="F80" s="2617"/>
      <c r="G80" s="2617"/>
      <c r="H80" s="2618"/>
      <c r="I80" s="2808" t="s">
        <v>2106</v>
      </c>
      <c r="J80" s="2809"/>
      <c r="K80" s="2809"/>
      <c r="L80" s="2809"/>
      <c r="M80" s="2809"/>
      <c r="N80" s="2810"/>
      <c r="O80" s="2808" t="s">
        <v>2107</v>
      </c>
      <c r="P80" s="2809"/>
      <c r="Q80" s="2809"/>
      <c r="R80" s="2809"/>
      <c r="S80" s="2809"/>
      <c r="T80" s="2809"/>
      <c r="U80" s="2810"/>
      <c r="V80" s="2808" t="s">
        <v>2108</v>
      </c>
      <c r="W80" s="2809"/>
      <c r="X80" s="2809"/>
      <c r="Y80" s="2809"/>
      <c r="Z80" s="2809"/>
      <c r="AA80" s="2810"/>
      <c r="AB80" s="2808" t="s">
        <v>2109</v>
      </c>
      <c r="AC80" s="2809"/>
      <c r="AD80" s="2809"/>
      <c r="AE80" s="2809"/>
      <c r="AF80" s="2809"/>
      <c r="AG80" s="281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8" t="s">
        <v>2110</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8" t="s">
        <v>2111</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21" t="s">
        <v>2113</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6"/>
      <c r="C87" s="2617"/>
      <c r="D87" s="2617"/>
      <c r="E87" s="2617"/>
      <c r="F87" s="2617"/>
      <c r="G87" s="2617"/>
      <c r="H87" s="2618"/>
      <c r="I87" s="2808" t="s">
        <v>2106</v>
      </c>
      <c r="J87" s="2809"/>
      <c r="K87" s="2809"/>
      <c r="L87" s="2809"/>
      <c r="M87" s="2809"/>
      <c r="N87" s="2810"/>
      <c r="O87" s="2808" t="s">
        <v>2107</v>
      </c>
      <c r="P87" s="2809"/>
      <c r="Q87" s="2809"/>
      <c r="R87" s="2809"/>
      <c r="S87" s="2809"/>
      <c r="T87" s="2809"/>
      <c r="U87" s="2810"/>
      <c r="V87" s="2808" t="s">
        <v>2108</v>
      </c>
      <c r="W87" s="2809"/>
      <c r="X87" s="2809"/>
      <c r="Y87" s="2809"/>
      <c r="Z87" s="2809"/>
      <c r="AA87" s="2810"/>
      <c r="AB87" s="2824" t="s">
        <v>2109</v>
      </c>
      <c r="AC87" s="2825"/>
      <c r="AD87" s="2825"/>
      <c r="AE87" s="2825"/>
      <c r="AF87" s="2825"/>
      <c r="AG87" s="2825"/>
      <c r="AH87" s="282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8" t="s">
        <v>2110</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8" t="s">
        <v>2111</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6" t="s">
        <v>2115</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6"/>
      <c r="C94" s="2617"/>
      <c r="D94" s="2617"/>
      <c r="E94" s="2617"/>
      <c r="F94" s="2617"/>
      <c r="G94" s="2617"/>
      <c r="H94" s="2618"/>
      <c r="I94" s="2808" t="s">
        <v>2106</v>
      </c>
      <c r="J94" s="2809"/>
      <c r="K94" s="2809"/>
      <c r="L94" s="2809"/>
      <c r="M94" s="2809"/>
      <c r="N94" s="2810"/>
      <c r="O94" s="2808" t="s">
        <v>2107</v>
      </c>
      <c r="P94" s="2809"/>
      <c r="Q94" s="2809"/>
      <c r="R94" s="2809"/>
      <c r="S94" s="2809"/>
      <c r="T94" s="2809"/>
      <c r="U94" s="2810"/>
      <c r="V94" s="2808" t="s">
        <v>2108</v>
      </c>
      <c r="W94" s="2809"/>
      <c r="X94" s="2809"/>
      <c r="Y94" s="2809"/>
      <c r="Z94" s="2809"/>
      <c r="AA94" s="2810"/>
      <c r="AB94" s="2824" t="s">
        <v>2109</v>
      </c>
      <c r="AC94" s="2825"/>
      <c r="AD94" s="2825"/>
      <c r="AE94" s="2825"/>
      <c r="AF94" s="2825"/>
      <c r="AG94" s="2825"/>
      <c r="AH94" s="2826"/>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8" t="s">
        <v>2110</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8" t="s">
        <v>2111</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5" t="s">
        <v>2117</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50"/>
      <c r="C101" s="2851"/>
      <c r="D101" s="2851"/>
      <c r="E101" s="2851"/>
      <c r="F101" s="2851"/>
      <c r="G101" s="2851"/>
      <c r="H101" s="2852"/>
      <c r="I101" s="2782" t="s">
        <v>2107</v>
      </c>
      <c r="J101" s="2783"/>
      <c r="K101" s="2783"/>
      <c r="L101" s="2783"/>
      <c r="M101" s="2783"/>
      <c r="N101" s="2783"/>
      <c r="O101" s="2853"/>
      <c r="P101" s="2782" t="s">
        <v>2118</v>
      </c>
      <c r="Q101" s="2783"/>
      <c r="R101" s="2783"/>
      <c r="S101" s="2783"/>
      <c r="T101" s="2783"/>
      <c r="U101" s="2853"/>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4" t="s">
        <v>2110</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5" t="s">
        <v>2111</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8" t="s">
        <v>2119</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2053</v>
      </c>
      <c r="AH105" s="2841"/>
      <c r="AI105" s="2841"/>
      <c r="AJ105" s="284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43" t="s">
        <v>2120</v>
      </c>
      <c r="C106" s="2844"/>
      <c r="D106" s="2844"/>
      <c r="E106" s="2844"/>
      <c r="F106" s="2844"/>
      <c r="G106" s="2844"/>
      <c r="H106" s="2844"/>
      <c r="I106" s="2844"/>
      <c r="J106" s="2844"/>
      <c r="K106" s="2844"/>
      <c r="L106" s="2844"/>
      <c r="M106" s="2844"/>
      <c r="N106" s="2844"/>
      <c r="O106" s="2844"/>
      <c r="P106" s="2844"/>
      <c r="Q106" s="2845"/>
      <c r="R106" s="2846" t="s">
        <v>2121</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31"/>
      <c r="AZ106" s="1531"/>
      <c r="BA106" s="1531"/>
      <c r="BB106" s="1531"/>
      <c r="BC106" s="1531"/>
      <c r="BD106" s="1531"/>
      <c r="BE106" s="1537"/>
    </row>
    <row r="107" spans="1:57" ht="15.75" customHeight="1">
      <c r="A107" s="1836"/>
      <c r="B107" s="2869" t="s">
        <v>2122</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31"/>
      <c r="AZ107" s="1531"/>
      <c r="BA107" s="1531"/>
      <c r="BB107" s="1531"/>
      <c r="BC107" s="1531"/>
      <c r="BD107" s="1531"/>
      <c r="BE107" s="1537"/>
    </row>
    <row r="108" spans="1:57" ht="15.75" customHeight="1">
      <c r="A108" s="1836"/>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31"/>
      <c r="AZ108" s="1531"/>
      <c r="BA108" s="1531"/>
      <c r="BB108" s="1531"/>
      <c r="BC108" s="1531"/>
      <c r="BD108" s="1531"/>
      <c r="BE108" s="1537"/>
    </row>
    <row r="109" spans="1:57" ht="15.75" customHeight="1">
      <c r="A109" s="1836"/>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31"/>
      <c r="AZ109" s="1531"/>
      <c r="BA109" s="1531"/>
      <c r="BB109" s="1531"/>
      <c r="BC109" s="1531"/>
      <c r="BD109" s="1531"/>
      <c r="BE109" s="1537"/>
    </row>
    <row r="110" spans="1:57" ht="15.75" customHeight="1">
      <c r="A110" s="1836"/>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31"/>
      <c r="AZ110" s="1531"/>
      <c r="BA110" s="1531"/>
      <c r="BB110" s="1531"/>
      <c r="BC110" s="1531"/>
      <c r="BD110" s="1531"/>
      <c r="BE110" s="1537"/>
    </row>
    <row r="111" spans="1:57" ht="15.75" customHeight="1">
      <c r="A111" s="1836"/>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31"/>
      <c r="AZ111" s="1531"/>
      <c r="BA111" s="1531"/>
      <c r="BB111" s="1531"/>
      <c r="BC111" s="1531"/>
      <c r="BD111" s="1531"/>
      <c r="BE111" s="1537"/>
    </row>
    <row r="112" spans="1:57" ht="15.75" customHeight="1">
      <c r="A112" s="1836"/>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31"/>
      <c r="AZ112" s="1531"/>
      <c r="BA112" s="1531"/>
      <c r="BB112" s="1531"/>
      <c r="BC112" s="1531"/>
      <c r="BD112" s="1531"/>
      <c r="BE112" s="1537"/>
    </row>
    <row r="113" spans="1:57" ht="15.75" customHeight="1">
      <c r="A113" s="1836"/>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31"/>
      <c r="AZ113" s="1531"/>
      <c r="BA113" s="1531"/>
      <c r="BB113" s="1531"/>
      <c r="BC113" s="1531"/>
      <c r="BD113" s="1531"/>
      <c r="BE113" s="1537"/>
    </row>
    <row r="114" spans="1:57" ht="15.75" customHeight="1">
      <c r="A114" s="1836"/>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31"/>
      <c r="AZ114" s="1531"/>
      <c r="BA114" s="1531"/>
      <c r="BB114" s="1531"/>
      <c r="BC114" s="1531"/>
      <c r="BD114" s="1531"/>
      <c r="BE114" s="1537"/>
    </row>
    <row r="115" spans="1:57" ht="15.75" customHeight="1">
      <c r="A115" s="1836"/>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31"/>
      <c r="AZ115" s="1531"/>
      <c r="BA115" s="1531"/>
      <c r="BB115" s="1531"/>
      <c r="BC115" s="1531"/>
      <c r="BD115" s="1531"/>
      <c r="BE115" s="1537"/>
    </row>
    <row r="116" spans="1:57" ht="15.75" customHeight="1" thickBot="1">
      <c r="A116" s="1836"/>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5" t="s">
        <v>2124</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50"/>
      <c r="C121" s="2851"/>
      <c r="D121" s="2851"/>
      <c r="E121" s="2851"/>
      <c r="F121" s="2851"/>
      <c r="G121" s="2851"/>
      <c r="H121" s="2852"/>
      <c r="I121" s="2782" t="s">
        <v>2107</v>
      </c>
      <c r="J121" s="2783"/>
      <c r="K121" s="2783"/>
      <c r="L121" s="2783"/>
      <c r="M121" s="2783"/>
      <c r="N121" s="2783"/>
      <c r="O121" s="2853"/>
      <c r="P121" s="2782" t="s">
        <v>2118</v>
      </c>
      <c r="Q121" s="2783"/>
      <c r="R121" s="2783"/>
      <c r="S121" s="2783"/>
      <c r="T121" s="2783"/>
      <c r="U121" s="2853"/>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4" t="s">
        <v>2110</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5" t="s">
        <v>2111</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6" t="s">
        <v>2125</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9" t="s">
        <v>2126</v>
      </c>
      <c r="D126" s="2860"/>
      <c r="E126" s="2860"/>
      <c r="F126" s="2860"/>
      <c r="G126" s="2860"/>
      <c r="H126" s="2860"/>
      <c r="I126" s="2860"/>
      <c r="J126" s="2860"/>
      <c r="K126" s="2860"/>
      <c r="L126" s="2860"/>
      <c r="M126" s="2860"/>
      <c r="N126" s="2860"/>
      <c r="O126" s="2860"/>
      <c r="P126" s="2861"/>
      <c r="Q126" s="2862" t="s">
        <v>2127</v>
      </c>
      <c r="R126" s="2860"/>
      <c r="S126" s="2861"/>
      <c r="T126" s="2863" t="s">
        <v>2128</v>
      </c>
      <c r="U126" s="2864"/>
      <c r="V126" s="2864"/>
      <c r="W126" s="2864"/>
      <c r="X126" s="2864"/>
      <c r="Y126" s="2864"/>
      <c r="Z126" s="2864"/>
      <c r="AA126" s="2865"/>
      <c r="AB126" s="2866" t="s">
        <v>2129</v>
      </c>
      <c r="AC126" s="2867"/>
      <c r="AD126" s="2867"/>
      <c r="AE126" s="2867"/>
      <c r="AF126" s="2867"/>
      <c r="AG126" s="286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8" t="s">
        <v>2130</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8" t="s">
        <v>431</v>
      </c>
      <c r="D128" s="2879"/>
      <c r="E128" s="2879"/>
      <c r="F128" s="2879"/>
      <c r="G128" s="2879"/>
      <c r="H128" s="2879"/>
      <c r="I128" s="2879"/>
      <c r="J128" s="2879"/>
      <c r="K128" s="2879"/>
      <c r="L128" s="2879"/>
      <c r="M128" s="2879"/>
      <c r="N128" s="2879"/>
      <c r="O128" s="2879"/>
      <c r="P128" s="2880"/>
      <c r="Q128" s="2881">
        <v>55</v>
      </c>
      <c r="R128" s="2882"/>
      <c r="S128" s="2883"/>
      <c r="T128" s="2891" t="str">
        <f>_xlfn.CONCAT(Application!AC515,"/", Application!AH515)</f>
        <v>N/A/</v>
      </c>
      <c r="U128" s="2892"/>
      <c r="V128" s="2892"/>
      <c r="W128" s="2892"/>
      <c r="X128" s="2892"/>
      <c r="Y128" s="2892"/>
      <c r="Z128" s="2892"/>
      <c r="AA128" s="289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8" t="s">
        <v>2131</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8" t="s">
        <v>2132</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8" t="s">
        <v>2085</v>
      </c>
      <c r="D131" s="2879"/>
      <c r="E131" s="2879"/>
      <c r="F131" s="2879"/>
      <c r="G131" s="2879"/>
      <c r="H131" s="2879"/>
      <c r="I131" s="2879"/>
      <c r="J131" s="2879"/>
      <c r="K131" s="2879"/>
      <c r="L131" s="2879"/>
      <c r="M131" s="2879"/>
      <c r="N131" s="2879"/>
      <c r="O131" s="2879"/>
      <c r="P131" s="2880"/>
      <c r="Q131" s="2893">
        <f>Application!AG400</f>
        <v>0</v>
      </c>
      <c r="R131" s="2894"/>
      <c r="S131" s="2895"/>
      <c r="T131" s="2889"/>
      <c r="U131" s="2890"/>
      <c r="V131" s="2890"/>
      <c r="W131" s="2890"/>
      <c r="X131" s="2890"/>
      <c r="Y131" s="2890"/>
      <c r="Z131" s="2890"/>
      <c r="AA131" s="2896"/>
      <c r="AB131" s="2897">
        <f>Application!AE401</f>
        <v>0</v>
      </c>
      <c r="AC131" s="2898"/>
      <c r="AD131" s="2898"/>
      <c r="AE131" s="2898"/>
      <c r="AF131" s="2898"/>
      <c r="AG131" s="289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4" t="s">
        <v>174</v>
      </c>
      <c r="D132" s="2615"/>
      <c r="E132" s="2615"/>
      <c r="F132" s="2900" t="s">
        <v>2133</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4" t="s">
        <v>174</v>
      </c>
      <c r="D133" s="2615"/>
      <c r="E133" s="2615"/>
      <c r="F133" s="2900" t="s">
        <v>2133</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4" t="s">
        <v>174</v>
      </c>
      <c r="D134" s="2615"/>
      <c r="E134" s="2615"/>
      <c r="F134" s="2906" t="s">
        <v>2133</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6" t="s">
        <v>2134</v>
      </c>
      <c r="D136" s="2617"/>
      <c r="E136" s="2617"/>
      <c r="F136" s="2617"/>
      <c r="G136" s="2617"/>
      <c r="H136" s="2617"/>
      <c r="I136" s="2617"/>
      <c r="J136" s="2617"/>
      <c r="K136" s="2617"/>
      <c r="L136" s="2617"/>
      <c r="M136" s="2617"/>
      <c r="N136" s="2618"/>
      <c r="O136" s="1531"/>
      <c r="P136" s="2911" t="s">
        <v>2135</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21" t="s">
        <v>2136</v>
      </c>
      <c r="D137" s="2822"/>
      <c r="E137" s="2822"/>
      <c r="F137" s="2822"/>
      <c r="G137" s="2822"/>
      <c r="H137" s="2823"/>
      <c r="I137" s="2821" t="s">
        <v>2137</v>
      </c>
      <c r="J137" s="2822"/>
      <c r="K137" s="2822"/>
      <c r="L137" s="2822"/>
      <c r="M137" s="2822"/>
      <c r="N137" s="2823"/>
      <c r="O137" s="1531"/>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5"/>
      <c r="D138" s="2725"/>
      <c r="E138" s="2725"/>
      <c r="F138" s="2725"/>
      <c r="G138" s="2725"/>
      <c r="H138" s="2725"/>
      <c r="I138" s="2910"/>
      <c r="J138" s="2910"/>
      <c r="K138" s="2910"/>
      <c r="L138" s="2910"/>
      <c r="M138" s="2910"/>
      <c r="N138" s="2910"/>
      <c r="O138" s="1531"/>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5"/>
      <c r="D139" s="2725"/>
      <c r="E139" s="2725"/>
      <c r="F139" s="2725"/>
      <c r="G139" s="2725"/>
      <c r="H139" s="2725"/>
      <c r="I139" s="2910"/>
      <c r="J139" s="2910"/>
      <c r="K139" s="2910"/>
      <c r="L139" s="2910"/>
      <c r="M139" s="2910"/>
      <c r="N139" s="2910"/>
      <c r="O139" s="1531"/>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5"/>
      <c r="D140" s="2725"/>
      <c r="E140" s="2725"/>
      <c r="F140" s="2725"/>
      <c r="G140" s="2725"/>
      <c r="H140" s="2725"/>
      <c r="I140" s="2910"/>
      <c r="J140" s="2910"/>
      <c r="K140" s="2910"/>
      <c r="L140" s="2910"/>
      <c r="M140" s="2910"/>
      <c r="N140" s="2910"/>
      <c r="O140" s="1531"/>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5"/>
      <c r="D141" s="2725"/>
      <c r="E141" s="2725"/>
      <c r="F141" s="2725"/>
      <c r="G141" s="2725"/>
      <c r="H141" s="2725"/>
      <c r="I141" s="2910"/>
      <c r="J141" s="2910"/>
      <c r="K141" s="2910"/>
      <c r="L141" s="2910"/>
      <c r="M141" s="2910"/>
      <c r="N141" s="2910"/>
      <c r="O141" s="1531"/>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5"/>
      <c r="D142" s="2725"/>
      <c r="E142" s="2725"/>
      <c r="F142" s="2725"/>
      <c r="G142" s="2725"/>
      <c r="H142" s="2725"/>
      <c r="I142" s="2910"/>
      <c r="J142" s="2910"/>
      <c r="K142" s="2910"/>
      <c r="L142" s="2910"/>
      <c r="M142" s="2910"/>
      <c r="N142" s="2910"/>
      <c r="O142" s="1531"/>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5"/>
      <c r="D143" s="2725"/>
      <c r="E143" s="2725"/>
      <c r="F143" s="2725"/>
      <c r="G143" s="2725"/>
      <c r="H143" s="2725"/>
      <c r="I143" s="2910"/>
      <c r="J143" s="2910"/>
      <c r="K143" s="2910"/>
      <c r="L143" s="2910"/>
      <c r="M143" s="2910"/>
      <c r="N143" s="2910"/>
      <c r="O143" s="1531"/>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5"/>
      <c r="D144" s="2725"/>
      <c r="E144" s="2725"/>
      <c r="F144" s="2725"/>
      <c r="G144" s="2725"/>
      <c r="H144" s="2725"/>
      <c r="I144" s="2910"/>
      <c r="J144" s="2910"/>
      <c r="K144" s="2910"/>
      <c r="L144" s="2910"/>
      <c r="M144" s="2910"/>
      <c r="N144" s="2910"/>
      <c r="O144" s="1531"/>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30"/>
      <c r="D149" s="2931"/>
      <c r="E149" s="2931"/>
      <c r="F149" s="2931"/>
      <c r="G149" s="2931"/>
      <c r="H149" s="2931"/>
      <c r="I149" s="2931"/>
      <c r="J149" s="2931"/>
      <c r="K149" s="2931"/>
      <c r="L149" s="2931"/>
      <c r="M149" s="2932"/>
      <c r="N149" s="2933" t="s">
        <v>2140</v>
      </c>
      <c r="O149" s="2933"/>
      <c r="P149" s="2933"/>
      <c r="Q149" s="2933"/>
      <c r="R149" s="2933"/>
      <c r="S149" s="2933"/>
      <c r="T149" s="2934"/>
      <c r="U149" s="2935" t="s">
        <v>2126</v>
      </c>
      <c r="V149" s="2765"/>
      <c r="W149" s="2765"/>
      <c r="X149" s="2765"/>
      <c r="Y149" s="2765"/>
      <c r="Z149" s="2765"/>
      <c r="AA149" s="2765"/>
      <c r="AB149" s="2765"/>
      <c r="AC149" s="2765"/>
      <c r="AD149" s="2765"/>
      <c r="AE149" s="2766"/>
      <c r="AF149" s="1531"/>
      <c r="AG149" s="1531"/>
      <c r="AH149" s="2609" t="s">
        <v>2141</v>
      </c>
      <c r="AI149" s="2610"/>
      <c r="AJ149" s="2610"/>
      <c r="AK149" s="2610"/>
      <c r="AL149" s="2610"/>
      <c r="AM149" s="2610"/>
      <c r="AN149" s="2610"/>
      <c r="AO149" s="2610"/>
      <c r="AP149" s="2610"/>
      <c r="AQ149" s="2610"/>
      <c r="AR149" s="2610"/>
      <c r="AS149" s="2920"/>
      <c r="AT149" s="2921"/>
      <c r="AU149" s="2921"/>
      <c r="AV149" s="2921"/>
      <c r="AW149" s="2921"/>
      <c r="AX149" s="1531"/>
      <c r="AY149" s="1531"/>
      <c r="AZ149" s="1531"/>
      <c r="BA149" s="1531"/>
      <c r="BB149" s="1531"/>
      <c r="BC149" s="1531"/>
      <c r="BD149" s="1531"/>
      <c r="BE149" s="1537"/>
    </row>
    <row r="150" spans="1:57" ht="15.75" customHeight="1">
      <c r="A150" s="1836"/>
      <c r="B150" s="1531"/>
      <c r="C150" s="2859" t="s">
        <v>2142</v>
      </c>
      <c r="D150" s="2860"/>
      <c r="E150" s="2860"/>
      <c r="F150" s="2860"/>
      <c r="G150" s="2860"/>
      <c r="H150" s="2860"/>
      <c r="I150" s="2860"/>
      <c r="J150" s="2860"/>
      <c r="K150" s="2860"/>
      <c r="L150" s="2860"/>
      <c r="M150" s="2922"/>
      <c r="N150" s="2923">
        <f>'Sources and Uses Budget'!B104</f>
        <v>2934462</v>
      </c>
      <c r="O150" s="2923"/>
      <c r="P150" s="2923"/>
      <c r="Q150" s="2923"/>
      <c r="R150" s="2923"/>
      <c r="S150" s="2923"/>
      <c r="T150" s="2924"/>
      <c r="U150" s="2925"/>
      <c r="V150" s="2926"/>
      <c r="W150" s="2926"/>
      <c r="X150" s="2926"/>
      <c r="Y150" s="2926"/>
      <c r="Z150" s="2926"/>
      <c r="AA150" s="2926"/>
      <c r="AB150" s="2926"/>
      <c r="AC150" s="2926"/>
      <c r="AD150" s="2926"/>
      <c r="AE150" s="2927"/>
      <c r="AF150" s="1531"/>
      <c r="AG150" s="1531"/>
      <c r="AH150" s="2928" t="s">
        <v>2143</v>
      </c>
      <c r="AI150" s="2929"/>
      <c r="AJ150" s="2929"/>
      <c r="AK150" s="2929"/>
      <c r="AL150" s="2929"/>
      <c r="AM150" s="2929"/>
      <c r="AN150" s="2929"/>
      <c r="AO150" s="2929"/>
      <c r="AP150" s="2929"/>
      <c r="AQ150" s="2929"/>
      <c r="AR150" s="2929"/>
      <c r="AS150" s="2920"/>
      <c r="AT150" s="2921"/>
      <c r="AU150" s="2921"/>
      <c r="AV150" s="2921"/>
      <c r="AW150" s="2921"/>
      <c r="AX150" s="1531"/>
      <c r="AY150" s="1531"/>
      <c r="AZ150" s="1531"/>
      <c r="BA150" s="1531"/>
      <c r="BB150" s="1531"/>
      <c r="BC150" s="1531"/>
      <c r="BD150" s="1531"/>
      <c r="BE150" s="1537"/>
    </row>
    <row r="151" spans="1:57" ht="15.75" customHeight="1">
      <c r="A151" s="1836"/>
      <c r="B151" s="1531"/>
      <c r="C151" s="2859" t="s">
        <v>2144</v>
      </c>
      <c r="D151" s="2860"/>
      <c r="E151" s="2860"/>
      <c r="F151" s="2860"/>
      <c r="G151" s="2860"/>
      <c r="H151" s="2860"/>
      <c r="I151" s="2860"/>
      <c r="J151" s="2860"/>
      <c r="K151" s="2860"/>
      <c r="L151" s="2860"/>
      <c r="M151" s="2922"/>
      <c r="N151" s="2923">
        <f>N150/J29</f>
        <v>61134.625</v>
      </c>
      <c r="O151" s="2923"/>
      <c r="P151" s="2923"/>
      <c r="Q151" s="2923"/>
      <c r="R151" s="2923"/>
      <c r="S151" s="2923"/>
      <c r="T151" s="2924"/>
      <c r="U151" s="1555"/>
      <c r="V151" s="1555"/>
      <c r="W151" s="1555"/>
      <c r="X151" s="1555"/>
      <c r="Y151" s="1555"/>
      <c r="Z151" s="1555"/>
      <c r="AA151" s="1555"/>
      <c r="AB151" s="1555"/>
      <c r="AC151" s="1555"/>
      <c r="AD151" s="1555"/>
      <c r="AE151" s="1556"/>
      <c r="AF151" s="1531"/>
      <c r="AG151" s="1531"/>
      <c r="AH151" s="2878" t="s">
        <v>2145</v>
      </c>
      <c r="AI151" s="2879"/>
      <c r="AJ151" s="2879"/>
      <c r="AK151" s="2879"/>
      <c r="AL151" s="2879"/>
      <c r="AM151" s="2879"/>
      <c r="AN151" s="2879"/>
      <c r="AO151" s="2879"/>
      <c r="AP151" s="2879"/>
      <c r="AQ151" s="2879"/>
      <c r="AR151" s="2880"/>
      <c r="AS151" s="2920"/>
      <c r="AT151" s="2921"/>
      <c r="AU151" s="2921"/>
      <c r="AV151" s="2921"/>
      <c r="AW151" s="2921"/>
      <c r="AX151" s="1531"/>
      <c r="AY151" s="1531"/>
      <c r="AZ151" s="1531"/>
      <c r="BA151" s="1531"/>
      <c r="BB151" s="1531"/>
      <c r="BC151" s="1531"/>
      <c r="BD151" s="1531"/>
      <c r="BE151" s="1537"/>
    </row>
    <row r="152" spans="1:57" ht="15.75" customHeight="1">
      <c r="A152" s="1836"/>
      <c r="B152" s="1531"/>
      <c r="C152" s="2946" t="s">
        <v>2146</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31"/>
      <c r="AG152" s="1531"/>
      <c r="AH152" s="2925"/>
      <c r="AI152" s="2926"/>
      <c r="AJ152" s="2926"/>
      <c r="AK152" s="2926"/>
      <c r="AL152" s="2926"/>
      <c r="AM152" s="2926"/>
      <c r="AN152" s="2926"/>
      <c r="AO152" s="2926"/>
      <c r="AP152" s="2926"/>
      <c r="AQ152" s="2926"/>
      <c r="AR152" s="2949"/>
      <c r="AS152" s="2950"/>
      <c r="AT152" s="2951"/>
      <c r="AU152" s="2951"/>
      <c r="AV152" s="2951"/>
      <c r="AW152" s="2952"/>
      <c r="AX152" s="1531"/>
      <c r="AY152" s="1531"/>
      <c r="AZ152" s="1531"/>
      <c r="BA152" s="1531"/>
      <c r="BB152" s="1531"/>
      <c r="BC152" s="1531"/>
      <c r="BD152" s="1531"/>
      <c r="BE152" s="1537"/>
    </row>
    <row r="153" spans="1:57" ht="15.75" customHeight="1" thickBot="1">
      <c r="A153" s="1836"/>
      <c r="B153" s="1531"/>
      <c r="C153" s="2878" t="s">
        <v>2147</v>
      </c>
      <c r="D153" s="2879"/>
      <c r="E153" s="2879"/>
      <c r="F153" s="2879"/>
      <c r="G153" s="2879"/>
      <c r="H153" s="2879"/>
      <c r="I153" s="2879"/>
      <c r="J153" s="2879"/>
      <c r="K153" s="2879"/>
      <c r="L153" s="2879"/>
      <c r="M153" s="2936"/>
      <c r="N153" s="2937">
        <f>SUM('Sources and Uses Budget'!B85:B86)</f>
        <v>1701515</v>
      </c>
      <c r="O153" s="2937"/>
      <c r="P153" s="2937"/>
      <c r="Q153" s="2937"/>
      <c r="R153" s="2937"/>
      <c r="S153" s="2937"/>
      <c r="T153" s="2938"/>
      <c r="U153" s="2939"/>
      <c r="V153" s="2940"/>
      <c r="W153" s="2940"/>
      <c r="X153" s="2940"/>
      <c r="Y153" s="2940"/>
      <c r="Z153" s="2940"/>
      <c r="AA153" s="2940"/>
      <c r="AB153" s="2940"/>
      <c r="AC153" s="2940"/>
      <c r="AD153" s="2940"/>
      <c r="AE153" s="2941"/>
      <c r="AF153" s="1531"/>
      <c r="AG153" s="1531"/>
      <c r="AH153" s="2942" t="s">
        <v>2148</v>
      </c>
      <c r="AI153" s="2943"/>
      <c r="AJ153" s="2943"/>
      <c r="AK153" s="2943"/>
      <c r="AL153" s="2943"/>
      <c r="AM153" s="2943"/>
      <c r="AN153" s="2943"/>
      <c r="AO153" s="2943"/>
      <c r="AP153" s="2943"/>
      <c r="AQ153" s="2943"/>
      <c r="AR153" s="2943"/>
      <c r="AS153" s="2944">
        <f>SUM(AS149:AW151)</f>
        <v>0</v>
      </c>
      <c r="AT153" s="2945"/>
      <c r="AU153" s="2945"/>
      <c r="AV153" s="2945"/>
      <c r="AW153" s="2945"/>
      <c r="AX153" s="1531"/>
      <c r="AY153" s="1531"/>
      <c r="AZ153" s="1531"/>
      <c r="BA153" s="1531"/>
      <c r="BB153" s="1531"/>
      <c r="BC153" s="1531"/>
      <c r="BD153" s="1531"/>
      <c r="BE153" s="1537"/>
    </row>
    <row r="154" spans="1:57" ht="15.75" customHeight="1">
      <c r="A154" s="1836"/>
      <c r="B154" s="1531"/>
      <c r="C154" s="2878" t="s">
        <v>2149</v>
      </c>
      <c r="D154" s="2879"/>
      <c r="E154" s="2879"/>
      <c r="F154" s="2879"/>
      <c r="G154" s="2879"/>
      <c r="H154" s="2879"/>
      <c r="I154" s="2879"/>
      <c r="J154" s="2879"/>
      <c r="K154" s="2879"/>
      <c r="L154" s="2879"/>
      <c r="M154" s="2936"/>
      <c r="N154" s="2937">
        <f>'Sources and Uses Budget'!B8</f>
        <v>455000</v>
      </c>
      <c r="O154" s="2937"/>
      <c r="P154" s="2937"/>
      <c r="Q154" s="2937"/>
      <c r="R154" s="2937"/>
      <c r="S154" s="2937"/>
      <c r="T154" s="2938"/>
      <c r="U154" s="2939"/>
      <c r="V154" s="2940"/>
      <c r="W154" s="2940"/>
      <c r="X154" s="2940"/>
      <c r="Y154" s="2940"/>
      <c r="Z154" s="2940"/>
      <c r="AA154" s="2940"/>
      <c r="AB154" s="2940"/>
      <c r="AC154" s="2940"/>
      <c r="AD154" s="2940"/>
      <c r="AE154" s="294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8" t="s">
        <v>2150</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8" t="s">
        <v>2143</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6" t="s">
        <v>309</v>
      </c>
      <c r="D157" s="2957"/>
      <c r="E157" s="2900" t="s">
        <v>2133</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53" t="s">
        <v>309</v>
      </c>
      <c r="D158" s="2954"/>
      <c r="E158" s="2900" t="s">
        <v>2133</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72" t="s">
        <v>309</v>
      </c>
      <c r="D159" s="2973"/>
      <c r="E159" s="2906" t="s">
        <v>2133</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80" t="s">
        <v>2151</v>
      </c>
      <c r="D160" s="2981"/>
      <c r="E160" s="2981"/>
      <c r="F160" s="2981"/>
      <c r="G160" s="2981"/>
      <c r="H160" s="2981"/>
      <c r="I160" s="2981"/>
      <c r="J160" s="2981"/>
      <c r="K160" s="2981"/>
      <c r="L160" s="2981"/>
      <c r="M160" s="2982"/>
      <c r="N160" s="2983">
        <f>SUM(N152:T159)</f>
        <v>2156515</v>
      </c>
      <c r="O160" s="2984"/>
      <c r="P160" s="2984"/>
      <c r="Q160" s="2984"/>
      <c r="R160" s="2984"/>
      <c r="S160" s="2984"/>
      <c r="T160" s="298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5" t="s">
        <v>2152</v>
      </c>
      <c r="D161" s="2786"/>
      <c r="E161" s="2786"/>
      <c r="F161" s="2786"/>
      <c r="G161" s="2786"/>
      <c r="H161" s="2786"/>
      <c r="I161" s="2786"/>
      <c r="J161" s="2786"/>
      <c r="K161" s="2786"/>
      <c r="L161" s="2786"/>
      <c r="M161" s="2786"/>
      <c r="N161" s="2961">
        <f>(N150-N160)/J29</f>
        <v>16207.229166666666</v>
      </c>
      <c r="O161" s="2961"/>
      <c r="P161" s="2961"/>
      <c r="Q161" s="2961"/>
      <c r="R161" s="2961"/>
      <c r="S161" s="2961"/>
      <c r="T161" s="296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63" t="s">
        <v>2153</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7"/>
    </row>
    <row r="165" spans="1:57" ht="15.75" customHeight="1">
      <c r="A165" s="1836"/>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7"/>
    </row>
    <row r="166" spans="1:57" ht="15.75" customHeight="1">
      <c r="A166" s="1836"/>
      <c r="B166" s="2969" t="s">
        <v>2154</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7"/>
    </row>
    <row r="167" spans="1:57" ht="15.75" customHeight="1">
      <c r="A167" s="1836"/>
      <c r="B167" s="2969" t="s">
        <v>2155</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92" t="s">
        <v>2156</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5" t="s">
        <v>2158</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6" t="s">
        <v>2159</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7"/>
      <c r="BB175" s="1557"/>
      <c r="BC175" s="1557"/>
      <c r="BD175" s="1537"/>
      <c r="BE175" s="1537"/>
    </row>
    <row r="176" spans="1:57" ht="15.75" customHeight="1">
      <c r="A176" s="1836"/>
      <c r="B176" s="1530"/>
      <c r="C176" s="1557"/>
      <c r="D176" s="1557"/>
      <c r="E176" s="1557"/>
      <c r="F176" s="1557"/>
      <c r="G176" s="1557"/>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7"/>
      <c r="BB176" s="1557"/>
      <c r="BC176" s="1557"/>
      <c r="BD176" s="1537"/>
      <c r="BE176" s="1537"/>
    </row>
    <row r="177" spans="1:57" ht="15.75" customHeight="1">
      <c r="A177" s="1836"/>
      <c r="B177" s="1530"/>
      <c r="C177" s="1557"/>
      <c r="D177" s="1557"/>
      <c r="E177" s="1557"/>
      <c r="F177" s="1557"/>
      <c r="G177" s="1557"/>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7" t="s">
        <v>2160</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90" t="s">
        <v>2161</v>
      </c>
      <c r="I182" s="2990"/>
      <c r="J182" s="2990"/>
      <c r="K182" s="2990"/>
      <c r="L182" s="1566"/>
      <c r="M182" s="1566"/>
      <c r="N182" s="1566"/>
      <c r="O182" s="1566"/>
      <c r="P182" s="1566"/>
      <c r="Q182" s="1566"/>
      <c r="R182" s="1566"/>
      <c r="S182" s="2987"/>
      <c r="T182" s="2988"/>
      <c r="U182" s="2988"/>
      <c r="V182" s="2988"/>
      <c r="W182" s="2988"/>
      <c r="X182" s="2988"/>
      <c r="Y182" s="2988"/>
      <c r="Z182" s="2988"/>
      <c r="AA182" s="2988"/>
      <c r="AB182" s="2988"/>
      <c r="AC182" s="2988"/>
      <c r="AD182" s="2988"/>
      <c r="AE182" s="2988"/>
      <c r="AF182" s="2988"/>
      <c r="AG182" s="2988"/>
      <c r="AH182" s="2988"/>
      <c r="AI182" s="2988"/>
      <c r="AJ182" s="298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90" t="s">
        <v>2162</v>
      </c>
      <c r="I184" s="2990"/>
      <c r="J184" s="2990"/>
      <c r="K184" s="1568"/>
      <c r="L184" s="1566"/>
      <c r="M184" s="1566"/>
      <c r="N184" s="1566"/>
      <c r="O184" s="1566"/>
      <c r="P184" s="1566"/>
      <c r="Q184" s="1566"/>
      <c r="R184" s="1566"/>
      <c r="S184" s="2987"/>
      <c r="T184" s="2988"/>
      <c r="U184" s="2988"/>
      <c r="V184" s="2988"/>
      <c r="W184" s="2988"/>
      <c r="X184" s="2988"/>
      <c r="Y184" s="2988"/>
      <c r="Z184" s="2988"/>
      <c r="AA184" s="2988"/>
      <c r="AB184" s="2988"/>
      <c r="AC184" s="2988"/>
      <c r="AD184" s="2988"/>
      <c r="AE184" s="2988"/>
      <c r="AF184" s="2988"/>
      <c r="AG184" s="2988"/>
      <c r="AH184" s="2988"/>
      <c r="AI184" s="2988"/>
      <c r="AJ184" s="298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90" t="s">
        <v>465</v>
      </c>
      <c r="I186" s="2990"/>
      <c r="J186" s="1568"/>
      <c r="K186" s="1568"/>
      <c r="L186" s="1566"/>
      <c r="M186" s="1566"/>
      <c r="N186" s="1566"/>
      <c r="O186" s="1566"/>
      <c r="P186" s="1566"/>
      <c r="Q186" s="1566"/>
      <c r="R186" s="1566"/>
      <c r="S186" s="2987"/>
      <c r="T186" s="2988"/>
      <c r="U186" s="2988"/>
      <c r="V186" s="2988"/>
      <c r="W186" s="2988"/>
      <c r="X186" s="2988"/>
      <c r="Y186" s="2988"/>
      <c r="Z186" s="2988"/>
      <c r="AA186" s="2988"/>
      <c r="AB186" s="2988"/>
      <c r="AC186" s="2988"/>
      <c r="AD186" s="2988"/>
      <c r="AE186" s="2988"/>
      <c r="AF186" s="2988"/>
      <c r="AG186" s="2988"/>
      <c r="AH186" s="2988"/>
      <c r="AI186" s="2988"/>
      <c r="AJ186" s="298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91" t="s">
        <v>2163</v>
      </c>
      <c r="I188" s="2991"/>
      <c r="J188" s="2991"/>
      <c r="K188" s="2991"/>
      <c r="L188" s="2991"/>
      <c r="M188" s="2991"/>
      <c r="N188" s="2991"/>
      <c r="O188" s="2991"/>
      <c r="P188" s="1566"/>
      <c r="Q188" s="1566"/>
      <c r="R188" s="1566"/>
      <c r="S188" s="2987"/>
      <c r="T188" s="2988"/>
      <c r="U188" s="2988"/>
      <c r="V188" s="2988"/>
      <c r="W188" s="2988"/>
      <c r="X188" s="2988"/>
      <c r="Y188" s="2988"/>
      <c r="Z188" s="2988"/>
      <c r="AA188" s="2988"/>
      <c r="AB188" s="2988"/>
      <c r="AC188" s="2988"/>
      <c r="AD188" s="2988"/>
      <c r="AE188" s="2988"/>
      <c r="AF188" s="2988"/>
      <c r="AG188" s="2988"/>
      <c r="AH188" s="2988"/>
      <c r="AI188" s="2988"/>
      <c r="AJ188" s="298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6" t="s">
        <v>2164</v>
      </c>
      <c r="I190" s="2986"/>
      <c r="J190" s="1566"/>
      <c r="K190" s="1566"/>
      <c r="L190" s="1566"/>
      <c r="M190" s="1566"/>
      <c r="N190" s="1566"/>
      <c r="O190" s="1566"/>
      <c r="P190" s="1566"/>
      <c r="Q190" s="1566"/>
      <c r="R190" s="1566"/>
      <c r="S190" s="2987"/>
      <c r="T190" s="2988"/>
      <c r="U190" s="2988"/>
      <c r="V190" s="2988"/>
      <c r="W190" s="2988"/>
      <c r="X190" s="2988"/>
      <c r="Y190" s="2988"/>
      <c r="Z190" s="2988"/>
      <c r="AA190" s="2988"/>
      <c r="AB190" s="2988"/>
      <c r="AC190" s="2988"/>
      <c r="AD190" s="2988"/>
      <c r="AE190" s="2988"/>
      <c r="AF190" s="2988"/>
      <c r="AG190" s="2988"/>
      <c r="AH190" s="2988"/>
      <c r="AI190" s="2988"/>
      <c r="AJ190" s="298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Normal="100" zoomScaleSheetLayoutView="100" workbookViewId="0">
      <selection activeCell="B753" sqref="B75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0" t="s">
        <v>1570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9"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6" t="s">
        <v>1575</v>
      </c>
      <c r="AF7" s="3216"/>
      <c r="AG7" s="3216"/>
      <c r="AH7" s="3216"/>
      <c r="AI7" s="3216"/>
      <c r="AJ7" s="3216"/>
      <c r="AK7" s="3216"/>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5" t="s">
        <v>627</v>
      </c>
      <c r="C12" s="3225"/>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2"/>
      <c r="AH12" s="3242"/>
      <c r="AI12" s="3242"/>
      <c r="AJ12" s="32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5" t="s">
        <v>627</v>
      </c>
      <c r="C15" s="3225"/>
      <c r="D15" s="942"/>
      <c r="E15" s="3244" t="s">
        <v>1578</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5"/>
      <c r="AL15" s="935"/>
      <c r="AM15" s="935"/>
      <c r="AN15" s="931"/>
      <c r="AO15" s="945">
        <f>IF($B24="yes",20,0)</f>
        <v>0</v>
      </c>
      <c r="AP15" s="51"/>
    </row>
    <row r="16" spans="1:42" s="932" customFormat="1" ht="12.75" customHeight="1">
      <c r="A16" s="935"/>
      <c r="B16" s="935"/>
      <c r="C16" s="935"/>
      <c r="D16" s="946"/>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5"/>
      <c r="AL16" s="935"/>
      <c r="AM16" s="935"/>
      <c r="AN16" s="931"/>
      <c r="AO16" s="932">
        <f>IF(SUM(AO12:AO15)&gt;20,20,(SUM(AO12:AO15)))</f>
        <v>0</v>
      </c>
      <c r="AP16" s="932" t="s">
        <v>1579</v>
      </c>
    </row>
    <row r="17" spans="1:42" s="932" customFormat="1" ht="12.75" customHeight="1">
      <c r="A17" s="935"/>
      <c r="B17" s="935"/>
      <c r="C17" s="935"/>
      <c r="D17" s="946"/>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5" t="s">
        <v>627</v>
      </c>
      <c r="C21" s="3225"/>
      <c r="D21" s="942"/>
      <c r="E21" s="3254" t="s">
        <v>1581</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5"/>
      <c r="AL21" s="935"/>
      <c r="AM21" s="935"/>
      <c r="AN21" s="931"/>
      <c r="AO21" s="932">
        <f>SUM(AO20)</f>
        <v>0</v>
      </c>
      <c r="AP21" s="932" t="s">
        <v>1579</v>
      </c>
    </row>
    <row r="22" spans="1:42" s="932" customFormat="1" ht="12.75" customHeight="1">
      <c r="A22" s="935"/>
      <c r="B22" s="935"/>
      <c r="C22" s="935"/>
      <c r="D22" s="945"/>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5" t="s">
        <v>627</v>
      </c>
      <c r="C24" s="3225"/>
      <c r="D24" s="942"/>
      <c r="E24" s="3151" t="s">
        <v>1582</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5"/>
      <c r="AL24" s="935"/>
      <c r="AM24" s="935"/>
      <c r="AN24" s="931"/>
      <c r="AO24" s="945">
        <f>IF($B39="yes",6,0)</f>
        <v>0</v>
      </c>
    </row>
    <row r="25" spans="1:42" s="932" customFormat="1" ht="12.75" customHeight="1">
      <c r="A25" s="935"/>
      <c r="B25" s="935"/>
      <c r="C25" s="935"/>
      <c r="D25" s="945"/>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5" t="s">
        <v>627</v>
      </c>
      <c r="C29" s="3225"/>
      <c r="D29" s="942"/>
      <c r="E29" s="3151" t="s">
        <v>1584</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5"/>
      <c r="AL29" s="935"/>
      <c r="AM29" s="935"/>
      <c r="AN29" s="931"/>
      <c r="AO29" s="945">
        <f>IF($B49="yes",6,0)</f>
        <v>0</v>
      </c>
    </row>
    <row r="30" spans="1:42" s="932" customFormat="1" ht="12.75" customHeight="1">
      <c r="A30" s="935"/>
      <c r="B30" s="935"/>
      <c r="C30" s="935"/>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5"/>
      <c r="AL30" s="935"/>
      <c r="AM30" s="935"/>
      <c r="AN30" s="931"/>
      <c r="AO30" s="932">
        <f>IF(SUM(AO23:AO29)&gt;6,6,(SUM(AO23:AO29)))</f>
        <v>0</v>
      </c>
      <c r="AP30" s="932" t="s">
        <v>1579</v>
      </c>
    </row>
    <row r="31" spans="1:42" s="932" customFormat="1" ht="12.75" customHeight="1">
      <c r="A31" s="935"/>
      <c r="B31" s="935"/>
      <c r="C31" s="935"/>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50" t="s">
        <v>1586</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5"/>
      <c r="AM34" s="935"/>
      <c r="AN34" s="931"/>
    </row>
    <row r="35" spans="1:41" s="932" customFormat="1" ht="12.75" customHeight="1">
      <c r="A35" s="935"/>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5" t="s">
        <v>627</v>
      </c>
      <c r="C37" s="3225"/>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5" t="s">
        <v>627</v>
      </c>
      <c r="C39" s="3225"/>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5" t="s">
        <v>627</v>
      </c>
      <c r="C41" s="3225"/>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5" t="s">
        <v>627</v>
      </c>
      <c r="C43" s="3225"/>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5" t="s">
        <v>627</v>
      </c>
      <c r="C45" s="3225"/>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5" t="s">
        <v>627</v>
      </c>
      <c r="C47" s="3225"/>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5" t="s">
        <v>627</v>
      </c>
      <c r="C49" s="3225"/>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200">
        <f>AO32</f>
        <v>0</v>
      </c>
      <c r="AL51" s="3201"/>
      <c r="AM51" s="320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6" t="s">
        <v>1597</v>
      </c>
      <c r="AF54" s="3216"/>
      <c r="AG54" s="3216"/>
      <c r="AH54" s="3216"/>
      <c r="AI54" s="3216"/>
      <c r="AJ54" s="3216"/>
      <c r="AK54" s="3216"/>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5" t="s">
        <v>579</v>
      </c>
      <c r="C57" s="3225"/>
      <c r="D57" s="942" t="s">
        <v>1598</v>
      </c>
      <c r="E57" s="3244" t="s">
        <v>2254</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8"/>
      <c r="AL57" s="935"/>
      <c r="AM57" s="935"/>
      <c r="AN57" s="931"/>
      <c r="AO57" s="945">
        <f>IF($B57="yes",10,0)</f>
        <v>10</v>
      </c>
    </row>
    <row r="58" spans="1:50" s="932" customFormat="1" ht="12.75" customHeight="1">
      <c r="A58" s="933"/>
      <c r="B58" s="935"/>
      <c r="C58" s="935"/>
      <c r="D58" s="946"/>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8"/>
      <c r="AL58" s="935"/>
      <c r="AM58" s="935"/>
      <c r="AN58" s="931"/>
      <c r="AO58" s="945">
        <f>IF($B62="yes",10,0)</f>
        <v>10</v>
      </c>
    </row>
    <row r="59" spans="1:50" s="932" customFormat="1" ht="12.75" customHeight="1">
      <c r="A59" s="933"/>
      <c r="B59" s="935"/>
      <c r="C59" s="935"/>
      <c r="D59" s="946"/>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8"/>
      <c r="AL59" s="935"/>
      <c r="AM59" s="935"/>
      <c r="AN59" s="931"/>
      <c r="AO59" s="945">
        <f>IF($B69="yes",10,0)</f>
        <v>0</v>
      </c>
    </row>
    <row r="60" spans="1:50" s="932" customFormat="1" ht="12.75" customHeight="1">
      <c r="A60" s="933"/>
      <c r="B60" s="935"/>
      <c r="C60" s="935"/>
      <c r="D60" s="946"/>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5" t="s">
        <v>579</v>
      </c>
      <c r="C62" s="3225"/>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9" t="s">
        <v>627</v>
      </c>
      <c r="F63" s="3225"/>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23" t="s">
        <v>579</v>
      </c>
      <c r="F64" s="3224"/>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23" t="s">
        <v>627</v>
      </c>
      <c r="F65" s="3224"/>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9" t="s">
        <v>579</v>
      </c>
      <c r="F67" s="3225"/>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5" t="s">
        <v>627</v>
      </c>
      <c r="C69" s="3225"/>
      <c r="D69" s="942" t="s">
        <v>1603</v>
      </c>
      <c r="E69" s="3151" t="s">
        <v>2255</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8"/>
      <c r="AL69" s="935"/>
      <c r="AM69" s="935"/>
      <c r="AN69" s="931"/>
    </row>
    <row r="70" spans="1:40" s="932" customFormat="1" ht="12.75" customHeight="1">
      <c r="A70" s="933"/>
      <c r="B70" s="935"/>
      <c r="C70" s="935"/>
      <c r="D70" s="945"/>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200">
        <f>IF(AK51&gt;0,0,AO60)</f>
        <v>10</v>
      </c>
      <c r="AL72" s="3201"/>
      <c r="AM72" s="320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6" t="s">
        <v>1575</v>
      </c>
      <c r="AF75" s="3216"/>
      <c r="AG75" s="3216"/>
      <c r="AH75" s="3216"/>
      <c r="AI75" s="3216"/>
      <c r="AJ75" s="3216"/>
      <c r="AK75" s="3216"/>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5" t="s">
        <v>579</v>
      </c>
      <c r="C78" s="3225"/>
      <c r="D78" s="942" t="s">
        <v>1598</v>
      </c>
      <c r="E78" s="3232" t="s">
        <v>1608</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8"/>
      <c r="AL78" s="935"/>
      <c r="AM78" s="935"/>
      <c r="AN78" s="931"/>
    </row>
    <row r="79" spans="1:40" s="932" customFormat="1" ht="12.75" customHeight="1">
      <c r="A79" s="933"/>
      <c r="B79" s="934"/>
      <c r="C79" s="934"/>
      <c r="D79" s="934"/>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3">
        <f>Application!AH753</f>
        <v>0.29999999999999993</v>
      </c>
      <c r="F81" s="3214"/>
      <c r="G81" s="3214"/>
      <c r="H81" s="3214"/>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8">
        <f>0.6-ROUNDUP(E81,2)</f>
        <v>0.3</v>
      </c>
      <c r="F82" s="3239"/>
      <c r="G82" s="3239"/>
      <c r="H82" s="3239"/>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30">
        <f>IF(E82*200&gt;20,20,E82*200)</f>
        <v>20</v>
      </c>
      <c r="F83" s="3231"/>
      <c r="G83" s="3231"/>
      <c r="H83" s="3231"/>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5" t="s">
        <v>627</v>
      </c>
      <c r="C86" s="3225"/>
      <c r="D86" s="942" t="s">
        <v>1600</v>
      </c>
      <c r="E86" s="3232" t="s">
        <v>2239</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8"/>
      <c r="AL86" s="935"/>
      <c r="AM86" s="935"/>
      <c r="AN86" s="931"/>
    </row>
    <row r="87" spans="1:47" s="932" customFormat="1" ht="12.75" customHeight="1">
      <c r="A87" s="933"/>
      <c r="B87" s="934"/>
      <c r="C87" s="934"/>
      <c r="D87" s="934"/>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8"/>
      <c r="AL87" s="935"/>
      <c r="AM87" s="935"/>
      <c r="AN87" s="931"/>
    </row>
    <row r="88" spans="1:47" s="932" customFormat="1" ht="12.75" customHeight="1">
      <c r="A88" s="933"/>
      <c r="B88" s="934"/>
      <c r="C88" s="934"/>
      <c r="D88" s="934"/>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8"/>
      <c r="AL88" s="935"/>
      <c r="AM88" s="935"/>
      <c r="AN88" s="931"/>
    </row>
    <row r="89" spans="1:47" s="932" customFormat="1" ht="12.75" customHeight="1">
      <c r="A89" s="933"/>
      <c r="B89" s="934"/>
      <c r="C89" s="934"/>
      <c r="D89" s="934"/>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3">
        <f>Application!AH753</f>
        <v>0.29999999999999993</v>
      </c>
      <c r="F91" s="3214"/>
      <c r="G91" s="3214"/>
      <c r="H91" s="3214"/>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3">
        <f ca="1">SUMIF(Application!AH728:AL752,0.2,Application!G728:J752)/Application!G753+SUMIF(Application!AH728:AL752,0.25,Application!G728:J752)/Application!G753+SUMIF(Application!AH728:AL752,0.3,Application!G728:J752)/Application!G753</f>
        <v>1</v>
      </c>
      <c r="F92" s="3214"/>
      <c r="G92" s="3214"/>
      <c r="H92" s="3214"/>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13">
        <f ca="1">SUMIF(Application!AH728:AL752,0.35,Application!G728:J752)/Application!G753+SUMIF(Application!AH728:AL752,0.4,Application!G728:J752)/Application!G753+SUMIF(Application!AH728:AL752,0.45,Application!G728:J752)/Application!G753+SUMIF(Application!AH728:AL752,0.5,Application!G728:J752)/Application!G753</f>
        <v>0</v>
      </c>
      <c r="F93" s="3214"/>
      <c r="G93" s="3214"/>
      <c r="H93" s="3214"/>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7">
        <f ca="1">IF(AND(E91&lt;=0.6,E92&gt;=0.1,OR(E93&gt;=0.1,E92=1)),20,0)</f>
        <v>20</v>
      </c>
      <c r="F94" s="3218"/>
      <c r="G94" s="3218"/>
      <c r="H94" s="321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200">
        <f>MAX(AP83,AP94)</f>
        <v>20</v>
      </c>
      <c r="AL97" s="3201"/>
      <c r="AM97" s="320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6" t="s">
        <v>1597</v>
      </c>
      <c r="AF100" s="3216"/>
      <c r="AG100" s="3216"/>
      <c r="AH100" s="3216"/>
      <c r="AI100" s="3216"/>
      <c r="AJ100" s="3216"/>
      <c r="AK100" s="3216"/>
      <c r="AL100" s="935"/>
      <c r="AM100" s="935"/>
      <c r="AN100" s="931"/>
      <c r="AO100" s="932" t="str">
        <f>Application!B728</f>
        <v>2 Bedrooms</v>
      </c>
      <c r="AQ100" s="932">
        <f>Application!O728</f>
        <v>452</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3 Bedrooms</v>
      </c>
      <c r="AQ101" s="932">
        <f>Application!O729</f>
        <v>516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3225" t="s">
        <v>579</v>
      </c>
      <c r="C103" s="3225"/>
      <c r="D103" s="942" t="s">
        <v>1598</v>
      </c>
      <c r="E103" s="3232" t="s">
        <v>2451</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5"/>
      <c r="AL103" s="935"/>
      <c r="AM103" s="935"/>
      <c r="AN103" s="931"/>
      <c r="AO103" s="932">
        <f>Application!B731</f>
        <v>0</v>
      </c>
      <c r="AQ103" s="932">
        <f>Application!O731</f>
        <v>0</v>
      </c>
      <c r="AU103" s="932" t="s">
        <v>2428</v>
      </c>
      <c r="AV103" s="1783" t="s">
        <v>2429</v>
      </c>
      <c r="AW103" s="932" t="s">
        <v>2430</v>
      </c>
    </row>
    <row r="104" spans="1:49" s="932" customFormat="1" ht="12.75" customHeight="1">
      <c r="A104" s="935"/>
      <c r="B104" s="934"/>
      <c r="C104" s="934"/>
      <c r="D104" s="934"/>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5"/>
      <c r="AL106" s="935"/>
      <c r="AM106" s="935"/>
      <c r="AN106" s="931"/>
      <c r="AO106" s="932">
        <f>Application!B734</f>
        <v>0</v>
      </c>
      <c r="AQ106" s="932">
        <f>Application!O734</f>
        <v>0</v>
      </c>
      <c r="AU106" s="1786" t="str">
        <f>O112</f>
        <v>2-bedroom</v>
      </c>
      <c r="AV106" s="932">
        <f t="array" ref="AV106">SUM(IF(Application!B728:F752="2 Bedrooms",Application!G728:J752))</f>
        <v>24</v>
      </c>
      <c r="AW106" s="1821">
        <f>AV106/AV110</f>
        <v>0.51063829787234039</v>
      </c>
    </row>
    <row r="107" spans="1:49" s="932" customFormat="1" ht="12.75" customHeight="1">
      <c r="A107" s="935"/>
      <c r="B107" s="934"/>
      <c r="C107" s="934"/>
      <c r="D107" s="934"/>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5"/>
      <c r="AL107" s="935"/>
      <c r="AM107" s="935"/>
      <c r="AN107" s="931"/>
      <c r="AO107" s="932">
        <f>Application!B735</f>
        <v>0</v>
      </c>
      <c r="AQ107" s="932">
        <f>Application!O735</f>
        <v>0</v>
      </c>
      <c r="AU107" s="1786" t="str">
        <f>T112</f>
        <v>3-bedroom</v>
      </c>
      <c r="AV107" s="932">
        <f t="array" ref="AV107">SUM(IF(Application!B728:F752="3 Bedrooms",Application!G728:J752))</f>
        <v>23</v>
      </c>
      <c r="AW107" s="1821">
        <f>AV107/AV110</f>
        <v>0.48936170212765956</v>
      </c>
    </row>
    <row r="108" spans="1:49" s="932" customFormat="1" ht="12.75" customHeight="1">
      <c r="A108" s="935"/>
      <c r="B108" s="934"/>
      <c r="C108" s="934"/>
      <c r="D108" s="934"/>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5"/>
      <c r="AL110" s="935"/>
      <c r="AM110" s="935"/>
      <c r="AN110" s="931"/>
      <c r="AO110" s="932">
        <f>Application!B738</f>
        <v>0</v>
      </c>
      <c r="AQ110" s="932">
        <f>Application!O738</f>
        <v>0</v>
      </c>
      <c r="AV110" s="932">
        <f>SUM(AV104:AV109)</f>
        <v>47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3" t="s">
        <v>1899</v>
      </c>
      <c r="F112" s="3214"/>
      <c r="G112" s="3214"/>
      <c r="H112" s="3214"/>
      <c r="I112" s="1475"/>
      <c r="J112" s="3214" t="s">
        <v>1993</v>
      </c>
      <c r="K112" s="3214"/>
      <c r="L112" s="3214"/>
      <c r="M112" s="3214"/>
      <c r="N112" s="1475"/>
      <c r="O112" s="3214" t="s">
        <v>1994</v>
      </c>
      <c r="P112" s="3214"/>
      <c r="Q112" s="3214"/>
      <c r="R112" s="3214"/>
      <c r="S112" s="1475"/>
      <c r="T112" s="3214" t="s">
        <v>1617</v>
      </c>
      <c r="U112" s="3214"/>
      <c r="V112" s="3214"/>
      <c r="W112" s="3214"/>
      <c r="X112" s="1475"/>
      <c r="Y112" s="3214" t="s">
        <v>1995</v>
      </c>
      <c r="Z112" s="3214"/>
      <c r="AA112" s="3214"/>
      <c r="AB112" s="3214"/>
      <c r="AC112" s="1475"/>
      <c r="AD112" s="3214" t="s">
        <v>1996</v>
      </c>
      <c r="AE112" s="3214"/>
      <c r="AF112" s="3214"/>
      <c r="AG112" s="321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9"/>
      <c r="F115" s="3220"/>
      <c r="G115" s="3220"/>
      <c r="H115" s="3220"/>
      <c r="I115" s="1477"/>
      <c r="J115" s="3220"/>
      <c r="K115" s="3220"/>
      <c r="L115" s="3220"/>
      <c r="M115" s="3220"/>
      <c r="N115" s="1477"/>
      <c r="O115" s="3220">
        <v>1464</v>
      </c>
      <c r="P115" s="3220"/>
      <c r="Q115" s="3220"/>
      <c r="R115" s="3220"/>
      <c r="S115" s="1477"/>
      <c r="T115" s="3220">
        <v>1693</v>
      </c>
      <c r="U115" s="3220"/>
      <c r="V115" s="3220"/>
      <c r="W115" s="3220"/>
      <c r="X115" s="1477"/>
      <c r="Y115" s="3220"/>
      <c r="Z115" s="3220"/>
      <c r="AA115" s="3220"/>
      <c r="AB115" s="3220"/>
      <c r="AC115" s="1477"/>
      <c r="AD115" s="3220"/>
      <c r="AE115" s="3220"/>
      <c r="AF115" s="3220"/>
      <c r="AG115" s="322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21">
        <f>Application!DX663</f>
        <v>0</v>
      </c>
      <c r="F118" s="3222"/>
      <c r="G118" s="3222"/>
      <c r="H118" s="3222"/>
      <c r="I118" s="1477"/>
      <c r="J118" s="3222">
        <f>Application!EC663</f>
        <v>0</v>
      </c>
      <c r="K118" s="3222"/>
      <c r="L118" s="3222"/>
      <c r="M118" s="3222"/>
      <c r="N118" s="1477"/>
      <c r="O118" s="3222">
        <f>Application!EH663</f>
        <v>452</v>
      </c>
      <c r="P118" s="3222"/>
      <c r="Q118" s="3222"/>
      <c r="R118" s="3222"/>
      <c r="S118" s="1481"/>
      <c r="T118" s="3222">
        <f>Application!EM663</f>
        <v>516</v>
      </c>
      <c r="U118" s="3222"/>
      <c r="V118" s="3222"/>
      <c r="W118" s="3222"/>
      <c r="X118" s="1481"/>
      <c r="Y118" s="3222">
        <f>Application!ER663</f>
        <v>0</v>
      </c>
      <c r="Z118" s="3222"/>
      <c r="AA118" s="3222"/>
      <c r="AB118" s="3222"/>
      <c r="AC118" s="1481"/>
      <c r="AD118" s="3222">
        <f>Application!EW663</f>
        <v>0</v>
      </c>
      <c r="AE118" s="3222"/>
      <c r="AF118" s="3222"/>
      <c r="AG118" s="322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001" t="e">
        <f>(E115-E118)/E115</f>
        <v>#DIV/0!</v>
      </c>
      <c r="F121" s="3002"/>
      <c r="G121" s="3002"/>
      <c r="H121" s="3003"/>
      <c r="I121" s="973"/>
      <c r="J121" s="3001" t="e">
        <f>(J115-J118)/J115</f>
        <v>#DIV/0!</v>
      </c>
      <c r="K121" s="3002"/>
      <c r="L121" s="3002"/>
      <c r="M121" s="3003"/>
      <c r="N121" s="973"/>
      <c r="O121" s="3001">
        <f>(O115-O118)/O115</f>
        <v>0.69125683060109289</v>
      </c>
      <c r="P121" s="3002"/>
      <c r="Q121" s="3002"/>
      <c r="R121" s="3003"/>
      <c r="S121" s="973"/>
      <c r="T121" s="3001">
        <f>(T115-T118)/T115</f>
        <v>0.69521559362079155</v>
      </c>
      <c r="U121" s="3002"/>
      <c r="V121" s="3002"/>
      <c r="W121" s="3003"/>
      <c r="X121" s="973"/>
      <c r="Y121" s="3001" t="e">
        <f>(Y115-Y118)/Y115</f>
        <v>#DIV/0!</v>
      </c>
      <c r="Z121" s="3002"/>
      <c r="AA121" s="3002"/>
      <c r="AB121" s="3003"/>
      <c r="AC121" s="973"/>
      <c r="AD121" s="3001" t="e">
        <f>(AD115-AD118)/AD115</f>
        <v>#DIV/0!</v>
      </c>
      <c r="AE121" s="3002"/>
      <c r="AF121" s="3002"/>
      <c r="AG121" s="300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63" t="e">
        <f>IF(((E121-0.1)*AW104)&gt;0,((E121-0.1)*AW104),0)</f>
        <v>#DIV/0!</v>
      </c>
      <c r="F124" s="3264"/>
      <c r="G124" s="3264"/>
      <c r="H124" s="3265"/>
      <c r="I124" s="973"/>
      <c r="J124" s="3263" t="e">
        <f>IF(((J121-0.1)*AW105)&gt;0,((J121-0.1)*AW105),0)</f>
        <v>#DIV/0!</v>
      </c>
      <c r="K124" s="3264"/>
      <c r="L124" s="3264"/>
      <c r="M124" s="3265"/>
      <c r="N124" s="973"/>
      <c r="O124" s="3263">
        <f>IF(((O121-0.1)*AW106)&gt;0,((O121-0.1)*AW106),0)</f>
        <v>0.30191838158353679</v>
      </c>
      <c r="P124" s="3264"/>
      <c r="Q124" s="3264"/>
      <c r="R124" s="3265"/>
      <c r="S124" s="973"/>
      <c r="T124" s="3263">
        <f>IF(((T121-0.1)*AW107)&gt;0,((T121-0.1)*AW107),0)</f>
        <v>0.29127571602719587</v>
      </c>
      <c r="U124" s="3264"/>
      <c r="V124" s="3264"/>
      <c r="W124" s="3265"/>
      <c r="X124" s="973"/>
      <c r="Y124" s="3263" t="e">
        <f>IF(((Y121-0.1)*AW108)&gt;0,((Y121-0.1)*AW108),0)</f>
        <v>#DIV/0!</v>
      </c>
      <c r="Z124" s="3264"/>
      <c r="AA124" s="3264"/>
      <c r="AB124" s="3265"/>
      <c r="AC124" s="973"/>
      <c r="AD124" s="3263" t="e">
        <f>IF(((AD121-0.1)*AW109)&gt;0,((AD121-0.1)*AW109),0)</f>
        <v>#DIV/0!</v>
      </c>
      <c r="AE124" s="3264"/>
      <c r="AF124" s="3264"/>
      <c r="AG124" s="326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001">
        <f>ROUNDDOWN(SUMIF(E124:AG124,"&gt;0"),2)</f>
        <v>0.59</v>
      </c>
      <c r="F126" s="3002"/>
      <c r="G126" s="3002"/>
      <c r="H126" s="3003"/>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200">
        <f>IF((E126*100)&gt;10,10,E126*100)</f>
        <v>10</v>
      </c>
      <c r="F127" s="3201"/>
      <c r="G127" s="3201"/>
      <c r="H127" s="3202"/>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200">
        <f>E127</f>
        <v>10</v>
      </c>
      <c r="AL131" s="3201"/>
      <c r="AM131" s="320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16" t="s">
        <v>1597</v>
      </c>
      <c r="AF134" s="3216"/>
      <c r="AG134" s="3216"/>
      <c r="AH134" s="3216"/>
      <c r="AI134" s="3216"/>
      <c r="AJ134" s="3216"/>
      <c r="AK134" s="321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41" t="s">
        <v>1621</v>
      </c>
      <c r="AG136" s="3141"/>
      <c r="AH136" s="3141"/>
      <c r="AI136" s="3141"/>
      <c r="AJ136" s="3141"/>
      <c r="AK136" s="3141"/>
      <c r="AL136" s="314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5" t="s">
        <v>2478</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206" t="s">
        <v>1624</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46" t="s">
        <v>627</v>
      </c>
      <c r="AC143" s="314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206" t="s">
        <v>1626</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15">
        <f>IF($AB$143="N/A",VLOOKUP($B$141,$AO$139:$AP$142,2,FALSE),VLOOKUP($B$146,$AO$144:$AP$147,2,FALSE))</f>
        <v>7</v>
      </c>
      <c r="AK149" s="321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41" t="s">
        <v>1635</v>
      </c>
      <c r="AG151" s="3141"/>
      <c r="AH151" s="3141"/>
      <c r="AI151" s="3141"/>
      <c r="AJ151" s="3141"/>
      <c r="AK151" s="3141"/>
      <c r="AL151" s="3141"/>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6" t="s">
        <v>1633</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6" t="s">
        <v>627</v>
      </c>
      <c r="AD155" s="3146"/>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206" t="s">
        <v>1626</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205" t="s">
        <v>2556</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48">
        <f>IF($AC$155="N/A",VLOOKUP($C$153,$AO$153:$AP$156,2,FALSE),VLOOKUP($C$157,$AO$160:$AP$162,2,FALSE))</f>
        <v>3</v>
      </c>
      <c r="AK163" s="304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200">
        <f>$AJ$149+$AJ$163</f>
        <v>10</v>
      </c>
      <c r="AL166" s="3201"/>
      <c r="AM166" s="320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5" t="s">
        <v>1597</v>
      </c>
      <c r="AF169" s="3105"/>
      <c r="AG169" s="3105"/>
      <c r="AH169" s="3105"/>
      <c r="AI169" s="3105"/>
      <c r="AJ169" s="3105"/>
      <c r="AK169" s="3105"/>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203" t="s">
        <v>1157</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5"/>
      <c r="AE171" s="1025"/>
      <c r="AF171" s="3141" t="s">
        <v>1646</v>
      </c>
      <c r="AG171" s="3141"/>
      <c r="AH171" s="3141"/>
      <c r="AI171" s="3141"/>
      <c r="AJ171" s="3141"/>
      <c r="AK171" s="3141"/>
      <c r="AL171" s="3141"/>
      <c r="AN171" s="1002"/>
      <c r="AP171" s="945" t="s">
        <v>1159</v>
      </c>
      <c r="AQ171" s="945">
        <v>10</v>
      </c>
    </row>
    <row r="172" spans="1:81" s="945" customFormat="1" ht="12.75" customHeight="1">
      <c r="A172" s="929"/>
      <c r="B172" s="3204" t="s">
        <v>2240</v>
      </c>
      <c r="C172" s="3204"/>
      <c r="D172" s="3204"/>
      <c r="E172" s="3204"/>
      <c r="F172" s="3204"/>
      <c r="G172" s="3204"/>
      <c r="H172" s="3204"/>
      <c r="I172" s="3204"/>
      <c r="J172" s="3204"/>
      <c r="K172" s="3204"/>
      <c r="L172" s="3204"/>
      <c r="M172" s="3204"/>
      <c r="N172" s="3204"/>
      <c r="O172" s="3204"/>
      <c r="P172" s="3204"/>
      <c r="Q172" s="3204"/>
      <c r="R172" s="3204"/>
      <c r="S172" s="3204"/>
      <c r="T172" s="3205" t="s">
        <v>627</v>
      </c>
      <c r="U172" s="3205"/>
      <c r="V172" s="3205"/>
      <c r="W172" s="3205"/>
      <c r="X172" s="3205"/>
      <c r="Y172" s="3205"/>
      <c r="Z172" s="3205"/>
      <c r="AA172" s="3205"/>
      <c r="AB172" s="3205"/>
      <c r="AC172" s="3205"/>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9">
        <f>IF(AK72&gt;0,VLOOKUP($B$171,AP168:AQ175,2,FALSE),0)</f>
        <v>10</v>
      </c>
      <c r="AL174" s="3051"/>
      <c r="AM174" s="3030"/>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5" t="s">
        <v>1655</v>
      </c>
      <c r="AF177" s="3105"/>
      <c r="AG177" s="3105"/>
      <c r="AH177" s="3105"/>
      <c r="AI177" s="3105"/>
      <c r="AJ177" s="3105"/>
      <c r="AK177" s="310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2" t="s">
        <v>2557</v>
      </c>
      <c r="C182" s="3032"/>
      <c r="D182" s="3032"/>
      <c r="E182" s="3032"/>
      <c r="F182" s="3032"/>
      <c r="G182" s="3032"/>
      <c r="H182" s="3032"/>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1399"/>
      <c r="AD182" s="3187">
        <v>11907030</v>
      </c>
      <c r="AE182" s="3187"/>
      <c r="AF182" s="3187"/>
      <c r="AG182" s="3187"/>
      <c r="AH182" s="3187"/>
      <c r="AI182" s="3187"/>
      <c r="AJ182" s="3187"/>
      <c r="AK182" s="1026"/>
    </row>
    <row r="183" spans="1:37">
      <c r="A183" s="1018"/>
      <c r="B183" s="3032"/>
      <c r="C183" s="3032"/>
      <c r="D183" s="3032"/>
      <c r="E183" s="3032"/>
      <c r="F183" s="3032"/>
      <c r="G183" s="3032"/>
      <c r="H183" s="3032"/>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1399"/>
      <c r="AD183" s="3187"/>
      <c r="AE183" s="3187"/>
      <c r="AF183" s="3187"/>
      <c r="AG183" s="3187"/>
      <c r="AH183" s="3187"/>
      <c r="AI183" s="3187"/>
      <c r="AJ183" s="3187"/>
      <c r="AK183" s="1026"/>
    </row>
    <row r="184" spans="1:37">
      <c r="A184" s="1018"/>
      <c r="B184" s="3032"/>
      <c r="C184" s="3032"/>
      <c r="D184" s="3032"/>
      <c r="E184" s="3032"/>
      <c r="F184" s="3032"/>
      <c r="G184" s="3032"/>
      <c r="H184" s="3032"/>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1399"/>
      <c r="AD184" s="3187"/>
      <c r="AE184" s="3187"/>
      <c r="AF184" s="3187"/>
      <c r="AG184" s="3187"/>
      <c r="AH184" s="3187"/>
      <c r="AI184" s="3187"/>
      <c r="AJ184" s="3187"/>
      <c r="AK184" s="1026"/>
    </row>
    <row r="185" spans="1:37">
      <c r="A185" s="1018"/>
      <c r="B185" s="3032"/>
      <c r="C185" s="3032"/>
      <c r="D185" s="3032"/>
      <c r="E185" s="3032"/>
      <c r="F185" s="3032"/>
      <c r="G185" s="3032"/>
      <c r="H185" s="3032"/>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1399"/>
      <c r="AD185" s="3187"/>
      <c r="AE185" s="3187"/>
      <c r="AF185" s="3187"/>
      <c r="AG185" s="3187"/>
      <c r="AH185" s="3187"/>
      <c r="AI185" s="3187"/>
      <c r="AJ185" s="3187"/>
      <c r="AK185" s="1026"/>
    </row>
    <row r="186" spans="1:37">
      <c r="A186" s="1018"/>
      <c r="B186" s="3032"/>
      <c r="C186" s="3032"/>
      <c r="D186" s="3032"/>
      <c r="E186" s="3032"/>
      <c r="F186" s="3032"/>
      <c r="G186" s="3032"/>
      <c r="H186" s="3032"/>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1399"/>
      <c r="AD186" s="3187"/>
      <c r="AE186" s="3187"/>
      <c r="AF186" s="3187"/>
      <c r="AG186" s="3187"/>
      <c r="AH186" s="3187"/>
      <c r="AI186" s="3187"/>
      <c r="AJ186" s="3187"/>
      <c r="AK186" s="1026"/>
    </row>
    <row r="187" spans="1:37">
      <c r="A187" s="1018"/>
      <c r="B187" s="3032"/>
      <c r="C187" s="3032"/>
      <c r="D187" s="3032"/>
      <c r="E187" s="3032"/>
      <c r="F187" s="3032"/>
      <c r="G187" s="3032"/>
      <c r="H187" s="3032"/>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1399"/>
      <c r="AD187" s="3187"/>
      <c r="AE187" s="3187"/>
      <c r="AF187" s="3187"/>
      <c r="AG187" s="3187"/>
      <c r="AH187" s="3187"/>
      <c r="AI187" s="3187"/>
      <c r="AJ187" s="3187"/>
      <c r="AK187" s="1026"/>
    </row>
    <row r="188" spans="1:37">
      <c r="A188" s="1018"/>
      <c r="B188" s="3032"/>
      <c r="C188" s="3032"/>
      <c r="D188" s="3032"/>
      <c r="E188" s="3032"/>
      <c r="F188" s="3032"/>
      <c r="G188" s="3032"/>
      <c r="H188" s="3032"/>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1399"/>
      <c r="AD188" s="3187"/>
      <c r="AE188" s="3187"/>
      <c r="AF188" s="3187"/>
      <c r="AG188" s="3187"/>
      <c r="AH188" s="3187"/>
      <c r="AI188" s="3187"/>
      <c r="AJ188" s="3187"/>
      <c r="AK188" s="1026"/>
    </row>
    <row r="189" spans="1:37">
      <c r="A189" s="1018"/>
      <c r="B189" s="3032"/>
      <c r="C189" s="3032"/>
      <c r="D189" s="3032"/>
      <c r="E189" s="3032"/>
      <c r="F189" s="3032"/>
      <c r="G189" s="3032"/>
      <c r="H189" s="3032"/>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1399"/>
      <c r="AD189" s="3187"/>
      <c r="AE189" s="3187"/>
      <c r="AF189" s="3187"/>
      <c r="AG189" s="3187"/>
      <c r="AH189" s="3187"/>
      <c r="AI189" s="3187"/>
      <c r="AJ189" s="3187"/>
      <c r="AK189" s="1026"/>
    </row>
    <row r="190" spans="1:37">
      <c r="A190" s="1018"/>
      <c r="B190" s="3032"/>
      <c r="C190" s="3032"/>
      <c r="D190" s="3032"/>
      <c r="E190" s="3032"/>
      <c r="F190" s="3032"/>
      <c r="G190" s="3032"/>
      <c r="H190" s="3032"/>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1399"/>
      <c r="AD190" s="3187"/>
      <c r="AE190" s="3187"/>
      <c r="AF190" s="3187"/>
      <c r="AG190" s="3187"/>
      <c r="AH190" s="3187"/>
      <c r="AI190" s="3187"/>
      <c r="AJ190" s="3187"/>
      <c r="AK190" s="1026"/>
    </row>
    <row r="191" spans="1:37">
      <c r="A191" s="1018"/>
      <c r="B191" s="3032"/>
      <c r="C191" s="3032"/>
      <c r="D191" s="3032"/>
      <c r="E191" s="3032"/>
      <c r="F191" s="3032"/>
      <c r="G191" s="3032"/>
      <c r="H191" s="3032"/>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1399"/>
      <c r="AD191" s="3187"/>
      <c r="AE191" s="3187"/>
      <c r="AF191" s="3187"/>
      <c r="AG191" s="3187"/>
      <c r="AH191" s="3187"/>
      <c r="AI191" s="3187"/>
      <c r="AJ191" s="3187"/>
      <c r="AK191" s="1026"/>
    </row>
    <row r="192" spans="1:37">
      <c r="A192" s="1018"/>
      <c r="B192" s="3036" t="s">
        <v>1943</v>
      </c>
      <c r="C192" s="3036"/>
      <c r="D192" s="3036"/>
      <c r="E192" s="3036"/>
      <c r="F192" s="3036"/>
      <c r="G192" s="3036"/>
      <c r="H192" s="3036"/>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929"/>
      <c r="AD192" s="3185">
        <f>AB243</f>
        <v>4470792.600303662</v>
      </c>
      <c r="AE192" s="3185"/>
      <c r="AF192" s="3185"/>
      <c r="AG192" s="3185"/>
      <c r="AH192" s="3185"/>
      <c r="AI192" s="3185"/>
      <c r="AJ192" s="3185"/>
      <c r="AK192" s="1026"/>
    </row>
    <row r="193" spans="1:37">
      <c r="A193" s="1018"/>
      <c r="B193" s="3034" t="s">
        <v>1906</v>
      </c>
      <c r="C193" s="3034"/>
      <c r="D193" s="3034"/>
      <c r="E193" s="3034"/>
      <c r="F193" s="3034"/>
      <c r="G193" s="3034"/>
      <c r="H193" s="3034"/>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1399"/>
      <c r="AD193" s="3186">
        <f>'Sources and Uses Budget'!B15</f>
        <v>0</v>
      </c>
      <c r="AE193" s="3186"/>
      <c r="AF193" s="3186"/>
      <c r="AG193" s="3186"/>
      <c r="AH193" s="3186"/>
      <c r="AI193" s="3186"/>
      <c r="AJ193" s="31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91">
        <f>SUM(AD182:AJ192)-AD193</f>
        <v>16377822.600303661</v>
      </c>
      <c r="AE194" s="3191"/>
      <c r="AF194" s="3191"/>
      <c r="AG194" s="3191"/>
      <c r="AH194" s="3191"/>
      <c r="AI194" s="3191"/>
      <c r="AJ194" s="31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11" t="s">
        <v>1923</v>
      </c>
      <c r="J205" s="3211"/>
      <c r="K205" s="3211"/>
      <c r="L205" s="993"/>
      <c r="M205" s="993"/>
      <c r="N205" s="993"/>
      <c r="O205" s="993"/>
      <c r="P205" s="993"/>
      <c r="Q205" s="993"/>
      <c r="R205" s="993"/>
      <c r="S205" s="993"/>
      <c r="T205" s="3006" t="s">
        <v>1917</v>
      </c>
      <c r="U205" s="3006"/>
      <c r="V205" s="3006"/>
      <c r="W205" s="3006"/>
      <c r="X205" s="3006"/>
      <c r="Y205" s="3006"/>
      <c r="Z205" s="1403"/>
      <c r="AA205" s="1404"/>
      <c r="AB205" s="3207" t="s">
        <v>1918</v>
      </c>
      <c r="AC205" s="3207"/>
      <c r="AD205" s="3207"/>
      <c r="AE205" s="3207"/>
      <c r="AF205" s="3207"/>
      <c r="AG205" s="3207"/>
      <c r="AH205" s="1373"/>
      <c r="AI205" s="1373"/>
      <c r="AJ205" s="1373"/>
      <c r="AK205" s="1026"/>
    </row>
    <row r="206" spans="1:37">
      <c r="A206" s="1018"/>
      <c r="B206" s="3209" t="s">
        <v>1896</v>
      </c>
      <c r="C206" s="3209"/>
      <c r="D206" s="3209"/>
      <c r="E206" s="3209"/>
      <c r="F206" s="3209"/>
      <c r="G206" s="3209"/>
      <c r="I206" s="3210" t="s">
        <v>1924</v>
      </c>
      <c r="J206" s="3210"/>
      <c r="K206" s="3210"/>
      <c r="L206" s="1817"/>
      <c r="N206" s="3035" t="s">
        <v>1919</v>
      </c>
      <c r="O206" s="3035"/>
      <c r="P206" s="3035"/>
      <c r="Q206" s="3035"/>
      <c r="R206" s="3035"/>
      <c r="T206" s="3035" t="s">
        <v>1920</v>
      </c>
      <c r="U206" s="3035"/>
      <c r="V206" s="3035"/>
      <c r="W206" s="3035"/>
      <c r="X206" s="3035"/>
      <c r="Y206" s="3035"/>
      <c r="Z206" s="1405"/>
      <c r="AA206" s="1404"/>
      <c r="AB206" s="3038" t="s">
        <v>1921</v>
      </c>
      <c r="AC206" s="3038"/>
      <c r="AD206" s="3038"/>
      <c r="AE206" s="3038"/>
      <c r="AF206" s="3038"/>
      <c r="AG206" s="3038"/>
      <c r="AH206" s="1373"/>
      <c r="AI206" s="1373"/>
      <c r="AJ206" s="1373"/>
      <c r="AK206" s="1026"/>
    </row>
    <row r="207" spans="1:37">
      <c r="A207" s="1018"/>
      <c r="B207" s="3037" t="s">
        <v>2558</v>
      </c>
      <c r="C207" s="3037"/>
      <c r="D207" s="3037"/>
      <c r="E207" s="3037"/>
      <c r="F207" s="3037"/>
      <c r="G207" s="3037"/>
      <c r="H207" s="1407"/>
      <c r="I207" s="3011">
        <v>24</v>
      </c>
      <c r="J207" s="3011"/>
      <c r="K207" s="3011"/>
      <c r="L207" s="1817"/>
      <c r="N207" s="3008">
        <f>678</f>
        <v>678</v>
      </c>
      <c r="O207" s="3008"/>
      <c r="P207" s="3008"/>
      <c r="Q207" s="3008"/>
      <c r="R207" s="3008"/>
      <c r="T207" s="3007">
        <f>1390-56</f>
        <v>1334</v>
      </c>
      <c r="U207" s="3007"/>
      <c r="V207" s="3007"/>
      <c r="W207" s="3007"/>
      <c r="X207" s="3007"/>
      <c r="Y207" s="3007"/>
      <c r="Z207" s="1406"/>
      <c r="AA207" s="1406"/>
      <c r="AB207" s="3005">
        <f t="shared" ref="AB207:AB216" si="0">MAX(($T207-$N207)*$I207*12,0)</f>
        <v>188928</v>
      </c>
      <c r="AC207" s="3005"/>
      <c r="AD207" s="3005"/>
      <c r="AE207" s="3005"/>
      <c r="AF207" s="3005"/>
      <c r="AG207" s="3005"/>
      <c r="AH207" s="1373"/>
      <c r="AI207" s="1373"/>
      <c r="AJ207" s="1373"/>
      <c r="AK207" s="1026"/>
    </row>
    <row r="208" spans="1:37">
      <c r="A208" s="1018"/>
      <c r="B208" s="3037" t="s">
        <v>2559</v>
      </c>
      <c r="C208" s="3037"/>
      <c r="D208" s="3037"/>
      <c r="E208" s="3037"/>
      <c r="F208" s="3037"/>
      <c r="G208" s="3037"/>
      <c r="I208" s="3011">
        <v>23</v>
      </c>
      <c r="J208" s="3011"/>
      <c r="K208" s="3011"/>
      <c r="L208" s="1817"/>
      <c r="N208" s="3008">
        <f>783</f>
        <v>783</v>
      </c>
      <c r="O208" s="3008"/>
      <c r="P208" s="3008"/>
      <c r="Q208" s="3008"/>
      <c r="R208" s="3008"/>
      <c r="T208" s="3007">
        <f>1910-71</f>
        <v>1839</v>
      </c>
      <c r="U208" s="3007"/>
      <c r="V208" s="3007"/>
      <c r="W208" s="3007"/>
      <c r="X208" s="3007"/>
      <c r="Y208" s="3007"/>
      <c r="Z208" s="1406"/>
      <c r="AA208" s="1406"/>
      <c r="AB208" s="3005">
        <f t="shared" si="0"/>
        <v>291456</v>
      </c>
      <c r="AC208" s="3005"/>
      <c r="AD208" s="3005"/>
      <c r="AE208" s="3005"/>
      <c r="AF208" s="3005"/>
      <c r="AG208" s="3005"/>
      <c r="AH208" s="1373"/>
      <c r="AI208" s="1373"/>
      <c r="AJ208" s="1373"/>
      <c r="AK208" s="1026"/>
    </row>
    <row r="209" spans="1:37">
      <c r="A209" s="1018"/>
      <c r="B209" s="3037" t="s">
        <v>1386</v>
      </c>
      <c r="C209" s="3037"/>
      <c r="D209" s="3037"/>
      <c r="E209" s="3037"/>
      <c r="F209" s="3037"/>
      <c r="G209" s="3037"/>
      <c r="I209" s="3011"/>
      <c r="J209" s="3011"/>
      <c r="K209" s="3011"/>
      <c r="L209" s="1817"/>
      <c r="N209" s="3008"/>
      <c r="O209" s="3008"/>
      <c r="P209" s="3008"/>
      <c r="Q209" s="3008"/>
      <c r="R209" s="3008"/>
      <c r="T209" s="3007"/>
      <c r="U209" s="3007"/>
      <c r="V209" s="3007"/>
      <c r="W209" s="3007"/>
      <c r="X209" s="3007"/>
      <c r="Y209" s="3007"/>
      <c r="Z209" s="1406"/>
      <c r="AA209" s="1406"/>
      <c r="AB209" s="3005">
        <f t="shared" si="0"/>
        <v>0</v>
      </c>
      <c r="AC209" s="3005"/>
      <c r="AD209" s="3005"/>
      <c r="AE209" s="3005"/>
      <c r="AF209" s="3005"/>
      <c r="AG209" s="3005"/>
      <c r="AH209" s="1373"/>
      <c r="AI209" s="1373"/>
      <c r="AJ209" s="1373"/>
      <c r="AK209" s="1026"/>
    </row>
    <row r="210" spans="1:37">
      <c r="A210" s="1018"/>
      <c r="B210" s="3037" t="s">
        <v>1386</v>
      </c>
      <c r="C210" s="3037"/>
      <c r="D210" s="3037"/>
      <c r="E210" s="3037"/>
      <c r="F210" s="3037"/>
      <c r="G210" s="3037"/>
      <c r="I210" s="3011"/>
      <c r="J210" s="3011"/>
      <c r="K210" s="3011"/>
      <c r="L210" s="1817"/>
      <c r="N210" s="3008"/>
      <c r="O210" s="3008"/>
      <c r="P210" s="3008"/>
      <c r="Q210" s="3008"/>
      <c r="R210" s="3008"/>
      <c r="T210" s="3007"/>
      <c r="U210" s="3007"/>
      <c r="V210" s="3007"/>
      <c r="W210" s="3007"/>
      <c r="X210" s="3007"/>
      <c r="Y210" s="3007"/>
      <c r="Z210" s="1406"/>
      <c r="AA210" s="1406"/>
      <c r="AB210" s="3005">
        <f t="shared" si="0"/>
        <v>0</v>
      </c>
      <c r="AC210" s="3005"/>
      <c r="AD210" s="3005"/>
      <c r="AE210" s="3005"/>
      <c r="AF210" s="3005"/>
      <c r="AG210" s="3005"/>
      <c r="AH210" s="1373"/>
      <c r="AI210" s="1373"/>
      <c r="AJ210" s="1373"/>
      <c r="AK210" s="1026"/>
    </row>
    <row r="211" spans="1:37">
      <c r="A211" s="1018"/>
      <c r="B211" s="3037" t="s">
        <v>1386</v>
      </c>
      <c r="C211" s="3037"/>
      <c r="D211" s="3037"/>
      <c r="E211" s="3037"/>
      <c r="F211" s="3037"/>
      <c r="G211" s="3037"/>
      <c r="I211" s="3011"/>
      <c r="J211" s="3011"/>
      <c r="K211" s="3011"/>
      <c r="L211" s="1829"/>
      <c r="N211" s="3008"/>
      <c r="O211" s="3008"/>
      <c r="P211" s="3008"/>
      <c r="Q211" s="3008"/>
      <c r="R211" s="3008"/>
      <c r="T211" s="3007"/>
      <c r="U211" s="3007"/>
      <c r="V211" s="3007"/>
      <c r="W211" s="3007"/>
      <c r="X211" s="3007"/>
      <c r="Y211" s="3007"/>
      <c r="Z211" s="1406"/>
      <c r="AA211" s="1406"/>
      <c r="AB211" s="3005">
        <f t="shared" si="0"/>
        <v>0</v>
      </c>
      <c r="AC211" s="3005"/>
      <c r="AD211" s="3005"/>
      <c r="AE211" s="3005"/>
      <c r="AF211" s="3005"/>
      <c r="AG211" s="3005"/>
      <c r="AH211" s="1373"/>
      <c r="AI211" s="1373"/>
      <c r="AJ211" s="1373"/>
      <c r="AK211" s="1026"/>
    </row>
    <row r="212" spans="1:37">
      <c r="A212" s="1018"/>
      <c r="B212" s="3037" t="s">
        <v>1386</v>
      </c>
      <c r="C212" s="3037"/>
      <c r="D212" s="3037"/>
      <c r="E212" s="3037"/>
      <c r="F212" s="3037"/>
      <c r="G212" s="3037"/>
      <c r="I212" s="3011"/>
      <c r="J212" s="3011"/>
      <c r="K212" s="3011"/>
      <c r="L212" s="1829"/>
      <c r="N212" s="3008"/>
      <c r="O212" s="3008"/>
      <c r="P212" s="3008"/>
      <c r="Q212" s="3008"/>
      <c r="R212" s="3008"/>
      <c r="T212" s="3007"/>
      <c r="U212" s="3007"/>
      <c r="V212" s="3007"/>
      <c r="W212" s="3007"/>
      <c r="X212" s="3007"/>
      <c r="Y212" s="3007"/>
      <c r="Z212" s="1406"/>
      <c r="AA212" s="1406"/>
      <c r="AB212" s="3005">
        <f t="shared" si="0"/>
        <v>0</v>
      </c>
      <c r="AC212" s="3005"/>
      <c r="AD212" s="3005"/>
      <c r="AE212" s="3005"/>
      <c r="AF212" s="3005"/>
      <c r="AG212" s="3005"/>
      <c r="AH212" s="1373"/>
      <c r="AI212" s="1373"/>
      <c r="AJ212" s="1373"/>
      <c r="AK212" s="1026"/>
    </row>
    <row r="213" spans="1:37">
      <c r="A213" s="1018"/>
      <c r="B213" s="3037" t="s">
        <v>1386</v>
      </c>
      <c r="C213" s="3037"/>
      <c r="D213" s="3037"/>
      <c r="E213" s="3037"/>
      <c r="F213" s="3037"/>
      <c r="G213" s="3037"/>
      <c r="I213" s="3011"/>
      <c r="J213" s="3011"/>
      <c r="K213" s="3011"/>
      <c r="L213" s="1829"/>
      <c r="N213" s="3008"/>
      <c r="O213" s="3008"/>
      <c r="P213" s="3008"/>
      <c r="Q213" s="3008"/>
      <c r="R213" s="3008"/>
      <c r="T213" s="3007"/>
      <c r="U213" s="3007"/>
      <c r="V213" s="3007"/>
      <c r="W213" s="3007"/>
      <c r="X213" s="3007"/>
      <c r="Y213" s="3007"/>
      <c r="Z213" s="1406"/>
      <c r="AA213" s="1406"/>
      <c r="AB213" s="3005">
        <f t="shared" si="0"/>
        <v>0</v>
      </c>
      <c r="AC213" s="3005"/>
      <c r="AD213" s="3005"/>
      <c r="AE213" s="3005"/>
      <c r="AF213" s="3005"/>
      <c r="AG213" s="3005"/>
      <c r="AH213" s="1373"/>
      <c r="AI213" s="1373"/>
      <c r="AJ213" s="1373"/>
      <c r="AK213" s="1026"/>
    </row>
    <row r="214" spans="1:37">
      <c r="A214" s="1018"/>
      <c r="B214" s="3037" t="s">
        <v>1386</v>
      </c>
      <c r="C214" s="3037"/>
      <c r="D214" s="3037"/>
      <c r="E214" s="3037"/>
      <c r="F214" s="3037"/>
      <c r="G214" s="3037"/>
      <c r="I214" s="3011"/>
      <c r="J214" s="3011"/>
      <c r="K214" s="3011"/>
      <c r="L214" s="1829"/>
      <c r="N214" s="3008"/>
      <c r="O214" s="3008"/>
      <c r="P214" s="3008"/>
      <c r="Q214" s="3008"/>
      <c r="R214" s="3008"/>
      <c r="T214" s="3007"/>
      <c r="U214" s="3007"/>
      <c r="V214" s="3007"/>
      <c r="W214" s="3007"/>
      <c r="X214" s="3007"/>
      <c r="Y214" s="3007"/>
      <c r="Z214" s="1406"/>
      <c r="AA214" s="1406"/>
      <c r="AB214" s="3005">
        <f t="shared" si="0"/>
        <v>0</v>
      </c>
      <c r="AC214" s="3005"/>
      <c r="AD214" s="3005"/>
      <c r="AE214" s="3005"/>
      <c r="AF214" s="3005"/>
      <c r="AG214" s="3005"/>
      <c r="AH214" s="1373"/>
      <c r="AI214" s="1373"/>
      <c r="AJ214" s="1373"/>
      <c r="AK214" s="1026"/>
    </row>
    <row r="215" spans="1:37">
      <c r="A215" s="1018"/>
      <c r="B215" s="3037" t="s">
        <v>1386</v>
      </c>
      <c r="C215" s="3037"/>
      <c r="D215" s="3037"/>
      <c r="E215" s="3037"/>
      <c r="F215" s="3037"/>
      <c r="G215" s="3037"/>
      <c r="I215" s="3011"/>
      <c r="J215" s="3011"/>
      <c r="K215" s="3011"/>
      <c r="L215" s="1829"/>
      <c r="N215" s="3008"/>
      <c r="O215" s="3008"/>
      <c r="P215" s="3008"/>
      <c r="Q215" s="3008"/>
      <c r="R215" s="3008"/>
      <c r="T215" s="3007"/>
      <c r="U215" s="3007"/>
      <c r="V215" s="3007"/>
      <c r="W215" s="3007"/>
      <c r="X215" s="3007"/>
      <c r="Y215" s="3007"/>
      <c r="Z215" s="1406"/>
      <c r="AA215" s="1406"/>
      <c r="AB215" s="3005">
        <f t="shared" si="0"/>
        <v>0</v>
      </c>
      <c r="AC215" s="3005"/>
      <c r="AD215" s="3005"/>
      <c r="AE215" s="3005"/>
      <c r="AF215" s="3005"/>
      <c r="AG215" s="3005"/>
      <c r="AH215" s="1373"/>
      <c r="AI215" s="1373"/>
      <c r="AJ215" s="1373"/>
      <c r="AK215" s="1026"/>
    </row>
    <row r="216" spans="1:37">
      <c r="A216" s="1018"/>
      <c r="B216" s="3037" t="s">
        <v>1386</v>
      </c>
      <c r="C216" s="3037"/>
      <c r="D216" s="3037"/>
      <c r="E216" s="3037"/>
      <c r="F216" s="3037"/>
      <c r="G216" s="3037"/>
      <c r="I216" s="3212"/>
      <c r="J216" s="3212"/>
      <c r="K216" s="3212"/>
      <c r="L216" s="1829"/>
      <c r="N216" s="3008"/>
      <c r="O216" s="3008"/>
      <c r="P216" s="3008"/>
      <c r="Q216" s="3008"/>
      <c r="R216" s="3008"/>
      <c r="T216" s="3007"/>
      <c r="U216" s="3007"/>
      <c r="V216" s="3007"/>
      <c r="W216" s="3007"/>
      <c r="X216" s="3007"/>
      <c r="Y216" s="3007"/>
      <c r="Z216" s="1406"/>
      <c r="AA216" s="1406"/>
      <c r="AB216" s="3013">
        <f t="shared" si="0"/>
        <v>0</v>
      </c>
      <c r="AC216" s="3013"/>
      <c r="AD216" s="3013"/>
      <c r="AE216" s="3013"/>
      <c r="AF216" s="3013"/>
      <c r="AG216" s="301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05">
        <f>SUM(AB207:AB216)</f>
        <v>480384</v>
      </c>
      <c r="AC217" s="3005"/>
      <c r="AD217" s="3005"/>
      <c r="AE217" s="3005"/>
      <c r="AF217" s="3005"/>
      <c r="AG217" s="300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9"/>
      <c r="AC223" s="3199"/>
      <c r="AD223" s="3199"/>
      <c r="AE223" s="3199"/>
      <c r="AF223" s="3199"/>
      <c r="AG223" s="3199"/>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9"/>
      <c r="AC226" s="3199"/>
      <c r="AD226" s="3199"/>
      <c r="AE226" s="3199"/>
      <c r="AF226" s="3199"/>
      <c r="AG226" s="3199"/>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4"/>
      <c r="AC227" s="3004"/>
      <c r="AD227" s="3004"/>
      <c r="AE227" s="3004"/>
      <c r="AF227" s="3004"/>
      <c r="AG227" s="3004"/>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4">
        <f>IFERROR(AB226/AB227,0)</f>
        <v>0</v>
      </c>
      <c r="AC228" s="3014"/>
      <c r="AD228" s="3014"/>
      <c r="AE228" s="3014"/>
      <c r="AF228" s="3014"/>
      <c r="AG228" s="301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3">
        <f>MAX(AB223,AB228)</f>
        <v>0</v>
      </c>
      <c r="AC230" s="3033"/>
      <c r="AD230" s="3033"/>
      <c r="AE230" s="3033"/>
      <c r="AF230" s="3033"/>
      <c r="AG230" s="303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2">
        <f>AB217+AB230</f>
        <v>480384</v>
      </c>
      <c r="AC233" s="3012"/>
      <c r="AD233" s="3012"/>
      <c r="AE233" s="3012"/>
      <c r="AF233" s="3012"/>
      <c r="AG233" s="301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5">
        <v>0.05</v>
      </c>
      <c r="AC234" s="3195"/>
      <c r="AD234" s="3195"/>
      <c r="AE234" s="3195"/>
      <c r="AF234" s="3195"/>
      <c r="AG234" s="3195"/>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6">
        <f>AB233-(AB233*AB234)</f>
        <v>456364.79999999999</v>
      </c>
      <c r="AC235" s="3196"/>
      <c r="AD235" s="3196"/>
      <c r="AE235" s="3196"/>
      <c r="AF235" s="3196"/>
      <c r="AG235" s="3196"/>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2">
        <f>AB235/AB241</f>
        <v>396838.95652173914</v>
      </c>
      <c r="AC237" s="3012"/>
      <c r="AD237" s="3012"/>
      <c r="AE237" s="3012"/>
      <c r="AF237" s="3012"/>
      <c r="AG237" s="301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8">
        <v>15</v>
      </c>
      <c r="AC239" s="3208"/>
      <c r="AD239" s="3208"/>
      <c r="AE239" s="3208"/>
      <c r="AF239" s="3208"/>
      <c r="AG239" s="3208"/>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7">
        <v>0.04</v>
      </c>
      <c r="AC240" s="3197"/>
      <c r="AD240" s="3197"/>
      <c r="AE240" s="3197"/>
      <c r="AF240" s="3197"/>
      <c r="AG240" s="319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8">
        <v>1.1499999999999999</v>
      </c>
      <c r="AC241" s="3198"/>
      <c r="AD241" s="3198"/>
      <c r="AE241" s="3198"/>
      <c r="AF241" s="3198"/>
      <c r="AG241" s="319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8">
        <f>PV(AB240/12,AB239*12,-AB237/12, ,0)</f>
        <v>4470792.600303662</v>
      </c>
      <c r="AC243" s="3189"/>
      <c r="AD243" s="3189"/>
      <c r="AE243" s="3189"/>
      <c r="AF243" s="3189"/>
      <c r="AG243" s="31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2">
        <f>IFERROR(('Sources and Uses Budget'!D105/'Sources and Uses Budget'!B105),0)</f>
        <v>0</v>
      </c>
      <c r="AC249" s="3193"/>
      <c r="AD249" s="3193"/>
      <c r="AE249" s="3193"/>
      <c r="AF249" s="3193"/>
      <c r="AG249" s="31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8">
        <f>AD194*(1-AB249)</f>
        <v>16377822.600303661</v>
      </c>
      <c r="AH251" s="3098"/>
      <c r="AI251" s="3098"/>
      <c r="AJ251" s="3098"/>
      <c r="AK251" s="3098"/>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8">
        <f>'Sources and Uses Budget'!C105</f>
        <v>24925953</v>
      </c>
      <c r="AH252" s="3098"/>
      <c r="AI252" s="3098"/>
      <c r="AJ252" s="3098"/>
      <c r="AK252" s="309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2">
        <f>ROUNDDOWN(IF(AND(C274="Yes",AK72=10),((AG251*2)/AG252),AG251/AG252),2)</f>
        <v>1.31</v>
      </c>
      <c r="AH253" s="3182"/>
      <c r="AI253" s="3182"/>
      <c r="AJ253" s="3182"/>
      <c r="AK253" s="3182"/>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83">
        <f>IF(AG253=0,0,IF((AG253*100)&gt;8,8,(AG253*100)))</f>
        <v>8</v>
      </c>
      <c r="AL256" s="3183"/>
      <c r="AM256" s="31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5" t="s">
        <v>579</v>
      </c>
      <c r="D261" s="3025"/>
      <c r="E261" s="942"/>
      <c r="F261" s="3175" t="s">
        <v>1999</v>
      </c>
      <c r="G261" s="3176"/>
      <c r="H261" s="3176"/>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76"/>
      <c r="AD261" s="3177"/>
      <c r="AE261" s="945"/>
      <c r="AF261" s="1068"/>
      <c r="AG261" s="3181" t="s">
        <v>1661</v>
      </c>
      <c r="AH261" s="3181"/>
      <c r="AI261" s="3181"/>
      <c r="AJ261" s="3181"/>
      <c r="AK261" s="1028"/>
      <c r="AL261" s="1028"/>
      <c r="AM261" s="1028"/>
      <c r="AN261" s="1063"/>
      <c r="AO261" s="945">
        <f>IF($C$261="yes",5,0)</f>
        <v>5</v>
      </c>
      <c r="AS261" s="21"/>
      <c r="AT261" s="21"/>
    </row>
    <row r="262" spans="1:81" ht="13.7" customHeight="1">
      <c r="A262" s="1062"/>
      <c r="B262" s="1067"/>
      <c r="C262" s="1069"/>
      <c r="D262" s="945"/>
      <c r="E262" s="942"/>
      <c r="F262" s="3178"/>
      <c r="G262" s="3179"/>
      <c r="H262" s="3179"/>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79"/>
      <c r="AD262" s="318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25" t="s">
        <v>579</v>
      </c>
      <c r="D264" s="3025"/>
      <c r="E264" s="942"/>
      <c r="F264" s="3175" t="s">
        <v>2206</v>
      </c>
      <c r="G264" s="3176"/>
      <c r="H264" s="3176"/>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76"/>
      <c r="AD264" s="3177"/>
      <c r="AE264" s="945"/>
      <c r="AF264" s="1068"/>
      <c r="AG264" s="3181" t="s">
        <v>1661</v>
      </c>
      <c r="AH264" s="3181"/>
      <c r="AI264" s="3181"/>
      <c r="AJ264" s="3181"/>
      <c r="AK264" s="1028"/>
      <c r="AL264" s="1028"/>
      <c r="AM264" s="1028"/>
      <c r="AN264" s="1063"/>
      <c r="AS264" s="21"/>
      <c r="AT264" s="21"/>
    </row>
    <row r="265" spans="1:81" ht="13.7" customHeight="1">
      <c r="A265" s="1062"/>
      <c r="C265" s="1071"/>
      <c r="D265" s="1071"/>
      <c r="E265" s="1071"/>
      <c r="F265" s="3178"/>
      <c r="G265" s="3179"/>
      <c r="H265" s="3179"/>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79"/>
      <c r="AD265" s="318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9">
        <f>$AO$263</f>
        <v>10</v>
      </c>
      <c r="AL267" s="3051"/>
      <c r="AM267" s="303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50" t="s">
        <v>1665</v>
      </c>
      <c r="B274" s="3150"/>
      <c r="C274" s="3025" t="s">
        <v>579</v>
      </c>
      <c r="D274" s="3025"/>
      <c r="E274" s="942"/>
      <c r="F274" s="3172" t="s">
        <v>1666</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7"/>
      <c r="G275" s="3031"/>
      <c r="H275" s="3031"/>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31"/>
      <c r="AD275" s="3168"/>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67"/>
      <c r="G276" s="3031"/>
      <c r="H276" s="3031"/>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31"/>
      <c r="AD276" s="316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7" t="s">
        <v>1668</v>
      </c>
      <c r="G277" s="3031"/>
      <c r="H277" s="3031"/>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31"/>
      <c r="AD277" s="316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7"/>
      <c r="G278" s="3031"/>
      <c r="H278" s="3031"/>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31"/>
      <c r="AD278" s="3168"/>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67" t="s">
        <v>1669</v>
      </c>
      <c r="G279" s="3031"/>
      <c r="H279" s="3031"/>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31"/>
      <c r="AD279" s="3168"/>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67"/>
      <c r="G280" s="3031"/>
      <c r="H280" s="3031"/>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31"/>
      <c r="AD280" s="316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7" t="s">
        <v>1670</v>
      </c>
      <c r="G281" s="3031"/>
      <c r="H281" s="3031"/>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31"/>
      <c r="AD281" s="316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50" t="s">
        <v>1671</v>
      </c>
      <c r="B284" s="3150"/>
      <c r="C284" s="3025" t="s">
        <v>627</v>
      </c>
      <c r="D284" s="3025"/>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67" t="s">
        <v>1674</v>
      </c>
      <c r="G285" s="3031"/>
      <c r="H285" s="3031"/>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31"/>
      <c r="AD285" s="3168"/>
      <c r="AE285" s="946"/>
      <c r="AF285" s="946"/>
      <c r="AG285" s="946"/>
      <c r="AH285" s="946"/>
      <c r="AI285" s="946"/>
      <c r="AJ285" s="945"/>
      <c r="AK285" s="1028"/>
      <c r="AL285" s="1028"/>
      <c r="AM285" s="1028"/>
      <c r="AR285" s="1088"/>
    </row>
    <row r="286" spans="1:53" ht="15" customHeight="1">
      <c r="A286" s="1062"/>
      <c r="B286" s="946"/>
      <c r="C286" s="945"/>
      <c r="D286" s="946"/>
      <c r="E286" s="945"/>
      <c r="F286" s="3167"/>
      <c r="G286" s="3031"/>
      <c r="H286" s="3031"/>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31"/>
      <c r="AD286" s="3168"/>
      <c r="AE286" s="946"/>
      <c r="AF286" s="946"/>
      <c r="AG286" s="946"/>
      <c r="AH286" s="946"/>
      <c r="AI286" s="946"/>
      <c r="AJ286" s="945"/>
      <c r="AK286" s="1028"/>
      <c r="AL286" s="1028"/>
      <c r="AM286" s="1028"/>
      <c r="AR286" s="1088"/>
    </row>
    <row r="287" spans="1:53">
      <c r="A287" s="1062"/>
      <c r="B287" s="946"/>
      <c r="C287" s="945"/>
      <c r="D287" s="946"/>
      <c r="E287" s="945"/>
      <c r="F287" s="3167" t="s">
        <v>1669</v>
      </c>
      <c r="G287" s="3031"/>
      <c r="H287" s="3031"/>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31"/>
      <c r="AD287" s="316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7"/>
      <c r="G288" s="3031"/>
      <c r="H288" s="3031"/>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31"/>
      <c r="AD288" s="3168"/>
      <c r="AE288" s="946"/>
      <c r="AF288" s="946"/>
      <c r="AG288" s="946"/>
      <c r="AH288" s="946"/>
      <c r="AI288" s="946"/>
      <c r="AJ288" s="945"/>
      <c r="AK288" s="1028"/>
      <c r="AL288" s="1028"/>
      <c r="AM288" s="1028"/>
      <c r="AP288" s="1081"/>
      <c r="AQ288" s="970"/>
      <c r="AR288" s="1088"/>
    </row>
    <row r="289" spans="1:60">
      <c r="A289" s="1062"/>
      <c r="B289" s="946"/>
      <c r="C289" s="945"/>
      <c r="D289" s="946"/>
      <c r="E289" s="945"/>
      <c r="F289" s="3167" t="s">
        <v>1675</v>
      </c>
      <c r="G289" s="3031"/>
      <c r="H289" s="3031"/>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31"/>
      <c r="AD289" s="3168"/>
      <c r="AE289" s="946"/>
      <c r="AF289" s="946"/>
      <c r="AG289" s="946"/>
      <c r="AH289" s="946"/>
      <c r="AI289" s="946"/>
      <c r="AJ289" s="945"/>
      <c r="AK289" s="1028"/>
      <c r="AL289" s="1028"/>
      <c r="AM289" s="1028"/>
      <c r="AP289" s="1081"/>
      <c r="AQ289" s="970"/>
      <c r="AR289" s="1088"/>
    </row>
    <row r="290" spans="1:60">
      <c r="A290" s="1062"/>
      <c r="B290" s="946"/>
      <c r="C290" s="945"/>
      <c r="D290" s="946"/>
      <c r="E290" s="945"/>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50" t="s">
        <v>1676</v>
      </c>
      <c r="B292" s="3150"/>
      <c r="C292" s="3025" t="s">
        <v>627</v>
      </c>
      <c r="D292" s="3025"/>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67" t="s">
        <v>1677</v>
      </c>
      <c r="G293" s="3031"/>
      <c r="H293" s="3031"/>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31"/>
      <c r="AD293" s="3168"/>
      <c r="AE293" s="946"/>
      <c r="AF293" s="946"/>
      <c r="AG293" s="1014"/>
      <c r="AH293" s="946"/>
      <c r="AI293" s="946"/>
      <c r="AJ293" s="945"/>
      <c r="AK293" s="1028"/>
      <c r="AL293" s="1028"/>
      <c r="AM293" s="1028"/>
      <c r="AN293" s="110"/>
      <c r="AO293" s="51"/>
      <c r="AP293" s="952" t="s">
        <v>1386</v>
      </c>
      <c r="AR293" s="21"/>
    </row>
    <row r="294" spans="1:60" s="21" customFormat="1">
      <c r="F294" s="3167"/>
      <c r="G294" s="3031"/>
      <c r="H294" s="3031"/>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31"/>
      <c r="AD294" s="3168"/>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7" t="s">
        <v>1386</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726</v>
      </c>
      <c r="H306" s="971"/>
      <c r="I306" s="3163" t="s">
        <v>1386</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63" t="s">
        <v>1386</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50" t="s">
        <v>1680</v>
      </c>
      <c r="B315" s="3150"/>
      <c r="C315" s="3025" t="s">
        <v>627</v>
      </c>
      <c r="D315" s="3025"/>
      <c r="E315" s="942"/>
      <c r="F315" s="3151" t="s">
        <v>1681</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6"/>
      <c r="AF316" s="946"/>
      <c r="AG316" s="946"/>
      <c r="AH316" s="946"/>
      <c r="AI316" s="946"/>
      <c r="AJ316" s="945"/>
      <c r="AK316" s="1028"/>
      <c r="AL316" s="1028"/>
      <c r="AM316" s="1028"/>
      <c r="AN316" s="110"/>
      <c r="AO316" s="51"/>
    </row>
    <row r="317" spans="1:60" ht="15" customHeight="1">
      <c r="A317" s="1062"/>
      <c r="B317" s="946"/>
      <c r="C317" s="946"/>
      <c r="D317" s="946"/>
      <c r="E317" s="946"/>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9">
        <f>AP279</f>
        <v>20</v>
      </c>
      <c r="AL320" s="3051"/>
      <c r="AM320" s="303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5" t="s">
        <v>1597</v>
      </c>
      <c r="AF323" s="3105"/>
      <c r="AG323" s="3105"/>
      <c r="AH323" s="3105"/>
      <c r="AI323" s="3105"/>
      <c r="AJ323" s="3105"/>
      <c r="AK323" s="310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31" t="s">
        <v>2207</v>
      </c>
      <c r="C325" s="3031"/>
      <c r="D325" s="3031"/>
      <c r="E325" s="3031"/>
      <c r="F325" s="3031"/>
      <c r="G325" s="3031"/>
      <c r="H325" s="3031"/>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31"/>
      <c r="AD325" s="3031"/>
      <c r="AE325" s="3031"/>
      <c r="AF325" s="3031"/>
      <c r="AG325" s="3031"/>
      <c r="AH325" s="3031"/>
      <c r="AI325" s="3031"/>
      <c r="AJ325" s="3031"/>
      <c r="AK325" s="1080"/>
      <c r="AL325" s="969"/>
      <c r="AM325" s="1029"/>
      <c r="AN325" s="1002"/>
    </row>
    <row r="326" spans="1:42" s="945" customFormat="1" ht="12.75" customHeight="1">
      <c r="A326" s="1029"/>
      <c r="B326" s="3031"/>
      <c r="C326" s="3031"/>
      <c r="D326" s="3031"/>
      <c r="E326" s="3031"/>
      <c r="F326" s="3031"/>
      <c r="G326" s="3031"/>
      <c r="H326" s="3031"/>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31"/>
      <c r="AD326" s="3031"/>
      <c r="AE326" s="3031"/>
      <c r="AF326" s="3031"/>
      <c r="AG326" s="3031"/>
      <c r="AH326" s="3031"/>
      <c r="AI326" s="3031"/>
      <c r="AJ326" s="3031"/>
      <c r="AK326" s="1080"/>
      <c r="AL326" s="969"/>
      <c r="AM326" s="1029"/>
      <c r="AN326" s="1002"/>
    </row>
    <row r="327" spans="1:42" s="945" customFormat="1" ht="12.75" customHeight="1">
      <c r="A327" s="1029"/>
      <c r="B327" s="3031"/>
      <c r="C327" s="3031"/>
      <c r="D327" s="3031"/>
      <c r="E327" s="3031"/>
      <c r="F327" s="3031"/>
      <c r="G327" s="3031"/>
      <c r="H327" s="3031"/>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31"/>
      <c r="AD327" s="3031"/>
      <c r="AE327" s="3031"/>
      <c r="AF327" s="3031"/>
      <c r="AG327" s="3031"/>
      <c r="AH327" s="3031"/>
      <c r="AI327" s="3031"/>
      <c r="AJ327" s="3031"/>
      <c r="AK327" s="1080"/>
      <c r="AL327" s="969"/>
      <c r="AM327" s="1029"/>
      <c r="AN327" s="1002"/>
    </row>
    <row r="328" spans="1:42" s="945" customFormat="1" ht="12.75" customHeight="1">
      <c r="A328" s="1029"/>
      <c r="B328" s="3031"/>
      <c r="C328" s="3031"/>
      <c r="D328" s="3031"/>
      <c r="E328" s="3031"/>
      <c r="F328" s="3031"/>
      <c r="G328" s="3031"/>
      <c r="H328" s="3031"/>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31"/>
      <c r="AD328" s="3031"/>
      <c r="AE328" s="3031"/>
      <c r="AF328" s="3031"/>
      <c r="AG328" s="3031"/>
      <c r="AH328" s="3031"/>
      <c r="AI328" s="3031"/>
      <c r="AJ328" s="3031"/>
      <c r="AK328" s="1080"/>
      <c r="AL328" s="969"/>
      <c r="AM328" s="1029"/>
      <c r="AN328" s="1002"/>
    </row>
    <row r="329" spans="1:42" s="945" customFormat="1" ht="12.75" customHeight="1">
      <c r="A329" s="1029"/>
      <c r="B329" s="3031"/>
      <c r="C329" s="3031"/>
      <c r="D329" s="3031"/>
      <c r="E329" s="3031"/>
      <c r="F329" s="3031"/>
      <c r="G329" s="3031"/>
      <c r="H329" s="3031"/>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31"/>
      <c r="AD329" s="3031"/>
      <c r="AE329" s="3031"/>
      <c r="AF329" s="3031"/>
      <c r="AG329" s="3031"/>
      <c r="AH329" s="3031"/>
      <c r="AI329" s="3031"/>
      <c r="AJ329" s="3031"/>
      <c r="AK329" s="1080"/>
      <c r="AL329" s="969"/>
      <c r="AM329" s="1029"/>
      <c r="AN329" s="1002"/>
    </row>
    <row r="330" spans="1:42" s="945" customFormat="1" ht="12.75" customHeight="1">
      <c r="A330" s="1029"/>
      <c r="B330" s="3031"/>
      <c r="C330" s="3031"/>
      <c r="D330" s="3031"/>
      <c r="E330" s="3031"/>
      <c r="F330" s="3031"/>
      <c r="G330" s="3031"/>
      <c r="H330" s="3031"/>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31"/>
      <c r="AD330" s="3031"/>
      <c r="AE330" s="3031"/>
      <c r="AF330" s="3031"/>
      <c r="AG330" s="3031"/>
      <c r="AH330" s="3031"/>
      <c r="AI330" s="3031"/>
      <c r="AJ330" s="3031"/>
      <c r="AK330" s="1080"/>
      <c r="AL330" s="969"/>
      <c r="AM330" s="1029"/>
      <c r="AN330" s="1002"/>
    </row>
    <row r="331" spans="1:42" s="945" customFormat="1" ht="12.75" customHeight="1">
      <c r="A331" s="1029"/>
      <c r="B331" s="3031"/>
      <c r="C331" s="3031"/>
      <c r="D331" s="3031"/>
      <c r="E331" s="3031"/>
      <c r="F331" s="3031"/>
      <c r="G331" s="3031"/>
      <c r="H331" s="3031"/>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31"/>
      <c r="AD331" s="3031"/>
      <c r="AE331" s="3031"/>
      <c r="AF331" s="3031"/>
      <c r="AG331" s="3031"/>
      <c r="AH331" s="3031"/>
      <c r="AI331" s="3031"/>
      <c r="AJ331" s="3031"/>
      <c r="AK331" s="1080"/>
      <c r="AL331" s="969"/>
      <c r="AM331" s="1029"/>
      <c r="AN331" s="1002"/>
    </row>
    <row r="332" spans="1:42" ht="12.75" customHeight="1">
      <c r="A332" s="1029"/>
      <c r="B332" s="3031"/>
      <c r="C332" s="3031"/>
      <c r="D332" s="3031"/>
      <c r="E332" s="3031"/>
      <c r="F332" s="3031"/>
      <c r="G332" s="3031"/>
      <c r="H332" s="3031"/>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31"/>
      <c r="AD332" s="3031"/>
      <c r="AE332" s="3031"/>
      <c r="AF332" s="3031"/>
      <c r="AG332" s="3031"/>
      <c r="AH332" s="3031"/>
      <c r="AI332" s="3031"/>
      <c r="AJ332" s="3031"/>
      <c r="AK332" s="1080"/>
      <c r="AL332" s="969"/>
      <c r="AM332" s="1029"/>
    </row>
    <row r="333" spans="1:42" s="945" customFormat="1" ht="12.75" customHeight="1">
      <c r="A333" s="1062"/>
      <c r="B333" s="3031"/>
      <c r="C333" s="3031"/>
      <c r="D333" s="3031"/>
      <c r="E333" s="3031"/>
      <c r="F333" s="3031"/>
      <c r="G333" s="3031"/>
      <c r="H333" s="3031"/>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31"/>
      <c r="AD333" s="3031"/>
      <c r="AE333" s="3031"/>
      <c r="AF333" s="3031"/>
      <c r="AG333" s="3031"/>
      <c r="AH333" s="3031"/>
      <c r="AI333" s="3031"/>
      <c r="AJ333" s="303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41" t="s">
        <v>1621</v>
      </c>
      <c r="AG339" s="3141"/>
      <c r="AH339" s="3141"/>
      <c r="AI339" s="3141"/>
      <c r="AJ339" s="3141"/>
      <c r="AK339" s="3141"/>
      <c r="AL339" s="3141"/>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41" t="s">
        <v>1687</v>
      </c>
      <c r="AG346" s="3141"/>
      <c r="AH346" s="3141"/>
      <c r="AI346" s="3141"/>
      <c r="AJ346" s="3141"/>
      <c r="AK346" s="3141"/>
      <c r="AL346" s="3141"/>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41" t="s">
        <v>1661</v>
      </c>
      <c r="AG352" s="3141"/>
      <c r="AH352" s="3141"/>
      <c r="AI352" s="3141"/>
      <c r="AJ352" s="3141"/>
      <c r="AK352" s="3141"/>
      <c r="AL352" s="3141"/>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41" t="s">
        <v>1690</v>
      </c>
      <c r="AG358" s="3141"/>
      <c r="AH358" s="3141"/>
      <c r="AI358" s="3141"/>
      <c r="AJ358" s="3141"/>
      <c r="AK358" s="3141"/>
      <c r="AL358" s="3141"/>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49" t="s">
        <v>1386</v>
      </c>
      <c r="P362" s="3149"/>
      <c r="Q362" s="3149"/>
      <c r="R362" s="3149"/>
      <c r="S362" s="3149"/>
      <c r="T362" s="3149"/>
      <c r="U362" s="3149"/>
      <c r="V362" s="3149"/>
      <c r="W362" s="3149"/>
      <c r="X362" s="3149"/>
      <c r="Y362" s="3149"/>
      <c r="Z362" s="3149"/>
      <c r="AA362" s="3149"/>
      <c r="AB362" s="314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41" t="s">
        <v>1635</v>
      </c>
      <c r="AG364" s="3141"/>
      <c r="AH364" s="3141"/>
      <c r="AI364" s="3141"/>
      <c r="AJ364" s="3141"/>
      <c r="AK364" s="3141"/>
      <c r="AL364" s="3141"/>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028" t="s">
        <v>1688</v>
      </c>
      <c r="I367" s="302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48" t="s">
        <v>627</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46" t="s">
        <v>627</v>
      </c>
      <c r="C377" s="3146"/>
      <c r="D377" s="1648"/>
      <c r="E377" s="3031" t="s">
        <v>1694</v>
      </c>
      <c r="F377" s="3031"/>
      <c r="G377" s="3031"/>
      <c r="H377" s="3031"/>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31"/>
      <c r="AD377" s="3031"/>
      <c r="AE377" s="3031"/>
      <c r="AF377" s="3031"/>
      <c r="AG377" s="3031"/>
      <c r="AH377" s="1648"/>
      <c r="AI377" s="1648"/>
      <c r="AJ377" s="1648"/>
      <c r="AK377" s="1648"/>
      <c r="AL377" s="1648"/>
      <c r="AN377" s="1002"/>
    </row>
    <row r="378" spans="1:46" s="945" customFormat="1" ht="12.75" customHeight="1">
      <c r="A378" s="1062"/>
      <c r="B378" s="1025"/>
      <c r="C378" s="1643"/>
      <c r="D378" s="1648"/>
      <c r="E378" s="3031"/>
      <c r="F378" s="3031"/>
      <c r="G378" s="3031"/>
      <c r="H378" s="3031"/>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31"/>
      <c r="AD378" s="3031"/>
      <c r="AE378" s="3031"/>
      <c r="AF378" s="3031"/>
      <c r="AG378" s="3031"/>
      <c r="AH378" s="1648"/>
      <c r="AI378" s="1648"/>
      <c r="AJ378" s="1648"/>
      <c r="AK378" s="1648"/>
      <c r="AL378" s="1648"/>
      <c r="AN378" s="1002"/>
    </row>
    <row r="379" spans="1:46" s="945" customFormat="1" ht="12.75" customHeight="1">
      <c r="A379" s="1062"/>
      <c r="B379" s="1025"/>
      <c r="C379" s="1643"/>
      <c r="D379" s="1648"/>
      <c r="E379" s="3031"/>
      <c r="F379" s="3031"/>
      <c r="G379" s="3031"/>
      <c r="H379" s="3031"/>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31"/>
      <c r="AD379" s="3031"/>
      <c r="AE379" s="3031"/>
      <c r="AF379" s="3031"/>
      <c r="AG379" s="3031"/>
      <c r="AH379" s="1648"/>
      <c r="AI379" s="1648"/>
      <c r="AJ379" s="1648"/>
      <c r="AK379" s="1648"/>
      <c r="AL379" s="1648"/>
      <c r="AN379" s="1002"/>
    </row>
    <row r="380" spans="1:46" s="945" customFormat="1" ht="12.75" customHeight="1">
      <c r="A380" s="1062"/>
      <c r="B380" s="1025"/>
      <c r="C380" s="1643"/>
      <c r="D380" s="1650"/>
      <c r="E380" s="3031"/>
      <c r="F380" s="3031"/>
      <c r="G380" s="3031"/>
      <c r="H380" s="3031"/>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31"/>
      <c r="AD380" s="3031"/>
      <c r="AE380" s="3031"/>
      <c r="AF380" s="3031"/>
      <c r="AG380" s="303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29">
        <f>VLOOKUP($H$367,$AO$347:$AP$352,2,FALSE)+VLOOKUP($I$375,$AO$374:$AP$376,2,FALSE)</f>
        <v>4</v>
      </c>
      <c r="AK382" s="303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7" t="s">
        <v>2208</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4"/>
      <c r="AF386" s="3141" t="s">
        <v>1635</v>
      </c>
      <c r="AG386" s="3141"/>
      <c r="AH386" s="3141"/>
      <c r="AI386" s="3141"/>
      <c r="AJ386" s="3141"/>
      <c r="AK386" s="3141"/>
      <c r="AL386" s="3141"/>
      <c r="AM386" s="1028"/>
      <c r="AN386" s="1127"/>
    </row>
    <row r="387" spans="1:42" s="945" customFormat="1" ht="12.75" customHeight="1">
      <c r="A387" s="1128"/>
      <c r="B387" s="1025"/>
      <c r="C387" s="1643"/>
      <c r="D387" s="1108"/>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46" t="s">
        <v>627</v>
      </c>
      <c r="Y395" s="314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41" t="s">
        <v>1699</v>
      </c>
      <c r="AG397" s="3141"/>
      <c r="AH397" s="3141"/>
      <c r="AI397" s="3141"/>
      <c r="AJ397" s="3141"/>
      <c r="AK397" s="3141"/>
      <c r="AL397" s="3141"/>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28" t="s">
        <v>726</v>
      </c>
      <c r="I399" s="302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29">
        <f>VLOOKUP($H$399,$AO$366:$AP$368,2,FALSE)</f>
        <v>3</v>
      </c>
      <c r="AK401" s="3030"/>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41" t="s">
        <v>1635</v>
      </c>
      <c r="AG405" s="3141"/>
      <c r="AH405" s="3141"/>
      <c r="AI405" s="3141"/>
      <c r="AJ405" s="3141"/>
      <c r="AK405" s="3141"/>
      <c r="AL405" s="3141"/>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41" t="s">
        <v>1699</v>
      </c>
      <c r="AG408" s="3141"/>
      <c r="AH408" s="3141"/>
      <c r="AI408" s="3141"/>
      <c r="AJ408" s="3141"/>
      <c r="AK408" s="3141"/>
      <c r="AL408" s="3141"/>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28" t="s">
        <v>627</v>
      </c>
      <c r="I411" s="302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29">
        <f>VLOOKUP(H411,AT366:AU368,2,FALSE)</f>
        <v>0</v>
      </c>
      <c r="AK413" s="303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31" t="s">
        <v>1711</v>
      </c>
      <c r="F418" s="3031"/>
      <c r="G418" s="3031"/>
      <c r="H418" s="3031"/>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31"/>
      <c r="AD418" s="929"/>
      <c r="AE418" s="929"/>
      <c r="AF418" s="3141" t="s">
        <v>1661</v>
      </c>
      <c r="AG418" s="3141"/>
      <c r="AH418" s="3141"/>
      <c r="AI418" s="3141"/>
      <c r="AJ418" s="3141"/>
      <c r="AK418" s="3141"/>
      <c r="AL418" s="3141"/>
      <c r="AN418" s="1002"/>
    </row>
    <row r="419" spans="1:42" s="945" customFormat="1" ht="12.75" customHeight="1">
      <c r="B419" s="929"/>
      <c r="C419" s="988"/>
      <c r="D419" s="929"/>
      <c r="E419" s="3031"/>
      <c r="F419" s="3031"/>
      <c r="G419" s="3031"/>
      <c r="H419" s="3031"/>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31"/>
      <c r="AD419" s="929"/>
      <c r="AE419" s="929"/>
      <c r="AF419" s="929"/>
      <c r="AG419" s="929"/>
      <c r="AH419" s="929"/>
      <c r="AI419" s="929"/>
      <c r="AJ419" s="929"/>
      <c r="AK419" s="929"/>
      <c r="AL419" s="929"/>
      <c r="AN419" s="1002"/>
    </row>
    <row r="420" spans="1:42" s="945" customFormat="1" ht="12.75" customHeight="1">
      <c r="B420" s="929"/>
      <c r="C420" s="988"/>
      <c r="D420" s="1108"/>
      <c r="E420" s="3031"/>
      <c r="F420" s="3031"/>
      <c r="G420" s="3031"/>
      <c r="H420" s="3031"/>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3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31" t="s">
        <v>1712</v>
      </c>
      <c r="F422" s="3031"/>
      <c r="G422" s="3031"/>
      <c r="H422" s="3031"/>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31"/>
      <c r="AD422" s="929"/>
      <c r="AE422" s="929"/>
      <c r="AF422" s="3141" t="s">
        <v>1690</v>
      </c>
      <c r="AG422" s="3141"/>
      <c r="AH422" s="3141"/>
      <c r="AI422" s="3141"/>
      <c r="AJ422" s="3141"/>
      <c r="AK422" s="3141"/>
      <c r="AL422" s="3141"/>
      <c r="AN422" s="1002"/>
    </row>
    <row r="423" spans="1:42" s="945" customFormat="1" ht="12.75" customHeight="1">
      <c r="B423" s="929"/>
      <c r="C423" s="988"/>
      <c r="D423" s="929"/>
      <c r="E423" s="3031"/>
      <c r="F423" s="3031"/>
      <c r="G423" s="3031"/>
      <c r="H423" s="3031"/>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31"/>
      <c r="AD423" s="929"/>
      <c r="AE423" s="929"/>
      <c r="AF423" s="929"/>
      <c r="AG423" s="929"/>
      <c r="AH423" s="929"/>
      <c r="AI423" s="929"/>
      <c r="AJ423" s="929"/>
      <c r="AK423" s="929"/>
      <c r="AL423" s="929"/>
      <c r="AN423" s="1002"/>
    </row>
    <row r="424" spans="1:42" s="945" customFormat="1" ht="15" customHeight="1">
      <c r="B424" s="929"/>
      <c r="C424" s="988"/>
      <c r="D424" s="1108"/>
      <c r="E424" s="3031"/>
      <c r="F424" s="3031"/>
      <c r="G424" s="3031"/>
      <c r="H424" s="3031"/>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3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31" t="s">
        <v>1713</v>
      </c>
      <c r="F426" s="3031"/>
      <c r="G426" s="3031"/>
      <c r="H426" s="3031"/>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31"/>
      <c r="AD426" s="929"/>
      <c r="AE426" s="929"/>
      <c r="AF426" s="3141" t="s">
        <v>1635</v>
      </c>
      <c r="AG426" s="3141"/>
      <c r="AH426" s="3141"/>
      <c r="AI426" s="3141"/>
      <c r="AJ426" s="3141"/>
      <c r="AK426" s="3141"/>
      <c r="AL426" s="3141"/>
      <c r="AN426" s="1002"/>
    </row>
    <row r="427" spans="1:42" s="945" customFormat="1" ht="12.75" customHeight="1">
      <c r="A427" s="1062"/>
      <c r="B427" s="1025"/>
      <c r="C427" s="1644"/>
      <c r="D427" s="929"/>
      <c r="E427" s="3031"/>
      <c r="F427" s="3031"/>
      <c r="G427" s="3031"/>
      <c r="H427" s="3031"/>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31"/>
      <c r="AD427" s="929"/>
      <c r="AE427" s="3141"/>
      <c r="AF427" s="3141"/>
      <c r="AG427" s="3141"/>
      <c r="AH427" s="3141"/>
      <c r="AI427" s="3141"/>
      <c r="AJ427" s="3141"/>
      <c r="AK427" s="3141"/>
      <c r="AL427" s="1598"/>
      <c r="AM427" s="1028"/>
      <c r="AN427" s="1002"/>
      <c r="AO427" s="945" t="s">
        <v>627</v>
      </c>
      <c r="AP427" s="1122">
        <v>0</v>
      </c>
    </row>
    <row r="428" spans="1:42" s="945" customFormat="1" ht="12.75" customHeight="1">
      <c r="A428" s="1128"/>
      <c r="B428" s="929"/>
      <c r="C428" s="929"/>
      <c r="D428" s="1108"/>
      <c r="E428" s="3031"/>
      <c r="F428" s="3031"/>
      <c r="G428" s="3031"/>
      <c r="H428" s="3031"/>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3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31" t="s">
        <v>1714</v>
      </c>
      <c r="F430" s="3031"/>
      <c r="G430" s="3031"/>
      <c r="H430" s="3031"/>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31"/>
      <c r="AD430" s="929"/>
      <c r="AE430" s="929"/>
      <c r="AF430" s="3141" t="s">
        <v>1690</v>
      </c>
      <c r="AG430" s="3141"/>
      <c r="AH430" s="3141"/>
      <c r="AI430" s="3141"/>
      <c r="AJ430" s="3141"/>
      <c r="AK430" s="3141"/>
      <c r="AL430" s="3141"/>
      <c r="AN430" s="1002"/>
    </row>
    <row r="431" spans="1:42" s="945" customFormat="1" ht="12.75" customHeight="1">
      <c r="A431" s="1117"/>
      <c r="B431" s="1025"/>
      <c r="C431" s="1660"/>
      <c r="D431" s="1108"/>
      <c r="E431" s="3031"/>
      <c r="F431" s="3031"/>
      <c r="G431" s="3031"/>
      <c r="H431" s="3031"/>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3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31"/>
      <c r="F432" s="3031"/>
      <c r="G432" s="3031"/>
      <c r="H432" s="3031"/>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3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31" t="s">
        <v>1715</v>
      </c>
      <c r="F434" s="3031"/>
      <c r="G434" s="3031"/>
      <c r="H434" s="3031"/>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31"/>
      <c r="AD434" s="929"/>
      <c r="AE434" s="929"/>
      <c r="AF434" s="3141" t="s">
        <v>1635</v>
      </c>
      <c r="AG434" s="3141"/>
      <c r="AH434" s="3141"/>
      <c r="AI434" s="3141"/>
      <c r="AJ434" s="3141"/>
      <c r="AK434" s="3141"/>
      <c r="AL434" s="3141"/>
      <c r="AM434" s="1067"/>
      <c r="AN434" s="1002"/>
    </row>
    <row r="435" spans="1:42" s="945" customFormat="1" ht="12.75" customHeight="1">
      <c r="A435" s="1062"/>
      <c r="B435" s="1025"/>
      <c r="C435" s="1644"/>
      <c r="D435" s="1108"/>
      <c r="E435" s="3031"/>
      <c r="F435" s="3031"/>
      <c r="G435" s="3031"/>
      <c r="H435" s="3031"/>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3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31"/>
      <c r="F436" s="3031"/>
      <c r="G436" s="3031"/>
      <c r="H436" s="3031"/>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3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31" t="s">
        <v>1716</v>
      </c>
      <c r="F438" s="3031"/>
      <c r="G438" s="3031"/>
      <c r="H438" s="3031"/>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31"/>
      <c r="AD438" s="929"/>
      <c r="AE438" s="929"/>
      <c r="AF438" s="3141" t="s">
        <v>1699</v>
      </c>
      <c r="AG438" s="3141"/>
      <c r="AH438" s="3141"/>
      <c r="AI438" s="3141"/>
      <c r="AJ438" s="3141"/>
      <c r="AK438" s="3141"/>
      <c r="AL438" s="3141"/>
      <c r="AM438" s="1067"/>
      <c r="AN438" s="1002"/>
    </row>
    <row r="439" spans="1:42" s="945" customFormat="1" ht="12.75" customHeight="1">
      <c r="A439" s="1601"/>
      <c r="B439" s="1008"/>
      <c r="C439" s="1641"/>
      <c r="D439" s="1108"/>
      <c r="E439" s="3031"/>
      <c r="F439" s="3031"/>
      <c r="G439" s="3031"/>
      <c r="H439" s="3031"/>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3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31"/>
      <c r="F440" s="3031"/>
      <c r="G440" s="3031"/>
      <c r="H440" s="3031"/>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3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31" t="s">
        <v>1717</v>
      </c>
      <c r="F442" s="3031"/>
      <c r="G442" s="3031"/>
      <c r="H442" s="3031"/>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31"/>
      <c r="AD442" s="929"/>
      <c r="AE442" s="929"/>
      <c r="AF442" s="3141" t="s">
        <v>1718</v>
      </c>
      <c r="AG442" s="3141"/>
      <c r="AH442" s="3141"/>
      <c r="AI442" s="3141"/>
      <c r="AJ442" s="3141"/>
      <c r="AK442" s="3141"/>
      <c r="AL442" s="3141"/>
      <c r="AM442" s="1067"/>
      <c r="AN442" s="1002"/>
      <c r="AO442" s="1120" t="s">
        <v>726</v>
      </c>
      <c r="AP442" s="945">
        <v>3</v>
      </c>
    </row>
    <row r="443" spans="1:42" s="945" customFormat="1" ht="12.75" customHeight="1">
      <c r="A443" s="1601"/>
      <c r="B443" s="1008"/>
      <c r="C443" s="1641"/>
      <c r="D443" s="1108"/>
      <c r="E443" s="3031"/>
      <c r="F443" s="3031"/>
      <c r="G443" s="3031"/>
      <c r="H443" s="3031"/>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31"/>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31"/>
      <c r="F444" s="3031"/>
      <c r="G444" s="3031"/>
      <c r="H444" s="3031"/>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3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28" t="s">
        <v>627</v>
      </c>
      <c r="I446" s="302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29">
        <f>VLOOKUP($H$446,$AO$394:$AP$401,2,FALSE)</f>
        <v>0</v>
      </c>
      <c r="AK448" s="303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31" t="s">
        <v>2203</v>
      </c>
      <c r="F452" s="3031"/>
      <c r="G452" s="3031"/>
      <c r="H452" s="3031"/>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929"/>
      <c r="AD452" s="929"/>
      <c r="AE452" s="932"/>
      <c r="AF452" s="3141" t="s">
        <v>1635</v>
      </c>
      <c r="AG452" s="3141"/>
      <c r="AH452" s="3141"/>
      <c r="AI452" s="3141"/>
      <c r="AJ452" s="3141"/>
      <c r="AK452" s="3141"/>
      <c r="AL452" s="3141"/>
      <c r="AM452" s="1028"/>
      <c r="AN452" s="1003"/>
    </row>
    <row r="453" spans="1:42" s="1004" customFormat="1" ht="12.75" customHeight="1">
      <c r="A453" s="1062"/>
      <c r="B453" s="1025"/>
      <c r="C453" s="1653"/>
      <c r="D453" s="1108"/>
      <c r="E453" s="3031"/>
      <c r="F453" s="3031"/>
      <c r="G453" s="3031"/>
      <c r="H453" s="3031"/>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929"/>
      <c r="AD453" s="929"/>
      <c r="AE453" s="1037"/>
      <c r="AF453" s="932"/>
      <c r="AG453" s="932"/>
      <c r="AH453" s="932"/>
      <c r="AI453" s="932"/>
      <c r="AJ453" s="932"/>
      <c r="AK453" s="932"/>
      <c r="AL453" s="932"/>
      <c r="AM453" s="1028"/>
      <c r="AN453" s="1003"/>
      <c r="AO453" s="3145"/>
      <c r="AP453" s="3145"/>
    </row>
    <row r="454" spans="1:42" s="1004" customFormat="1" ht="12.75" customHeight="1">
      <c r="A454" s="1062"/>
      <c r="B454" s="1025"/>
      <c r="C454" s="1653"/>
      <c r="D454" s="1108"/>
      <c r="E454" s="3031"/>
      <c r="F454" s="3031"/>
      <c r="G454" s="3031"/>
      <c r="H454" s="3031"/>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31"/>
      <c r="F455" s="3031"/>
      <c r="G455" s="3031"/>
      <c r="H455" s="3031"/>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31" t="s">
        <v>2205</v>
      </c>
      <c r="F457" s="3031"/>
      <c r="G457" s="3031"/>
      <c r="H457" s="3031"/>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929"/>
      <c r="AD457" s="929"/>
      <c r="AE457" s="929"/>
      <c r="AF457" s="3141" t="s">
        <v>1699</v>
      </c>
      <c r="AG457" s="3141"/>
      <c r="AH457" s="3141"/>
      <c r="AI457" s="3141"/>
      <c r="AJ457" s="3141"/>
      <c r="AK457" s="3141"/>
      <c r="AL457" s="3141"/>
      <c r="AM457" s="1028"/>
      <c r="AN457" s="1002"/>
      <c r="AO457" s="1120" t="s">
        <v>543</v>
      </c>
      <c r="AP457" s="945">
        <v>1</v>
      </c>
    </row>
    <row r="458" spans="1:42" s="945" customFormat="1" ht="12" customHeight="1">
      <c r="A458" s="1028"/>
      <c r="B458" s="929"/>
      <c r="C458" s="1661"/>
      <c r="D458" s="929"/>
      <c r="E458" s="3031"/>
      <c r="F458" s="3031"/>
      <c r="G458" s="3031"/>
      <c r="H458" s="3031"/>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31"/>
      <c r="F459" s="3031"/>
      <c r="G459" s="3031"/>
      <c r="H459" s="3031"/>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31"/>
      <c r="F460" s="3031"/>
      <c r="G460" s="3031"/>
      <c r="H460" s="3031"/>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31" t="s">
        <v>2204</v>
      </c>
      <c r="F462" s="3031"/>
      <c r="G462" s="3031"/>
      <c r="H462" s="3031"/>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31"/>
      <c r="F463" s="3031"/>
      <c r="G463" s="3031"/>
      <c r="H463" s="3031"/>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31"/>
      <c r="F464" s="3031"/>
      <c r="G464" s="3031"/>
      <c r="H464" s="3031"/>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28" t="s">
        <v>726</v>
      </c>
      <c r="I466" s="302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29">
        <f>VLOOKUP($H$466,$AO$413:$AP$415,2,FALSE)</f>
        <v>3</v>
      </c>
      <c r="AK468" s="3030"/>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43" t="s">
        <v>2209</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9"/>
      <c r="AD472" s="929"/>
      <c r="AE472" s="929"/>
      <c r="AF472" s="3141" t="s">
        <v>1635</v>
      </c>
      <c r="AG472" s="3141"/>
      <c r="AH472" s="3141"/>
      <c r="AI472" s="3141"/>
      <c r="AJ472" s="3141"/>
      <c r="AK472" s="3141"/>
      <c r="AL472" s="3141"/>
      <c r="AM472" s="1028"/>
      <c r="AN472" s="1135"/>
      <c r="AP472" s="1137" t="s">
        <v>1727</v>
      </c>
    </row>
    <row r="473" spans="1:43" s="1136" customFormat="1" ht="11.85" customHeight="1">
      <c r="A473" s="1062"/>
      <c r="B473" s="1025"/>
      <c r="C473" s="1643"/>
      <c r="D473" s="1108"/>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9"/>
      <c r="AD473" s="929"/>
      <c r="AE473" s="1025"/>
      <c r="AF473" s="929"/>
      <c r="AG473" s="929"/>
      <c r="AH473" s="929"/>
      <c r="AI473" s="929"/>
      <c r="AJ473" s="929"/>
      <c r="AK473" s="929"/>
      <c r="AL473" s="929"/>
      <c r="AM473" s="1028"/>
      <c r="AN473" s="1135"/>
      <c r="AP473" s="1137" t="s">
        <v>1728</v>
      </c>
    </row>
    <row r="474" spans="1:43" s="1136" customFormat="1" ht="14.1" customHeight="1">
      <c r="A474" s="1062"/>
      <c r="B474" s="1026"/>
      <c r="C474" s="1644"/>
      <c r="D474" s="1108"/>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9"/>
      <c r="AD474" s="929"/>
      <c r="AE474" s="1037"/>
      <c r="AF474" s="929"/>
      <c r="AG474" s="929"/>
      <c r="AH474" s="929"/>
      <c r="AI474" s="929"/>
      <c r="AJ474" s="929"/>
      <c r="AK474" s="929"/>
      <c r="AL474" s="929"/>
      <c r="AM474" s="1028"/>
      <c r="AN474" s="1135"/>
      <c r="AP474" s="1137" t="s">
        <v>1729</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4.1" customHeight="1">
      <c r="A476" s="1062"/>
      <c r="B476" s="1008"/>
      <c r="C476" s="1641"/>
      <c r="D476" s="1108" t="s">
        <v>543</v>
      </c>
      <c r="E476" s="3144" t="s">
        <v>1730</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9"/>
      <c r="AD476" s="929"/>
      <c r="AE476" s="929"/>
      <c r="AF476" s="3141" t="s">
        <v>1699</v>
      </c>
      <c r="AG476" s="3141"/>
      <c r="AH476" s="3141"/>
      <c r="AI476" s="3141"/>
      <c r="AJ476" s="3141"/>
      <c r="AK476" s="3141"/>
      <c r="AL476" s="3141"/>
      <c r="AM476" s="1028"/>
      <c r="AN476" s="1138"/>
    </row>
    <row r="477" spans="1:43" s="1136" customFormat="1" ht="12.75" customHeight="1">
      <c r="A477" s="1062"/>
      <c r="B477" s="1025"/>
      <c r="C477" s="1643"/>
      <c r="D477" s="1025"/>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1691</v>
      </c>
      <c r="E480" s="1647"/>
      <c r="F480" s="1647"/>
      <c r="G480" s="1647"/>
      <c r="H480" s="3028" t="s">
        <v>627</v>
      </c>
      <c r="I480" s="302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29">
        <f>VLOOKUP($H$480,$AO$413:$AP$415,2,FALSE)</f>
        <v>0</v>
      </c>
      <c r="AK482" s="3030"/>
      <c r="AL482" s="1007"/>
      <c r="AM482" s="1004"/>
      <c r="AN482" s="1140"/>
      <c r="AP482" s="3029"/>
      <c r="AQ482" s="303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31" t="s">
        <v>2210</v>
      </c>
      <c r="F486" s="3031"/>
      <c r="G486" s="3031"/>
      <c r="H486" s="3031"/>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929"/>
      <c r="AD486" s="929"/>
      <c r="AE486" s="929"/>
      <c r="AF486" s="3141" t="s">
        <v>1635</v>
      </c>
      <c r="AG486" s="3141"/>
      <c r="AH486" s="3141"/>
      <c r="AI486" s="3141"/>
      <c r="AJ486" s="3141"/>
      <c r="AK486" s="3141"/>
      <c r="AL486" s="3141"/>
      <c r="AM486" s="1028"/>
      <c r="AN486" s="1135"/>
      <c r="AT486" s="51"/>
      <c r="AU486" s="51"/>
      <c r="AV486" s="51"/>
      <c r="AW486" s="51"/>
      <c r="AX486" s="51"/>
      <c r="AY486" s="51"/>
      <c r="AZ486" s="51"/>
    </row>
    <row r="487" spans="1:81" s="1136" customFormat="1">
      <c r="A487" s="1062"/>
      <c r="B487" s="1025"/>
      <c r="C487" s="1643"/>
      <c r="D487" s="1108"/>
      <c r="E487" s="3031"/>
      <c r="F487" s="3031"/>
      <c r="G487" s="3031"/>
      <c r="H487" s="3031"/>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31" t="s">
        <v>1734</v>
      </c>
      <c r="F489" s="3031"/>
      <c r="G489" s="3031"/>
      <c r="H489" s="3031"/>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929"/>
      <c r="AD489" s="929"/>
      <c r="AE489" s="929"/>
      <c r="AF489" s="3141" t="s">
        <v>1699</v>
      </c>
      <c r="AG489" s="3141"/>
      <c r="AH489" s="3141"/>
      <c r="AI489" s="3141"/>
      <c r="AJ489" s="3141"/>
      <c r="AK489" s="3141"/>
      <c r="AL489" s="3141"/>
      <c r="AM489" s="1028"/>
      <c r="AN489" s="1135"/>
      <c r="AT489" s="51"/>
      <c r="AU489" s="51"/>
      <c r="AV489" s="51"/>
      <c r="AW489" s="51"/>
      <c r="AX489" s="51"/>
      <c r="AY489" s="51"/>
      <c r="AZ489" s="51"/>
    </row>
    <row r="490" spans="1:81" s="1136" customFormat="1">
      <c r="A490" s="1062"/>
      <c r="B490" s="1025"/>
      <c r="C490" s="1643"/>
      <c r="D490" s="1025"/>
      <c r="E490" s="3031"/>
      <c r="F490" s="3031"/>
      <c r="G490" s="3031"/>
      <c r="H490" s="3031"/>
      <c r="I490" s="3031"/>
      <c r="J490" s="3031"/>
      <c r="K490" s="3031"/>
      <c r="L490" s="3031"/>
      <c r="M490" s="3031"/>
      <c r="N490" s="3031"/>
      <c r="O490" s="3031"/>
      <c r="P490" s="3031"/>
      <c r="Q490" s="3031"/>
      <c r="R490" s="3031"/>
      <c r="S490" s="3031"/>
      <c r="T490" s="3031"/>
      <c r="U490" s="3031"/>
      <c r="V490" s="3031"/>
      <c r="W490" s="3031"/>
      <c r="X490" s="3031"/>
      <c r="Y490" s="3031"/>
      <c r="Z490" s="3031"/>
      <c r="AA490" s="3031"/>
      <c r="AB490" s="303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28" t="s">
        <v>627</v>
      </c>
      <c r="I492" s="302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29">
        <f>VLOOKUP($H$492,$AO$427:$AP$429,2,FALSE)</f>
        <v>0</v>
      </c>
      <c r="AK494" s="303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31" t="s">
        <v>1737</v>
      </c>
      <c r="F498" s="3031"/>
      <c r="G498" s="3031"/>
      <c r="H498" s="3031"/>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929"/>
      <c r="AD498" s="929"/>
      <c r="AE498" s="929"/>
      <c r="AF498" s="3141" t="s">
        <v>1635</v>
      </c>
      <c r="AG498" s="3141"/>
      <c r="AH498" s="3141"/>
      <c r="AI498" s="3141"/>
      <c r="AJ498" s="3141"/>
      <c r="AK498" s="3141"/>
      <c r="AL498" s="3141"/>
      <c r="AM498" s="1028"/>
      <c r="AN498" s="1135"/>
      <c r="AT498" s="51"/>
      <c r="AU498" s="51"/>
      <c r="AV498" s="51"/>
      <c r="AW498" s="51"/>
      <c r="AX498" s="51"/>
      <c r="AY498" s="51"/>
      <c r="AZ498" s="51"/>
    </row>
    <row r="499" spans="1:81" s="1136" customFormat="1">
      <c r="A499" s="1062"/>
      <c r="B499" s="929"/>
      <c r="C499" s="1641"/>
      <c r="D499" s="1108"/>
      <c r="E499" s="3031"/>
      <c r="F499" s="3031"/>
      <c r="G499" s="3031"/>
      <c r="H499" s="3031"/>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31"/>
      <c r="F500" s="3031"/>
      <c r="G500" s="3031"/>
      <c r="H500" s="3031"/>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31"/>
      <c r="F501" s="3031"/>
      <c r="G501" s="3031"/>
      <c r="H501" s="3031"/>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31" t="s">
        <v>1738</v>
      </c>
      <c r="F503" s="3031"/>
      <c r="G503" s="3031"/>
      <c r="H503" s="3031"/>
      <c r="I503" s="3031"/>
      <c r="J503" s="3031"/>
      <c r="K503" s="3031"/>
      <c r="L503" s="3031"/>
      <c r="M503" s="3031"/>
      <c r="N503" s="3031"/>
      <c r="O503" s="3031"/>
      <c r="P503" s="3031"/>
      <c r="Q503" s="3031"/>
      <c r="R503" s="3031"/>
      <c r="S503" s="3031"/>
      <c r="T503" s="3031"/>
      <c r="U503" s="3031"/>
      <c r="V503" s="3031"/>
      <c r="W503" s="3031"/>
      <c r="X503" s="3031"/>
      <c r="Y503" s="3031"/>
      <c r="Z503" s="3031"/>
      <c r="AA503" s="3031"/>
      <c r="AB503" s="971"/>
      <c r="AC503" s="929"/>
      <c r="AD503" s="929"/>
      <c r="AE503" s="929"/>
      <c r="AF503" s="3141" t="s">
        <v>1699</v>
      </c>
      <c r="AG503" s="3141"/>
      <c r="AH503" s="3141"/>
      <c r="AI503" s="3141"/>
      <c r="AJ503" s="3141"/>
      <c r="AK503" s="3141"/>
      <c r="AL503" s="3141"/>
      <c r="AM503" s="1028"/>
      <c r="AN503" s="1135"/>
      <c r="AO503" s="126"/>
      <c r="AP503" s="51"/>
    </row>
    <row r="504" spans="1:81" s="1136" customFormat="1">
      <c r="A504" s="1062"/>
      <c r="B504" s="1008"/>
      <c r="C504" s="1641"/>
      <c r="D504" s="1108"/>
      <c r="E504" s="3031"/>
      <c r="F504" s="3031"/>
      <c r="G504" s="3031"/>
      <c r="H504" s="3031"/>
      <c r="I504" s="3031"/>
      <c r="J504" s="3031"/>
      <c r="K504" s="3031"/>
      <c r="L504" s="3031"/>
      <c r="M504" s="3031"/>
      <c r="N504" s="3031"/>
      <c r="O504" s="3031"/>
      <c r="P504" s="3031"/>
      <c r="Q504" s="3031"/>
      <c r="R504" s="3031"/>
      <c r="S504" s="3031"/>
      <c r="T504" s="3031"/>
      <c r="U504" s="3031"/>
      <c r="V504" s="3031"/>
      <c r="W504" s="3031"/>
      <c r="X504" s="3031"/>
      <c r="Y504" s="3031"/>
      <c r="Z504" s="3031"/>
      <c r="AA504" s="303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31"/>
      <c r="F505" s="3031"/>
      <c r="G505" s="3031"/>
      <c r="H505" s="3031"/>
      <c r="I505" s="3031"/>
      <c r="J505" s="3031"/>
      <c r="K505" s="3031"/>
      <c r="L505" s="3031"/>
      <c r="M505" s="3031"/>
      <c r="N505" s="3031"/>
      <c r="O505" s="3031"/>
      <c r="P505" s="3031"/>
      <c r="Q505" s="3031"/>
      <c r="R505" s="3031"/>
      <c r="S505" s="3031"/>
      <c r="T505" s="3031"/>
      <c r="U505" s="3031"/>
      <c r="V505" s="3031"/>
      <c r="W505" s="3031"/>
      <c r="X505" s="3031"/>
      <c r="Y505" s="3031"/>
      <c r="Z505" s="3031"/>
      <c r="AA505" s="303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31"/>
      <c r="F506" s="3031"/>
      <c r="G506" s="3031"/>
      <c r="H506" s="3031"/>
      <c r="I506" s="3031"/>
      <c r="J506" s="3031"/>
      <c r="K506" s="3031"/>
      <c r="L506" s="3031"/>
      <c r="M506" s="3031"/>
      <c r="N506" s="3031"/>
      <c r="O506" s="3031"/>
      <c r="P506" s="3031"/>
      <c r="Q506" s="3031"/>
      <c r="R506" s="3031"/>
      <c r="S506" s="3031"/>
      <c r="T506" s="3031"/>
      <c r="U506" s="3031"/>
      <c r="V506" s="3031"/>
      <c r="W506" s="3031"/>
      <c r="X506" s="3031"/>
      <c r="Y506" s="3031"/>
      <c r="Z506" s="3031"/>
      <c r="AA506" s="303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28" t="s">
        <v>726</v>
      </c>
      <c r="I508" s="302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29">
        <f>VLOOKUP($H$508,$AO$441:$AP$443,2,FALSE)</f>
        <v>3</v>
      </c>
      <c r="AK510" s="303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31" t="s">
        <v>1740</v>
      </c>
      <c r="F514" s="3031"/>
      <c r="G514" s="3031"/>
      <c r="H514" s="3031"/>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929"/>
      <c r="AD514" s="929"/>
      <c r="AE514" s="929"/>
      <c r="AF514" s="3141" t="s">
        <v>1699</v>
      </c>
      <c r="AG514" s="3141"/>
      <c r="AH514" s="3141"/>
      <c r="AI514" s="3141"/>
      <c r="AJ514" s="3141"/>
      <c r="AK514" s="3141"/>
      <c r="AL514" s="314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31"/>
      <c r="F515" s="3031"/>
      <c r="G515" s="3031"/>
      <c r="H515" s="3031"/>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31" t="s">
        <v>1741</v>
      </c>
      <c r="F517" s="3031"/>
      <c r="G517" s="3031"/>
      <c r="H517" s="3031"/>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929"/>
      <c r="AD517" s="929"/>
      <c r="AE517" s="929"/>
      <c r="AF517" s="3141" t="s">
        <v>1718</v>
      </c>
      <c r="AG517" s="3141"/>
      <c r="AH517" s="3141"/>
      <c r="AI517" s="3141"/>
      <c r="AJ517" s="3141"/>
      <c r="AK517" s="3141"/>
      <c r="AL517" s="314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31"/>
      <c r="F518" s="3031"/>
      <c r="G518" s="3031"/>
      <c r="H518" s="3031"/>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28" t="s">
        <v>726</v>
      </c>
      <c r="I520" s="302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9">
        <f>VLOOKUP($H$520,$AO$455:$AP$457,2,FALSE)</f>
        <v>2</v>
      </c>
      <c r="AK522" s="303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31" t="s">
        <v>2202</v>
      </c>
      <c r="F526" s="3031"/>
      <c r="G526" s="3031"/>
      <c r="H526" s="3031"/>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31"/>
      <c r="AD526" s="3031"/>
      <c r="AE526" s="929"/>
      <c r="AF526" s="3141" t="s">
        <v>1699</v>
      </c>
      <c r="AG526" s="3141"/>
      <c r="AH526" s="3141"/>
      <c r="AI526" s="3141"/>
      <c r="AJ526" s="3141"/>
      <c r="AK526" s="3141"/>
      <c r="AL526" s="3141"/>
      <c r="AM526" s="1033"/>
      <c r="AN526" s="1135"/>
    </row>
    <row r="527" spans="1:74" s="1136" customFormat="1" ht="13.7" customHeight="1">
      <c r="A527" s="1062"/>
      <c r="B527" s="1037"/>
      <c r="C527" s="1653"/>
      <c r="D527" s="1108"/>
      <c r="E527" s="3031"/>
      <c r="F527" s="3031"/>
      <c r="G527" s="3031"/>
      <c r="H527" s="3031"/>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31"/>
      <c r="AD527" s="3031"/>
      <c r="AE527" s="929"/>
      <c r="AF527" s="1598"/>
      <c r="AG527" s="1598"/>
      <c r="AH527" s="1598"/>
      <c r="AI527" s="1598"/>
      <c r="AJ527" s="1598"/>
      <c r="AK527" s="1598"/>
      <c r="AL527" s="1598"/>
      <c r="AM527" s="1033"/>
      <c r="AN527" s="1135"/>
    </row>
    <row r="528" spans="1:74" s="1136" customFormat="1">
      <c r="A528" s="1062"/>
      <c r="B528" s="1037"/>
      <c r="C528" s="1653"/>
      <c r="D528" s="1108"/>
      <c r="E528" s="3031"/>
      <c r="F528" s="3031"/>
      <c r="G528" s="3031"/>
      <c r="H528" s="3031"/>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31"/>
      <c r="AD528" s="303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31"/>
      <c r="F529" s="3031"/>
      <c r="G529" s="3031"/>
      <c r="H529" s="3031"/>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31"/>
      <c r="AD529" s="303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42" t="s">
        <v>2211</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9"/>
      <c r="AF531" s="3141" t="s">
        <v>1635</v>
      </c>
      <c r="AG531" s="3141"/>
      <c r="AH531" s="3141"/>
      <c r="AI531" s="3141"/>
      <c r="AJ531" s="3141"/>
      <c r="AK531" s="3141"/>
      <c r="AL531" s="3141"/>
      <c r="AM531" s="1033"/>
      <c r="AN531" s="1002"/>
    </row>
    <row r="532" spans="1:81" s="945" customFormat="1" ht="12.75" customHeight="1">
      <c r="A532" s="1062"/>
      <c r="B532" s="1037"/>
      <c r="C532" s="1653"/>
      <c r="D532" s="1108"/>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28" t="s">
        <v>627</v>
      </c>
      <c r="I536" s="302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9">
        <f>VLOOKUP($H$536,$AP$477:$AQ$479,2,FALSE)</f>
        <v>0</v>
      </c>
      <c r="AK538" s="303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31" t="s">
        <v>2201</v>
      </c>
      <c r="F542" s="3031"/>
      <c r="G542" s="3031"/>
      <c r="H542" s="3031"/>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31"/>
      <c r="AD542" s="3031"/>
      <c r="AE542" s="929"/>
      <c r="AF542" s="3141" t="s">
        <v>1745</v>
      </c>
      <c r="AG542" s="3141"/>
      <c r="AH542" s="3141"/>
      <c r="AI542" s="3141"/>
      <c r="AJ542" s="3141"/>
      <c r="AK542" s="3141"/>
      <c r="AL542" s="314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31"/>
      <c r="F543" s="3031"/>
      <c r="G543" s="3031"/>
      <c r="H543" s="3031"/>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31"/>
      <c r="AD543" s="303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31"/>
      <c r="F544" s="3031"/>
      <c r="G544" s="3031"/>
      <c r="H544" s="3031"/>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31"/>
      <c r="AD544" s="303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31"/>
      <c r="F545" s="3031"/>
      <c r="G545" s="3031"/>
      <c r="H545" s="3031"/>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31"/>
      <c r="AD545" s="303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28" t="s">
        <v>579</v>
      </c>
      <c r="I547" s="302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9">
        <f>VLOOKUP($H$547,$AO$541:$AP$542,2,FALSE)</f>
        <v>8</v>
      </c>
      <c r="AK549" s="303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9">
        <f>IF(($AJ$382+$AJ$401+$AJ$413+$AJ$448+$AJ$468+$AJ$482+$AJ$494+$AJ$510+$AJ$522+$AJ$538+AJ549)&gt;10,10,($AJ$382+$AJ$401+$AJ$413+$AJ$448+$AJ$468+$AJ$482+$AJ$494+$AJ$510+$AJ$522+$AJ$538+AJ549))</f>
        <v>10</v>
      </c>
      <c r="AL551" s="3051"/>
      <c r="AM551" s="303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9">
        <f>IF((AK320+AK551)&gt;20,20,(AK320+AK551))</f>
        <v>20</v>
      </c>
      <c r="AL553" s="3051"/>
      <c r="AM553" s="303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5" t="s">
        <v>1597</v>
      </c>
      <c r="AF556" s="3105"/>
      <c r="AG556" s="3105"/>
      <c r="AH556" s="3105"/>
      <c r="AI556" s="3105"/>
      <c r="AJ556" s="3105"/>
      <c r="AK556" s="310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8" t="s">
        <v>1750</v>
      </c>
      <c r="D558" s="3018"/>
      <c r="E558" s="3018"/>
      <c r="F558" s="3018"/>
      <c r="G558" s="3018"/>
      <c r="H558" s="3018"/>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18"/>
      <c r="AD558" s="3018"/>
      <c r="AE558" s="3018"/>
      <c r="AF558" s="3018"/>
      <c r="AG558" s="3018"/>
      <c r="AH558" s="3018"/>
      <c r="AI558" s="3018"/>
      <c r="AJ558" s="3018"/>
      <c r="AK558" s="1029"/>
      <c r="AL558" s="1029"/>
      <c r="AM558" s="1029"/>
      <c r="AN558" s="1002"/>
    </row>
    <row r="559" spans="1:81" s="945" customFormat="1" ht="12.75" customHeight="1">
      <c r="A559" s="1029"/>
      <c r="B559" s="1030"/>
      <c r="C559" s="3018"/>
      <c r="D559" s="3018"/>
      <c r="E559" s="3018"/>
      <c r="F559" s="3018"/>
      <c r="G559" s="3018"/>
      <c r="H559" s="3018"/>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18"/>
      <c r="AD559" s="3018"/>
      <c r="AE559" s="3018"/>
      <c r="AF559" s="3018"/>
      <c r="AG559" s="3018"/>
      <c r="AH559" s="3018"/>
      <c r="AI559" s="3018"/>
      <c r="AJ559" s="3018"/>
      <c r="AK559" s="1029"/>
      <c r="AL559" s="1029"/>
      <c r="AM559" s="1029"/>
      <c r="AN559" s="1002"/>
    </row>
    <row r="560" spans="1:81" s="945" customFormat="1" ht="12.75" customHeight="1">
      <c r="A560" s="1029"/>
      <c r="B560" s="1030"/>
      <c r="C560" s="3018"/>
      <c r="D560" s="3018"/>
      <c r="E560" s="3018"/>
      <c r="F560" s="3018"/>
      <c r="G560" s="3018"/>
      <c r="H560" s="3018"/>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18"/>
      <c r="AD560" s="3018"/>
      <c r="AE560" s="3018"/>
      <c r="AF560" s="3018"/>
      <c r="AG560" s="3018"/>
      <c r="AH560" s="3018"/>
      <c r="AI560" s="3018"/>
      <c r="AJ560" s="3018"/>
      <c r="AK560" s="1029"/>
      <c r="AL560" s="1029"/>
      <c r="AM560" s="1029"/>
      <c r="AN560" s="1002"/>
      <c r="AQ560" s="1137"/>
      <c r="AR560" s="1004"/>
    </row>
    <row r="561" spans="1:46" s="945" customFormat="1" ht="12.75" customHeight="1">
      <c r="A561" s="1029"/>
      <c r="B561" s="1120"/>
      <c r="C561" s="3018"/>
      <c r="D561" s="3018"/>
      <c r="E561" s="3018"/>
      <c r="F561" s="3018"/>
      <c r="G561" s="3018"/>
      <c r="H561" s="3018"/>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18"/>
      <c r="AD561" s="3018"/>
      <c r="AE561" s="3018"/>
      <c r="AF561" s="3018"/>
      <c r="AG561" s="3018"/>
      <c r="AH561" s="3018"/>
      <c r="AI561" s="3018"/>
      <c r="AJ561" s="3018"/>
      <c r="AK561" s="1029"/>
      <c r="AL561" s="1029"/>
      <c r="AM561" s="1029"/>
      <c r="AN561" s="1002"/>
      <c r="AQ561" s="1137"/>
      <c r="AR561" s="1004"/>
    </row>
    <row r="562" spans="1:46" s="945" customFormat="1" ht="12.6" customHeight="1">
      <c r="A562" s="1029"/>
      <c r="B562" s="1120"/>
      <c r="C562" s="3018"/>
      <c r="D562" s="3018"/>
      <c r="E562" s="3018"/>
      <c r="F562" s="3018"/>
      <c r="G562" s="3018"/>
      <c r="H562" s="3018"/>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18"/>
      <c r="AD562" s="3018"/>
      <c r="AE562" s="3018"/>
      <c r="AF562" s="3018"/>
      <c r="AG562" s="3018"/>
      <c r="AH562" s="3018"/>
      <c r="AI562" s="3018"/>
      <c r="AJ562" s="3018"/>
      <c r="AK562" s="1029"/>
      <c r="AL562" s="1029"/>
      <c r="AM562" s="1029"/>
      <c r="AN562" s="1002"/>
      <c r="AQ562" s="1137"/>
      <c r="AR562" s="1137"/>
    </row>
    <row r="563" spans="1:46" s="945" customFormat="1" ht="24.95" customHeight="1">
      <c r="A563" s="1029"/>
      <c r="B563" s="1120"/>
      <c r="C563" s="3018" t="s">
        <v>1751</v>
      </c>
      <c r="D563" s="3018"/>
      <c r="E563" s="3018"/>
      <c r="F563" s="3018"/>
      <c r="G563" s="3018"/>
      <c r="H563" s="3018"/>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18"/>
      <c r="AD563" s="3018"/>
      <c r="AE563" s="3018"/>
      <c r="AF563" s="3018"/>
      <c r="AG563" s="3018"/>
      <c r="AH563" s="3018"/>
      <c r="AI563" s="3018"/>
      <c r="AJ563" s="3018"/>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8" t="s">
        <v>2458</v>
      </c>
      <c r="D565" s="3018"/>
      <c r="E565" s="3018"/>
      <c r="F565" s="3018"/>
      <c r="G565" s="3018"/>
      <c r="H565" s="3018"/>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18"/>
      <c r="AD565" s="3018"/>
      <c r="AE565" s="3018"/>
      <c r="AF565" s="3018"/>
      <c r="AG565" s="3018"/>
      <c r="AH565" s="3018"/>
      <c r="AI565" s="3018"/>
      <c r="AJ565" s="3018"/>
      <c r="AK565" s="1029"/>
      <c r="AL565" s="1029"/>
      <c r="AM565" s="1029"/>
      <c r="AN565" s="1002"/>
      <c r="AQ565" s="1137"/>
      <c r="AR565" s="1137"/>
    </row>
    <row r="566" spans="1:46" s="945" customFormat="1" ht="30" customHeight="1">
      <c r="A566" s="1029"/>
      <c r="B566" s="1120"/>
      <c r="C566" s="3018"/>
      <c r="D566" s="3018"/>
      <c r="E566" s="3018"/>
      <c r="F566" s="3018"/>
      <c r="G566" s="3018"/>
      <c r="H566" s="3018"/>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18"/>
      <c r="AD566" s="3018"/>
      <c r="AE566" s="3018"/>
      <c r="AF566" s="3018"/>
      <c r="AG566" s="3018"/>
      <c r="AH566" s="3018"/>
      <c r="AI566" s="3018"/>
      <c r="AJ566" s="3018"/>
      <c r="AK566" s="1029"/>
      <c r="AL566" s="1029"/>
      <c r="AM566" s="1029"/>
      <c r="AN566" s="1002"/>
      <c r="AQ566" s="1004"/>
      <c r="AR566" s="1137"/>
    </row>
    <row r="567" spans="1:46" s="945" customFormat="1" ht="12.75" customHeight="1">
      <c r="A567" s="1029"/>
      <c r="B567" s="1120"/>
      <c r="C567" s="3018"/>
      <c r="D567" s="3018"/>
      <c r="E567" s="3018"/>
      <c r="F567" s="3018"/>
      <c r="G567" s="3018"/>
      <c r="H567" s="3018"/>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18"/>
      <c r="AD567" s="3018"/>
      <c r="AE567" s="3018"/>
      <c r="AF567" s="3018"/>
      <c r="AG567" s="3018"/>
      <c r="AH567" s="3018"/>
      <c r="AI567" s="3018"/>
      <c r="AJ567" s="3018"/>
      <c r="AK567" s="1029"/>
      <c r="AL567" s="1029"/>
      <c r="AM567" s="1029"/>
      <c r="AN567" s="1002"/>
      <c r="AQ567" s="1004"/>
      <c r="AR567" s="1137"/>
    </row>
    <row r="568" spans="1:46" s="945" customFormat="1" ht="12.75" customHeight="1">
      <c r="A568" s="1029"/>
      <c r="B568" s="1120"/>
      <c r="C568" s="3018" t="s">
        <v>1752</v>
      </c>
      <c r="D568" s="3018"/>
      <c r="E568" s="3018"/>
      <c r="F568" s="3018"/>
      <c r="G568" s="3018"/>
      <c r="H568" s="3018"/>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18"/>
      <c r="AD568" s="3018"/>
      <c r="AE568" s="3018"/>
      <c r="AF568" s="3018"/>
      <c r="AG568" s="3018"/>
      <c r="AH568" s="3018"/>
      <c r="AI568" s="3018"/>
      <c r="AJ568" s="3018"/>
      <c r="AK568" s="1029"/>
      <c r="AL568" s="1029"/>
      <c r="AM568" s="1029"/>
      <c r="AN568" s="1002"/>
      <c r="AQ568" s="1137"/>
      <c r="AR568" s="1137"/>
    </row>
    <row r="569" spans="1:46" s="945" customFormat="1" ht="12.75" customHeight="1">
      <c r="A569" s="1029"/>
      <c r="B569" s="1120"/>
      <c r="C569" s="3018"/>
      <c r="D569" s="3018"/>
      <c r="E569" s="3018"/>
      <c r="F569" s="3018"/>
      <c r="G569" s="3018"/>
      <c r="H569" s="3018"/>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18"/>
      <c r="AD569" s="3018"/>
      <c r="AE569" s="3018"/>
      <c r="AF569" s="3018"/>
      <c r="AG569" s="3018"/>
      <c r="AH569" s="3018"/>
      <c r="AI569" s="3018"/>
      <c r="AJ569" s="3018"/>
      <c r="AK569" s="1029"/>
      <c r="AL569" s="1029"/>
      <c r="AM569" s="1029"/>
      <c r="AN569" s="1002"/>
      <c r="AQ569" s="1137"/>
      <c r="AR569" s="1137"/>
    </row>
    <row r="570" spans="1:46" s="945" customFormat="1" ht="13.35" customHeight="1">
      <c r="A570" s="1029"/>
      <c r="B570" s="1120"/>
      <c r="C570" s="3018"/>
      <c r="D570" s="3018"/>
      <c r="E570" s="3018"/>
      <c r="F570" s="3018"/>
      <c r="G570" s="3018"/>
      <c r="H570" s="3018"/>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18"/>
      <c r="AD570" s="3018"/>
      <c r="AE570" s="3018"/>
      <c r="AF570" s="3018"/>
      <c r="AG570" s="3018"/>
      <c r="AH570" s="3018"/>
      <c r="AI570" s="3018"/>
      <c r="AJ570" s="3018"/>
      <c r="AK570" s="1029"/>
      <c r="AL570" s="1029"/>
      <c r="AM570" s="1029"/>
      <c r="AN570" s="1002"/>
      <c r="AQ570" s="1137"/>
      <c r="AR570" s="1137"/>
    </row>
    <row r="571" spans="1:46" s="945" customFormat="1" ht="12.75" customHeight="1">
      <c r="A571" s="1029"/>
      <c r="B571" s="1120"/>
      <c r="C571" s="3018"/>
      <c r="D571" s="3018"/>
      <c r="E571" s="3018"/>
      <c r="F571" s="3018"/>
      <c r="G571" s="3018"/>
      <c r="H571" s="3018"/>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18"/>
      <c r="AD571" s="3018"/>
      <c r="AE571" s="3018"/>
      <c r="AF571" s="3018"/>
      <c r="AG571" s="3018"/>
      <c r="AH571" s="3018"/>
      <c r="AI571" s="3018"/>
      <c r="AJ571" s="3018"/>
      <c r="AK571" s="1029"/>
      <c r="AL571" s="1029"/>
      <c r="AM571" s="1029"/>
      <c r="AN571" s="1002"/>
      <c r="AO571" s="1152"/>
      <c r="AP571" s="1152"/>
      <c r="AQ571" s="1137"/>
      <c r="AR571" s="1004"/>
    </row>
    <row r="572" spans="1:46" s="945" customFormat="1" ht="11.85" customHeight="1">
      <c r="A572" s="1029"/>
      <c r="B572" s="1120"/>
      <c r="C572" s="3018"/>
      <c r="D572" s="3018"/>
      <c r="E572" s="3018"/>
      <c r="F572" s="3018"/>
      <c r="G572" s="3018"/>
      <c r="H572" s="3018"/>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18"/>
      <c r="AD572" s="3018"/>
      <c r="AE572" s="3018"/>
      <c r="AF572" s="3018"/>
      <c r="AG572" s="3018"/>
      <c r="AH572" s="3018"/>
      <c r="AI572" s="3018"/>
      <c r="AJ572" s="3018"/>
      <c r="AK572" s="1029"/>
      <c r="AL572" s="1029"/>
      <c r="AM572" s="1029"/>
      <c r="AN572" s="1002"/>
      <c r="AO572" s="1153" t="s">
        <v>117</v>
      </c>
      <c r="AP572" s="1154">
        <f>IF(C596="Yes",5,0)</f>
        <v>5</v>
      </c>
      <c r="AQ572" s="1004"/>
      <c r="AR572" s="1004"/>
      <c r="AS572" s="934" t="s">
        <v>1753</v>
      </c>
    </row>
    <row r="573" spans="1:46" s="945" customFormat="1" ht="12.75" customHeight="1">
      <c r="A573" s="1029"/>
      <c r="B573" s="1120"/>
      <c r="C573" s="3018"/>
      <c r="D573" s="3018"/>
      <c r="E573" s="3018"/>
      <c r="F573" s="3018"/>
      <c r="G573" s="3018"/>
      <c r="H573" s="3018"/>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18"/>
      <c r="AD573" s="3018"/>
      <c r="AE573" s="3018"/>
      <c r="AF573" s="3018"/>
      <c r="AG573" s="3018"/>
      <c r="AH573" s="3018"/>
      <c r="AI573" s="3018"/>
      <c r="AJ573" s="3018"/>
      <c r="AK573" s="1029"/>
      <c r="AL573" s="1029"/>
      <c r="AM573" s="1029"/>
      <c r="AN573" s="1002"/>
      <c r="AO573" s="1153" t="s">
        <v>118</v>
      </c>
      <c r="AP573" s="1154">
        <f>IF(C604="Yes",5,0)</f>
        <v>0</v>
      </c>
      <c r="AQ573" s="1004"/>
      <c r="AR573" s="1004"/>
      <c r="AS573" s="3139">
        <f>IF(AQ581=0,AQ590,AQ581)</f>
        <v>10</v>
      </c>
      <c r="AT573" s="3139"/>
    </row>
    <row r="574" spans="1:46" s="945" customFormat="1" ht="12.75" customHeight="1">
      <c r="A574" s="1029"/>
      <c r="B574" s="1120"/>
      <c r="C574" s="3018"/>
      <c r="D574" s="3018"/>
      <c r="E574" s="3018"/>
      <c r="F574" s="3018"/>
      <c r="G574" s="3018"/>
      <c r="H574" s="3018"/>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18"/>
      <c r="AD574" s="3018"/>
      <c r="AE574" s="3018"/>
      <c r="AF574" s="3018"/>
      <c r="AG574" s="3018"/>
      <c r="AH574" s="3018"/>
      <c r="AI574" s="3018"/>
      <c r="AJ574" s="3018"/>
      <c r="AK574" s="1029"/>
      <c r="AL574" s="1029"/>
      <c r="AM574" s="1029"/>
      <c r="AN574" s="1002"/>
      <c r="AO574" s="1153" t="s">
        <v>124</v>
      </c>
      <c r="AP574" s="1154">
        <f>IF(C612="Yes",7,0)</f>
        <v>0</v>
      </c>
      <c r="AS574" s="934" t="s">
        <v>1754</v>
      </c>
    </row>
    <row r="575" spans="1:46" s="945" customFormat="1" ht="12.75" customHeight="1">
      <c r="A575" s="1029"/>
      <c r="B575" s="1120"/>
      <c r="C575" s="3018"/>
      <c r="D575" s="3018"/>
      <c r="E575" s="3018"/>
      <c r="F575" s="3018"/>
      <c r="G575" s="3018"/>
      <c r="H575" s="3018"/>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18"/>
      <c r="AD575" s="3018"/>
      <c r="AE575" s="3018"/>
      <c r="AF575" s="3018"/>
      <c r="AG575" s="3018"/>
      <c r="AH575" s="3018"/>
      <c r="AI575" s="3018"/>
      <c r="AJ575" s="3018"/>
      <c r="AK575" s="1029"/>
      <c r="AL575" s="1029"/>
      <c r="AM575" s="1029"/>
      <c r="AN575" s="1002"/>
      <c r="AO575" s="1002"/>
      <c r="AP575" s="1154">
        <f>IF(C614="Yes",5,0)</f>
        <v>5</v>
      </c>
      <c r="AS575" s="3139">
        <f>IF(AND(AQ581&gt;0,AQ590&gt;0),(AQ581+AQ590)/2,0)</f>
        <v>0</v>
      </c>
      <c r="AT575" s="3139"/>
    </row>
    <row r="576" spans="1:46" s="945" customFormat="1" ht="12.75" customHeight="1">
      <c r="A576" s="1029"/>
      <c r="B576" s="1120"/>
      <c r="C576" s="3018"/>
      <c r="D576" s="3018"/>
      <c r="E576" s="3018"/>
      <c r="F576" s="3018"/>
      <c r="G576" s="3018"/>
      <c r="H576" s="3018"/>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18"/>
      <c r="AD576" s="3018"/>
      <c r="AE576" s="3018"/>
      <c r="AF576" s="3018"/>
      <c r="AG576" s="3018"/>
      <c r="AH576" s="3018"/>
      <c r="AI576" s="3018"/>
      <c r="AJ576" s="3018"/>
      <c r="AK576" s="1029"/>
      <c r="AL576" s="1029"/>
      <c r="AM576" s="1029"/>
      <c r="AN576" s="1002"/>
      <c r="AO576" s="1153" t="s">
        <v>617</v>
      </c>
      <c r="AP576" s="1154">
        <f>IF(C622="Yes",5,0)</f>
        <v>0</v>
      </c>
      <c r="AQ576" s="1004"/>
      <c r="AR576" s="1004"/>
    </row>
    <row r="577" spans="1:81" s="945" customFormat="1" ht="12.75" customHeight="1">
      <c r="A577" s="1029"/>
      <c r="B577" s="1120"/>
      <c r="C577" s="3140" t="s">
        <v>1755</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9"/>
      <c r="AL577" s="1029"/>
      <c r="AM577" s="1029"/>
      <c r="AN577" s="1002"/>
      <c r="AO577" s="1002"/>
      <c r="AP577" s="1154">
        <f>IF(C624="Yes",3,0)</f>
        <v>0</v>
      </c>
    </row>
    <row r="578" spans="1:81" s="945" customFormat="1" ht="12.75" customHeight="1">
      <c r="A578" s="1029"/>
      <c r="B578" s="1120"/>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9"/>
      <c r="AL578" s="1029"/>
      <c r="AM578" s="1029"/>
      <c r="AN578" s="1002"/>
      <c r="AO578" s="1153" t="s">
        <v>824</v>
      </c>
      <c r="AP578" s="1154">
        <f>IF(C627="Yes",5,0)</f>
        <v>0</v>
      </c>
    </row>
    <row r="579" spans="1:81" s="945" customFormat="1" ht="12.75" customHeight="1">
      <c r="A579" s="1029"/>
      <c r="B579" s="1120"/>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9"/>
      <c r="AL579" s="1029"/>
      <c r="AM579" s="1029"/>
      <c r="AN579" s="1002"/>
      <c r="AO579" s="1153" t="s">
        <v>620</v>
      </c>
      <c r="AP579" s="1154">
        <f>IF(C636="Yes",5,0)</f>
        <v>0</v>
      </c>
    </row>
    <row r="580" spans="1:81" s="945" customFormat="1" ht="11.85" customHeight="1">
      <c r="A580" s="1029"/>
      <c r="B580" s="1120"/>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9"/>
      <c r="AL580" s="1029"/>
      <c r="AM580" s="1029"/>
      <c r="AN580" s="1002"/>
      <c r="AO580" s="1155"/>
      <c r="AP580" s="1156">
        <f>IF(C638="Yes",3,0)</f>
        <v>0</v>
      </c>
    </row>
    <row r="581" spans="1:81" s="945" customFormat="1" ht="12.6" customHeight="1">
      <c r="A581" s="1029"/>
      <c r="B581" s="1120"/>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9"/>
      <c r="AL581" s="1029"/>
      <c r="AM581" s="1029"/>
      <c r="AN581" s="1002"/>
      <c r="AO581" s="1157" t="s">
        <v>233</v>
      </c>
      <c r="AP581" s="1158">
        <f>SUM(AP572:AP580)</f>
        <v>10</v>
      </c>
      <c r="AQ581" s="3021">
        <f>IF(AP581&gt;0,AP581,0)</f>
        <v>10</v>
      </c>
      <c r="AR581" s="3021"/>
    </row>
    <row r="582" spans="1:81" s="945" customFormat="1" ht="12.75" customHeight="1">
      <c r="A582" s="1029"/>
      <c r="B582" s="1120"/>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18" t="s">
        <v>1756</v>
      </c>
      <c r="D584" s="3018"/>
      <c r="E584" s="3018"/>
      <c r="F584" s="3018"/>
      <c r="G584" s="3018"/>
      <c r="H584" s="3018"/>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18"/>
      <c r="AD584" s="3018"/>
      <c r="AE584" s="3018"/>
      <c r="AF584" s="3018"/>
      <c r="AG584" s="3018"/>
      <c r="AH584" s="3018"/>
      <c r="AI584" s="3018"/>
      <c r="AJ584" s="3018"/>
      <c r="AK584" s="1029"/>
      <c r="AL584" s="1029"/>
      <c r="AM584" s="1029"/>
      <c r="AN584" s="1002"/>
      <c r="AO584" s="1153" t="s">
        <v>489</v>
      </c>
      <c r="AP584" s="1154">
        <f>IF(C657="Yes",5,0)</f>
        <v>0</v>
      </c>
    </row>
    <row r="585" spans="1:81" s="945" customFormat="1" ht="12.75" customHeight="1">
      <c r="A585" s="1029"/>
      <c r="B585" s="1120"/>
      <c r="C585" s="3018"/>
      <c r="D585" s="3018"/>
      <c r="E585" s="3018"/>
      <c r="F585" s="3018"/>
      <c r="G585" s="3018"/>
      <c r="H585" s="3018"/>
      <c r="I585" s="3018"/>
      <c r="J585" s="3018"/>
      <c r="K585" s="3018"/>
      <c r="L585" s="3018"/>
      <c r="M585" s="3018"/>
      <c r="N585" s="3018"/>
      <c r="O585" s="3018"/>
      <c r="P585" s="3018"/>
      <c r="Q585" s="3018"/>
      <c r="R585" s="3018"/>
      <c r="S585" s="3018"/>
      <c r="T585" s="3018"/>
      <c r="U585" s="3018"/>
      <c r="V585" s="3018"/>
      <c r="W585" s="3018"/>
      <c r="X585" s="3018"/>
      <c r="Y585" s="3018"/>
      <c r="Z585" s="3018"/>
      <c r="AA585" s="3018"/>
      <c r="AB585" s="3018"/>
      <c r="AC585" s="3018"/>
      <c r="AD585" s="3018"/>
      <c r="AE585" s="3018"/>
      <c r="AF585" s="3018"/>
      <c r="AG585" s="3018"/>
      <c r="AH585" s="3018"/>
      <c r="AI585" s="3018"/>
      <c r="AJ585" s="3018"/>
      <c r="AK585" s="1029"/>
      <c r="AL585" s="1029"/>
      <c r="AM585" s="1029"/>
      <c r="AN585" s="1002"/>
      <c r="AO585" s="1153" t="s">
        <v>495</v>
      </c>
      <c r="AP585" s="1154">
        <f>IF(C664="Yes",5,0)</f>
        <v>0</v>
      </c>
    </row>
    <row r="586" spans="1:81" s="945" customFormat="1" ht="68.099999999999994" customHeight="1">
      <c r="A586" s="1029"/>
      <c r="B586" s="1120"/>
      <c r="C586" s="3018"/>
      <c r="D586" s="3018"/>
      <c r="E586" s="3018"/>
      <c r="F586" s="3018"/>
      <c r="G586" s="3018"/>
      <c r="H586" s="3018"/>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18"/>
      <c r="AD586" s="3018"/>
      <c r="AE586" s="3018"/>
      <c r="AF586" s="3018"/>
      <c r="AG586" s="3018"/>
      <c r="AH586" s="3018"/>
      <c r="AI586" s="3018"/>
      <c r="AJ586" s="3018"/>
      <c r="AK586" s="1029"/>
      <c r="AL586" s="1029"/>
      <c r="AM586" s="1029"/>
      <c r="AN586" s="1002"/>
      <c r="AO586" s="1153" t="s">
        <v>682</v>
      </c>
      <c r="AP586" s="1160">
        <f>IF(C668="Yes",5,0)</f>
        <v>0</v>
      </c>
      <c r="AQ586" s="1004"/>
      <c r="AR586" s="1004"/>
    </row>
    <row r="587" spans="1:81" s="945" customFormat="1" ht="12.6"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9">
        <f>'Service Amenities Budget'!J10</f>
        <v>117</v>
      </c>
      <c r="V588" s="3019"/>
      <c r="W588" s="3019"/>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20">
        <f>'Service Amenities Budget'!J9</f>
        <v>0</v>
      </c>
      <c r="V589" s="3020"/>
      <c r="W589" s="302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21">
        <f>IF(AP590&gt;0,AP590,0)</f>
        <v>0</v>
      </c>
      <c r="AR590" s="3021"/>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22" t="s">
        <v>1761</v>
      </c>
      <c r="G592" s="3022"/>
      <c r="H592" s="3022"/>
      <c r="I592" s="3022"/>
      <c r="J592" s="3022"/>
      <c r="K592" s="3022"/>
      <c r="L592" s="3022"/>
      <c r="M592" s="3022"/>
      <c r="N592" s="3022"/>
      <c r="O592" s="3022"/>
      <c r="P592" s="3022"/>
      <c r="Q592" s="3022"/>
      <c r="R592" s="3022"/>
      <c r="S592" s="3022"/>
      <c r="T592" s="3022"/>
      <c r="U592" s="3022"/>
      <c r="V592" s="3022"/>
      <c r="W592" s="3022"/>
      <c r="X592" s="3022"/>
      <c r="Y592" s="3022"/>
      <c r="Z592" s="3022"/>
      <c r="AA592" s="3022"/>
      <c r="AB592" s="3022"/>
      <c r="AC592" s="3022"/>
      <c r="AD592" s="3022"/>
      <c r="AE592" s="3022"/>
      <c r="AF592" s="302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3"/>
      <c r="G593" s="3023"/>
      <c r="H593" s="3023"/>
      <c r="I593" s="3023"/>
      <c r="J593" s="3023"/>
      <c r="K593" s="3023"/>
      <c r="L593" s="3023"/>
      <c r="M593" s="3023"/>
      <c r="N593" s="3023"/>
      <c r="O593" s="3023"/>
      <c r="P593" s="3023"/>
      <c r="Q593" s="3023"/>
      <c r="R593" s="3023"/>
      <c r="S593" s="3023"/>
      <c r="T593" s="3023"/>
      <c r="U593" s="3023"/>
      <c r="V593" s="3023"/>
      <c r="W593" s="3023"/>
      <c r="X593" s="3023"/>
      <c r="Y593" s="3023"/>
      <c r="Z593" s="3023"/>
      <c r="AA593" s="3023"/>
      <c r="AB593" s="3023"/>
      <c r="AC593" s="3023"/>
      <c r="AD593" s="3023"/>
      <c r="AE593" s="3023"/>
      <c r="AF593" s="302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3"/>
      <c r="G594" s="3023"/>
      <c r="H594" s="3023"/>
      <c r="I594" s="3023"/>
      <c r="J594" s="3023"/>
      <c r="K594" s="3023"/>
      <c r="L594" s="3023"/>
      <c r="M594" s="3023"/>
      <c r="N594" s="3023"/>
      <c r="O594" s="3023"/>
      <c r="P594" s="3023"/>
      <c r="Q594" s="3023"/>
      <c r="R594" s="3023"/>
      <c r="S594" s="3023"/>
      <c r="T594" s="3023"/>
      <c r="U594" s="3023"/>
      <c r="V594" s="3023"/>
      <c r="W594" s="3023"/>
      <c r="X594" s="3023"/>
      <c r="Y594" s="3023"/>
      <c r="Z594" s="3023"/>
      <c r="AA594" s="3023"/>
      <c r="AB594" s="3023"/>
      <c r="AC594" s="3023"/>
      <c r="AD594" s="3023"/>
      <c r="AE594" s="3023"/>
      <c r="AF594" s="302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3"/>
      <c r="G595" s="3023"/>
      <c r="H595" s="3023"/>
      <c r="I595" s="3023"/>
      <c r="J595" s="3023"/>
      <c r="K595" s="3023"/>
      <c r="L595" s="3023"/>
      <c r="M595" s="3023"/>
      <c r="N595" s="3023"/>
      <c r="O595" s="3023"/>
      <c r="P595" s="3023"/>
      <c r="Q595" s="3023"/>
      <c r="R595" s="3023"/>
      <c r="S595" s="3023"/>
      <c r="T595" s="3023"/>
      <c r="U595" s="3023"/>
      <c r="V595" s="3023"/>
      <c r="W595" s="3023"/>
      <c r="X595" s="3023"/>
      <c r="Y595" s="3023"/>
      <c r="Z595" s="3023"/>
      <c r="AA595" s="3023"/>
      <c r="AB595" s="3023"/>
      <c r="AC595" s="3023"/>
      <c r="AD595" s="3023"/>
      <c r="AE595" s="3023"/>
      <c r="AF595" s="302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4" t="s">
        <v>579</v>
      </c>
      <c r="D596" s="3025"/>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6" t="s">
        <v>1763</v>
      </c>
      <c r="AG596" s="3026"/>
      <c r="AH596" s="3026"/>
      <c r="AI596" s="3026"/>
      <c r="AJ596" s="3026"/>
      <c r="AK596" s="3026"/>
      <c r="AL596" s="302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22" t="s">
        <v>1764</v>
      </c>
      <c r="G599" s="3022"/>
      <c r="H599" s="3022"/>
      <c r="I599" s="3022"/>
      <c r="J599" s="3022"/>
      <c r="K599" s="3022"/>
      <c r="L599" s="3022"/>
      <c r="M599" s="3022"/>
      <c r="N599" s="3022"/>
      <c r="O599" s="3022"/>
      <c r="P599" s="3022"/>
      <c r="Q599" s="3022"/>
      <c r="R599" s="3022"/>
      <c r="S599" s="3022"/>
      <c r="T599" s="3022"/>
      <c r="U599" s="3022"/>
      <c r="V599" s="3022"/>
      <c r="W599" s="3022"/>
      <c r="X599" s="3022"/>
      <c r="Y599" s="3022"/>
      <c r="Z599" s="3022"/>
      <c r="AA599" s="3022"/>
      <c r="AB599" s="3022"/>
      <c r="AC599" s="3022"/>
      <c r="AD599" s="3022"/>
      <c r="AE599" s="3022"/>
      <c r="AF599" s="302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3"/>
      <c r="G600" s="3023"/>
      <c r="H600" s="3023"/>
      <c r="I600" s="3023"/>
      <c r="J600" s="3023"/>
      <c r="K600" s="3023"/>
      <c r="L600" s="3023"/>
      <c r="M600" s="3023"/>
      <c r="N600" s="3023"/>
      <c r="O600" s="3023"/>
      <c r="P600" s="3023"/>
      <c r="Q600" s="3023"/>
      <c r="R600" s="3023"/>
      <c r="S600" s="3023"/>
      <c r="T600" s="3023"/>
      <c r="U600" s="3023"/>
      <c r="V600" s="3023"/>
      <c r="W600" s="3023"/>
      <c r="X600" s="3023"/>
      <c r="Y600" s="3023"/>
      <c r="Z600" s="3023"/>
      <c r="AA600" s="3023"/>
      <c r="AB600" s="3023"/>
      <c r="AC600" s="3023"/>
      <c r="AD600" s="3023"/>
      <c r="AE600" s="3023"/>
      <c r="AF600" s="302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3"/>
      <c r="G601" s="3023"/>
      <c r="H601" s="3023"/>
      <c r="I601" s="3023"/>
      <c r="J601" s="3023"/>
      <c r="K601" s="3023"/>
      <c r="L601" s="3023"/>
      <c r="M601" s="3023"/>
      <c r="N601" s="3023"/>
      <c r="O601" s="3023"/>
      <c r="P601" s="3023"/>
      <c r="Q601" s="3023"/>
      <c r="R601" s="3023"/>
      <c r="S601" s="3023"/>
      <c r="T601" s="3023"/>
      <c r="U601" s="3023"/>
      <c r="V601" s="3023"/>
      <c r="W601" s="3023"/>
      <c r="X601" s="3023"/>
      <c r="Y601" s="3023"/>
      <c r="Z601" s="3023"/>
      <c r="AA601" s="3023"/>
      <c r="AB601" s="3023"/>
      <c r="AC601" s="3023"/>
      <c r="AD601" s="3023"/>
      <c r="AE601" s="3023"/>
      <c r="AF601" s="302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3"/>
      <c r="G602" s="3023"/>
      <c r="H602" s="3023"/>
      <c r="I602" s="3023"/>
      <c r="J602" s="3023"/>
      <c r="K602" s="3023"/>
      <c r="L602" s="3023"/>
      <c r="M602" s="3023"/>
      <c r="N602" s="3023"/>
      <c r="O602" s="3023"/>
      <c r="P602" s="3023"/>
      <c r="Q602" s="3023"/>
      <c r="R602" s="3023"/>
      <c r="S602" s="3023"/>
      <c r="T602" s="3023"/>
      <c r="U602" s="3023"/>
      <c r="V602" s="3023"/>
      <c r="W602" s="3023"/>
      <c r="X602" s="3023"/>
      <c r="Y602" s="3023"/>
      <c r="Z602" s="3023"/>
      <c r="AA602" s="3023"/>
      <c r="AB602" s="3023"/>
      <c r="AC602" s="3023"/>
      <c r="AD602" s="3023"/>
      <c r="AE602" s="3023"/>
      <c r="AF602" s="302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3"/>
      <c r="G603" s="3023"/>
      <c r="H603" s="3023"/>
      <c r="I603" s="3023"/>
      <c r="J603" s="3023"/>
      <c r="K603" s="3023"/>
      <c r="L603" s="3023"/>
      <c r="M603" s="3023"/>
      <c r="N603" s="3023"/>
      <c r="O603" s="3023"/>
      <c r="P603" s="3023"/>
      <c r="Q603" s="3023"/>
      <c r="R603" s="3023"/>
      <c r="S603" s="3023"/>
      <c r="T603" s="3023"/>
      <c r="U603" s="3023"/>
      <c r="V603" s="3023"/>
      <c r="W603" s="3023"/>
      <c r="X603" s="3023"/>
      <c r="Y603" s="3023"/>
      <c r="Z603" s="3023"/>
      <c r="AA603" s="3023"/>
      <c r="AB603" s="3023"/>
      <c r="AC603" s="3023"/>
      <c r="AD603" s="3023"/>
      <c r="AE603" s="3023"/>
      <c r="AF603" s="302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4" t="s">
        <v>627</v>
      </c>
      <c r="D604" s="3025"/>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6" t="s">
        <v>1763</v>
      </c>
      <c r="AG604" s="3026"/>
      <c r="AH604" s="3026"/>
      <c r="AI604" s="3026"/>
      <c r="AJ604" s="3026"/>
      <c r="AK604" s="3026"/>
      <c r="AL604" s="302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22" t="s">
        <v>1766</v>
      </c>
      <c r="G607" s="3022"/>
      <c r="H607" s="3022"/>
      <c r="I607" s="3022"/>
      <c r="J607" s="3022"/>
      <c r="K607" s="3022"/>
      <c r="L607" s="3022"/>
      <c r="M607" s="3022"/>
      <c r="N607" s="3022"/>
      <c r="O607" s="3022"/>
      <c r="P607" s="3022"/>
      <c r="Q607" s="3022"/>
      <c r="R607" s="3022"/>
      <c r="S607" s="3022"/>
      <c r="T607" s="3022"/>
      <c r="U607" s="3022"/>
      <c r="V607" s="3022"/>
      <c r="W607" s="3022"/>
      <c r="X607" s="3022"/>
      <c r="Y607" s="3022"/>
      <c r="Z607" s="3022"/>
      <c r="AA607" s="3022"/>
      <c r="AB607" s="3022"/>
      <c r="AC607" s="3022"/>
      <c r="AD607" s="3022"/>
      <c r="AE607" s="3022"/>
      <c r="AF607" s="302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3"/>
      <c r="G608" s="3023"/>
      <c r="H608" s="3023"/>
      <c r="I608" s="3023"/>
      <c r="J608" s="3023"/>
      <c r="K608" s="3023"/>
      <c r="L608" s="3023"/>
      <c r="M608" s="3023"/>
      <c r="N608" s="3023"/>
      <c r="O608" s="3023"/>
      <c r="P608" s="3023"/>
      <c r="Q608" s="3023"/>
      <c r="R608" s="3023"/>
      <c r="S608" s="3023"/>
      <c r="T608" s="3023"/>
      <c r="U608" s="3023"/>
      <c r="V608" s="3023"/>
      <c r="W608" s="3023"/>
      <c r="X608" s="3023"/>
      <c r="Y608" s="3023"/>
      <c r="Z608" s="3023"/>
      <c r="AA608" s="3023"/>
      <c r="AB608" s="3023"/>
      <c r="AC608" s="3023"/>
      <c r="AD608" s="3023"/>
      <c r="AE608" s="3023"/>
      <c r="AF608" s="302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3"/>
      <c r="G609" s="3023"/>
      <c r="H609" s="3023"/>
      <c r="I609" s="3023"/>
      <c r="J609" s="3023"/>
      <c r="K609" s="3023"/>
      <c r="L609" s="3023"/>
      <c r="M609" s="3023"/>
      <c r="N609" s="3023"/>
      <c r="O609" s="3023"/>
      <c r="P609" s="3023"/>
      <c r="Q609" s="3023"/>
      <c r="R609" s="3023"/>
      <c r="S609" s="3023"/>
      <c r="T609" s="3023"/>
      <c r="U609" s="3023"/>
      <c r="V609" s="3023"/>
      <c r="W609" s="3023"/>
      <c r="X609" s="3023"/>
      <c r="Y609" s="3023"/>
      <c r="Z609" s="3023"/>
      <c r="AA609" s="3023"/>
      <c r="AB609" s="3023"/>
      <c r="AC609" s="3023"/>
      <c r="AD609" s="3023"/>
      <c r="AE609" s="3023"/>
      <c r="AF609" s="302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3"/>
      <c r="G610" s="3023"/>
      <c r="H610" s="3023"/>
      <c r="I610" s="3023"/>
      <c r="J610" s="3023"/>
      <c r="K610" s="3023"/>
      <c r="L610" s="3023"/>
      <c r="M610" s="3023"/>
      <c r="N610" s="3023"/>
      <c r="O610" s="3023"/>
      <c r="P610" s="3023"/>
      <c r="Q610" s="3023"/>
      <c r="R610" s="3023"/>
      <c r="S610" s="3023"/>
      <c r="T610" s="3023"/>
      <c r="U610" s="3023"/>
      <c r="V610" s="3023"/>
      <c r="W610" s="3023"/>
      <c r="X610" s="3023"/>
      <c r="Y610" s="3023"/>
      <c r="Z610" s="3023"/>
      <c r="AA610" s="3023"/>
      <c r="AB610" s="3023"/>
      <c r="AC610" s="3023"/>
      <c r="AD610" s="3023"/>
      <c r="AE610" s="3023"/>
      <c r="AF610" s="302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3"/>
      <c r="G611" s="3023"/>
      <c r="H611" s="3023"/>
      <c r="I611" s="3023"/>
      <c r="J611" s="3023"/>
      <c r="K611" s="3023"/>
      <c r="L611" s="3023"/>
      <c r="M611" s="3023"/>
      <c r="N611" s="3023"/>
      <c r="O611" s="3023"/>
      <c r="P611" s="3023"/>
      <c r="Q611" s="3023"/>
      <c r="R611" s="3023"/>
      <c r="S611" s="3023"/>
      <c r="T611" s="3023"/>
      <c r="U611" s="3023"/>
      <c r="V611" s="3023"/>
      <c r="W611" s="3023"/>
      <c r="X611" s="3023"/>
      <c r="Y611" s="3023"/>
      <c r="Z611" s="3023"/>
      <c r="AA611" s="3023"/>
      <c r="AB611" s="3023"/>
      <c r="AC611" s="3023"/>
      <c r="AD611" s="3023"/>
      <c r="AE611" s="3023"/>
      <c r="AF611" s="302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4" t="s">
        <v>627</v>
      </c>
      <c r="D612" s="3025"/>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6" t="s">
        <v>1768</v>
      </c>
      <c r="AG612" s="3026"/>
      <c r="AH612" s="3026"/>
      <c r="AI612" s="3026"/>
      <c r="AJ612" s="3026"/>
      <c r="AK612" s="3026"/>
      <c r="AL612" s="302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4" t="s">
        <v>579</v>
      </c>
      <c r="D614" s="3025"/>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6" t="s">
        <v>1763</v>
      </c>
      <c r="AG614" s="3026"/>
      <c r="AH614" s="3026"/>
      <c r="AI614" s="3026"/>
      <c r="AJ614" s="3026"/>
      <c r="AK614" s="3026"/>
      <c r="AL614" s="302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22" t="s">
        <v>1772</v>
      </c>
      <c r="G618" s="3022"/>
      <c r="H618" s="3022"/>
      <c r="I618" s="3022"/>
      <c r="J618" s="3022"/>
      <c r="K618" s="3022"/>
      <c r="L618" s="3022"/>
      <c r="M618" s="3022"/>
      <c r="N618" s="3022"/>
      <c r="O618" s="3022"/>
      <c r="P618" s="3022"/>
      <c r="Q618" s="3022"/>
      <c r="R618" s="3022"/>
      <c r="S618" s="3022"/>
      <c r="T618" s="3022"/>
      <c r="U618" s="3022"/>
      <c r="V618" s="3022"/>
      <c r="W618" s="3022"/>
      <c r="X618" s="3022"/>
      <c r="Y618" s="3022"/>
      <c r="Z618" s="3022"/>
      <c r="AA618" s="3022"/>
      <c r="AB618" s="3022"/>
      <c r="AC618" s="3022"/>
      <c r="AD618" s="3022"/>
      <c r="AE618" s="3022"/>
      <c r="AF618" s="302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3"/>
      <c r="G619" s="3023"/>
      <c r="H619" s="3023"/>
      <c r="I619" s="3023"/>
      <c r="J619" s="3023"/>
      <c r="K619" s="3023"/>
      <c r="L619" s="3023"/>
      <c r="M619" s="3023"/>
      <c r="N619" s="3023"/>
      <c r="O619" s="3023"/>
      <c r="P619" s="3023"/>
      <c r="Q619" s="3023"/>
      <c r="R619" s="3023"/>
      <c r="S619" s="3023"/>
      <c r="T619" s="3023"/>
      <c r="U619" s="3023"/>
      <c r="V619" s="3023"/>
      <c r="W619" s="3023"/>
      <c r="X619" s="3023"/>
      <c r="Y619" s="3023"/>
      <c r="Z619" s="3023"/>
      <c r="AA619" s="3023"/>
      <c r="AB619" s="3023"/>
      <c r="AC619" s="3023"/>
      <c r="AD619" s="3023"/>
      <c r="AE619" s="3023"/>
      <c r="AF619" s="302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3"/>
      <c r="G620" s="3023"/>
      <c r="H620" s="3023"/>
      <c r="I620" s="3023"/>
      <c r="J620" s="3023"/>
      <c r="K620" s="3023"/>
      <c r="L620" s="3023"/>
      <c r="M620" s="3023"/>
      <c r="N620" s="3023"/>
      <c r="O620" s="3023"/>
      <c r="P620" s="3023"/>
      <c r="Q620" s="3023"/>
      <c r="R620" s="3023"/>
      <c r="S620" s="3023"/>
      <c r="T620" s="3023"/>
      <c r="U620" s="3023"/>
      <c r="V620" s="3023"/>
      <c r="W620" s="3023"/>
      <c r="X620" s="3023"/>
      <c r="Y620" s="3023"/>
      <c r="Z620" s="3023"/>
      <c r="AA620" s="3023"/>
      <c r="AB620" s="3023"/>
      <c r="AC620" s="3023"/>
      <c r="AD620" s="3023"/>
      <c r="AE620" s="3023"/>
      <c r="AF620" s="302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3"/>
      <c r="G621" s="3023"/>
      <c r="H621" s="3023"/>
      <c r="I621" s="3023"/>
      <c r="J621" s="3023"/>
      <c r="K621" s="3023"/>
      <c r="L621" s="3023"/>
      <c r="M621" s="3023"/>
      <c r="N621" s="3023"/>
      <c r="O621" s="3023"/>
      <c r="P621" s="3023"/>
      <c r="Q621" s="3023"/>
      <c r="R621" s="3023"/>
      <c r="S621" s="3023"/>
      <c r="T621" s="3023"/>
      <c r="U621" s="3023"/>
      <c r="V621" s="3023"/>
      <c r="W621" s="3023"/>
      <c r="X621" s="3023"/>
      <c r="Y621" s="3023"/>
      <c r="Z621" s="3023"/>
      <c r="AA621" s="3023"/>
      <c r="AB621" s="3023"/>
      <c r="AC621" s="3023"/>
      <c r="AD621" s="3023"/>
      <c r="AE621" s="3023"/>
      <c r="AF621" s="302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4" t="s">
        <v>627</v>
      </c>
      <c r="D622" s="3025"/>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6" t="s">
        <v>1763</v>
      </c>
      <c r="AG622" s="3026"/>
      <c r="AH622" s="3026"/>
      <c r="AI622" s="3026"/>
      <c r="AJ622" s="3026"/>
      <c r="AK622" s="3026"/>
      <c r="AL622" s="302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4" t="s">
        <v>627</v>
      </c>
      <c r="D624" s="3025"/>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6" t="s">
        <v>1775</v>
      </c>
      <c r="AG624" s="3026"/>
      <c r="AH624" s="3026"/>
      <c r="AI624" s="3026"/>
      <c r="AJ624" s="3026"/>
      <c r="AK624" s="3026"/>
      <c r="AL624" s="302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4" t="s">
        <v>627</v>
      </c>
      <c r="D627" s="3025"/>
      <c r="E627" s="1176" t="s">
        <v>1776</v>
      </c>
      <c r="F627" s="3022" t="s">
        <v>1777</v>
      </c>
      <c r="G627" s="3022"/>
      <c r="H627" s="3022"/>
      <c r="I627" s="3022"/>
      <c r="J627" s="3022"/>
      <c r="K627" s="3022"/>
      <c r="L627" s="3022"/>
      <c r="M627" s="3022"/>
      <c r="N627" s="3022"/>
      <c r="O627" s="3022"/>
      <c r="P627" s="3022"/>
      <c r="Q627" s="3022"/>
      <c r="R627" s="3022"/>
      <c r="S627" s="3022"/>
      <c r="T627" s="3022"/>
      <c r="U627" s="3022"/>
      <c r="V627" s="3022"/>
      <c r="W627" s="3022"/>
      <c r="X627" s="3022"/>
      <c r="Y627" s="3022"/>
      <c r="Z627" s="3022"/>
      <c r="AA627" s="3022"/>
      <c r="AB627" s="3022"/>
      <c r="AC627" s="3022"/>
      <c r="AD627" s="3022"/>
      <c r="AE627" s="302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3"/>
      <c r="G628" s="3023"/>
      <c r="H628" s="3023"/>
      <c r="I628" s="3023"/>
      <c r="J628" s="3023"/>
      <c r="K628" s="3023"/>
      <c r="L628" s="3023"/>
      <c r="M628" s="3023"/>
      <c r="N628" s="3023"/>
      <c r="O628" s="3023"/>
      <c r="P628" s="3023"/>
      <c r="Q628" s="3023"/>
      <c r="R628" s="3023"/>
      <c r="S628" s="3023"/>
      <c r="T628" s="3023"/>
      <c r="U628" s="3023"/>
      <c r="V628" s="3023"/>
      <c r="W628" s="3023"/>
      <c r="X628" s="3023"/>
      <c r="Y628" s="3023"/>
      <c r="Z628" s="3023"/>
      <c r="AA628" s="3023"/>
      <c r="AB628" s="3023"/>
      <c r="AC628" s="3023"/>
      <c r="AD628" s="3023"/>
      <c r="AE628" s="3023"/>
      <c r="AF628" s="3135" t="s">
        <v>1763</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023"/>
      <c r="G629" s="3023"/>
      <c r="H629" s="3023"/>
      <c r="I629" s="3023"/>
      <c r="J629" s="3023"/>
      <c r="K629" s="3023"/>
      <c r="L629" s="3023"/>
      <c r="M629" s="3023"/>
      <c r="N629" s="3023"/>
      <c r="O629" s="3023"/>
      <c r="P629" s="3023"/>
      <c r="Q629" s="3023"/>
      <c r="R629" s="3023"/>
      <c r="S629" s="3023"/>
      <c r="T629" s="3023"/>
      <c r="U629" s="3023"/>
      <c r="V629" s="3023"/>
      <c r="W629" s="3023"/>
      <c r="X629" s="3023"/>
      <c r="Y629" s="3023"/>
      <c r="Z629" s="3023"/>
      <c r="AA629" s="3023"/>
      <c r="AB629" s="3023"/>
      <c r="AC629" s="3023"/>
      <c r="AD629" s="3023"/>
      <c r="AE629" s="302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3" t="s">
        <v>1779</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75"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75"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75" customHeight="1">
      <c r="A636" s="929"/>
      <c r="B636" s="51"/>
      <c r="C636" s="3024" t="s">
        <v>627</v>
      </c>
      <c r="D636" s="3025"/>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1763</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4" t="s">
        <v>627</v>
      </c>
      <c r="D638" s="3025"/>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1775</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22" t="s">
        <v>1784</v>
      </c>
      <c r="G642" s="3022"/>
      <c r="H642" s="3022"/>
      <c r="I642" s="3022"/>
      <c r="J642" s="3022"/>
      <c r="K642" s="3022"/>
      <c r="L642" s="3022"/>
      <c r="M642" s="3022"/>
      <c r="N642" s="3022"/>
      <c r="O642" s="3022"/>
      <c r="P642" s="3022"/>
      <c r="Q642" s="3022"/>
      <c r="R642" s="3022"/>
      <c r="S642" s="3022"/>
      <c r="T642" s="3022"/>
      <c r="U642" s="3022"/>
      <c r="V642" s="3022"/>
      <c r="W642" s="3022"/>
      <c r="X642" s="3022"/>
      <c r="Y642" s="3022"/>
      <c r="Z642" s="3022"/>
      <c r="AA642" s="3022"/>
      <c r="AB642" s="3022"/>
      <c r="AC642" s="3022"/>
      <c r="AD642" s="3022"/>
      <c r="AE642" s="302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3"/>
      <c r="G643" s="3023"/>
      <c r="H643" s="3023"/>
      <c r="I643" s="3023"/>
      <c r="J643" s="3023"/>
      <c r="K643" s="3023"/>
      <c r="L643" s="3023"/>
      <c r="M643" s="3023"/>
      <c r="N643" s="3023"/>
      <c r="O643" s="3023"/>
      <c r="P643" s="3023"/>
      <c r="Q643" s="3023"/>
      <c r="R643" s="3023"/>
      <c r="S643" s="3023"/>
      <c r="T643" s="3023"/>
      <c r="U643" s="3023"/>
      <c r="V643" s="3023"/>
      <c r="W643" s="3023"/>
      <c r="X643" s="3023"/>
      <c r="Y643" s="3023"/>
      <c r="Z643" s="3023"/>
      <c r="AA643" s="3023"/>
      <c r="AB643" s="3023"/>
      <c r="AC643" s="3023"/>
      <c r="AD643" s="3023"/>
      <c r="AE643" s="3023"/>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23"/>
      <c r="G644" s="3023"/>
      <c r="H644" s="3023"/>
      <c r="I644" s="3023"/>
      <c r="J644" s="3023"/>
      <c r="K644" s="3023"/>
      <c r="L644" s="3023"/>
      <c r="M644" s="3023"/>
      <c r="N644" s="3023"/>
      <c r="O644" s="3023"/>
      <c r="P644" s="3023"/>
      <c r="Q644" s="3023"/>
      <c r="R644" s="3023"/>
      <c r="S644" s="3023"/>
      <c r="T644" s="3023"/>
      <c r="U644" s="3023"/>
      <c r="V644" s="3023"/>
      <c r="W644" s="3023"/>
      <c r="X644" s="3023"/>
      <c r="Y644" s="3023"/>
      <c r="Z644" s="3023"/>
      <c r="AA644" s="3023"/>
      <c r="AB644" s="3023"/>
      <c r="AC644" s="3023"/>
      <c r="AD644" s="3023"/>
      <c r="AE644" s="3023"/>
      <c r="AF644" s="1027"/>
      <c r="AG644" s="1027"/>
      <c r="AH644" s="1027"/>
      <c r="AI644" s="1027"/>
      <c r="AJ644" s="1027"/>
      <c r="AK644" s="1027"/>
      <c r="AL644" s="1195"/>
      <c r="AM644" s="1136"/>
      <c r="AN644" s="1002"/>
      <c r="AO644" s="1027"/>
      <c r="AP644" s="1027"/>
    </row>
    <row r="645" spans="1:60" s="945" customFormat="1" ht="12.75" customHeight="1">
      <c r="A645" s="929"/>
      <c r="B645" s="51"/>
      <c r="C645" s="3024" t="s">
        <v>627</v>
      </c>
      <c r="D645" s="3025"/>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1763</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1786</v>
      </c>
      <c r="F648" s="3022" t="s">
        <v>1787</v>
      </c>
      <c r="G648" s="3022"/>
      <c r="H648" s="3022"/>
      <c r="I648" s="3022"/>
      <c r="J648" s="3022"/>
      <c r="K648" s="3022"/>
      <c r="L648" s="3022"/>
      <c r="M648" s="3022"/>
      <c r="N648" s="3022"/>
      <c r="O648" s="3022"/>
      <c r="P648" s="3022"/>
      <c r="Q648" s="3022"/>
      <c r="R648" s="3022"/>
      <c r="S648" s="3022"/>
      <c r="T648" s="3022"/>
      <c r="U648" s="3022"/>
      <c r="V648" s="3022"/>
      <c r="W648" s="3022"/>
      <c r="X648" s="3022"/>
      <c r="Y648" s="3022"/>
      <c r="Z648" s="3022"/>
      <c r="AA648" s="3022"/>
      <c r="AB648" s="3022"/>
      <c r="AC648" s="3022"/>
      <c r="AD648" s="3022"/>
      <c r="AE648" s="302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3"/>
      <c r="G649" s="3023"/>
      <c r="H649" s="3023"/>
      <c r="I649" s="3023"/>
      <c r="J649" s="3023"/>
      <c r="K649" s="3023"/>
      <c r="L649" s="3023"/>
      <c r="M649" s="3023"/>
      <c r="N649" s="3023"/>
      <c r="O649" s="3023"/>
      <c r="P649" s="3023"/>
      <c r="Q649" s="3023"/>
      <c r="R649" s="3023"/>
      <c r="S649" s="3023"/>
      <c r="T649" s="3023"/>
      <c r="U649" s="3023"/>
      <c r="V649" s="3023"/>
      <c r="W649" s="3023"/>
      <c r="X649" s="3023"/>
      <c r="Y649" s="3023"/>
      <c r="Z649" s="3023"/>
      <c r="AA649" s="3023"/>
      <c r="AB649" s="3023"/>
      <c r="AC649" s="3023"/>
      <c r="AD649" s="3023"/>
      <c r="AE649" s="302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3"/>
      <c r="G650" s="3023"/>
      <c r="H650" s="3023"/>
      <c r="I650" s="3023"/>
      <c r="J650" s="3023"/>
      <c r="K650" s="3023"/>
      <c r="L650" s="3023"/>
      <c r="M650" s="3023"/>
      <c r="N650" s="3023"/>
      <c r="O650" s="3023"/>
      <c r="P650" s="3023"/>
      <c r="Q650" s="3023"/>
      <c r="R650" s="3023"/>
      <c r="S650" s="3023"/>
      <c r="T650" s="3023"/>
      <c r="U650" s="3023"/>
      <c r="V650" s="3023"/>
      <c r="W650" s="3023"/>
      <c r="X650" s="3023"/>
      <c r="Y650" s="3023"/>
      <c r="Z650" s="3023"/>
      <c r="AA650" s="3023"/>
      <c r="AB650" s="3023"/>
      <c r="AC650" s="3023"/>
      <c r="AD650" s="3023"/>
      <c r="AE650" s="302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3"/>
      <c r="G651" s="3023"/>
      <c r="H651" s="3023"/>
      <c r="I651" s="3023"/>
      <c r="J651" s="3023"/>
      <c r="K651" s="3023"/>
      <c r="L651" s="3023"/>
      <c r="M651" s="3023"/>
      <c r="N651" s="3023"/>
      <c r="O651" s="3023"/>
      <c r="P651" s="3023"/>
      <c r="Q651" s="3023"/>
      <c r="R651" s="3023"/>
      <c r="S651" s="3023"/>
      <c r="T651" s="3023"/>
      <c r="U651" s="3023"/>
      <c r="V651" s="3023"/>
      <c r="W651" s="3023"/>
      <c r="X651" s="3023"/>
      <c r="Y651" s="3023"/>
      <c r="Z651" s="3023"/>
      <c r="AA651" s="3023"/>
      <c r="AB651" s="3023"/>
      <c r="AC651" s="3023"/>
      <c r="AD651" s="3023"/>
      <c r="AE651" s="302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3"/>
      <c r="G652" s="3023"/>
      <c r="H652" s="3023"/>
      <c r="I652" s="3023"/>
      <c r="J652" s="3023"/>
      <c r="K652" s="3023"/>
      <c r="L652" s="3023"/>
      <c r="M652" s="3023"/>
      <c r="N652" s="3023"/>
      <c r="O652" s="3023"/>
      <c r="P652" s="3023"/>
      <c r="Q652" s="3023"/>
      <c r="R652" s="3023"/>
      <c r="S652" s="3023"/>
      <c r="T652" s="3023"/>
      <c r="U652" s="3023"/>
      <c r="V652" s="3023"/>
      <c r="W652" s="3023"/>
      <c r="X652" s="3023"/>
      <c r="Y652" s="3023"/>
      <c r="Z652" s="3023"/>
      <c r="AA652" s="3023"/>
      <c r="AB652" s="3023"/>
      <c r="AC652" s="3023"/>
      <c r="AD652" s="3023"/>
      <c r="AE652" s="302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3"/>
      <c r="G653" s="3023"/>
      <c r="H653" s="3023"/>
      <c r="I653" s="3023"/>
      <c r="J653" s="3023"/>
      <c r="K653" s="3023"/>
      <c r="L653" s="3023"/>
      <c r="M653" s="3023"/>
      <c r="N653" s="3023"/>
      <c r="O653" s="3023"/>
      <c r="P653" s="3023"/>
      <c r="Q653" s="3023"/>
      <c r="R653" s="3023"/>
      <c r="S653" s="3023"/>
      <c r="T653" s="3023"/>
      <c r="U653" s="3023"/>
      <c r="V653" s="3023"/>
      <c r="W653" s="3023"/>
      <c r="X653" s="3023"/>
      <c r="Y653" s="3023"/>
      <c r="Z653" s="3023"/>
      <c r="AA653" s="3023"/>
      <c r="AB653" s="3023"/>
      <c r="AC653" s="3023"/>
      <c r="AD653" s="3023"/>
      <c r="AE653" s="3023"/>
      <c r="AF653" s="1226"/>
      <c r="AG653" s="1226"/>
      <c r="AH653" s="1226"/>
      <c r="AI653" s="1226"/>
      <c r="AJ653" s="1226"/>
      <c r="AK653" s="1226"/>
      <c r="AL653" s="1227"/>
      <c r="AM653" s="1136"/>
      <c r="AN653" s="1002"/>
    </row>
    <row r="654" spans="1:60" s="945" customFormat="1" ht="12.75" customHeight="1">
      <c r="A654" s="929"/>
      <c r="B654" s="51"/>
      <c r="C654" s="1228"/>
      <c r="D654" s="1193"/>
      <c r="E654" s="1180"/>
      <c r="F654" s="3023"/>
      <c r="G654" s="3023"/>
      <c r="H654" s="3023"/>
      <c r="I654" s="3023"/>
      <c r="J654" s="3023"/>
      <c r="K654" s="3023"/>
      <c r="L654" s="3023"/>
      <c r="M654" s="3023"/>
      <c r="N654" s="3023"/>
      <c r="O654" s="3023"/>
      <c r="P654" s="3023"/>
      <c r="Q654" s="3023"/>
      <c r="R654" s="3023"/>
      <c r="S654" s="3023"/>
      <c r="T654" s="3023"/>
      <c r="U654" s="3023"/>
      <c r="V654" s="3023"/>
      <c r="W654" s="3023"/>
      <c r="X654" s="3023"/>
      <c r="Y654" s="3023"/>
      <c r="Z654" s="3023"/>
      <c r="AA654" s="3023"/>
      <c r="AB654" s="3023"/>
      <c r="AC654" s="3023"/>
      <c r="AD654" s="3023"/>
      <c r="AE654" s="3023"/>
      <c r="AF654" s="1226"/>
      <c r="AG654" s="1226"/>
      <c r="AH654" s="1226"/>
      <c r="AI654" s="1226"/>
      <c r="AJ654" s="1226"/>
      <c r="AK654" s="1226"/>
      <c r="AL654" s="1227"/>
      <c r="AM654" s="1136"/>
      <c r="AN654" s="1002"/>
    </row>
    <row r="655" spans="1:60" s="945" customFormat="1" ht="12.75" customHeight="1">
      <c r="A655" s="929"/>
      <c r="B655" s="51"/>
      <c r="C655" s="1228"/>
      <c r="D655" s="1193"/>
      <c r="E655" s="1180"/>
      <c r="F655" s="3023"/>
      <c r="G655" s="3023"/>
      <c r="H655" s="3023"/>
      <c r="I655" s="3023"/>
      <c r="J655" s="3023"/>
      <c r="K655" s="3023"/>
      <c r="L655" s="3023"/>
      <c r="M655" s="3023"/>
      <c r="N655" s="3023"/>
      <c r="O655" s="3023"/>
      <c r="P655" s="3023"/>
      <c r="Q655" s="3023"/>
      <c r="R655" s="3023"/>
      <c r="S655" s="3023"/>
      <c r="T655" s="3023"/>
      <c r="U655" s="3023"/>
      <c r="V655" s="3023"/>
      <c r="W655" s="3023"/>
      <c r="X655" s="3023"/>
      <c r="Y655" s="3023"/>
      <c r="Z655" s="3023"/>
      <c r="AA655" s="3023"/>
      <c r="AB655" s="3023"/>
      <c r="AC655" s="3023"/>
      <c r="AD655" s="3023"/>
      <c r="AE655" s="3023"/>
      <c r="AF655" s="1226"/>
      <c r="AG655" s="1226"/>
      <c r="AH655" s="1226"/>
      <c r="AI655" s="1226"/>
      <c r="AJ655" s="1226"/>
      <c r="AK655" s="1226"/>
      <c r="AL655" s="1227"/>
      <c r="AM655" s="1136"/>
      <c r="AN655" s="1002"/>
    </row>
    <row r="656" spans="1:60" s="945" customFormat="1" ht="17.25" customHeight="1">
      <c r="A656" s="929"/>
      <c r="B656" s="51"/>
      <c r="C656" s="1228"/>
      <c r="D656" s="1193"/>
      <c r="E656" s="1180"/>
      <c r="F656" s="3023"/>
      <c r="G656" s="3023"/>
      <c r="H656" s="3023"/>
      <c r="I656" s="3023"/>
      <c r="J656" s="3023"/>
      <c r="K656" s="3023"/>
      <c r="L656" s="3023"/>
      <c r="M656" s="3023"/>
      <c r="N656" s="3023"/>
      <c r="O656" s="3023"/>
      <c r="P656" s="3023"/>
      <c r="Q656" s="3023"/>
      <c r="R656" s="3023"/>
      <c r="S656" s="3023"/>
      <c r="T656" s="3023"/>
      <c r="U656" s="3023"/>
      <c r="V656" s="3023"/>
      <c r="W656" s="3023"/>
      <c r="X656" s="3023"/>
      <c r="Y656" s="3023"/>
      <c r="Z656" s="3023"/>
      <c r="AA656" s="3023"/>
      <c r="AB656" s="3023"/>
      <c r="AC656" s="3023"/>
      <c r="AD656" s="3023"/>
      <c r="AE656" s="3023"/>
      <c r="AF656" s="1027"/>
      <c r="AG656" s="1027"/>
      <c r="AH656" s="1027"/>
      <c r="AI656" s="1027"/>
      <c r="AJ656" s="1027"/>
      <c r="AK656" s="1027"/>
      <c r="AL656" s="1195"/>
      <c r="AM656" s="1136"/>
      <c r="AN656" s="1002"/>
    </row>
    <row r="657" spans="1:54" s="945" customFormat="1" ht="12.75" customHeight="1">
      <c r="A657" s="929"/>
      <c r="B657" s="51"/>
      <c r="C657" s="3024" t="s">
        <v>627</v>
      </c>
      <c r="D657" s="3025"/>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1763</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22" t="s">
        <v>1790</v>
      </c>
      <c r="G660" s="3022"/>
      <c r="H660" s="3022"/>
      <c r="I660" s="3022"/>
      <c r="J660" s="3022"/>
      <c r="K660" s="3022"/>
      <c r="L660" s="3022"/>
      <c r="M660" s="3022"/>
      <c r="N660" s="3022"/>
      <c r="O660" s="3022"/>
      <c r="P660" s="3022"/>
      <c r="Q660" s="3022"/>
      <c r="R660" s="3022"/>
      <c r="S660" s="3022"/>
      <c r="T660" s="3022"/>
      <c r="U660" s="3022"/>
      <c r="V660" s="3022"/>
      <c r="W660" s="3022"/>
      <c r="X660" s="3022"/>
      <c r="Y660" s="3022"/>
      <c r="Z660" s="3022"/>
      <c r="AA660" s="3022"/>
      <c r="AB660" s="3022"/>
      <c r="AC660" s="3022"/>
      <c r="AD660" s="3022"/>
      <c r="AE660" s="302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3"/>
      <c r="G661" s="3023"/>
      <c r="H661" s="3023"/>
      <c r="I661" s="3023"/>
      <c r="J661" s="3023"/>
      <c r="K661" s="3023"/>
      <c r="L661" s="3023"/>
      <c r="M661" s="3023"/>
      <c r="N661" s="3023"/>
      <c r="O661" s="3023"/>
      <c r="P661" s="3023"/>
      <c r="Q661" s="3023"/>
      <c r="R661" s="3023"/>
      <c r="S661" s="3023"/>
      <c r="T661" s="3023"/>
      <c r="U661" s="3023"/>
      <c r="V661" s="3023"/>
      <c r="W661" s="3023"/>
      <c r="X661" s="3023"/>
      <c r="Y661" s="3023"/>
      <c r="Z661" s="3023"/>
      <c r="AA661" s="3023"/>
      <c r="AB661" s="3023"/>
      <c r="AC661" s="3023"/>
      <c r="AD661" s="3023"/>
      <c r="AE661" s="3023"/>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23"/>
      <c r="G662" s="3023"/>
      <c r="H662" s="3023"/>
      <c r="I662" s="3023"/>
      <c r="J662" s="3023"/>
      <c r="K662" s="3023"/>
      <c r="L662" s="3023"/>
      <c r="M662" s="3023"/>
      <c r="N662" s="3023"/>
      <c r="O662" s="3023"/>
      <c r="P662" s="3023"/>
      <c r="Q662" s="3023"/>
      <c r="R662" s="3023"/>
      <c r="S662" s="3023"/>
      <c r="T662" s="3023"/>
      <c r="U662" s="3023"/>
      <c r="V662" s="3023"/>
      <c r="W662" s="3023"/>
      <c r="X662" s="3023"/>
      <c r="Y662" s="3023"/>
      <c r="Z662" s="3023"/>
      <c r="AA662" s="3023"/>
      <c r="AB662" s="3023"/>
      <c r="AC662" s="3023"/>
      <c r="AD662" s="3023"/>
      <c r="AE662" s="3023"/>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23"/>
      <c r="G663" s="3023"/>
      <c r="H663" s="3023"/>
      <c r="I663" s="3023"/>
      <c r="J663" s="3023"/>
      <c r="K663" s="3023"/>
      <c r="L663" s="3023"/>
      <c r="M663" s="3023"/>
      <c r="N663" s="3023"/>
      <c r="O663" s="3023"/>
      <c r="P663" s="3023"/>
      <c r="Q663" s="3023"/>
      <c r="R663" s="3023"/>
      <c r="S663" s="3023"/>
      <c r="T663" s="3023"/>
      <c r="U663" s="3023"/>
      <c r="V663" s="3023"/>
      <c r="W663" s="3023"/>
      <c r="X663" s="3023"/>
      <c r="Y663" s="3023"/>
      <c r="Z663" s="3023"/>
      <c r="AA663" s="3023"/>
      <c r="AB663" s="3023"/>
      <c r="AC663" s="3023"/>
      <c r="AD663" s="3023"/>
      <c r="AE663" s="3023"/>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24" t="s">
        <v>627</v>
      </c>
      <c r="D664" s="3025"/>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1763</v>
      </c>
      <c r="AG664" s="3135"/>
      <c r="AH664" s="3135"/>
      <c r="AI664" s="3135"/>
      <c r="AJ664" s="3135"/>
      <c r="AK664" s="3135"/>
      <c r="AL664" s="3136"/>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7" t="s">
        <v>627</v>
      </c>
      <c r="D668" s="3138"/>
      <c r="E668" s="1176" t="s">
        <v>1799</v>
      </c>
      <c r="F668" s="3022" t="s">
        <v>1800</v>
      </c>
      <c r="G668" s="3022"/>
      <c r="H668" s="3022"/>
      <c r="I668" s="3022"/>
      <c r="J668" s="3022"/>
      <c r="K668" s="3022"/>
      <c r="L668" s="3022"/>
      <c r="M668" s="3022"/>
      <c r="N668" s="3022"/>
      <c r="O668" s="3022"/>
      <c r="P668" s="3022"/>
      <c r="Q668" s="3022"/>
      <c r="R668" s="3022"/>
      <c r="S668" s="3022"/>
      <c r="T668" s="3022"/>
      <c r="U668" s="3022"/>
      <c r="V668" s="3022"/>
      <c r="W668" s="3022"/>
      <c r="X668" s="3022"/>
      <c r="Y668" s="3022"/>
      <c r="Z668" s="3022"/>
      <c r="AA668" s="3022"/>
      <c r="AB668" s="3022"/>
      <c r="AC668" s="3022"/>
      <c r="AD668" s="3022"/>
      <c r="AE668" s="3022"/>
      <c r="AF668" s="3131" t="s">
        <v>1763</v>
      </c>
      <c r="AG668" s="3131"/>
      <c r="AH668" s="3131"/>
      <c r="AI668" s="3131"/>
      <c r="AJ668" s="3131"/>
      <c r="AK668" s="3131"/>
      <c r="AL668" s="3132"/>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3"/>
      <c r="G669" s="3023"/>
      <c r="H669" s="3023"/>
      <c r="I669" s="3023"/>
      <c r="J669" s="3023"/>
      <c r="K669" s="3023"/>
      <c r="L669" s="3023"/>
      <c r="M669" s="3023"/>
      <c r="N669" s="3023"/>
      <c r="O669" s="3023"/>
      <c r="P669" s="3023"/>
      <c r="Q669" s="3023"/>
      <c r="R669" s="3023"/>
      <c r="S669" s="3023"/>
      <c r="T669" s="3023"/>
      <c r="U669" s="3023"/>
      <c r="V669" s="3023"/>
      <c r="W669" s="3023"/>
      <c r="X669" s="3023"/>
      <c r="Y669" s="3023"/>
      <c r="Z669" s="3023"/>
      <c r="AA669" s="3023"/>
      <c r="AB669" s="3023"/>
      <c r="AC669" s="3023"/>
      <c r="AD669" s="3023"/>
      <c r="AE669" s="3023"/>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850000000000001"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24" t="s">
        <v>627</v>
      </c>
      <c r="D672" s="3025"/>
      <c r="E672" s="1176" t="s">
        <v>1805</v>
      </c>
      <c r="F672" s="3022" t="s">
        <v>1806</v>
      </c>
      <c r="G672" s="3022"/>
      <c r="H672" s="3022"/>
      <c r="I672" s="3022"/>
      <c r="J672" s="3022"/>
      <c r="K672" s="3022"/>
      <c r="L672" s="3022"/>
      <c r="M672" s="3022"/>
      <c r="N672" s="3022"/>
      <c r="O672" s="3022"/>
      <c r="P672" s="3022"/>
      <c r="Q672" s="3022"/>
      <c r="R672" s="3022"/>
      <c r="S672" s="3022"/>
      <c r="T672" s="3022"/>
      <c r="U672" s="3022"/>
      <c r="V672" s="3022"/>
      <c r="W672" s="3022"/>
      <c r="X672" s="3022"/>
      <c r="Y672" s="3022"/>
      <c r="Z672" s="3022"/>
      <c r="AA672" s="3022"/>
      <c r="AB672" s="3022"/>
      <c r="AC672" s="3022"/>
      <c r="AD672" s="3022"/>
      <c r="AE672" s="3022"/>
      <c r="AF672" s="3131" t="s">
        <v>1763</v>
      </c>
      <c r="AG672" s="3131"/>
      <c r="AH672" s="3131"/>
      <c r="AI672" s="3131"/>
      <c r="AJ672" s="3131"/>
      <c r="AK672" s="3131"/>
      <c r="AL672" s="3132"/>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23"/>
      <c r="G673" s="3023"/>
      <c r="H673" s="3023"/>
      <c r="I673" s="3023"/>
      <c r="J673" s="3023"/>
      <c r="K673" s="3023"/>
      <c r="L673" s="3023"/>
      <c r="M673" s="3023"/>
      <c r="N673" s="3023"/>
      <c r="O673" s="3023"/>
      <c r="P673" s="3023"/>
      <c r="Q673" s="3023"/>
      <c r="R673" s="3023"/>
      <c r="S673" s="3023"/>
      <c r="T673" s="3023"/>
      <c r="U673" s="3023"/>
      <c r="V673" s="3023"/>
      <c r="W673" s="3023"/>
      <c r="X673" s="3023"/>
      <c r="Y673" s="3023"/>
      <c r="Z673" s="3023"/>
      <c r="AA673" s="3023"/>
      <c r="AB673" s="3023"/>
      <c r="AC673" s="3023"/>
      <c r="AD673" s="3023"/>
      <c r="AE673" s="302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3"/>
      <c r="G674" s="3023"/>
      <c r="H674" s="3023"/>
      <c r="I674" s="3023"/>
      <c r="J674" s="3023"/>
      <c r="K674" s="3023"/>
      <c r="L674" s="3023"/>
      <c r="M674" s="3023"/>
      <c r="N674" s="3023"/>
      <c r="O674" s="3023"/>
      <c r="P674" s="3023"/>
      <c r="Q674" s="3023"/>
      <c r="R674" s="3023"/>
      <c r="S674" s="3023"/>
      <c r="T674" s="3023"/>
      <c r="U674" s="3023"/>
      <c r="V674" s="3023"/>
      <c r="W674" s="3023"/>
      <c r="X674" s="3023"/>
      <c r="Y674" s="3023"/>
      <c r="Z674" s="3023"/>
      <c r="AA674" s="3023"/>
      <c r="AB674" s="3023"/>
      <c r="AC674" s="3023"/>
      <c r="AD674" s="3023"/>
      <c r="AE674" s="302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3" t="s">
        <v>1809</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75"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75"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75"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75" customHeight="1">
      <c r="A681" s="929"/>
      <c r="B681" s="51"/>
      <c r="C681" s="3024" t="s">
        <v>627</v>
      </c>
      <c r="D681" s="3025"/>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6" t="s">
        <v>1763</v>
      </c>
      <c r="AG681" s="3026"/>
      <c r="AH681" s="3026"/>
      <c r="AI681" s="3026"/>
      <c r="AJ681" s="3026"/>
      <c r="AK681" s="3026"/>
      <c r="AL681" s="302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9">
        <f>IF(AS575=0,AS573,AS575)</f>
        <v>10</v>
      </c>
      <c r="AL684" s="3051"/>
      <c r="AM684" s="303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6" t="s">
        <v>1813</v>
      </c>
      <c r="AF687" s="3086"/>
      <c r="AG687" s="3086"/>
      <c r="AH687" s="3086"/>
      <c r="AI687" s="3086"/>
      <c r="AJ687" s="3086"/>
      <c r="AK687" s="3086"/>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12" t="s">
        <v>627</v>
      </c>
      <c r="D693" s="3113"/>
      <c r="E693" s="1250" t="s">
        <v>541</v>
      </c>
      <c r="F693" s="3121" t="s">
        <v>1819</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27" t="s">
        <v>627</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8" t="s">
        <v>579</v>
      </c>
      <c r="D697" s="3129"/>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17" t="s">
        <v>627</v>
      </c>
      <c r="W700" s="3017"/>
      <c r="X700" s="3017"/>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17" t="s">
        <v>627</v>
      </c>
      <c r="W702" s="3017"/>
      <c r="X702" s="3017"/>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17" t="s">
        <v>627</v>
      </c>
      <c r="W707" s="3017"/>
      <c r="X707" s="3017"/>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5"/>
      <c r="E710" s="3115"/>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17" t="s">
        <v>627</v>
      </c>
      <c r="W711" s="3017"/>
      <c r="X711" s="3017"/>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17" t="s">
        <v>627</v>
      </c>
      <c r="W713" s="3017"/>
      <c r="X713" s="3017"/>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12" t="s">
        <v>627</v>
      </c>
      <c r="D716" s="3113"/>
      <c r="E716" s="1250" t="s">
        <v>541</v>
      </c>
      <c r="F716" s="3121" t="s">
        <v>1819</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23" t="s">
        <v>627</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2" t="s">
        <v>627</v>
      </c>
      <c r="D720" s="3113"/>
      <c r="E720" s="1250" t="s">
        <v>801</v>
      </c>
      <c r="F720" s="3124" t="s">
        <v>1841</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6" t="s">
        <v>627</v>
      </c>
      <c r="G723" s="3126"/>
      <c r="H723" s="312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12" t="s">
        <v>627</v>
      </c>
      <c r="D725" s="3113"/>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4"/>
      <c r="D727" s="3115"/>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6" t="s">
        <v>627</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7" t="s">
        <v>627</v>
      </c>
      <c r="D730" s="3118"/>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7" t="s">
        <v>627</v>
      </c>
      <c r="D734" s="3118"/>
      <c r="E734" s="1027"/>
      <c r="F734" s="1292" t="s">
        <v>1849</v>
      </c>
      <c r="G734" s="3119" t="s">
        <v>1850</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01" t="s">
        <v>627</v>
      </c>
      <c r="D738" s="3102"/>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3" t="s">
        <v>627</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9">
        <f>SUM(AG694:AG739)</f>
        <v>0</v>
      </c>
      <c r="AL750" s="3051"/>
      <c r="AM750" s="303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5" t="s">
        <v>1864</v>
      </c>
      <c r="AF753" s="3105"/>
      <c r="AG753" s="3105"/>
      <c r="AH753" s="3105"/>
      <c r="AI753" s="3105"/>
      <c r="AJ753" s="3105"/>
      <c r="AK753" s="3105"/>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5" t="s">
        <v>627</v>
      </c>
      <c r="D756" s="3025"/>
      <c r="E756" s="946"/>
      <c r="F756" s="3106" t="s">
        <v>1865</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7"/>
      <c r="AN756" s="1002"/>
    </row>
    <row r="757" spans="1:49" s="945" customFormat="1" ht="12.75" customHeight="1">
      <c r="A757" s="1014"/>
      <c r="B757" s="1014"/>
      <c r="C757" s="946"/>
      <c r="D757" s="946"/>
      <c r="E757" s="946"/>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5" t="s">
        <v>579</v>
      </c>
      <c r="D759" s="3025"/>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3" t="s">
        <v>1867</v>
      </c>
      <c r="G760" s="3094"/>
      <c r="H760" s="3094"/>
      <c r="I760" s="3094"/>
      <c r="J760" s="3094"/>
      <c r="K760" s="3094"/>
      <c r="L760" s="3094"/>
      <c r="M760" s="3094"/>
      <c r="N760" s="3094"/>
      <c r="O760" s="3094"/>
      <c r="P760" s="3094"/>
      <c r="Q760" s="3094"/>
      <c r="R760" s="3094"/>
      <c r="S760" s="3094"/>
      <c r="T760" s="3094"/>
      <c r="U760" s="3094"/>
      <c r="V760" s="3094"/>
      <c r="W760" s="3094"/>
      <c r="X760" s="3094"/>
      <c r="Y760" s="3094"/>
      <c r="Z760" s="3094"/>
      <c r="AA760" s="3094"/>
      <c r="AB760" s="3094"/>
      <c r="AC760" s="3094"/>
      <c r="AD760" s="3094"/>
      <c r="AE760" s="3094"/>
      <c r="AF760" s="3094"/>
      <c r="AG760" s="3094"/>
      <c r="AH760" s="3094"/>
      <c r="AI760" s="3094"/>
      <c r="AJ760" s="3094"/>
      <c r="AK760" s="3094"/>
      <c r="AL760" s="3095"/>
      <c r="AM760" s="1007"/>
      <c r="AN760" s="1002"/>
      <c r="AS760" s="1485"/>
      <c r="AT760" s="1485"/>
      <c r="AU760" s="1485"/>
      <c r="AV760" s="1485"/>
      <c r="AW760" s="1485"/>
    </row>
    <row r="761" spans="1:49" s="945" customFormat="1" ht="12.75" customHeight="1">
      <c r="A761" s="1028"/>
      <c r="B761" s="1307"/>
      <c r="C761" s="1307"/>
      <c r="D761" s="1307"/>
      <c r="E761" s="1307"/>
      <c r="F761" s="3093"/>
      <c r="G761" s="3094"/>
      <c r="H761" s="3094"/>
      <c r="I761" s="3094"/>
      <c r="J761" s="3094"/>
      <c r="K761" s="3094"/>
      <c r="L761" s="3094"/>
      <c r="M761" s="3094"/>
      <c r="N761" s="3094"/>
      <c r="O761" s="3094"/>
      <c r="P761" s="3094"/>
      <c r="Q761" s="3094"/>
      <c r="R761" s="3094"/>
      <c r="S761" s="3094"/>
      <c r="T761" s="3094"/>
      <c r="U761" s="3094"/>
      <c r="V761" s="3094"/>
      <c r="W761" s="3094"/>
      <c r="X761" s="3094"/>
      <c r="Y761" s="3094"/>
      <c r="Z761" s="3094"/>
      <c r="AA761" s="3094"/>
      <c r="AB761" s="3094"/>
      <c r="AC761" s="3094"/>
      <c r="AD761" s="3094"/>
      <c r="AE761" s="3094"/>
      <c r="AF761" s="3094"/>
      <c r="AG761" s="3094"/>
      <c r="AH761" s="3094"/>
      <c r="AI761" s="3094"/>
      <c r="AJ761" s="3094"/>
      <c r="AK761" s="3094"/>
      <c r="AL761" s="3095"/>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3" t="s">
        <v>1869</v>
      </c>
      <c r="G763" s="3094"/>
      <c r="H763" s="3094"/>
      <c r="I763" s="3094"/>
      <c r="J763" s="3094"/>
      <c r="K763" s="3094"/>
      <c r="L763" s="3094"/>
      <c r="M763" s="3094"/>
      <c r="N763" s="3094"/>
      <c r="O763" s="3094"/>
      <c r="P763" s="3094"/>
      <c r="Q763" s="3094"/>
      <c r="R763" s="3094"/>
      <c r="S763" s="3094"/>
      <c r="T763" s="3094"/>
      <c r="U763" s="3094"/>
      <c r="V763" s="3094"/>
      <c r="W763" s="3094"/>
      <c r="X763" s="3094"/>
      <c r="Y763" s="3094"/>
      <c r="Z763" s="3094"/>
      <c r="AA763" s="3094"/>
      <c r="AB763" s="3094"/>
      <c r="AC763" s="3094"/>
      <c r="AD763" s="3094"/>
      <c r="AE763" s="3094"/>
      <c r="AF763" s="3094"/>
      <c r="AG763" s="3094"/>
      <c r="AH763" s="3094"/>
      <c r="AI763" s="3094"/>
      <c r="AJ763" s="3094"/>
      <c r="AK763" s="3094"/>
      <c r="AL763" s="1316"/>
      <c r="AM763" s="1007"/>
      <c r="AN763" s="1002"/>
      <c r="AT763" s="1091"/>
      <c r="AU763" s="1091"/>
      <c r="AV763" s="1091"/>
    </row>
    <row r="764" spans="1:49" s="945" customFormat="1" ht="12.75" customHeight="1">
      <c r="A764" s="1028"/>
      <c r="B764" s="1307"/>
      <c r="C764" s="1307"/>
      <c r="D764" s="1307"/>
      <c r="E764" s="1307"/>
      <c r="F764" s="3096"/>
      <c r="G764" s="3097"/>
      <c r="H764" s="3097"/>
      <c r="I764" s="3097"/>
      <c r="J764" s="3097"/>
      <c r="K764" s="3097"/>
      <c r="L764" s="3097"/>
      <c r="M764" s="3097"/>
      <c r="N764" s="3097"/>
      <c r="O764" s="3097"/>
      <c r="P764" s="3097"/>
      <c r="Q764" s="3097"/>
      <c r="R764" s="3097"/>
      <c r="S764" s="3097"/>
      <c r="T764" s="3097"/>
      <c r="U764" s="3097"/>
      <c r="V764" s="3097"/>
      <c r="W764" s="3097"/>
      <c r="X764" s="3097"/>
      <c r="Y764" s="3097"/>
      <c r="Z764" s="3097"/>
      <c r="AA764" s="3097"/>
      <c r="AB764" s="3097"/>
      <c r="AC764" s="3097"/>
      <c r="AD764" s="3097"/>
      <c r="AE764" s="3097"/>
      <c r="AF764" s="3097"/>
      <c r="AG764" s="3097"/>
      <c r="AH764" s="3097"/>
      <c r="AI764" s="3097"/>
      <c r="AJ764" s="3097"/>
      <c r="AK764" s="309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9">
        <f>Application!AJ975</f>
        <v>17422848</v>
      </c>
      <c r="AQ765" s="3009"/>
      <c r="AR765" s="3009"/>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8">
        <f>'Sources and Uses Budget'!S107+'Sources and Uses Budget'!T107</f>
        <v>22737732</v>
      </c>
      <c r="AG766" s="3098"/>
      <c r="AH766" s="3098"/>
      <c r="AI766" s="3098"/>
      <c r="AJ766" s="3098"/>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9">
        <f>AP774</f>
        <v>38121496.399999999</v>
      </c>
      <c r="AG767" s="3099"/>
      <c r="AH767" s="3099"/>
      <c r="AI767" s="3099"/>
      <c r="AJ767" s="3099"/>
      <c r="AK767" s="1007"/>
      <c r="AL767" s="1007"/>
      <c r="AM767" s="1007"/>
      <c r="AN767" s="1002"/>
      <c r="AP767" s="3009">
        <f>Application!AJ1024</f>
        <v>0</v>
      </c>
      <c r="AQ767" s="3009"/>
      <c r="AR767" s="300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00">
        <f>ROUNDDOWN(IF(C759="YES",((1-(AF766/AF767))*2),(1-(AF766/AF767))),2)</f>
        <v>0.8</v>
      </c>
      <c r="AG768" s="3100"/>
      <c r="AH768" s="3100"/>
      <c r="AI768" s="3100"/>
      <c r="AJ768" s="3100"/>
      <c r="AK768" s="1007"/>
      <c r="AL768" s="1007"/>
      <c r="AM768" s="1007"/>
      <c r="AN768" s="1002"/>
      <c r="AP768" s="3010">
        <f>Application!AJ1028</f>
        <v>34845696</v>
      </c>
      <c r="AQ768" s="3010"/>
      <c r="AR768" s="301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5">
        <f>IF(((AP767+AP768)/AP765)&gt;0.8,0.8,((AP767+AP768)/AP765))</f>
        <v>0.8</v>
      </c>
      <c r="AQ769" s="3015"/>
      <c r="AR769" s="3015"/>
    </row>
    <row r="770" spans="1:44" s="945" customFormat="1" ht="12.75" customHeight="1">
      <c r="A770" s="1050"/>
      <c r="B770" s="3072" t="s">
        <v>1872</v>
      </c>
      <c r="C770" s="3073"/>
      <c r="D770" s="3073"/>
      <c r="E770" s="3073"/>
      <c r="F770" s="3073"/>
      <c r="G770" s="3073"/>
      <c r="H770" s="3073"/>
      <c r="I770" s="3073"/>
      <c r="J770" s="3073"/>
      <c r="K770" s="3073"/>
      <c r="L770" s="3073"/>
      <c r="M770" s="3073"/>
      <c r="N770" s="3073"/>
      <c r="O770" s="3073"/>
      <c r="P770" s="3073"/>
      <c r="Q770" s="3073"/>
      <c r="R770" s="3073"/>
      <c r="S770" s="3073"/>
      <c r="T770" s="3073"/>
      <c r="U770" s="3073"/>
      <c r="V770" s="3073"/>
      <c r="W770" s="3073"/>
      <c r="X770" s="3073"/>
      <c r="Y770" s="3073"/>
      <c r="Z770" s="3073"/>
      <c r="AA770" s="3073"/>
      <c r="AB770" s="3073"/>
      <c r="AC770" s="3073"/>
      <c r="AD770" s="3073"/>
      <c r="AE770" s="3073"/>
      <c r="AF770" s="3073"/>
      <c r="AG770" s="3073"/>
      <c r="AH770" s="3073"/>
      <c r="AI770" s="3073"/>
      <c r="AJ770" s="3074"/>
      <c r="AK770" s="1007"/>
      <c r="AL770" s="1007"/>
      <c r="AM770" s="1007"/>
      <c r="AN770" s="1002"/>
    </row>
    <row r="771" spans="1:44" s="945" customFormat="1" ht="12.75" customHeight="1">
      <c r="A771" s="1050"/>
      <c r="B771" s="3075"/>
      <c r="C771" s="3076"/>
      <c r="D771" s="3076"/>
      <c r="E771" s="3076"/>
      <c r="F771" s="3076"/>
      <c r="G771" s="3076"/>
      <c r="H771" s="3076"/>
      <c r="I771" s="3076"/>
      <c r="J771" s="3076"/>
      <c r="K771" s="3076"/>
      <c r="L771" s="3076"/>
      <c r="M771" s="3076"/>
      <c r="N771" s="3076"/>
      <c r="O771" s="3076"/>
      <c r="P771" s="3076"/>
      <c r="Q771" s="3076"/>
      <c r="R771" s="3076"/>
      <c r="S771" s="3076"/>
      <c r="T771" s="3076"/>
      <c r="U771" s="3076"/>
      <c r="V771" s="3076"/>
      <c r="W771" s="3076"/>
      <c r="X771" s="3076"/>
      <c r="Y771" s="3076"/>
      <c r="Z771" s="3076"/>
      <c r="AA771" s="3076"/>
      <c r="AB771" s="3076"/>
      <c r="AC771" s="3076"/>
      <c r="AD771" s="3076"/>
      <c r="AE771" s="3076"/>
      <c r="AF771" s="3076"/>
      <c r="AG771" s="3076"/>
      <c r="AH771" s="3076"/>
      <c r="AI771" s="3076"/>
      <c r="AJ771" s="3077"/>
      <c r="AK771" s="1007"/>
      <c r="AL771" s="1007"/>
      <c r="AM771" s="1007"/>
      <c r="AN771" s="1002"/>
      <c r="AP771" s="3009">
        <f>AP772-AP767-AP768</f>
        <v>24183218</v>
      </c>
      <c r="AQ771" s="3016"/>
      <c r="AR771" s="3016"/>
    </row>
    <row r="772" spans="1:44" s="945" customFormat="1" ht="12.75" customHeight="1">
      <c r="A772" s="1050"/>
      <c r="B772" s="3078"/>
      <c r="C772" s="3079"/>
      <c r="D772" s="3079"/>
      <c r="E772" s="3079"/>
      <c r="F772" s="3079"/>
      <c r="G772" s="3079"/>
      <c r="H772" s="3079"/>
      <c r="I772" s="3079"/>
      <c r="J772" s="3079"/>
      <c r="K772" s="3079"/>
      <c r="L772" s="3079"/>
      <c r="M772" s="3079"/>
      <c r="N772" s="3079"/>
      <c r="O772" s="3079"/>
      <c r="P772" s="3079"/>
      <c r="Q772" s="3079"/>
      <c r="R772" s="3079"/>
      <c r="S772" s="3079"/>
      <c r="T772" s="3079"/>
      <c r="U772" s="3079"/>
      <c r="V772" s="3079"/>
      <c r="W772" s="3079"/>
      <c r="X772" s="3079"/>
      <c r="Y772" s="3079"/>
      <c r="Z772" s="3079"/>
      <c r="AA772" s="3079"/>
      <c r="AB772" s="3079"/>
      <c r="AC772" s="3079"/>
      <c r="AD772" s="3079"/>
      <c r="AE772" s="3079"/>
      <c r="AF772" s="3079"/>
      <c r="AG772" s="3079"/>
      <c r="AH772" s="3079"/>
      <c r="AI772" s="3079"/>
      <c r="AJ772" s="3080"/>
      <c r="AK772" s="1007"/>
      <c r="AL772" s="1007"/>
      <c r="AM772" s="1007"/>
      <c r="AN772" s="1002"/>
      <c r="AP772" s="3009">
        <f>Application!AJ1032</f>
        <v>59028914</v>
      </c>
      <c r="AQ772" s="3009"/>
      <c r="AR772" s="300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81">
        <f>IF(AF768=0,0,IF((AF768*100)&gt;12,12,(AF768*100)))</f>
        <v>12</v>
      </c>
      <c r="AL774" s="3081"/>
      <c r="AM774" s="3082"/>
      <c r="AN774" s="1002"/>
      <c r="AP774" s="2998">
        <f>AP771+(AP765*AP769)</f>
        <v>38121496.399999999</v>
      </c>
      <c r="AQ774" s="2999"/>
      <c r="AR774" s="300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3" t="s">
        <v>1874</v>
      </c>
      <c r="B777" s="3084"/>
      <c r="C777" s="3084"/>
      <c r="D777" s="3084"/>
      <c r="E777" s="3084"/>
      <c r="F777" s="3084"/>
      <c r="G777" s="3084"/>
      <c r="H777" s="3084"/>
      <c r="I777" s="3084"/>
      <c r="J777" s="3084"/>
      <c r="K777" s="3084"/>
      <c r="L777" s="3084"/>
      <c r="M777" s="3084"/>
      <c r="N777" s="3084"/>
      <c r="O777" s="3084"/>
      <c r="P777" s="3084"/>
      <c r="Q777" s="3084"/>
      <c r="R777" s="3084"/>
      <c r="S777" s="3084"/>
      <c r="T777" s="3084"/>
      <c r="U777" s="3084"/>
      <c r="V777" s="3084"/>
      <c r="W777" s="3084"/>
      <c r="X777" s="3084"/>
      <c r="Y777" s="3084"/>
      <c r="Z777" s="3084"/>
      <c r="AA777" s="3084"/>
      <c r="AB777" s="3084"/>
      <c r="AC777" s="3084"/>
      <c r="AD777" s="3084"/>
      <c r="AE777" s="3084"/>
      <c r="AF777" s="3084"/>
      <c r="AG777" s="3084"/>
      <c r="AH777" s="3084"/>
      <c r="AI777" s="3084"/>
      <c r="AJ777" s="3084"/>
      <c r="AK777" s="3084"/>
      <c r="AL777" s="3084"/>
      <c r="AM777" s="3084"/>
    </row>
    <row r="778" spans="1:44">
      <c r="A778" s="3085"/>
      <c r="B778" s="3085"/>
      <c r="C778" s="3085"/>
      <c r="D778" s="3085"/>
      <c r="E778" s="3085"/>
      <c r="F778" s="3085"/>
      <c r="G778" s="3085"/>
      <c r="H778" s="3085"/>
      <c r="I778" s="3085"/>
      <c r="J778" s="3085"/>
      <c r="K778" s="3085"/>
      <c r="L778" s="3085"/>
      <c r="M778" s="3085"/>
      <c r="N778" s="3085"/>
      <c r="O778" s="3085"/>
      <c r="P778" s="3085"/>
      <c r="Q778" s="3085"/>
      <c r="R778" s="3085"/>
      <c r="S778" s="3085"/>
      <c r="T778" s="3085"/>
      <c r="U778" s="3085"/>
      <c r="V778" s="3085"/>
      <c r="W778" s="3085"/>
      <c r="X778" s="3085"/>
      <c r="Y778" s="3085"/>
      <c r="Z778" s="3085"/>
      <c r="AA778" s="3085"/>
      <c r="AB778" s="3085"/>
      <c r="AC778" s="3085"/>
      <c r="AD778" s="3085"/>
      <c r="AE778" s="3085"/>
      <c r="AF778" s="3085"/>
      <c r="AG778" s="3085"/>
      <c r="AH778" s="3085"/>
      <c r="AI778" s="3085"/>
      <c r="AJ778" s="3085"/>
      <c r="AK778" s="3085"/>
      <c r="AL778" s="3085"/>
      <c r="AM778" s="308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6"/>
      <c r="B780" s="3086"/>
      <c r="C780" s="3086"/>
      <c r="D780" s="3086"/>
      <c r="E780" s="3086"/>
      <c r="F780" s="3086"/>
      <c r="G780" s="3086"/>
      <c r="H780" s="3086"/>
      <c r="I780" s="3086"/>
      <c r="J780" s="3086"/>
      <c r="K780" s="3086"/>
      <c r="L780" s="3086"/>
      <c r="M780" s="3086"/>
      <c r="N780" s="3086"/>
      <c r="O780" s="3086"/>
      <c r="P780" s="3086"/>
      <c r="Q780" s="3086"/>
      <c r="R780" s="3086"/>
      <c r="S780" s="3086"/>
      <c r="T780" s="3086"/>
      <c r="U780" s="3086"/>
      <c r="V780" s="3086"/>
      <c r="W780" s="3086"/>
      <c r="X780" s="3086"/>
      <c r="Y780" s="3086"/>
      <c r="Z780" s="3086"/>
      <c r="AA780" s="3086"/>
      <c r="AB780" s="3086"/>
      <c r="AC780" s="3086"/>
      <c r="AD780" s="3086"/>
      <c r="AE780" s="3086"/>
      <c r="AF780" s="3086"/>
      <c r="AG780" s="3086"/>
      <c r="AH780" s="3086"/>
      <c r="AI780" s="3086"/>
      <c r="AJ780" s="3086"/>
      <c r="AK780" s="3086"/>
      <c r="AL780" s="3086"/>
      <c r="AM780" s="3086"/>
      <c r="AO780" s="1229"/>
      <c r="AP780" s="1322"/>
      <c r="AQ780" s="1321"/>
    </row>
    <row r="781" spans="1:44">
      <c r="A781" s="3086"/>
      <c r="B781" s="3086"/>
      <c r="C781" s="3086"/>
      <c r="D781" s="3086"/>
      <c r="E781" s="3086"/>
      <c r="F781" s="3086"/>
      <c r="G781" s="3086"/>
      <c r="H781" s="3086"/>
      <c r="I781" s="3086"/>
      <c r="J781" s="3086"/>
      <c r="K781" s="3086"/>
      <c r="L781" s="3086"/>
      <c r="M781" s="3086"/>
      <c r="N781" s="3086"/>
      <c r="O781" s="3086"/>
      <c r="P781" s="3086"/>
      <c r="Q781" s="3086"/>
      <c r="R781" s="3086"/>
      <c r="S781" s="3086"/>
      <c r="T781" s="3086"/>
      <c r="U781" s="3086"/>
      <c r="V781" s="3086"/>
      <c r="W781" s="3086"/>
      <c r="X781" s="3086"/>
      <c r="Y781" s="3086"/>
      <c r="Z781" s="3086"/>
      <c r="AA781" s="3086"/>
      <c r="AB781" s="3086"/>
      <c r="AC781" s="3086"/>
      <c r="AD781" s="3086"/>
      <c r="AE781" s="3086"/>
      <c r="AF781" s="3086"/>
      <c r="AG781" s="3086"/>
      <c r="AH781" s="3086"/>
      <c r="AI781" s="3086"/>
      <c r="AJ781" s="3086"/>
      <c r="AK781" s="3086"/>
      <c r="AL781" s="3086"/>
      <c r="AM781" s="308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7" t="s">
        <v>1875</v>
      </c>
      <c r="U782" s="3088"/>
      <c r="V782" s="3088"/>
      <c r="W782" s="3088"/>
      <c r="X782" s="3088"/>
      <c r="Y782" s="3089"/>
      <c r="Z782" s="3087" t="s">
        <v>1876</v>
      </c>
      <c r="AA782" s="3088"/>
      <c r="AB782" s="3088"/>
      <c r="AC782" s="3088"/>
      <c r="AD782" s="3088"/>
      <c r="AE782" s="3089"/>
      <c r="AF782" s="3087" t="s">
        <v>1877</v>
      </c>
      <c r="AG782" s="3088"/>
      <c r="AH782" s="3088"/>
      <c r="AI782" s="3088"/>
      <c r="AJ782" s="3088"/>
      <c r="AK782" s="308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90"/>
      <c r="U783" s="3091"/>
      <c r="V783" s="3091"/>
      <c r="W783" s="3091"/>
      <c r="X783" s="3091"/>
      <c r="Y783" s="3092"/>
      <c r="Z783" s="3090"/>
      <c r="AA783" s="3091"/>
      <c r="AB783" s="3091"/>
      <c r="AC783" s="3091"/>
      <c r="AD783" s="3091"/>
      <c r="AE783" s="3092"/>
      <c r="AF783" s="3090"/>
      <c r="AG783" s="3091"/>
      <c r="AH783" s="3091"/>
      <c r="AI783" s="3091"/>
      <c r="AJ783" s="3091"/>
      <c r="AK783" s="3092"/>
      <c r="AL783" s="1324"/>
      <c r="AM783" s="1218"/>
      <c r="AO783" s="1322"/>
      <c r="AP783" s="1321"/>
      <c r="AQ783" s="1321"/>
    </row>
    <row r="784" spans="1:44">
      <c r="A784" s="1325" t="s">
        <v>801</v>
      </c>
      <c r="B784" s="3039" t="s">
        <v>1574</v>
      </c>
      <c r="C784" s="3039"/>
      <c r="D784" s="3039"/>
      <c r="E784" s="3039"/>
      <c r="F784" s="3039"/>
      <c r="G784" s="3039"/>
      <c r="H784" s="3039"/>
      <c r="I784" s="3039"/>
      <c r="J784" s="3039"/>
      <c r="K784" s="3039"/>
      <c r="L784" s="3039"/>
      <c r="M784" s="3039"/>
      <c r="N784" s="3039"/>
      <c r="O784" s="3039"/>
      <c r="P784" s="3039"/>
      <c r="Q784" s="3039"/>
      <c r="R784" s="3039"/>
      <c r="S784" s="3040"/>
      <c r="T784" s="3071">
        <f>AK51</f>
        <v>0</v>
      </c>
      <c r="U784" s="3043"/>
      <c r="V784" s="3043"/>
      <c r="W784" s="3043"/>
      <c r="X784" s="3043"/>
      <c r="Y784" s="3044"/>
      <c r="Z784" s="3042">
        <v>20</v>
      </c>
      <c r="AA784" s="3043"/>
      <c r="AB784" s="3043"/>
      <c r="AC784" s="3043"/>
      <c r="AD784" s="3043"/>
      <c r="AE784" s="3044"/>
      <c r="AF784" s="3045">
        <f>IF(T784&gt;Z784,Z784,T784)</f>
        <v>0</v>
      </c>
      <c r="AG784" s="3045"/>
      <c r="AH784" s="3045"/>
      <c r="AI784" s="3045"/>
      <c r="AJ784" s="3045"/>
      <c r="AK784" s="3045"/>
      <c r="AL784" s="1324"/>
      <c r="AM784" s="1218"/>
      <c r="AO784" s="1321"/>
      <c r="AP784" s="1321"/>
      <c r="AQ784" s="1321"/>
    </row>
    <row r="785" spans="1:81">
      <c r="A785" s="1325" t="s">
        <v>1843</v>
      </c>
      <c r="B785" s="3039" t="s">
        <v>1596</v>
      </c>
      <c r="C785" s="3039"/>
      <c r="D785" s="3039"/>
      <c r="E785" s="3039"/>
      <c r="F785" s="3039"/>
      <c r="G785" s="3039"/>
      <c r="H785" s="3039"/>
      <c r="I785" s="3039"/>
      <c r="J785" s="3039"/>
      <c r="K785" s="3039"/>
      <c r="L785" s="3039"/>
      <c r="M785" s="3039"/>
      <c r="N785" s="3039"/>
      <c r="O785" s="3039"/>
      <c r="P785" s="3039"/>
      <c r="Q785" s="3039"/>
      <c r="R785" s="3039"/>
      <c r="S785" s="3040"/>
      <c r="T785" s="3071">
        <f>AK72</f>
        <v>10</v>
      </c>
      <c r="U785" s="3043"/>
      <c r="V785" s="3043"/>
      <c r="W785" s="3043"/>
      <c r="X785" s="3043"/>
      <c r="Y785" s="3044"/>
      <c r="Z785" s="3042">
        <v>10</v>
      </c>
      <c r="AA785" s="3043"/>
      <c r="AB785" s="3043"/>
      <c r="AC785" s="3043"/>
      <c r="AD785" s="3043"/>
      <c r="AE785" s="3044"/>
      <c r="AF785" s="3045">
        <f>IF(T785&gt;Z785,Z785,T785)</f>
        <v>10</v>
      </c>
      <c r="AG785" s="3045"/>
      <c r="AH785" s="3045"/>
      <c r="AI785" s="3045"/>
      <c r="AJ785" s="3045"/>
      <c r="AK785" s="3045"/>
      <c r="AL785" s="1324"/>
      <c r="AM785" s="1218"/>
      <c r="AO785" s="1321"/>
      <c r="AP785" s="1321"/>
      <c r="AQ785" s="1321"/>
    </row>
    <row r="786" spans="1:81">
      <c r="A786" s="1325" t="s">
        <v>1852</v>
      </c>
      <c r="B786" s="3039" t="s">
        <v>1606</v>
      </c>
      <c r="C786" s="3039"/>
      <c r="D786" s="3039"/>
      <c r="E786" s="3039"/>
      <c r="F786" s="3039"/>
      <c r="G786" s="3039"/>
      <c r="H786" s="3039"/>
      <c r="I786" s="3039"/>
      <c r="J786" s="3039"/>
      <c r="K786" s="3039"/>
      <c r="L786" s="3039"/>
      <c r="M786" s="3039"/>
      <c r="N786" s="3039"/>
      <c r="O786" s="3039"/>
      <c r="P786" s="3039"/>
      <c r="Q786" s="3039"/>
      <c r="R786" s="3039"/>
      <c r="S786" s="3040"/>
      <c r="T786" s="3071">
        <f>AK97</f>
        <v>20</v>
      </c>
      <c r="U786" s="3043"/>
      <c r="V786" s="3043"/>
      <c r="W786" s="3043"/>
      <c r="X786" s="3043"/>
      <c r="Y786" s="3044"/>
      <c r="Z786" s="3042">
        <v>20</v>
      </c>
      <c r="AA786" s="3043"/>
      <c r="AB786" s="3043"/>
      <c r="AC786" s="3043"/>
      <c r="AD786" s="3043"/>
      <c r="AE786" s="3044"/>
      <c r="AF786" s="3045">
        <f>IF(T786&gt;Z786,Z786,T786)</f>
        <v>20</v>
      </c>
      <c r="AG786" s="3045"/>
      <c r="AH786" s="3045"/>
      <c r="AI786" s="3045"/>
      <c r="AJ786" s="3045"/>
      <c r="AK786" s="3045"/>
      <c r="AL786" s="1324"/>
      <c r="AM786" s="1218"/>
      <c r="AO786" s="1321"/>
      <c r="AP786" s="1321"/>
      <c r="AQ786" s="1321"/>
    </row>
    <row r="787" spans="1:81">
      <c r="A787" s="1325" t="s">
        <v>1878</v>
      </c>
      <c r="B787" s="3039" t="s">
        <v>1616</v>
      </c>
      <c r="C787" s="3039"/>
      <c r="D787" s="3039"/>
      <c r="E787" s="3039"/>
      <c r="F787" s="3039"/>
      <c r="G787" s="3039"/>
      <c r="H787" s="3039"/>
      <c r="I787" s="3039"/>
      <c r="J787" s="3039"/>
      <c r="K787" s="3039"/>
      <c r="L787" s="3039"/>
      <c r="M787" s="3039"/>
      <c r="N787" s="3039"/>
      <c r="O787" s="3039"/>
      <c r="P787" s="3039"/>
      <c r="Q787" s="3039"/>
      <c r="R787" s="3039"/>
      <c r="S787" s="3040"/>
      <c r="T787" s="3071">
        <f>AK131</f>
        <v>10</v>
      </c>
      <c r="U787" s="3043"/>
      <c r="V787" s="3043"/>
      <c r="W787" s="3043"/>
      <c r="X787" s="3043"/>
      <c r="Y787" s="3044"/>
      <c r="Z787" s="3042">
        <v>10</v>
      </c>
      <c r="AA787" s="3043"/>
      <c r="AB787" s="3043"/>
      <c r="AC787" s="3043"/>
      <c r="AD787" s="3043"/>
      <c r="AE787" s="3044"/>
      <c r="AF787" s="3045">
        <f>IF(T787&gt;Z787,Z787,T787)</f>
        <v>10</v>
      </c>
      <c r="AG787" s="3045"/>
      <c r="AH787" s="3045"/>
      <c r="AI787" s="3045"/>
      <c r="AJ787" s="3045"/>
      <c r="AK787" s="3045"/>
      <c r="AL787" s="1324"/>
      <c r="AM787" s="1218"/>
      <c r="AO787" s="1321"/>
      <c r="AP787" s="1321"/>
      <c r="AQ787" s="1321"/>
    </row>
    <row r="788" spans="1:81">
      <c r="A788" s="1327" t="s">
        <v>1879</v>
      </c>
      <c r="B788" s="3039" t="s">
        <v>1880</v>
      </c>
      <c r="C788" s="3039"/>
      <c r="D788" s="3039"/>
      <c r="E788" s="3039"/>
      <c r="F788" s="3039"/>
      <c r="G788" s="3039"/>
      <c r="H788" s="3039"/>
      <c r="I788" s="3039"/>
      <c r="J788" s="3039"/>
      <c r="K788" s="3039"/>
      <c r="L788" s="3039"/>
      <c r="M788" s="3039"/>
      <c r="N788" s="3039"/>
      <c r="O788" s="3039"/>
      <c r="P788" s="3039"/>
      <c r="Q788" s="3039"/>
      <c r="R788" s="3039"/>
      <c r="S788" s="3040"/>
      <c r="T788" s="3041">
        <f>SUM(T789:Y790)</f>
        <v>10</v>
      </c>
      <c r="U788" s="3041"/>
      <c r="V788" s="3041"/>
      <c r="W788" s="3041"/>
      <c r="X788" s="3041"/>
      <c r="Y788" s="3041"/>
      <c r="Z788" s="3045">
        <v>10</v>
      </c>
      <c r="AA788" s="3045"/>
      <c r="AB788" s="3045"/>
      <c r="AC788" s="3045"/>
      <c r="AD788" s="3045"/>
      <c r="AE788" s="3045"/>
      <c r="AF788" s="3045">
        <f>IF(T788&gt;Z788,Z788,T788)</f>
        <v>10</v>
      </c>
      <c r="AG788" s="3045"/>
      <c r="AH788" s="3045"/>
      <c r="AI788" s="3045"/>
      <c r="AJ788" s="3045"/>
      <c r="AK788" s="3045"/>
      <c r="AL788" s="1324"/>
      <c r="AM788" s="1218"/>
    </row>
    <row r="789" spans="1:81">
      <c r="A789" s="928"/>
      <c r="B789" s="1011"/>
      <c r="C789" s="3046" t="s">
        <v>1881</v>
      </c>
      <c r="D789" s="3046"/>
      <c r="E789" s="3046"/>
      <c r="F789" s="3046"/>
      <c r="G789" s="3046"/>
      <c r="H789" s="3046"/>
      <c r="I789" s="3046"/>
      <c r="J789" s="3046"/>
      <c r="K789" s="3046"/>
      <c r="L789" s="3046"/>
      <c r="M789" s="3046"/>
      <c r="N789" s="3046"/>
      <c r="O789" s="3046"/>
      <c r="P789" s="3046"/>
      <c r="Q789" s="3046"/>
      <c r="R789" s="3046"/>
      <c r="S789" s="3047"/>
      <c r="T789" s="3048">
        <f>AJ149</f>
        <v>7</v>
      </c>
      <c r="U789" s="3048"/>
      <c r="V789" s="3048"/>
      <c r="W789" s="3048"/>
      <c r="X789" s="3048"/>
      <c r="Y789" s="3048"/>
      <c r="Z789" s="3049">
        <v>7</v>
      </c>
      <c r="AA789" s="3049"/>
      <c r="AB789" s="3049"/>
      <c r="AC789" s="3049"/>
      <c r="AD789" s="3049"/>
      <c r="AE789" s="3049"/>
      <c r="AF789" s="3050"/>
      <c r="AG789" s="3050"/>
      <c r="AH789" s="3050"/>
      <c r="AI789" s="3050"/>
      <c r="AJ789" s="3050"/>
      <c r="AK789" s="3050"/>
      <c r="AL789" s="1324"/>
      <c r="AM789" s="1218"/>
    </row>
    <row r="790" spans="1:81">
      <c r="A790" s="1328"/>
      <c r="B790" s="1011"/>
      <c r="C790" s="3046" t="s">
        <v>1882</v>
      </c>
      <c r="D790" s="3046"/>
      <c r="E790" s="3046"/>
      <c r="F790" s="3046"/>
      <c r="G790" s="3046"/>
      <c r="H790" s="3046"/>
      <c r="I790" s="3046"/>
      <c r="J790" s="3046"/>
      <c r="K790" s="3046"/>
      <c r="L790" s="3046"/>
      <c r="M790" s="3046"/>
      <c r="N790" s="3046"/>
      <c r="O790" s="3046"/>
      <c r="P790" s="3046"/>
      <c r="Q790" s="3046"/>
      <c r="R790" s="3046"/>
      <c r="S790" s="3047"/>
      <c r="T790" s="3048">
        <f>AJ163</f>
        <v>3</v>
      </c>
      <c r="U790" s="3048"/>
      <c r="V790" s="3048"/>
      <c r="W790" s="3048"/>
      <c r="X790" s="3048"/>
      <c r="Y790" s="3048"/>
      <c r="Z790" s="3049">
        <v>3</v>
      </c>
      <c r="AA790" s="3049"/>
      <c r="AB790" s="3049"/>
      <c r="AC790" s="3049"/>
      <c r="AD790" s="3049"/>
      <c r="AE790" s="3049"/>
      <c r="AF790" s="3050"/>
      <c r="AG790" s="3050"/>
      <c r="AH790" s="3050"/>
      <c r="AI790" s="3050"/>
      <c r="AJ790" s="3050"/>
      <c r="AK790" s="3050"/>
      <c r="AL790" s="1324"/>
      <c r="AM790" s="1218"/>
      <c r="AO790" s="945"/>
    </row>
    <row r="791" spans="1:81">
      <c r="A791" s="1327" t="s">
        <v>1644</v>
      </c>
      <c r="B791" s="3039" t="s">
        <v>1883</v>
      </c>
      <c r="C791" s="3039"/>
      <c r="D791" s="3039"/>
      <c r="E791" s="3039"/>
      <c r="F791" s="3039"/>
      <c r="G791" s="3039"/>
      <c r="H791" s="3039"/>
      <c r="I791" s="3039"/>
      <c r="J791" s="3039"/>
      <c r="K791" s="3039"/>
      <c r="L791" s="3039"/>
      <c r="M791" s="3039"/>
      <c r="N791" s="3039"/>
      <c r="O791" s="3039"/>
      <c r="P791" s="3039"/>
      <c r="Q791" s="3039"/>
      <c r="R791" s="3039"/>
      <c r="S791" s="3040"/>
      <c r="T791" s="3041">
        <f>AK174</f>
        <v>10</v>
      </c>
      <c r="U791" s="3041"/>
      <c r="V791" s="3041"/>
      <c r="W791" s="3041"/>
      <c r="X791" s="3041"/>
      <c r="Y791" s="3041"/>
      <c r="Z791" s="3045">
        <v>10</v>
      </c>
      <c r="AA791" s="3045"/>
      <c r="AB791" s="3045"/>
      <c r="AC791" s="3045"/>
      <c r="AD791" s="3045"/>
      <c r="AE791" s="3045"/>
      <c r="AF791" s="3045">
        <f>IF(T791&gt;Z791,Z791,T791)</f>
        <v>10</v>
      </c>
      <c r="AG791" s="3045"/>
      <c r="AH791" s="3045"/>
      <c r="AI791" s="3045"/>
      <c r="AJ791" s="3045"/>
      <c r="AK791" s="3045"/>
      <c r="AL791" s="1324"/>
      <c r="AM791" s="1218"/>
    </row>
    <row r="792" spans="1:81">
      <c r="A792" s="1325" t="s">
        <v>1653</v>
      </c>
      <c r="B792" s="3039" t="s">
        <v>1654</v>
      </c>
      <c r="C792" s="3039"/>
      <c r="D792" s="3039"/>
      <c r="E792" s="3039"/>
      <c r="F792" s="3039"/>
      <c r="G792" s="3039"/>
      <c r="H792" s="3039"/>
      <c r="I792" s="3039"/>
      <c r="J792" s="3039"/>
      <c r="K792" s="3039"/>
      <c r="L792" s="3039"/>
      <c r="M792" s="3039"/>
      <c r="N792" s="3039"/>
      <c r="O792" s="3039"/>
      <c r="P792" s="3039"/>
      <c r="Q792" s="3039"/>
      <c r="R792" s="3039"/>
      <c r="S792" s="3040"/>
      <c r="T792" s="3041">
        <f>AK256</f>
        <v>8</v>
      </c>
      <c r="U792" s="3041"/>
      <c r="V792" s="3041"/>
      <c r="W792" s="3041"/>
      <c r="X792" s="3041"/>
      <c r="Y792" s="3041"/>
      <c r="Z792" s="3042">
        <v>8</v>
      </c>
      <c r="AA792" s="3043"/>
      <c r="AB792" s="3043"/>
      <c r="AC792" s="3043"/>
      <c r="AD792" s="3043"/>
      <c r="AE792" s="3044"/>
      <c r="AF792" s="3045">
        <f>IF(T792&gt;Z792,Z792,T792)</f>
        <v>8</v>
      </c>
      <c r="AG792" s="3045"/>
      <c r="AH792" s="3045"/>
      <c r="AI792" s="3045"/>
      <c r="AJ792" s="3045"/>
      <c r="AK792" s="3045"/>
      <c r="AL792" s="1324"/>
      <c r="AM792" s="1218"/>
    </row>
    <row r="793" spans="1:81" s="927" customFormat="1" hidden="1">
      <c r="A793" s="1327" t="s">
        <v>625</v>
      </c>
      <c r="B793" s="3039" t="s">
        <v>1884</v>
      </c>
      <c r="C793" s="3039"/>
      <c r="D793" s="3039"/>
      <c r="E793" s="3039"/>
      <c r="F793" s="3039"/>
      <c r="G793" s="3039"/>
      <c r="H793" s="3039"/>
      <c r="I793" s="3039"/>
      <c r="J793" s="3039"/>
      <c r="K793" s="3039"/>
      <c r="L793" s="3039"/>
      <c r="M793" s="3039"/>
      <c r="N793" s="3039"/>
      <c r="O793" s="3039"/>
      <c r="P793" s="3039"/>
      <c r="Q793" s="3039"/>
      <c r="R793" s="3039"/>
      <c r="S793" s="3040"/>
      <c r="T793" s="3041">
        <f>IF(AK750&gt;5,5,AK750)</f>
        <v>0</v>
      </c>
      <c r="U793" s="3041"/>
      <c r="V793" s="3041"/>
      <c r="W793" s="3041"/>
      <c r="X793" s="3041"/>
      <c r="Y793" s="3041"/>
      <c r="Z793" s="3045">
        <v>5</v>
      </c>
      <c r="AA793" s="3045"/>
      <c r="AB793" s="3045"/>
      <c r="AC793" s="3045"/>
      <c r="AD793" s="3045"/>
      <c r="AE793" s="3045"/>
      <c r="AF793" s="3045">
        <f>IF(T793&gt;Z793,5,T793)</f>
        <v>0</v>
      </c>
      <c r="AG793" s="3045"/>
      <c r="AH793" s="3045"/>
      <c r="AI793" s="3045"/>
      <c r="AJ793" s="3045"/>
      <c r="AK793" s="304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39" t="s">
        <v>1885</v>
      </c>
      <c r="C794" s="3039"/>
      <c r="D794" s="3039"/>
      <c r="E794" s="3039"/>
      <c r="F794" s="3039"/>
      <c r="G794" s="3039"/>
      <c r="H794" s="3039"/>
      <c r="I794" s="3039"/>
      <c r="J794" s="3039"/>
      <c r="K794" s="3039"/>
      <c r="L794" s="3039"/>
      <c r="M794" s="3039"/>
      <c r="N794" s="3039"/>
      <c r="O794" s="3039"/>
      <c r="P794" s="3039"/>
      <c r="Q794" s="3039"/>
      <c r="R794" s="3039"/>
      <c r="S794" s="3040"/>
      <c r="T794" s="3041">
        <f>AK267</f>
        <v>10</v>
      </c>
      <c r="U794" s="3041"/>
      <c r="V794" s="3041"/>
      <c r="W794" s="3041"/>
      <c r="X794" s="3041"/>
      <c r="Y794" s="3041"/>
      <c r="Z794" s="3045">
        <v>10</v>
      </c>
      <c r="AA794" s="3045"/>
      <c r="AB794" s="3045"/>
      <c r="AC794" s="3045"/>
      <c r="AD794" s="3045"/>
      <c r="AE794" s="3045"/>
      <c r="AF794" s="3052">
        <f>IF(T794&gt;Z794,Z794,T794)</f>
        <v>10</v>
      </c>
      <c r="AG794" s="3053"/>
      <c r="AH794" s="3053"/>
      <c r="AI794" s="3053"/>
      <c r="AJ794" s="3053"/>
      <c r="AK794" s="305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39" t="s">
        <v>1664</v>
      </c>
      <c r="C795" s="3039"/>
      <c r="D795" s="3039"/>
      <c r="E795" s="3039"/>
      <c r="F795" s="3039"/>
      <c r="G795" s="3039"/>
      <c r="H795" s="3039"/>
      <c r="I795" s="3039"/>
      <c r="J795" s="3039"/>
      <c r="K795" s="3039"/>
      <c r="L795" s="3039"/>
      <c r="M795" s="3039"/>
      <c r="N795" s="3039"/>
      <c r="O795" s="3039"/>
      <c r="P795" s="3039"/>
      <c r="Q795" s="3039"/>
      <c r="R795" s="3039"/>
      <c r="S795" s="3040"/>
      <c r="T795" s="3041">
        <f>AK553</f>
        <v>20</v>
      </c>
      <c r="U795" s="3041"/>
      <c r="V795" s="3041"/>
      <c r="W795" s="3041"/>
      <c r="X795" s="3041"/>
      <c r="Y795" s="3041"/>
      <c r="Z795" s="3052">
        <v>20</v>
      </c>
      <c r="AA795" s="3053"/>
      <c r="AB795" s="3053"/>
      <c r="AC795" s="3053"/>
      <c r="AD795" s="3053"/>
      <c r="AE795" s="3054"/>
      <c r="AF795" s="3052">
        <f>IF(T795&gt;Z795,Z795,T795)</f>
        <v>20</v>
      </c>
      <c r="AG795" s="3055"/>
      <c r="AH795" s="3055"/>
      <c r="AI795" s="3055"/>
      <c r="AJ795" s="3055"/>
      <c r="AK795" s="305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48">
        <f>AK320</f>
        <v>20</v>
      </c>
      <c r="U796" s="3048"/>
      <c r="V796" s="3048"/>
      <c r="W796" s="3048"/>
      <c r="X796" s="3048"/>
      <c r="Y796" s="3048"/>
      <c r="Z796" s="3029">
        <v>20</v>
      </c>
      <c r="AA796" s="3051"/>
      <c r="AB796" s="3051"/>
      <c r="AC796" s="3051"/>
      <c r="AD796" s="3051"/>
      <c r="AE796" s="3030"/>
      <c r="AF796" s="3050"/>
      <c r="AG796" s="3050"/>
      <c r="AH796" s="3050"/>
      <c r="AI796" s="3050"/>
      <c r="AJ796" s="3050"/>
      <c r="AK796" s="305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48">
        <f>AK551</f>
        <v>10</v>
      </c>
      <c r="U797" s="3048"/>
      <c r="V797" s="3048"/>
      <c r="W797" s="3048"/>
      <c r="X797" s="3048"/>
      <c r="Y797" s="3048"/>
      <c r="Z797" s="3029">
        <v>10</v>
      </c>
      <c r="AA797" s="3051"/>
      <c r="AB797" s="3051"/>
      <c r="AC797" s="3051"/>
      <c r="AD797" s="3051"/>
      <c r="AE797" s="3030"/>
      <c r="AF797" s="3050"/>
      <c r="AG797" s="3050"/>
      <c r="AH797" s="3050"/>
      <c r="AI797" s="3050"/>
      <c r="AJ797" s="3050"/>
      <c r="AK797" s="305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39" t="s">
        <v>911</v>
      </c>
      <c r="C798" s="3039"/>
      <c r="D798" s="3039"/>
      <c r="E798" s="3039"/>
      <c r="F798" s="3039"/>
      <c r="G798" s="3039"/>
      <c r="H798" s="3039"/>
      <c r="I798" s="3039"/>
      <c r="J798" s="3039"/>
      <c r="K798" s="3039"/>
      <c r="L798" s="3039"/>
      <c r="M798" s="3039"/>
      <c r="N798" s="3039"/>
      <c r="O798" s="3039"/>
      <c r="P798" s="3039"/>
      <c r="Q798" s="3039"/>
      <c r="R798" s="3039"/>
      <c r="S798" s="3040"/>
      <c r="T798" s="3041">
        <f>AK684</f>
        <v>10</v>
      </c>
      <c r="U798" s="3041"/>
      <c r="V798" s="3041"/>
      <c r="W798" s="3041"/>
      <c r="X798" s="3041"/>
      <c r="Y798" s="3041"/>
      <c r="Z798" s="3052">
        <v>10</v>
      </c>
      <c r="AA798" s="3053"/>
      <c r="AB798" s="3053"/>
      <c r="AC798" s="3053"/>
      <c r="AD798" s="3053"/>
      <c r="AE798" s="3054"/>
      <c r="AF798" s="3045">
        <f>IF(T798&gt;Z798,Z798,T798)</f>
        <v>10</v>
      </c>
      <c r="AG798" s="3045"/>
      <c r="AH798" s="3045"/>
      <c r="AI798" s="3045"/>
      <c r="AJ798" s="3045"/>
      <c r="AK798" s="304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39" t="s">
        <v>1863</v>
      </c>
      <c r="C799" s="3039"/>
      <c r="D799" s="3039"/>
      <c r="E799" s="3039"/>
      <c r="F799" s="3039"/>
      <c r="G799" s="3039"/>
      <c r="H799" s="3039"/>
      <c r="I799" s="3039"/>
      <c r="J799" s="3039"/>
      <c r="K799" s="3039"/>
      <c r="L799" s="3039"/>
      <c r="M799" s="3039"/>
      <c r="N799" s="3039"/>
      <c r="O799" s="3039"/>
      <c r="P799" s="3039"/>
      <c r="Q799" s="3039"/>
      <c r="R799" s="3039"/>
      <c r="S799" s="3040"/>
      <c r="T799" s="3041">
        <f>AK774</f>
        <v>12</v>
      </c>
      <c r="U799" s="3041"/>
      <c r="V799" s="3041"/>
      <c r="W799" s="3041"/>
      <c r="X799" s="3041"/>
      <c r="Y799" s="3041"/>
      <c r="Z799" s="3052">
        <v>12</v>
      </c>
      <c r="AA799" s="3053"/>
      <c r="AB799" s="3053"/>
      <c r="AC799" s="3053"/>
      <c r="AD799" s="3053"/>
      <c r="AE799" s="3054"/>
      <c r="AF799" s="3045">
        <f>IF(T799&gt;Z799,Z799,T799)</f>
        <v>12</v>
      </c>
      <c r="AG799" s="3045"/>
      <c r="AH799" s="3045"/>
      <c r="AI799" s="3045"/>
      <c r="AJ799" s="3045"/>
      <c r="AK799" s="304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7" t="s">
        <v>1888</v>
      </c>
      <c r="B800" s="3039"/>
      <c r="C800" s="3039"/>
      <c r="D800" s="3039"/>
      <c r="E800" s="3039"/>
      <c r="F800" s="3039"/>
      <c r="G800" s="3039"/>
      <c r="H800" s="3039"/>
      <c r="I800" s="3039"/>
      <c r="J800" s="3039"/>
      <c r="K800" s="3039"/>
      <c r="L800" s="3039"/>
      <c r="M800" s="3039"/>
      <c r="N800" s="3039"/>
      <c r="O800" s="3039"/>
      <c r="P800" s="3039"/>
      <c r="Q800" s="3039"/>
      <c r="R800" s="3039"/>
      <c r="S800" s="3040"/>
      <c r="T800" s="3058">
        <v>0</v>
      </c>
      <c r="U800" s="3058"/>
      <c r="V800" s="3058"/>
      <c r="W800" s="3058"/>
      <c r="X800" s="3058"/>
      <c r="Y800" s="3058"/>
      <c r="Z800" s="3049" t="s">
        <v>1889</v>
      </c>
      <c r="AA800" s="3049"/>
      <c r="AB800" s="3049"/>
      <c r="AC800" s="3049"/>
      <c r="AD800" s="3049"/>
      <c r="AE800" s="3049"/>
      <c r="AF800" s="3052">
        <f>IF(T800&gt;0,T800,0)</f>
        <v>0</v>
      </c>
      <c r="AG800" s="3053"/>
      <c r="AH800" s="3053"/>
      <c r="AI800" s="3053"/>
      <c r="AJ800" s="3053"/>
      <c r="AK800" s="305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9" t="s">
        <v>1890</v>
      </c>
      <c r="B801" s="3060"/>
      <c r="C801" s="3060"/>
      <c r="D801" s="3060"/>
      <c r="E801" s="3060"/>
      <c r="F801" s="3060"/>
      <c r="G801" s="3060"/>
      <c r="H801" s="3060"/>
      <c r="I801" s="3060"/>
      <c r="J801" s="3060"/>
      <c r="K801" s="3060"/>
      <c r="L801" s="3060"/>
      <c r="M801" s="3060"/>
      <c r="N801" s="3060"/>
      <c r="O801" s="3060"/>
      <c r="P801" s="3060"/>
      <c r="Q801" s="3060"/>
      <c r="R801" s="3060"/>
      <c r="S801" s="3060"/>
      <c r="T801" s="3060"/>
      <c r="U801" s="3060"/>
      <c r="V801" s="3060"/>
      <c r="W801" s="3060"/>
      <c r="X801" s="3060"/>
      <c r="Y801" s="3060"/>
      <c r="Z801" s="3060"/>
      <c r="AA801" s="3060"/>
      <c r="AB801" s="3060"/>
      <c r="AC801" s="3060"/>
      <c r="AD801" s="3060"/>
      <c r="AE801" s="3061"/>
      <c r="AF801" s="3065">
        <f>SUM(AF784:AK799)-AF800</f>
        <v>120</v>
      </c>
      <c r="AG801" s="3066"/>
      <c r="AH801" s="3066"/>
      <c r="AI801" s="3066"/>
      <c r="AJ801" s="3066"/>
      <c r="AK801" s="306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62"/>
      <c r="B802" s="3063"/>
      <c r="C802" s="3063"/>
      <c r="D802" s="3063"/>
      <c r="E802" s="3063"/>
      <c r="F802" s="3063"/>
      <c r="G802" s="3063"/>
      <c r="H802" s="3063"/>
      <c r="I802" s="3063"/>
      <c r="J802" s="3063"/>
      <c r="K802" s="3063"/>
      <c r="L802" s="3063"/>
      <c r="M802" s="3063"/>
      <c r="N802" s="3063"/>
      <c r="O802" s="3063"/>
      <c r="P802" s="3063"/>
      <c r="Q802" s="3063"/>
      <c r="R802" s="3063"/>
      <c r="S802" s="3063"/>
      <c r="T802" s="3063"/>
      <c r="U802" s="3063"/>
      <c r="V802" s="3063"/>
      <c r="W802" s="3063"/>
      <c r="X802" s="3063"/>
      <c r="Y802" s="3063"/>
      <c r="Z802" s="3063"/>
      <c r="AA802" s="3063"/>
      <c r="AB802" s="3063"/>
      <c r="AC802" s="3063"/>
      <c r="AD802" s="3063"/>
      <c r="AE802" s="3064"/>
      <c r="AF802" s="3068"/>
      <c r="AG802" s="3069"/>
      <c r="AH802" s="3069"/>
      <c r="AI802" s="3069"/>
      <c r="AJ802" s="3069"/>
      <c r="AK802" s="307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William Sager</cp:lastModifiedBy>
  <cp:lastPrinted>2021-02-02T09:38:20Z</cp:lastPrinted>
  <dcterms:created xsi:type="dcterms:W3CDTF">2007-12-27T18:26:28Z</dcterms:created>
  <dcterms:modified xsi:type="dcterms:W3CDTF">2021-02-02T17:13:19Z</dcterms:modified>
</cp:coreProperties>
</file>