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showInkAnnotation="0" codeName="ThisWorkbook" defaultThemeVersion="124226"/>
  <mc:AlternateContent xmlns:mc="http://schemas.openxmlformats.org/markup-compatibility/2006">
    <mc:Choice Requires="x15">
      <x15ac:absPath xmlns:x15ac="http://schemas.microsoft.com/office/spreadsheetml/2010/11/ac" url="C:\Users\avak\Dropbox (First Community Hous)\ROOSEVELT PARK\Roosevelt TCAC-CDLAC Joint App 2021\"/>
    </mc:Choice>
  </mc:AlternateContent>
  <xr:revisionPtr revIDLastSave="0" documentId="13_ncr:1_{BE195F27-F03D-4220-AE3F-345C0DAD0D66}" xr6:coauthVersionLast="45" xr6:coauthVersionMax="45" xr10:uidLastSave="{00000000-0000-0000-0000-000000000000}"/>
  <bookViews>
    <workbookView xWindow="-21435" yWindow="2730" windowWidth="18630" windowHeight="14625"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iterateCount="102"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392" i="3" l="1"/>
  <c r="G24" i="22"/>
  <c r="G15" i="22"/>
  <c r="AD185" i="20"/>
  <c r="Q392" i="3"/>
  <c r="AB226" i="20"/>
  <c r="I208" i="20"/>
  <c r="I209" i="20"/>
  <c r="I210" i="20"/>
  <c r="I207" i="20"/>
  <c r="T208" i="20"/>
  <c r="T209" i="20"/>
  <c r="T210" i="20"/>
  <c r="T207" i="20"/>
  <c r="N208" i="20"/>
  <c r="N209" i="20"/>
  <c r="N210" i="20"/>
  <c r="N207" i="20"/>
  <c r="AD184" i="20"/>
  <c r="AD183" i="20"/>
  <c r="C73" i="4"/>
  <c r="C75" i="4"/>
  <c r="AC884" i="3"/>
  <c r="E40" i="7"/>
  <c r="AG40" i="7"/>
  <c r="AG42" i="7"/>
  <c r="G23" i="7"/>
  <c r="I23" i="7"/>
  <c r="K23" i="7"/>
  <c r="M23" i="7"/>
  <c r="O23" i="7"/>
  <c r="Q23" i="7"/>
  <c r="S23" i="7"/>
  <c r="U23" i="7"/>
  <c r="W23" i="7"/>
  <c r="Y23" i="7"/>
  <c r="AA23" i="7"/>
  <c r="AC23" i="7"/>
  <c r="AE23" i="7"/>
  <c r="AG23" i="7"/>
  <c r="AG34" i="7"/>
  <c r="AG36" i="7"/>
  <c r="AG44" i="7"/>
  <c r="AG59" i="7"/>
  <c r="C67" i="7"/>
  <c r="AG67" i="7"/>
  <c r="C66" i="7"/>
  <c r="AG66" i="7"/>
  <c r="C65" i="7"/>
  <c r="AG65" i="7"/>
  <c r="AC40" i="7"/>
  <c r="AC42" i="7"/>
  <c r="AC34" i="7"/>
  <c r="AC36" i="7"/>
  <c r="AC44" i="7"/>
  <c r="AC59" i="7"/>
  <c r="AC66" i="7"/>
  <c r="AE40" i="7"/>
  <c r="AE42" i="7"/>
  <c r="AE34" i="7"/>
  <c r="AE36" i="7"/>
  <c r="AE44" i="7"/>
  <c r="AE59" i="7"/>
  <c r="AE66" i="7"/>
  <c r="AC65" i="7"/>
  <c r="AE67" i="7"/>
  <c r="AE65" i="7"/>
  <c r="I40" i="7"/>
  <c r="I42" i="7"/>
  <c r="I34" i="7"/>
  <c r="I36" i="7"/>
  <c r="I44" i="7"/>
  <c r="I59" i="7"/>
  <c r="I67" i="7"/>
  <c r="K40" i="7"/>
  <c r="K42" i="7"/>
  <c r="K34" i="7"/>
  <c r="K36" i="7"/>
  <c r="K44" i="7"/>
  <c r="K59" i="7"/>
  <c r="K67" i="7"/>
  <c r="M40" i="7"/>
  <c r="M42" i="7"/>
  <c r="M34" i="7"/>
  <c r="M36" i="7"/>
  <c r="M44" i="7"/>
  <c r="M59" i="7"/>
  <c r="M67" i="7"/>
  <c r="O40" i="7"/>
  <c r="O42" i="7"/>
  <c r="O34" i="7"/>
  <c r="O36" i="7"/>
  <c r="O44" i="7"/>
  <c r="O59" i="7"/>
  <c r="O67" i="7"/>
  <c r="Q40" i="7"/>
  <c r="Q42" i="7"/>
  <c r="Q34" i="7"/>
  <c r="Q36" i="7"/>
  <c r="Q44" i="7"/>
  <c r="Q59" i="7"/>
  <c r="Q67" i="7"/>
  <c r="S40" i="7"/>
  <c r="S42" i="7"/>
  <c r="S34" i="7"/>
  <c r="S36" i="7"/>
  <c r="S44" i="7"/>
  <c r="S59" i="7"/>
  <c r="S67" i="7"/>
  <c r="U40" i="7"/>
  <c r="U42" i="7"/>
  <c r="U34" i="7"/>
  <c r="U36" i="7"/>
  <c r="U44" i="7"/>
  <c r="U59" i="7"/>
  <c r="U67" i="7"/>
  <c r="W40" i="7"/>
  <c r="W42" i="7"/>
  <c r="W34" i="7"/>
  <c r="W36" i="7"/>
  <c r="W44" i="7"/>
  <c r="W59" i="7"/>
  <c r="W67" i="7"/>
  <c r="Y40" i="7"/>
  <c r="Y42" i="7"/>
  <c r="Y34" i="7"/>
  <c r="Y36" i="7"/>
  <c r="Y44" i="7"/>
  <c r="Y59" i="7"/>
  <c r="Y67" i="7"/>
  <c r="AA40" i="7"/>
  <c r="AA42" i="7"/>
  <c r="AA34" i="7"/>
  <c r="AA36" i="7"/>
  <c r="AA44" i="7"/>
  <c r="AA59" i="7"/>
  <c r="AA67" i="7"/>
  <c r="AC67" i="7"/>
  <c r="I66" i="7"/>
  <c r="K66" i="7"/>
  <c r="M66" i="7"/>
  <c r="O66" i="7"/>
  <c r="Q66" i="7"/>
  <c r="S66" i="7"/>
  <c r="U66" i="7"/>
  <c r="W66" i="7"/>
  <c r="Y66" i="7"/>
  <c r="AA66" i="7"/>
  <c r="I65" i="7"/>
  <c r="K65" i="7"/>
  <c r="M65" i="7"/>
  <c r="O65" i="7"/>
  <c r="Q65" i="7"/>
  <c r="S65" i="7"/>
  <c r="U65" i="7"/>
  <c r="W65" i="7"/>
  <c r="Y65" i="7"/>
  <c r="AA65" i="7"/>
  <c r="G40" i="7"/>
  <c r="G42" i="7"/>
  <c r="G34" i="7"/>
  <c r="G36" i="7"/>
  <c r="G44" i="7"/>
  <c r="G59" i="7"/>
  <c r="G67" i="7"/>
  <c r="G66" i="7"/>
  <c r="G65" i="7"/>
  <c r="E42" i="7"/>
  <c r="E34" i="7"/>
  <c r="E36" i="7"/>
  <c r="E44" i="7"/>
  <c r="E59" i="7"/>
  <c r="E67" i="7"/>
  <c r="E66" i="7"/>
  <c r="E65" i="7"/>
  <c r="E4" i="7"/>
  <c r="C5" i="7"/>
  <c r="E5" i="7"/>
  <c r="E6" i="7"/>
  <c r="C7" i="7"/>
  <c r="E7" i="7"/>
  <c r="E8" i="7"/>
  <c r="C9" i="7"/>
  <c r="E9" i="7"/>
  <c r="E10" i="7"/>
  <c r="E14" i="7"/>
  <c r="E15" i="7"/>
  <c r="E16" i="7"/>
  <c r="E17" i="7"/>
  <c r="E18" i="7"/>
  <c r="E19" i="7"/>
  <c r="E20" i="7"/>
  <c r="E21" i="7"/>
  <c r="E25" i="7"/>
  <c r="E26" i="7"/>
  <c r="E27" i="7"/>
  <c r="E28" i="7"/>
  <c r="E29" i="7"/>
  <c r="E30" i="7"/>
  <c r="E31" i="7"/>
  <c r="E32" i="7"/>
  <c r="E39" i="7"/>
  <c r="E41" i="7"/>
  <c r="E57" i="7"/>
  <c r="C64" i="7"/>
  <c r="E33" i="4"/>
  <c r="D32" i="4"/>
  <c r="D33" i="4"/>
  <c r="C32" i="4"/>
  <c r="C33" i="4"/>
  <c r="S45" i="4"/>
  <c r="S47" i="4"/>
  <c r="D56" i="4"/>
  <c r="D46" i="4"/>
  <c r="C56" i="4"/>
  <c r="C46" i="4"/>
  <c r="S46" i="4"/>
  <c r="S69" i="4"/>
  <c r="S99" i="4"/>
  <c r="S92" i="4"/>
  <c r="S89" i="4"/>
  <c r="S85" i="4"/>
  <c r="S86" i="4"/>
  <c r="S84" i="4"/>
  <c r="S80" i="4"/>
  <c r="S79" i="4"/>
  <c r="S51" i="4"/>
  <c r="S52" i="4"/>
  <c r="S50" i="4"/>
  <c r="S43" i="4"/>
  <c r="S40" i="4"/>
  <c r="S30" i="4"/>
  <c r="S31" i="4"/>
  <c r="S32" i="4"/>
  <c r="S33" i="4"/>
  <c r="S34" i="4"/>
  <c r="S35" i="4"/>
  <c r="S29" i="4"/>
  <c r="E30" i="4"/>
  <c r="B32" i="4"/>
  <c r="E32" i="4"/>
  <c r="E31" i="4"/>
  <c r="F45" i="4"/>
  <c r="E80" i="4"/>
  <c r="E79" i="4"/>
  <c r="G45" i="4"/>
  <c r="G30" i="4"/>
  <c r="H69" i="4"/>
  <c r="H65" i="4"/>
  <c r="H92" i="4"/>
  <c r="H84" i="4"/>
  <c r="H85" i="4"/>
  <c r="H86" i="4"/>
  <c r="H83" i="4"/>
  <c r="F29" i="4"/>
  <c r="H35" i="4"/>
  <c r="E92" i="4"/>
  <c r="E89" i="4"/>
  <c r="E90" i="4"/>
  <c r="E88" i="4"/>
  <c r="E85" i="4"/>
  <c r="E86" i="4"/>
  <c r="E84" i="4"/>
  <c r="E75" i="4"/>
  <c r="E73" i="4"/>
  <c r="E69" i="4"/>
  <c r="E65" i="4"/>
  <c r="E46" i="4"/>
  <c r="E57" i="4"/>
  <c r="E58" i="4"/>
  <c r="E56" i="4"/>
  <c r="F58" i="4"/>
  <c r="H57" i="4"/>
  <c r="H56" i="4"/>
  <c r="H52" i="4"/>
  <c r="H51" i="4"/>
  <c r="H50" i="4"/>
  <c r="H49" i="4"/>
  <c r="H47" i="4"/>
  <c r="H46" i="4"/>
  <c r="H43" i="4"/>
  <c r="H40" i="4"/>
  <c r="E47" i="4"/>
  <c r="E48" i="4"/>
  <c r="E49" i="4"/>
  <c r="E50" i="4"/>
  <c r="E51" i="4"/>
  <c r="E52" i="4"/>
  <c r="E45" i="4"/>
  <c r="E43" i="4"/>
  <c r="E40" i="4"/>
  <c r="H13" i="4"/>
  <c r="H10" i="4"/>
  <c r="H5" i="4"/>
  <c r="H6" i="4"/>
  <c r="E34" i="4"/>
  <c r="E35" i="4"/>
  <c r="E29" i="4"/>
  <c r="E13" i="4"/>
  <c r="E6" i="4"/>
  <c r="C45" i="4"/>
  <c r="D45" i="4"/>
  <c r="D65" i="4"/>
  <c r="C65" i="4"/>
  <c r="C49" i="4"/>
  <c r="D13" i="4"/>
  <c r="C13" i="4"/>
  <c r="D69" i="4"/>
  <c r="C69" i="4"/>
  <c r="D43" i="4"/>
  <c r="C43" i="4"/>
  <c r="D6" i="4"/>
  <c r="C6" i="4"/>
  <c r="E99" i="4"/>
  <c r="J30" i="4"/>
  <c r="I45" i="4"/>
  <c r="N46" i="4"/>
  <c r="B182" i="20"/>
  <c r="AD182" i="20"/>
  <c r="M944" i="3"/>
  <c r="M945" i="3"/>
  <c r="G28" i="7"/>
  <c r="E11" i="8"/>
  <c r="E10" i="8"/>
  <c r="E9" i="8"/>
  <c r="E8" i="8"/>
  <c r="M942" i="3"/>
  <c r="AA934" i="3"/>
  <c r="AA933" i="3"/>
  <c r="AA932" i="3"/>
  <c r="AA931" i="3"/>
  <c r="AA916" i="3"/>
  <c r="AA915" i="3"/>
  <c r="AO650" i="3"/>
  <c r="AM573" i="3"/>
  <c r="O732" i="3"/>
  <c r="AO638" i="3"/>
  <c r="AM567" i="3"/>
  <c r="AM566" i="3"/>
  <c r="AC886" i="3"/>
  <c r="O738" i="3"/>
  <c r="O737" i="3"/>
  <c r="O736" i="3"/>
  <c r="O735" i="3"/>
  <c r="O734" i="3"/>
  <c r="K735" i="3"/>
  <c r="K734" i="3"/>
  <c r="O733" i="3"/>
  <c r="K733" i="3"/>
  <c r="K732" i="3"/>
  <c r="O731" i="3"/>
  <c r="O730" i="3"/>
  <c r="O729" i="3"/>
  <c r="O728" i="3"/>
  <c r="C104" i="11"/>
  <c r="D104" i="11"/>
  <c r="B104" i="11"/>
  <c r="A104" i="11"/>
  <c r="C103" i="11"/>
  <c r="D103" i="11"/>
  <c r="B103" i="11"/>
  <c r="C102" i="11"/>
  <c r="B102" i="11"/>
  <c r="D102" i="11"/>
  <c r="C101" i="11"/>
  <c r="D101" i="11"/>
  <c r="B101" i="11"/>
  <c r="C100" i="11"/>
  <c r="C105" i="11"/>
  <c r="B100" i="11"/>
  <c r="B105" i="11"/>
  <c r="D105" i="11"/>
  <c r="C96" i="11"/>
  <c r="D96" i="11"/>
  <c r="B96" i="11"/>
  <c r="C95" i="11"/>
  <c r="B95" i="11"/>
  <c r="D95" i="11"/>
  <c r="C94" i="11"/>
  <c r="D94" i="11"/>
  <c r="B94" i="11"/>
  <c r="C93" i="11"/>
  <c r="B93" i="11"/>
  <c r="D93" i="11"/>
  <c r="C92" i="11"/>
  <c r="D92" i="11"/>
  <c r="B92" i="11"/>
  <c r="C91" i="11"/>
  <c r="B91" i="11"/>
  <c r="D91" i="11"/>
  <c r="C90" i="11"/>
  <c r="B90" i="11"/>
  <c r="D90" i="11"/>
  <c r="C89" i="11"/>
  <c r="B89" i="11"/>
  <c r="D89" i="11"/>
  <c r="C88" i="11"/>
  <c r="D88" i="11"/>
  <c r="B88" i="11"/>
  <c r="C87" i="11"/>
  <c r="B87" i="11"/>
  <c r="D87" i="11"/>
  <c r="C86" i="11"/>
  <c r="B86" i="11"/>
  <c r="D86" i="11"/>
  <c r="C85" i="11"/>
  <c r="B85" i="11"/>
  <c r="B84" i="11"/>
  <c r="B97" i="11"/>
  <c r="C84" i="11"/>
  <c r="C97" i="11"/>
  <c r="D97" i="11"/>
  <c r="C81" i="11"/>
  <c r="B81" i="11"/>
  <c r="D81" i="11"/>
  <c r="C80" i="11"/>
  <c r="C82" i="11"/>
  <c r="B80" i="11"/>
  <c r="B82" i="11"/>
  <c r="D82" i="11"/>
  <c r="C77" i="11"/>
  <c r="B77" i="11"/>
  <c r="D77" i="11"/>
  <c r="C76" i="11"/>
  <c r="B76" i="11"/>
  <c r="D76" i="11"/>
  <c r="C75" i="11"/>
  <c r="B75" i="11"/>
  <c r="D75" i="11"/>
  <c r="C74" i="11"/>
  <c r="B74" i="11"/>
  <c r="D74" i="11"/>
  <c r="C73" i="11"/>
  <c r="B73" i="11"/>
  <c r="B78" i="11"/>
  <c r="C70" i="11"/>
  <c r="B70" i="11"/>
  <c r="D70" i="11"/>
  <c r="A70" i="11"/>
  <c r="C69" i="11"/>
  <c r="B69" i="11"/>
  <c r="C68" i="11"/>
  <c r="B68" i="11"/>
  <c r="C67" i="11"/>
  <c r="C66" i="11"/>
  <c r="C71" i="11"/>
  <c r="B67" i="11"/>
  <c r="B66" i="11"/>
  <c r="B71" i="11"/>
  <c r="C62" i="11"/>
  <c r="D62" i="11"/>
  <c r="B62" i="11"/>
  <c r="A62" i="11"/>
  <c r="C61" i="11"/>
  <c r="D61" i="11"/>
  <c r="B61" i="11"/>
  <c r="C60" i="11"/>
  <c r="B60" i="11"/>
  <c r="D60" i="11"/>
  <c r="C59" i="11"/>
  <c r="B59" i="11"/>
  <c r="D59" i="11"/>
  <c r="C58" i="11"/>
  <c r="B58" i="11"/>
  <c r="B57" i="11"/>
  <c r="B63" i="11"/>
  <c r="C57" i="11"/>
  <c r="C63" i="11"/>
  <c r="D63" i="11"/>
  <c r="C54" i="11"/>
  <c r="D54" i="11"/>
  <c r="B54" i="11"/>
  <c r="A54" i="11"/>
  <c r="C53" i="11"/>
  <c r="B53" i="11"/>
  <c r="D53" i="11"/>
  <c r="C52" i="11"/>
  <c r="B52" i="11"/>
  <c r="D52" i="11"/>
  <c r="C51" i="11"/>
  <c r="B51" i="11"/>
  <c r="D51" i="11"/>
  <c r="C50" i="11"/>
  <c r="B50" i="11"/>
  <c r="D50" i="11"/>
  <c r="C49" i="11"/>
  <c r="D49" i="11"/>
  <c r="B49" i="11"/>
  <c r="C48" i="11"/>
  <c r="B48" i="11"/>
  <c r="D48" i="11"/>
  <c r="C47" i="11"/>
  <c r="B47" i="11"/>
  <c r="D47" i="11"/>
  <c r="C46" i="11"/>
  <c r="C55" i="11"/>
  <c r="B46" i="11"/>
  <c r="B55" i="11"/>
  <c r="C44" i="11"/>
  <c r="B44" i="11"/>
  <c r="D44" i="11"/>
  <c r="C42" i="11"/>
  <c r="D42" i="11"/>
  <c r="B42" i="11"/>
  <c r="C41" i="11"/>
  <c r="C43" i="11"/>
  <c r="B41" i="11"/>
  <c r="B43" i="11"/>
  <c r="C38" i="11"/>
  <c r="B38" i="11"/>
  <c r="D38" i="11"/>
  <c r="A38" i="11"/>
  <c r="C37" i="11"/>
  <c r="B37" i="11"/>
  <c r="C36" i="11"/>
  <c r="B36" i="11"/>
  <c r="D36" i="11"/>
  <c r="C35" i="11"/>
  <c r="D35" i="11"/>
  <c r="B35" i="11"/>
  <c r="C34" i="11"/>
  <c r="B34" i="11"/>
  <c r="D34" i="11"/>
  <c r="C33" i="11"/>
  <c r="B33" i="11"/>
  <c r="D33" i="11"/>
  <c r="C32" i="11"/>
  <c r="B32" i="11"/>
  <c r="D32" i="11"/>
  <c r="C31" i="11"/>
  <c r="B31" i="11"/>
  <c r="D31" i="11"/>
  <c r="C30" i="11"/>
  <c r="B30" i="11"/>
  <c r="B39" i="11"/>
  <c r="C28" i="11"/>
  <c r="D28" i="11"/>
  <c r="B28" i="11"/>
  <c r="C26" i="11"/>
  <c r="D26" i="11"/>
  <c r="B26" i="11"/>
  <c r="A26" i="11"/>
  <c r="C25" i="11"/>
  <c r="D25" i="11"/>
  <c r="B25" i="11"/>
  <c r="C24" i="11"/>
  <c r="B24" i="11"/>
  <c r="D24" i="11"/>
  <c r="C23" i="11"/>
  <c r="D23" i="11"/>
  <c r="B23" i="11"/>
  <c r="C22" i="11"/>
  <c r="B22" i="11"/>
  <c r="D22" i="11"/>
  <c r="C21" i="11"/>
  <c r="D21" i="11"/>
  <c r="B21" i="11"/>
  <c r="C20" i="11"/>
  <c r="B20" i="11"/>
  <c r="D20" i="11"/>
  <c r="C19" i="11"/>
  <c r="D19" i="11"/>
  <c r="B19" i="11"/>
  <c r="C18" i="11"/>
  <c r="C27" i="11"/>
  <c r="B18" i="11"/>
  <c r="B27" i="11"/>
  <c r="C16" i="11"/>
  <c r="D16" i="11"/>
  <c r="B16" i="11"/>
  <c r="C15" i="11"/>
  <c r="B15" i="11"/>
  <c r="D15" i="11"/>
  <c r="C14" i="11"/>
  <c r="B14" i="11"/>
  <c r="D14" i="11"/>
  <c r="C11" i="11"/>
  <c r="B11" i="11"/>
  <c r="D11" i="11"/>
  <c r="C10" i="11"/>
  <c r="D10" i="11"/>
  <c r="B10" i="11"/>
  <c r="B12" i="11"/>
  <c r="C8" i="11"/>
  <c r="D8" i="11"/>
  <c r="B8" i="11"/>
  <c r="C7" i="11"/>
  <c r="B7" i="11"/>
  <c r="D7" i="11"/>
  <c r="C6" i="11"/>
  <c r="B6" i="11"/>
  <c r="D6" i="11"/>
  <c r="C5" i="11"/>
  <c r="C9" i="11"/>
  <c r="B5" i="11"/>
  <c r="B9" i="11"/>
  <c r="I28" i="8"/>
  <c r="H28" i="8"/>
  <c r="C28" i="8"/>
  <c r="B28" i="8"/>
  <c r="F28" i="8"/>
  <c r="A28" i="8"/>
  <c r="I27" i="8"/>
  <c r="H27" i="8"/>
  <c r="C27" i="8"/>
  <c r="B27" i="8"/>
  <c r="F27" i="8"/>
  <c r="A27" i="8"/>
  <c r="I26" i="8"/>
  <c r="H26" i="8"/>
  <c r="C26" i="8"/>
  <c r="B26" i="8"/>
  <c r="F26" i="8"/>
  <c r="A26" i="8"/>
  <c r="I25" i="8"/>
  <c r="H25" i="8"/>
  <c r="C25" i="8"/>
  <c r="B25" i="8"/>
  <c r="F25" i="8"/>
  <c r="A25" i="8"/>
  <c r="I24" i="8"/>
  <c r="H24" i="8"/>
  <c r="C24" i="8"/>
  <c r="B24" i="8"/>
  <c r="F24" i="8"/>
  <c r="A24" i="8"/>
  <c r="I23" i="8"/>
  <c r="H23" i="8"/>
  <c r="C23" i="8"/>
  <c r="B23" i="8"/>
  <c r="F23" i="8"/>
  <c r="A23" i="8"/>
  <c r="I22" i="8"/>
  <c r="H22" i="8"/>
  <c r="C22" i="8"/>
  <c r="B22" i="8"/>
  <c r="F22" i="8"/>
  <c r="A22" i="8"/>
  <c r="I21" i="8"/>
  <c r="H21" i="8"/>
  <c r="C21" i="8"/>
  <c r="B21" i="8"/>
  <c r="F21" i="8"/>
  <c r="A21" i="8"/>
  <c r="I20" i="8"/>
  <c r="H20" i="8"/>
  <c r="C20" i="8"/>
  <c r="B20" i="8"/>
  <c r="F20" i="8"/>
  <c r="A20" i="8"/>
  <c r="I19" i="8"/>
  <c r="H19" i="8"/>
  <c r="C19" i="8"/>
  <c r="B19" i="8"/>
  <c r="F19" i="8"/>
  <c r="A19" i="8"/>
  <c r="I18" i="8"/>
  <c r="H18" i="8"/>
  <c r="C18" i="8"/>
  <c r="B18" i="8"/>
  <c r="F18" i="8"/>
  <c r="A18" i="8"/>
  <c r="I17" i="8"/>
  <c r="H17" i="8"/>
  <c r="C17" i="8"/>
  <c r="B17" i="8"/>
  <c r="F17" i="8"/>
  <c r="A17" i="8"/>
  <c r="I16" i="8"/>
  <c r="H16" i="8"/>
  <c r="C16" i="8"/>
  <c r="B16" i="8"/>
  <c r="F16" i="8"/>
  <c r="A16" i="8"/>
  <c r="I15" i="8"/>
  <c r="H15" i="8"/>
  <c r="C15" i="8"/>
  <c r="B15" i="8"/>
  <c r="F15" i="8"/>
  <c r="A15" i="8"/>
  <c r="I14" i="8"/>
  <c r="H14" i="8"/>
  <c r="C14" i="8"/>
  <c r="B14" i="8"/>
  <c r="F14" i="8"/>
  <c r="A14" i="8"/>
  <c r="I13" i="8"/>
  <c r="H13" i="8"/>
  <c r="C13" i="8"/>
  <c r="B13" i="8"/>
  <c r="F13" i="8"/>
  <c r="A13" i="8"/>
  <c r="I12" i="8"/>
  <c r="H12" i="8"/>
  <c r="C12" i="8"/>
  <c r="B12" i="8"/>
  <c r="F12" i="8"/>
  <c r="A12" i="8"/>
  <c r="H11" i="8"/>
  <c r="I11" i="8"/>
  <c r="C11" i="8"/>
  <c r="B11" i="8"/>
  <c r="F11" i="8"/>
  <c r="A11" i="8"/>
  <c r="H10" i="8"/>
  <c r="I10" i="8"/>
  <c r="C10" i="8"/>
  <c r="B10" i="8"/>
  <c r="F10" i="8"/>
  <c r="A10" i="8"/>
  <c r="H9" i="8"/>
  <c r="I9" i="8"/>
  <c r="C9" i="8"/>
  <c r="B9" i="8"/>
  <c r="F9" i="8"/>
  <c r="A9" i="8"/>
  <c r="H8" i="8"/>
  <c r="I8" i="8"/>
  <c r="C8" i="8"/>
  <c r="B8" i="8"/>
  <c r="F8" i="8"/>
  <c r="A8" i="8"/>
  <c r="I7" i="8"/>
  <c r="H7" i="8"/>
  <c r="C7" i="8"/>
  <c r="B7" i="8"/>
  <c r="F7" i="8"/>
  <c r="A7" i="8"/>
  <c r="I6" i="8"/>
  <c r="H6" i="8"/>
  <c r="C6" i="8"/>
  <c r="B6" i="8"/>
  <c r="F6" i="8"/>
  <c r="A6" i="8"/>
  <c r="I5" i="8"/>
  <c r="H5" i="8"/>
  <c r="C5" i="8"/>
  <c r="B5" i="8"/>
  <c r="F5" i="8"/>
  <c r="A5" i="8"/>
  <c r="I4" i="8"/>
  <c r="H4" i="8"/>
  <c r="C4" i="8"/>
  <c r="B4" i="8"/>
  <c r="F4" i="8"/>
  <c r="A4" i="8"/>
  <c r="G68" i="7"/>
  <c r="I68" i="7"/>
  <c r="K68" i="7"/>
  <c r="M68" i="7"/>
  <c r="O68" i="7"/>
  <c r="Q68" i="7"/>
  <c r="S68" i="7"/>
  <c r="U68" i="7"/>
  <c r="W68" i="7"/>
  <c r="Y68" i="7"/>
  <c r="AA68" i="7"/>
  <c r="AC68" i="7"/>
  <c r="AE68" i="7"/>
  <c r="AG68" i="7"/>
  <c r="G56" i="7"/>
  <c r="I56" i="7"/>
  <c r="K56" i="7"/>
  <c r="M56" i="7"/>
  <c r="O56" i="7"/>
  <c r="Q56" i="7"/>
  <c r="S56" i="7"/>
  <c r="U56" i="7"/>
  <c r="W56" i="7"/>
  <c r="Y56" i="7"/>
  <c r="AA56" i="7"/>
  <c r="AC56" i="7"/>
  <c r="AE56" i="7"/>
  <c r="AG56" i="7"/>
  <c r="G55" i="7"/>
  <c r="I55" i="7"/>
  <c r="K55" i="7"/>
  <c r="M55" i="7"/>
  <c r="O55" i="7"/>
  <c r="Q55" i="7"/>
  <c r="S55" i="7"/>
  <c r="U55" i="7"/>
  <c r="W55" i="7"/>
  <c r="Y55" i="7"/>
  <c r="AA55" i="7"/>
  <c r="AC55" i="7"/>
  <c r="AE55" i="7"/>
  <c r="AG55" i="7"/>
  <c r="G54" i="7"/>
  <c r="I54" i="7"/>
  <c r="K54" i="7"/>
  <c r="M54" i="7"/>
  <c r="O54" i="7"/>
  <c r="Q54" i="7"/>
  <c r="S54" i="7"/>
  <c r="U54" i="7"/>
  <c r="W54" i="7"/>
  <c r="Y54" i="7"/>
  <c r="AA54" i="7"/>
  <c r="AC54" i="7"/>
  <c r="AE54" i="7"/>
  <c r="AG54" i="7"/>
  <c r="G53" i="7"/>
  <c r="I53" i="7"/>
  <c r="K53" i="7"/>
  <c r="M53" i="7"/>
  <c r="O53" i="7"/>
  <c r="Q53" i="7"/>
  <c r="S53" i="7"/>
  <c r="U53" i="7"/>
  <c r="W53" i="7"/>
  <c r="Y53" i="7"/>
  <c r="AA53" i="7"/>
  <c r="AC53" i="7"/>
  <c r="AE53" i="7"/>
  <c r="AG53" i="7"/>
  <c r="G52" i="7"/>
  <c r="G57" i="7"/>
  <c r="AG41" i="7"/>
  <c r="AE41" i="7"/>
  <c r="AC41" i="7"/>
  <c r="AA41" i="7"/>
  <c r="Y41" i="7"/>
  <c r="W41" i="7"/>
  <c r="U41" i="7"/>
  <c r="S41" i="7"/>
  <c r="Q41" i="7"/>
  <c r="O41" i="7"/>
  <c r="M41" i="7"/>
  <c r="K41" i="7"/>
  <c r="I41" i="7"/>
  <c r="G41" i="7"/>
  <c r="AG39" i="7"/>
  <c r="A39" i="7"/>
  <c r="G32" i="7"/>
  <c r="I32" i="7"/>
  <c r="K32" i="7"/>
  <c r="M32" i="7"/>
  <c r="O32" i="7"/>
  <c r="Q32" i="7"/>
  <c r="S32" i="7"/>
  <c r="U32" i="7"/>
  <c r="W32" i="7"/>
  <c r="Y32" i="7"/>
  <c r="AA32" i="7"/>
  <c r="AC32" i="7"/>
  <c r="AE32" i="7"/>
  <c r="AG32" i="7"/>
  <c r="A32" i="7"/>
  <c r="G31" i="7"/>
  <c r="I31" i="7"/>
  <c r="K31" i="7"/>
  <c r="M31" i="7"/>
  <c r="O31" i="7"/>
  <c r="Q31" i="7"/>
  <c r="S31" i="7"/>
  <c r="U31" i="7"/>
  <c r="W31" i="7"/>
  <c r="Y31" i="7"/>
  <c r="AA31" i="7"/>
  <c r="AC31" i="7"/>
  <c r="AE31" i="7"/>
  <c r="AG31" i="7"/>
  <c r="A31" i="7"/>
  <c r="G30" i="7"/>
  <c r="I30" i="7"/>
  <c r="K30" i="7"/>
  <c r="M30" i="7"/>
  <c r="O30" i="7"/>
  <c r="Q30" i="7"/>
  <c r="S30" i="7"/>
  <c r="U30" i="7"/>
  <c r="W30" i="7"/>
  <c r="Y30" i="7"/>
  <c r="AA30" i="7"/>
  <c r="AC30" i="7"/>
  <c r="AE30" i="7"/>
  <c r="AG30" i="7"/>
  <c r="G29" i="7"/>
  <c r="I29" i="7"/>
  <c r="K29" i="7"/>
  <c r="M29" i="7"/>
  <c r="O29" i="7"/>
  <c r="Q29" i="7"/>
  <c r="S29" i="7"/>
  <c r="U29" i="7"/>
  <c r="W29" i="7"/>
  <c r="Y29" i="7"/>
  <c r="AA29" i="7"/>
  <c r="AC29" i="7"/>
  <c r="AE29" i="7"/>
  <c r="AG29" i="7"/>
  <c r="I28" i="7"/>
  <c r="K28" i="7"/>
  <c r="M28" i="7"/>
  <c r="O28" i="7"/>
  <c r="Q28" i="7"/>
  <c r="S28" i="7"/>
  <c r="U28" i="7"/>
  <c r="W28" i="7"/>
  <c r="Y28" i="7"/>
  <c r="AA28" i="7"/>
  <c r="AC28" i="7"/>
  <c r="AE28" i="7"/>
  <c r="AG28" i="7"/>
  <c r="AE27" i="7"/>
  <c r="G26" i="7"/>
  <c r="I26" i="7"/>
  <c r="K26" i="7"/>
  <c r="M26" i="7"/>
  <c r="O26" i="7"/>
  <c r="Q26" i="7"/>
  <c r="S26" i="7"/>
  <c r="U26" i="7"/>
  <c r="W26" i="7"/>
  <c r="Y26" i="7"/>
  <c r="AA26" i="7"/>
  <c r="AC26" i="7"/>
  <c r="AE26" i="7"/>
  <c r="AG26" i="7"/>
  <c r="G25" i="7"/>
  <c r="I25" i="7"/>
  <c r="K25" i="7"/>
  <c r="M25" i="7"/>
  <c r="O25" i="7"/>
  <c r="Q25" i="7"/>
  <c r="S25" i="7"/>
  <c r="U25" i="7"/>
  <c r="W25" i="7"/>
  <c r="Y25" i="7"/>
  <c r="AA25" i="7"/>
  <c r="AC25" i="7"/>
  <c r="AE25" i="7"/>
  <c r="AG25" i="7"/>
  <c r="G18" i="7"/>
  <c r="I18" i="7"/>
  <c r="K18" i="7"/>
  <c r="M18" i="7"/>
  <c r="O18" i="7"/>
  <c r="Q18" i="7"/>
  <c r="S18" i="7"/>
  <c r="U18" i="7"/>
  <c r="W18" i="7"/>
  <c r="Y18" i="7"/>
  <c r="AA18" i="7"/>
  <c r="AC18" i="7"/>
  <c r="AE18" i="7"/>
  <c r="AG18" i="7"/>
  <c r="G15" i="7"/>
  <c r="I15" i="7"/>
  <c r="K15" i="7"/>
  <c r="M15" i="7"/>
  <c r="O15" i="7"/>
  <c r="Q15" i="7"/>
  <c r="S15" i="7"/>
  <c r="U15" i="7"/>
  <c r="W15" i="7"/>
  <c r="Y15" i="7"/>
  <c r="AA15" i="7"/>
  <c r="AC15" i="7"/>
  <c r="AE15" i="7"/>
  <c r="AG15" i="7"/>
  <c r="G35" i="22"/>
  <c r="E10" i="22"/>
  <c r="E9" i="22"/>
  <c r="E8" i="22"/>
  <c r="J7" i="22"/>
  <c r="E7" i="22"/>
  <c r="AD68" i="15"/>
  <c r="AD67" i="15"/>
  <c r="Y67" i="15"/>
  <c r="AD64" i="15"/>
  <c r="A61" i="15"/>
  <c r="T25" i="15"/>
  <c r="AI20" i="15"/>
  <c r="AI22" i="15"/>
  <c r="AD20" i="15"/>
  <c r="AD22" i="15"/>
  <c r="Y20" i="15"/>
  <c r="Y22" i="15"/>
  <c r="T20" i="15"/>
  <c r="T22" i="15"/>
  <c r="AI7" i="15"/>
  <c r="AD7" i="15"/>
  <c r="Y7" i="15"/>
  <c r="T7" i="15"/>
  <c r="A3" i="15"/>
  <c r="G15" i="21"/>
  <c r="G14" i="21"/>
  <c r="E5" i="21"/>
  <c r="AF800" i="20"/>
  <c r="AG738" i="20"/>
  <c r="AG734" i="20"/>
  <c r="AG730" i="20"/>
  <c r="AG727" i="20"/>
  <c r="AG723" i="20"/>
  <c r="AG718" i="20"/>
  <c r="AG713" i="20"/>
  <c r="AG711" i="20"/>
  <c r="AG707" i="20"/>
  <c r="AG702" i="20"/>
  <c r="AG700" i="20"/>
  <c r="AG695" i="20"/>
  <c r="AK750" i="20"/>
  <c r="T793" i="20"/>
  <c r="AF793" i="20"/>
  <c r="U589" i="20"/>
  <c r="AP588" i="20"/>
  <c r="AP587" i="20"/>
  <c r="AP586" i="20"/>
  <c r="AP585" i="20"/>
  <c r="AP584" i="20"/>
  <c r="AP583" i="20"/>
  <c r="AP590" i="20"/>
  <c r="AQ590" i="20"/>
  <c r="AP580" i="20"/>
  <c r="AP579" i="20"/>
  <c r="AP578" i="20"/>
  <c r="AP577" i="20"/>
  <c r="AP576" i="20"/>
  <c r="AP575" i="20"/>
  <c r="AP574" i="20"/>
  <c r="AP573" i="20"/>
  <c r="AP572" i="20"/>
  <c r="AP581" i="20"/>
  <c r="AQ581" i="20"/>
  <c r="AJ549" i="20"/>
  <c r="AJ538" i="20"/>
  <c r="AJ522" i="20"/>
  <c r="AJ510" i="20"/>
  <c r="AJ494" i="20"/>
  <c r="AJ482" i="20"/>
  <c r="AJ468" i="20"/>
  <c r="AJ448" i="20"/>
  <c r="AJ413" i="20"/>
  <c r="AJ401" i="20"/>
  <c r="AJ382" i="20"/>
  <c r="AK551" i="20"/>
  <c r="T797" i="20"/>
  <c r="AO358" i="20"/>
  <c r="AP278" i="20"/>
  <c r="AP277" i="20"/>
  <c r="AP276" i="20"/>
  <c r="AP275" i="20"/>
  <c r="AP279" i="20"/>
  <c r="AK320" i="20"/>
  <c r="AO262" i="20"/>
  <c r="AO261" i="20"/>
  <c r="AO263" i="20"/>
  <c r="AK267" i="20"/>
  <c r="T794" i="20"/>
  <c r="AF794" i="20"/>
  <c r="AB228" i="20"/>
  <c r="AB230" i="20"/>
  <c r="AB216" i="20"/>
  <c r="AB215" i="20"/>
  <c r="AB214" i="20"/>
  <c r="AB213" i="20"/>
  <c r="AB212" i="20"/>
  <c r="AB211" i="20"/>
  <c r="AB210" i="20"/>
  <c r="AB209" i="20"/>
  <c r="AB208" i="20"/>
  <c r="AB207" i="20"/>
  <c r="AB217" i="20"/>
  <c r="AB233" i="20"/>
  <c r="AB235" i="20"/>
  <c r="AB237" i="20"/>
  <c r="AB243" i="20"/>
  <c r="AD192" i="20"/>
  <c r="AJ163" i="20"/>
  <c r="T790" i="20"/>
  <c r="AJ149" i="20"/>
  <c r="AK166" i="20"/>
  <c r="AQ124" i="20"/>
  <c r="AO124" i="20"/>
  <c r="AQ123" i="20"/>
  <c r="AO123" i="20"/>
  <c r="AQ122" i="20"/>
  <c r="AO122" i="20"/>
  <c r="AQ121" i="20"/>
  <c r="AO121" i="20"/>
  <c r="AQ120" i="20"/>
  <c r="AO120" i="20"/>
  <c r="AQ119" i="20"/>
  <c r="AO119" i="20"/>
  <c r="AQ118" i="20"/>
  <c r="AO118" i="20"/>
  <c r="AQ117" i="20"/>
  <c r="AO117" i="20"/>
  <c r="AQ116" i="20"/>
  <c r="AO116" i="20"/>
  <c r="AQ115" i="20"/>
  <c r="AO115" i="20"/>
  <c r="AQ114" i="20"/>
  <c r="AO114" i="20"/>
  <c r="AQ113" i="20"/>
  <c r="AO113" i="20"/>
  <c r="AQ112" i="20"/>
  <c r="AO112" i="20"/>
  <c r="AQ111" i="20"/>
  <c r="AO111" i="20"/>
  <c r="AQ110" i="20"/>
  <c r="AO110" i="20"/>
  <c r="AV109" i="20" a="1"/>
  <c r="AV109" i="20"/>
  <c r="AU109" i="20"/>
  <c r="AQ109" i="20"/>
  <c r="AO109" i="20"/>
  <c r="AV108" i="20" a="1"/>
  <c r="AV108" i="20"/>
  <c r="AU108" i="20"/>
  <c r="AQ108" i="20"/>
  <c r="AO108" i="20"/>
  <c r="AV107" i="20" a="1"/>
  <c r="AV107" i="20"/>
  <c r="AU107" i="20"/>
  <c r="AQ107" i="20"/>
  <c r="AO107" i="20"/>
  <c r="AV106" i="20" a="1"/>
  <c r="AV106" i="20"/>
  <c r="AU106" i="20"/>
  <c r="AQ106" i="20"/>
  <c r="AO106" i="20"/>
  <c r="AV105" i="20" a="1"/>
  <c r="AV105" i="20"/>
  <c r="AU105" i="20"/>
  <c r="AQ105" i="20"/>
  <c r="AO105" i="20"/>
  <c r="AV104" i="20" a="1"/>
  <c r="AV104" i="20"/>
  <c r="AU104" i="20"/>
  <c r="AQ104" i="20"/>
  <c r="AO104" i="20"/>
  <c r="AQ103" i="20"/>
  <c r="AO103" i="20"/>
  <c r="AQ102" i="20"/>
  <c r="AO102" i="20"/>
  <c r="AQ101" i="20"/>
  <c r="AO101" i="20"/>
  <c r="AQ100" i="20"/>
  <c r="AO100" i="20"/>
  <c r="AP94" i="20"/>
  <c r="AP83" i="20"/>
  <c r="AK97" i="20"/>
  <c r="T786" i="20"/>
  <c r="AF786" i="20"/>
  <c r="AO59" i="20"/>
  <c r="AO58" i="20"/>
  <c r="AO57" i="20"/>
  <c r="AO60" i="20"/>
  <c r="AO29" i="20"/>
  <c r="AO28" i="20"/>
  <c r="AO27" i="20"/>
  <c r="AO26" i="20"/>
  <c r="AO25" i="20"/>
  <c r="AO24" i="20"/>
  <c r="AO23" i="20"/>
  <c r="AO30" i="20"/>
  <c r="AO20" i="20"/>
  <c r="AO21" i="20"/>
  <c r="AO15" i="20"/>
  <c r="AO14" i="20"/>
  <c r="AO13" i="20"/>
  <c r="AO12" i="20"/>
  <c r="AO16" i="20"/>
  <c r="AO32" i="20"/>
  <c r="AK51" i="20"/>
  <c r="AS153" i="23"/>
  <c r="AB131" i="23"/>
  <c r="Q131" i="23"/>
  <c r="T128" i="23"/>
  <c r="O75" i="23"/>
  <c r="B64" i="23"/>
  <c r="B63" i="23"/>
  <c r="B62" i="23"/>
  <c r="B61" i="23"/>
  <c r="B60" i="23"/>
  <c r="AH57" i="23"/>
  <c r="Z57" i="23"/>
  <c r="R57" i="23"/>
  <c r="AO47" i="23"/>
  <c r="AO46" i="23"/>
  <c r="AO45" i="23"/>
  <c r="AO44" i="23"/>
  <c r="AO43" i="23"/>
  <c r="AO42" i="23"/>
  <c r="AO41" i="23"/>
  <c r="AO40" i="23"/>
  <c r="AO39" i="23"/>
  <c r="AO38" i="23"/>
  <c r="AO37" i="23"/>
  <c r="AO36" i="23"/>
  <c r="AN28" i="23"/>
  <c r="AH28" i="23"/>
  <c r="AB28" i="23"/>
  <c r="V28" i="23"/>
  <c r="P28" i="23"/>
  <c r="J28" i="23"/>
  <c r="AN27" i="23" a="1"/>
  <c r="AN27" i="23"/>
  <c r="AH27" i="23" a="1"/>
  <c r="AH27" i="23"/>
  <c r="AB27" i="23" a="1"/>
  <c r="AB27" i="23"/>
  <c r="V27" i="23" a="1"/>
  <c r="V27" i="23"/>
  <c r="P27" i="23" a="1"/>
  <c r="P27" i="23"/>
  <c r="AN26" i="23" a="1"/>
  <c r="AN26" i="23"/>
  <c r="AH26" i="23" a="1"/>
  <c r="AH26" i="23"/>
  <c r="AB26" i="23" a="1"/>
  <c r="AB26" i="23"/>
  <c r="V26" i="23" a="1"/>
  <c r="V26" i="23"/>
  <c r="P26" i="23" a="1"/>
  <c r="P26" i="23"/>
  <c r="AN25" i="23" a="1"/>
  <c r="AN25" i="23"/>
  <c r="AH25" i="23" a="1"/>
  <c r="AH25" i="23"/>
  <c r="AB25" i="23" a="1"/>
  <c r="AB25" i="23"/>
  <c r="V25" i="23" a="1"/>
  <c r="V25" i="23"/>
  <c r="P25" i="23" a="1"/>
  <c r="P25" i="23"/>
  <c r="AN24" i="23" a="1"/>
  <c r="AN24" i="23"/>
  <c r="AH24" i="23" a="1"/>
  <c r="AH24" i="23"/>
  <c r="AB24" i="23" a="1"/>
  <c r="AB24" i="23"/>
  <c r="V24" i="23" a="1"/>
  <c r="V24" i="23"/>
  <c r="P24" i="23" a="1"/>
  <c r="P24" i="23"/>
  <c r="AN23" i="23" a="1"/>
  <c r="AN23" i="23"/>
  <c r="AH23" i="23" a="1"/>
  <c r="AH23" i="23"/>
  <c r="AB23" i="23" a="1"/>
  <c r="AB23" i="23"/>
  <c r="V23" i="23" a="1"/>
  <c r="V23" i="23"/>
  <c r="P23" i="23" a="1"/>
  <c r="P23" i="23"/>
  <c r="AN22" i="23" a="1"/>
  <c r="AN22" i="23"/>
  <c r="AH22" i="23" a="1"/>
  <c r="AH22" i="23"/>
  <c r="AB22" i="23" a="1"/>
  <c r="AB22" i="23"/>
  <c r="V22" i="23" a="1"/>
  <c r="V22" i="23"/>
  <c r="P22" i="23" a="1"/>
  <c r="P22" i="23"/>
  <c r="AN21" i="23" a="1"/>
  <c r="AN21" i="23"/>
  <c r="AH21" i="23" a="1"/>
  <c r="AH21" i="23"/>
  <c r="AB21" i="23" a="1"/>
  <c r="AB21" i="23"/>
  <c r="V21" i="23" a="1"/>
  <c r="V21" i="23"/>
  <c r="P21" i="23" a="1"/>
  <c r="P21" i="23"/>
  <c r="AN20" i="23" a="1"/>
  <c r="AN20" i="23"/>
  <c r="AH20" i="23" a="1"/>
  <c r="AH20" i="23"/>
  <c r="AB20" i="23" a="1"/>
  <c r="AB20" i="23"/>
  <c r="V20" i="23" a="1"/>
  <c r="V20" i="23"/>
  <c r="P20" i="23" a="1"/>
  <c r="P20" i="23"/>
  <c r="AN19" i="23" a="1"/>
  <c r="AN19" i="23"/>
  <c r="AH19" i="23" a="1"/>
  <c r="AH19" i="23"/>
  <c r="AB19" i="23" a="1"/>
  <c r="AB19" i="23"/>
  <c r="V19" i="23" a="1"/>
  <c r="V19" i="23"/>
  <c r="P19" i="23" a="1"/>
  <c r="P19" i="23"/>
  <c r="S15" i="23"/>
  <c r="N11" i="23"/>
  <c r="AL10" i="23"/>
  <c r="N10" i="23"/>
  <c r="AB8" i="23"/>
  <c r="L6" i="23"/>
  <c r="L4" i="23"/>
  <c r="H106" i="13"/>
  <c r="E106" i="13"/>
  <c r="J104" i="13"/>
  <c r="I104" i="13"/>
  <c r="G104" i="13"/>
  <c r="F104" i="13"/>
  <c r="D104" i="13"/>
  <c r="C104" i="13"/>
  <c r="C104" i="4"/>
  <c r="B104" i="13"/>
  <c r="H103" i="13"/>
  <c r="E103" i="13"/>
  <c r="B103" i="13"/>
  <c r="A103" i="13"/>
  <c r="H102" i="13"/>
  <c r="E102" i="13"/>
  <c r="B102" i="13"/>
  <c r="H101" i="13"/>
  <c r="E101" i="13"/>
  <c r="B101" i="13"/>
  <c r="H100" i="13"/>
  <c r="E100" i="13"/>
  <c r="B100" i="13"/>
  <c r="H99" i="13"/>
  <c r="E99" i="13"/>
  <c r="B99" i="13"/>
  <c r="J96" i="13"/>
  <c r="I96" i="13"/>
  <c r="G96" i="13"/>
  <c r="F96" i="13"/>
  <c r="D96" i="13"/>
  <c r="C96" i="13"/>
  <c r="C96" i="4"/>
  <c r="B96" i="13"/>
  <c r="H95" i="13"/>
  <c r="E95" i="13"/>
  <c r="B95" i="13"/>
  <c r="A95" i="13"/>
  <c r="H94" i="13"/>
  <c r="E94" i="13"/>
  <c r="B94" i="13"/>
  <c r="A94" i="13"/>
  <c r="H93" i="13"/>
  <c r="E93" i="13"/>
  <c r="B93" i="13"/>
  <c r="A93" i="13"/>
  <c r="H92" i="13"/>
  <c r="E92" i="13"/>
  <c r="B92" i="13"/>
  <c r="H91" i="13"/>
  <c r="E91" i="13"/>
  <c r="B91" i="13"/>
  <c r="H90" i="13"/>
  <c r="E90" i="13"/>
  <c r="B90" i="13"/>
  <c r="H89" i="13"/>
  <c r="E89" i="13"/>
  <c r="B89" i="13"/>
  <c r="B88" i="13"/>
  <c r="H87" i="13"/>
  <c r="E87" i="13"/>
  <c r="B87" i="13"/>
  <c r="H86" i="13"/>
  <c r="E86" i="13"/>
  <c r="B86" i="13"/>
  <c r="H85" i="13"/>
  <c r="E85" i="13"/>
  <c r="B85" i="13"/>
  <c r="H84" i="13"/>
  <c r="E84" i="13"/>
  <c r="B84" i="13"/>
  <c r="B83" i="13"/>
  <c r="J81" i="13"/>
  <c r="I81" i="13"/>
  <c r="G81" i="13"/>
  <c r="F81" i="13"/>
  <c r="D81" i="13"/>
  <c r="C81" i="13"/>
  <c r="H80" i="13"/>
  <c r="E80" i="13"/>
  <c r="B80" i="13"/>
  <c r="H79" i="13"/>
  <c r="E79" i="13"/>
  <c r="B79" i="13"/>
  <c r="D77" i="13"/>
  <c r="C77" i="13"/>
  <c r="C77" i="4"/>
  <c r="B77" i="13"/>
  <c r="B76" i="13"/>
  <c r="A76" i="13"/>
  <c r="B75" i="13"/>
  <c r="B74" i="13"/>
  <c r="B73" i="13"/>
  <c r="B72" i="13"/>
  <c r="J70" i="13"/>
  <c r="I70" i="13"/>
  <c r="G70" i="13"/>
  <c r="F70" i="13"/>
  <c r="D70" i="13"/>
  <c r="C70" i="13"/>
  <c r="H69" i="13"/>
  <c r="E69" i="13"/>
  <c r="B69" i="13"/>
  <c r="A69" i="13"/>
  <c r="H68" i="13"/>
  <c r="E68" i="13"/>
  <c r="B68" i="13"/>
  <c r="H67" i="13"/>
  <c r="E67" i="13"/>
  <c r="B67" i="13"/>
  <c r="H66" i="13"/>
  <c r="E66" i="13"/>
  <c r="B66" i="13"/>
  <c r="H65" i="13"/>
  <c r="E65" i="13"/>
  <c r="B65" i="13"/>
  <c r="D62" i="13"/>
  <c r="C62" i="13"/>
  <c r="B61" i="13"/>
  <c r="A61" i="13"/>
  <c r="B60" i="13"/>
  <c r="B59" i="13"/>
  <c r="B58" i="13"/>
  <c r="B57" i="13"/>
  <c r="B56" i="13"/>
  <c r="J54" i="13"/>
  <c r="I54" i="13"/>
  <c r="G54" i="13"/>
  <c r="F54" i="13"/>
  <c r="D54" i="13"/>
  <c r="C54" i="13"/>
  <c r="H53" i="13"/>
  <c r="E53" i="13"/>
  <c r="B53" i="13"/>
  <c r="A53" i="13"/>
  <c r="H52" i="13"/>
  <c r="E52" i="13"/>
  <c r="B52" i="13"/>
  <c r="H51" i="13"/>
  <c r="E51" i="13"/>
  <c r="B51" i="13"/>
  <c r="H50" i="13"/>
  <c r="E50" i="13"/>
  <c r="B50" i="13"/>
  <c r="H49" i="13"/>
  <c r="E49" i="13"/>
  <c r="B49" i="13"/>
  <c r="H48" i="13"/>
  <c r="E48" i="13"/>
  <c r="B48" i="13"/>
  <c r="H47" i="13"/>
  <c r="E47" i="13"/>
  <c r="B47" i="13"/>
  <c r="H46" i="13"/>
  <c r="E46" i="13"/>
  <c r="B46" i="13"/>
  <c r="H45" i="13"/>
  <c r="E45" i="13"/>
  <c r="B45" i="13"/>
  <c r="H43" i="13"/>
  <c r="E43" i="13"/>
  <c r="B43" i="13"/>
  <c r="J42" i="13"/>
  <c r="I42" i="13"/>
  <c r="G42" i="13"/>
  <c r="F42" i="13"/>
  <c r="S42" i="4"/>
  <c r="E42" i="13"/>
  <c r="D42" i="13"/>
  <c r="C42" i="13"/>
  <c r="H41" i="13"/>
  <c r="E41" i="13"/>
  <c r="B41" i="13"/>
  <c r="H40" i="13"/>
  <c r="E40" i="13"/>
  <c r="B40" i="13"/>
  <c r="J38" i="13"/>
  <c r="I38" i="13"/>
  <c r="H38" i="13"/>
  <c r="G38" i="13"/>
  <c r="F38" i="13"/>
  <c r="D38" i="13"/>
  <c r="C38" i="13"/>
  <c r="H37" i="13"/>
  <c r="E37" i="13"/>
  <c r="B37" i="13"/>
  <c r="A37" i="13"/>
  <c r="H36" i="13"/>
  <c r="E36" i="13"/>
  <c r="B36" i="13"/>
  <c r="H35" i="13"/>
  <c r="E35" i="13"/>
  <c r="B35" i="13"/>
  <c r="H34" i="13"/>
  <c r="E34" i="13"/>
  <c r="B34" i="13"/>
  <c r="H33" i="13"/>
  <c r="E33" i="13"/>
  <c r="B33" i="13"/>
  <c r="H32" i="13"/>
  <c r="E32" i="13"/>
  <c r="B32" i="13"/>
  <c r="H31" i="13"/>
  <c r="E31" i="13"/>
  <c r="B31" i="13"/>
  <c r="H30" i="13"/>
  <c r="E30" i="13"/>
  <c r="B30" i="13"/>
  <c r="H29" i="13"/>
  <c r="E29" i="13"/>
  <c r="B29" i="13"/>
  <c r="H27" i="13"/>
  <c r="E27" i="13"/>
  <c r="B27" i="13"/>
  <c r="J26" i="13"/>
  <c r="J63" i="13"/>
  <c r="J97" i="13"/>
  <c r="J105" i="13"/>
  <c r="J107" i="13"/>
  <c r="I26" i="13"/>
  <c r="G26" i="13"/>
  <c r="G63" i="13"/>
  <c r="G97" i="13"/>
  <c r="G105" i="13"/>
  <c r="G107" i="13"/>
  <c r="F26" i="13"/>
  <c r="F63" i="13"/>
  <c r="F97" i="13"/>
  <c r="F105" i="13"/>
  <c r="F107" i="13"/>
  <c r="D26" i="13"/>
  <c r="C26" i="13"/>
  <c r="B26" i="13"/>
  <c r="H25" i="13"/>
  <c r="E25" i="13"/>
  <c r="B25" i="13"/>
  <c r="A25" i="13"/>
  <c r="H24" i="13"/>
  <c r="E24" i="13"/>
  <c r="B24" i="13"/>
  <c r="H23" i="13"/>
  <c r="E23" i="13"/>
  <c r="B23" i="13"/>
  <c r="H22" i="13"/>
  <c r="E22" i="13"/>
  <c r="B22" i="13"/>
  <c r="H21" i="13"/>
  <c r="E21" i="13"/>
  <c r="B21" i="13"/>
  <c r="H20" i="13"/>
  <c r="E20" i="13"/>
  <c r="B20" i="13"/>
  <c r="H19" i="13"/>
  <c r="E19" i="13"/>
  <c r="B19" i="13"/>
  <c r="H18" i="13"/>
  <c r="E18" i="13"/>
  <c r="B18" i="13"/>
  <c r="H17" i="13"/>
  <c r="E17" i="13"/>
  <c r="B17" i="13"/>
  <c r="H15" i="13"/>
  <c r="E15" i="13"/>
  <c r="B15" i="13"/>
  <c r="H14" i="13"/>
  <c r="E14" i="13"/>
  <c r="B14" i="13"/>
  <c r="H13" i="13"/>
  <c r="E13" i="13"/>
  <c r="B13" i="13"/>
  <c r="J11" i="13"/>
  <c r="I11" i="13"/>
  <c r="I63" i="13"/>
  <c r="I97" i="13"/>
  <c r="I105" i="13"/>
  <c r="I107" i="13"/>
  <c r="D11" i="13"/>
  <c r="C11" i="13"/>
  <c r="H10" i="13"/>
  <c r="E10" i="13"/>
  <c r="B10" i="13"/>
  <c r="H9" i="13"/>
  <c r="B9" i="13"/>
  <c r="D8" i="13"/>
  <c r="D63" i="13"/>
  <c r="D97" i="13"/>
  <c r="D105" i="13"/>
  <c r="C8" i="13"/>
  <c r="C63" i="13"/>
  <c r="C97" i="13"/>
  <c r="C105" i="13"/>
  <c r="B7" i="13"/>
  <c r="B6" i="13"/>
  <c r="B5" i="13"/>
  <c r="B4" i="13"/>
  <c r="B131" i="4"/>
  <c r="Q108" i="4"/>
  <c r="P108" i="4"/>
  <c r="O108" i="4"/>
  <c r="N108" i="4"/>
  <c r="M108" i="4"/>
  <c r="L108" i="4"/>
  <c r="K108" i="4"/>
  <c r="J108" i="4"/>
  <c r="I108" i="4"/>
  <c r="H108" i="4"/>
  <c r="G108" i="4"/>
  <c r="F108" i="4"/>
  <c r="E108" i="4"/>
  <c r="T104" i="4"/>
  <c r="H104" i="13"/>
  <c r="S104" i="4"/>
  <c r="E104" i="13"/>
  <c r="R99" i="4"/>
  <c r="R104" i="4"/>
  <c r="Q104" i="4"/>
  <c r="P104" i="4"/>
  <c r="O104" i="4"/>
  <c r="N104" i="4"/>
  <c r="M104" i="4"/>
  <c r="L104" i="4"/>
  <c r="K104" i="4"/>
  <c r="J104" i="4"/>
  <c r="I104" i="4"/>
  <c r="H104" i="4"/>
  <c r="G104" i="4"/>
  <c r="F104" i="4"/>
  <c r="E104" i="4"/>
  <c r="D104" i="4"/>
  <c r="B104" i="4"/>
  <c r="N150" i="23"/>
  <c r="R103" i="4"/>
  <c r="B103" i="4"/>
  <c r="R102" i="4"/>
  <c r="B102" i="4"/>
  <c r="R101" i="4"/>
  <c r="B101" i="4"/>
  <c r="R100" i="4"/>
  <c r="B100" i="4"/>
  <c r="B99" i="4"/>
  <c r="T96" i="4"/>
  <c r="H96" i="13"/>
  <c r="S96" i="4"/>
  <c r="E96" i="13"/>
  <c r="R84" i="4"/>
  <c r="R85" i="4"/>
  <c r="R86" i="4"/>
  <c r="R88" i="4"/>
  <c r="R89" i="4"/>
  <c r="R90" i="4"/>
  <c r="R92" i="4"/>
  <c r="R83" i="4"/>
  <c r="R96" i="4"/>
  <c r="Q96" i="4"/>
  <c r="P96" i="4"/>
  <c r="O96" i="4"/>
  <c r="N96" i="4"/>
  <c r="M96" i="4"/>
  <c r="L96" i="4"/>
  <c r="K96" i="4"/>
  <c r="J96" i="4"/>
  <c r="I96" i="4"/>
  <c r="H96" i="4"/>
  <c r="G96" i="4"/>
  <c r="F96" i="4"/>
  <c r="E96" i="4"/>
  <c r="D96" i="4"/>
  <c r="B96" i="4"/>
  <c r="R95" i="4"/>
  <c r="B95" i="4"/>
  <c r="R94" i="4"/>
  <c r="B94" i="4"/>
  <c r="R93" i="4"/>
  <c r="B93" i="4"/>
  <c r="B92" i="4"/>
  <c r="R91" i="4"/>
  <c r="B91" i="4"/>
  <c r="B90" i="4"/>
  <c r="B89" i="4"/>
  <c r="B88" i="4"/>
  <c r="R87" i="4"/>
  <c r="B87" i="4"/>
  <c r="B86" i="4"/>
  <c r="B85" i="4"/>
  <c r="N153" i="23"/>
  <c r="B84" i="4"/>
  <c r="B83" i="4"/>
  <c r="T81" i="4"/>
  <c r="H81" i="13"/>
  <c r="S81" i="4"/>
  <c r="E81" i="13"/>
  <c r="Q81" i="4"/>
  <c r="P81" i="4"/>
  <c r="O81" i="4"/>
  <c r="N81" i="4"/>
  <c r="M81" i="4"/>
  <c r="L81" i="4"/>
  <c r="K81" i="4"/>
  <c r="J81" i="4"/>
  <c r="I81" i="4"/>
  <c r="H81" i="4"/>
  <c r="G81" i="4"/>
  <c r="F81" i="4"/>
  <c r="E81" i="4"/>
  <c r="D81" i="4"/>
  <c r="C81" i="4"/>
  <c r="B81" i="13"/>
  <c r="R80" i="4"/>
  <c r="B80" i="4"/>
  <c r="R79" i="4"/>
  <c r="R81" i="4"/>
  <c r="B79" i="4"/>
  <c r="R73" i="4"/>
  <c r="R75" i="4"/>
  <c r="R77" i="4"/>
  <c r="Q77" i="4"/>
  <c r="P77" i="4"/>
  <c r="O77" i="4"/>
  <c r="N77" i="4"/>
  <c r="M77" i="4"/>
  <c r="L77" i="4"/>
  <c r="K77" i="4"/>
  <c r="J77" i="4"/>
  <c r="I77" i="4"/>
  <c r="H77" i="4"/>
  <c r="G77" i="4"/>
  <c r="F77" i="4"/>
  <c r="E77" i="4"/>
  <c r="D77" i="4"/>
  <c r="B77" i="4"/>
  <c r="R76" i="4"/>
  <c r="B76" i="4"/>
  <c r="B75" i="4"/>
  <c r="R74" i="4"/>
  <c r="B74" i="4"/>
  <c r="B73" i="4"/>
  <c r="R72" i="4"/>
  <c r="B72" i="4"/>
  <c r="T70" i="4"/>
  <c r="H70" i="13"/>
  <c r="S70" i="4"/>
  <c r="E70" i="13"/>
  <c r="Q70" i="4"/>
  <c r="P70" i="4"/>
  <c r="O70" i="4"/>
  <c r="N70" i="4"/>
  <c r="M70" i="4"/>
  <c r="L70" i="4"/>
  <c r="K70" i="4"/>
  <c r="J70" i="4"/>
  <c r="I70" i="4"/>
  <c r="H70" i="4"/>
  <c r="G70" i="4"/>
  <c r="F70" i="4"/>
  <c r="E70" i="4"/>
  <c r="D70" i="4"/>
  <c r="C70" i="4"/>
  <c r="B70" i="13"/>
  <c r="R69" i="4"/>
  <c r="B69" i="4"/>
  <c r="R68" i="4"/>
  <c r="R67" i="4"/>
  <c r="R66" i="4"/>
  <c r="R65" i="4"/>
  <c r="R70" i="4"/>
  <c r="B65" i="4"/>
  <c r="R56" i="4"/>
  <c r="R57" i="4"/>
  <c r="R58" i="4"/>
  <c r="R62" i="4"/>
  <c r="Q62" i="4"/>
  <c r="P62" i="4"/>
  <c r="O62" i="4"/>
  <c r="N62" i="4"/>
  <c r="M62" i="4"/>
  <c r="L62" i="4"/>
  <c r="K62" i="4"/>
  <c r="J62" i="4"/>
  <c r="I62" i="4"/>
  <c r="H62" i="4"/>
  <c r="G62" i="4"/>
  <c r="F62" i="4"/>
  <c r="E62" i="4"/>
  <c r="D62" i="4"/>
  <c r="C62" i="4"/>
  <c r="B62" i="13"/>
  <c r="B62" i="4"/>
  <c r="R61" i="4"/>
  <c r="B61" i="4"/>
  <c r="R60" i="4"/>
  <c r="B60" i="4"/>
  <c r="R59" i="4"/>
  <c r="B59" i="4"/>
  <c r="B58" i="4"/>
  <c r="B57" i="4"/>
  <c r="B56" i="4"/>
  <c r="T54" i="4"/>
  <c r="H54" i="13"/>
  <c r="S54" i="4"/>
  <c r="E54" i="13"/>
  <c r="Q54" i="4"/>
  <c r="P54" i="4"/>
  <c r="O54" i="4"/>
  <c r="N54" i="4"/>
  <c r="M54" i="4"/>
  <c r="L54" i="4"/>
  <c r="K54" i="4"/>
  <c r="J54" i="4"/>
  <c r="I54" i="4"/>
  <c r="H54" i="4"/>
  <c r="G54" i="4"/>
  <c r="F54" i="4"/>
  <c r="E54" i="4"/>
  <c r="D54" i="4"/>
  <c r="C54" i="4"/>
  <c r="B54" i="13"/>
  <c r="R53" i="4"/>
  <c r="B53" i="4"/>
  <c r="R52" i="4"/>
  <c r="B52" i="4"/>
  <c r="R51" i="4"/>
  <c r="B51" i="4"/>
  <c r="R50" i="4"/>
  <c r="B50" i="4"/>
  <c r="R49" i="4"/>
  <c r="B49" i="4"/>
  <c r="R48" i="4"/>
  <c r="B48" i="4"/>
  <c r="R47" i="4"/>
  <c r="B47" i="4"/>
  <c r="R46" i="4"/>
  <c r="B46" i="4"/>
  <c r="R45" i="4"/>
  <c r="R54" i="4"/>
  <c r="B45" i="4"/>
  <c r="R43" i="4"/>
  <c r="B43" i="4"/>
  <c r="T42" i="4"/>
  <c r="H42" i="13"/>
  <c r="R40" i="4"/>
  <c r="R42" i="4"/>
  <c r="Q42" i="4"/>
  <c r="P42" i="4"/>
  <c r="O42" i="4"/>
  <c r="N42" i="4"/>
  <c r="M42" i="4"/>
  <c r="L42" i="4"/>
  <c r="K42" i="4"/>
  <c r="J42" i="4"/>
  <c r="I42" i="4"/>
  <c r="H42" i="4"/>
  <c r="G42" i="4"/>
  <c r="F42" i="4"/>
  <c r="E42" i="4"/>
  <c r="D42" i="4"/>
  <c r="C42" i="4"/>
  <c r="B42" i="13"/>
  <c r="B42" i="4"/>
  <c r="R41" i="4"/>
  <c r="B41" i="4"/>
  <c r="B40" i="4"/>
  <c r="T38" i="4"/>
  <c r="S38" i="4"/>
  <c r="E38" i="13"/>
  <c r="Q38" i="4"/>
  <c r="Q63" i="4"/>
  <c r="Q97" i="4"/>
  <c r="Q105" i="4"/>
  <c r="P38" i="4"/>
  <c r="O38" i="4"/>
  <c r="N38" i="4"/>
  <c r="M38" i="4"/>
  <c r="L38" i="4"/>
  <c r="K38" i="4"/>
  <c r="J38" i="4"/>
  <c r="I38" i="4"/>
  <c r="H38" i="4"/>
  <c r="G38" i="4"/>
  <c r="F38" i="4"/>
  <c r="E38" i="4"/>
  <c r="D38" i="4"/>
  <c r="C38" i="4"/>
  <c r="B38" i="4"/>
  <c r="R37" i="4"/>
  <c r="B37" i="4"/>
  <c r="R35" i="4"/>
  <c r="B35" i="4"/>
  <c r="R34" i="4"/>
  <c r="B34" i="4"/>
  <c r="R33" i="4"/>
  <c r="B33" i="4"/>
  <c r="R32" i="4"/>
  <c r="R31" i="4"/>
  <c r="B31" i="4"/>
  <c r="R30" i="4"/>
  <c r="B30" i="4"/>
  <c r="R29" i="4"/>
  <c r="R38" i="4"/>
  <c r="B29" i="4"/>
  <c r="R27" i="4"/>
  <c r="B27" i="4"/>
  <c r="T26" i="4"/>
  <c r="H26" i="13"/>
  <c r="S26" i="4"/>
  <c r="E26" i="13"/>
  <c r="R26" i="4"/>
  <c r="Q26" i="4"/>
  <c r="P26" i="4"/>
  <c r="P63" i="4"/>
  <c r="P97" i="4"/>
  <c r="P105" i="4"/>
  <c r="O26" i="4"/>
  <c r="N26" i="4"/>
  <c r="M26" i="4"/>
  <c r="L26" i="4"/>
  <c r="K26" i="4"/>
  <c r="J26" i="4"/>
  <c r="I26" i="4"/>
  <c r="H26" i="4"/>
  <c r="G26" i="4"/>
  <c r="F26" i="4"/>
  <c r="E26" i="4"/>
  <c r="D26" i="4"/>
  <c r="C26" i="4"/>
  <c r="B26" i="4"/>
  <c r="R25" i="4"/>
  <c r="B25" i="4"/>
  <c r="R23" i="4"/>
  <c r="B23" i="4"/>
  <c r="R22" i="4"/>
  <c r="B22" i="4"/>
  <c r="R21" i="4"/>
  <c r="B21" i="4"/>
  <c r="R20" i="4"/>
  <c r="B20" i="4"/>
  <c r="R19" i="4"/>
  <c r="B19" i="4"/>
  <c r="R18" i="4"/>
  <c r="B18" i="4"/>
  <c r="R17" i="4"/>
  <c r="B17" i="4"/>
  <c r="R15" i="4"/>
  <c r="B15" i="4"/>
  <c r="AD193" i="20"/>
  <c r="AD194" i="20"/>
  <c r="R14" i="4"/>
  <c r="B14" i="4"/>
  <c r="R13" i="4"/>
  <c r="B13" i="4"/>
  <c r="Q12" i="4"/>
  <c r="N12" i="4"/>
  <c r="L12" i="4"/>
  <c r="J12" i="4"/>
  <c r="H8" i="4"/>
  <c r="H11" i="4"/>
  <c r="H12" i="4"/>
  <c r="F12" i="4"/>
  <c r="D8" i="4"/>
  <c r="D12" i="4"/>
  <c r="T11" i="4"/>
  <c r="H11" i="13"/>
  <c r="Q11" i="4"/>
  <c r="O11" i="4"/>
  <c r="N11" i="4"/>
  <c r="M11" i="4"/>
  <c r="L11" i="4"/>
  <c r="K11" i="4"/>
  <c r="J11" i="4"/>
  <c r="I11" i="4"/>
  <c r="G11" i="4"/>
  <c r="F11" i="4"/>
  <c r="E11" i="4"/>
  <c r="D11" i="4"/>
  <c r="C11" i="4"/>
  <c r="B11" i="4"/>
  <c r="R10" i="4"/>
  <c r="B10" i="4"/>
  <c r="R9" i="4"/>
  <c r="R11" i="4"/>
  <c r="B9" i="4"/>
  <c r="Q8" i="4"/>
  <c r="O8" i="4"/>
  <c r="O12" i="4"/>
  <c r="N8" i="4"/>
  <c r="N63" i="4"/>
  <c r="N97" i="4"/>
  <c r="N105" i="4"/>
  <c r="M8" i="4"/>
  <c r="M12" i="4"/>
  <c r="L8" i="4"/>
  <c r="L63" i="4"/>
  <c r="L97" i="4"/>
  <c r="L105" i="4"/>
  <c r="K8" i="4"/>
  <c r="K12" i="4"/>
  <c r="J8" i="4"/>
  <c r="J63" i="4"/>
  <c r="J97" i="4"/>
  <c r="J105" i="4"/>
  <c r="I8" i="4"/>
  <c r="I12" i="4"/>
  <c r="H63" i="4"/>
  <c r="H97" i="4"/>
  <c r="H105" i="4"/>
  <c r="G8" i="4"/>
  <c r="G12" i="4"/>
  <c r="F8" i="4"/>
  <c r="F63" i="4"/>
  <c r="F97" i="4"/>
  <c r="F105" i="4"/>
  <c r="E8" i="4"/>
  <c r="E12" i="4"/>
  <c r="D63" i="4"/>
  <c r="D97" i="4"/>
  <c r="D105" i="4"/>
  <c r="C8" i="4"/>
  <c r="C12" i="4"/>
  <c r="B12" i="13"/>
  <c r="R7" i="4"/>
  <c r="B7" i="4"/>
  <c r="R6" i="4"/>
  <c r="B6" i="4"/>
  <c r="R5" i="4"/>
  <c r="B5" i="4"/>
  <c r="R4" i="4"/>
  <c r="R8" i="4"/>
  <c r="B4" i="4"/>
  <c r="Q2" i="4"/>
  <c r="P2" i="4"/>
  <c r="O2" i="4"/>
  <c r="N2" i="4"/>
  <c r="M2" i="4"/>
  <c r="L2" i="4"/>
  <c r="K2" i="4"/>
  <c r="J2" i="4"/>
  <c r="I2" i="4"/>
  <c r="H2" i="4"/>
  <c r="G2" i="4"/>
  <c r="F2" i="4"/>
  <c r="AD1036" i="3"/>
  <c r="AJ1020" i="3"/>
  <c r="AJ1015" i="3"/>
  <c r="AJ1011" i="3"/>
  <c r="BA1005" i="3"/>
  <c r="AF1005" i="3"/>
  <c r="BA1004" i="3"/>
  <c r="BA1003" i="3"/>
  <c r="BA1002" i="3"/>
  <c r="BA1001" i="3"/>
  <c r="BA1000" i="3"/>
  <c r="AF1000" i="3"/>
  <c r="BA999" i="3"/>
  <c r="BA998" i="3"/>
  <c r="BA997" i="3"/>
  <c r="BA995" i="3"/>
  <c r="AJ995" i="3"/>
  <c r="AJ992" i="3"/>
  <c r="AJ990" i="3"/>
  <c r="AJ980" i="3"/>
  <c r="AJ977" i="3"/>
  <c r="R973" i="3"/>
  <c r="R971" i="3"/>
  <c r="AD1035" i="3"/>
  <c r="AD1037" i="3"/>
  <c r="E4" i="21"/>
  <c r="R969" i="3"/>
  <c r="Z899" i="3"/>
  <c r="W877" i="3"/>
  <c r="G20" i="7"/>
  <c r="I20" i="7"/>
  <c r="K20" i="7"/>
  <c r="M20" i="7"/>
  <c r="O20" i="7"/>
  <c r="Q20" i="7"/>
  <c r="S20" i="7"/>
  <c r="U20" i="7"/>
  <c r="W20" i="7"/>
  <c r="Y20" i="7"/>
  <c r="AA20" i="7"/>
  <c r="AC20" i="7"/>
  <c r="AE20" i="7"/>
  <c r="AG20" i="7"/>
  <c r="W870" i="3"/>
  <c r="G19" i="7"/>
  <c r="I19" i="7"/>
  <c r="K19" i="7"/>
  <c r="M19" i="7"/>
  <c r="O19" i="7"/>
  <c r="Q19" i="7"/>
  <c r="S19" i="7"/>
  <c r="U19" i="7"/>
  <c r="W19" i="7"/>
  <c r="Y19" i="7"/>
  <c r="AA19" i="7"/>
  <c r="AC19" i="7"/>
  <c r="AE19" i="7"/>
  <c r="AG19" i="7"/>
  <c r="W860" i="3"/>
  <c r="G17" i="7"/>
  <c r="I17" i="7"/>
  <c r="K17" i="7"/>
  <c r="M17" i="7"/>
  <c r="O17" i="7"/>
  <c r="Q17" i="7"/>
  <c r="S17" i="7"/>
  <c r="U17" i="7"/>
  <c r="W17" i="7"/>
  <c r="Y17" i="7"/>
  <c r="AA17" i="7"/>
  <c r="AC17" i="7"/>
  <c r="AE17" i="7"/>
  <c r="AG17" i="7"/>
  <c r="W853" i="3"/>
  <c r="G16" i="7"/>
  <c r="I16" i="7"/>
  <c r="K16" i="7"/>
  <c r="M16" i="7"/>
  <c r="O16" i="7"/>
  <c r="Q16" i="7"/>
  <c r="S16" i="7"/>
  <c r="U16" i="7"/>
  <c r="W16" i="7"/>
  <c r="Y16" i="7"/>
  <c r="AA16" i="7"/>
  <c r="AC16" i="7"/>
  <c r="AE16" i="7"/>
  <c r="AG16" i="7"/>
  <c r="W845" i="3"/>
  <c r="BI844" i="3"/>
  <c r="AG830" i="3"/>
  <c r="AC830" i="3"/>
  <c r="Y830" i="3"/>
  <c r="U830" i="3"/>
  <c r="Q830" i="3"/>
  <c r="M830" i="3"/>
  <c r="Z815" i="3"/>
  <c r="CB799" i="3"/>
  <c r="R972" i="3"/>
  <c r="O796" i="3"/>
  <c r="AC795" i="3"/>
  <c r="AC794" i="3"/>
  <c r="AC793" i="3"/>
  <c r="AC792" i="3"/>
  <c r="AC791" i="3"/>
  <c r="AC790" i="3"/>
  <c r="AC789" i="3"/>
  <c r="AC788" i="3"/>
  <c r="AC787" i="3"/>
  <c r="AC796" i="3"/>
  <c r="AC786" i="3"/>
  <c r="O776" i="3"/>
  <c r="AC775" i="3"/>
  <c r="AC774" i="3"/>
  <c r="AC773" i="3"/>
  <c r="AC776" i="3"/>
  <c r="AC772" i="3"/>
  <c r="G753" i="3"/>
  <c r="BA987" i="3"/>
  <c r="I1031" i="3"/>
  <c r="AM752" i="3"/>
  <c r="AC752" i="3"/>
  <c r="T752" i="3"/>
  <c r="AM751" i="3"/>
  <c r="AC751" i="3"/>
  <c r="T751" i="3"/>
  <c r="AM750" i="3"/>
  <c r="AC750" i="3"/>
  <c r="T750" i="3"/>
  <c r="AM749" i="3"/>
  <c r="AC749" i="3"/>
  <c r="T749" i="3"/>
  <c r="AM748" i="3"/>
  <c r="AC748" i="3"/>
  <c r="T748" i="3"/>
  <c r="AM747" i="3"/>
  <c r="AC747" i="3"/>
  <c r="T747" i="3"/>
  <c r="AM746" i="3"/>
  <c r="AC746" i="3"/>
  <c r="T746" i="3"/>
  <c r="AM745" i="3"/>
  <c r="AC745" i="3"/>
  <c r="T745" i="3"/>
  <c r="AM744" i="3"/>
  <c r="AC744" i="3"/>
  <c r="T744" i="3"/>
  <c r="AM743" i="3"/>
  <c r="AC743" i="3"/>
  <c r="T743" i="3"/>
  <c r="AM742" i="3"/>
  <c r="AC742" i="3"/>
  <c r="T742" i="3"/>
  <c r="AM741" i="3"/>
  <c r="AC741" i="3"/>
  <c r="T741" i="3"/>
  <c r="AM740" i="3"/>
  <c r="AC740" i="3"/>
  <c r="T740" i="3"/>
  <c r="AM739" i="3"/>
  <c r="AC739" i="3"/>
  <c r="T739" i="3"/>
  <c r="AM738" i="3"/>
  <c r="AC738" i="3"/>
  <c r="T738" i="3"/>
  <c r="AM737" i="3"/>
  <c r="AC737" i="3"/>
  <c r="T737" i="3"/>
  <c r="AM736" i="3"/>
  <c r="AC736" i="3"/>
  <c r="T736" i="3"/>
  <c r="AC735" i="3"/>
  <c r="AM735" i="3"/>
  <c r="T735" i="3"/>
  <c r="AC734" i="3"/>
  <c r="AM734" i="3"/>
  <c r="T734" i="3"/>
  <c r="AM733" i="3"/>
  <c r="AC733" i="3"/>
  <c r="T733" i="3"/>
  <c r="AM732" i="3"/>
  <c r="AC732" i="3"/>
  <c r="T732" i="3"/>
  <c r="AC731" i="3"/>
  <c r="AM731" i="3"/>
  <c r="T731" i="3"/>
  <c r="AC730" i="3"/>
  <c r="AM730" i="3"/>
  <c r="T730" i="3"/>
  <c r="AC729" i="3"/>
  <c r="AM729" i="3"/>
  <c r="T729" i="3"/>
  <c r="AC728" i="3"/>
  <c r="AM728" i="3"/>
  <c r="T728" i="3"/>
  <c r="BG727" i="3"/>
  <c r="BG726" i="3"/>
  <c r="BG725" i="3"/>
  <c r="BG724" i="3"/>
  <c r="BG723" i="3"/>
  <c r="BG722" i="3"/>
  <c r="BG721" i="3"/>
  <c r="BG720" i="3"/>
  <c r="BG719" i="3"/>
  <c r="BG718" i="3"/>
  <c r="BG717" i="3"/>
  <c r="BG716" i="3"/>
  <c r="BG715" i="3"/>
  <c r="BG714" i="3"/>
  <c r="BG713" i="3"/>
  <c r="BG712" i="3"/>
  <c r="BG711" i="3"/>
  <c r="BG710" i="3"/>
  <c r="W710" i="3"/>
  <c r="BG709" i="3"/>
  <c r="BG708" i="3"/>
  <c r="BG707" i="3"/>
  <c r="BG706" i="3"/>
  <c r="BG705" i="3"/>
  <c r="BG704" i="3"/>
  <c r="BG703" i="3"/>
  <c r="BG695" i="3"/>
  <c r="BG694" i="3"/>
  <c r="BA694" i="3"/>
  <c r="BG693" i="3"/>
  <c r="BA693" i="3"/>
  <c r="Z693" i="3"/>
  <c r="G693" i="3"/>
  <c r="BG692" i="3"/>
  <c r="BA692" i="3"/>
  <c r="BG691" i="3"/>
  <c r="BA691" i="3"/>
  <c r="BG690" i="3"/>
  <c r="BA690" i="3"/>
  <c r="BG689" i="3"/>
  <c r="BA689" i="3"/>
  <c r="BG688" i="3"/>
  <c r="BA688" i="3"/>
  <c r="BG687" i="3"/>
  <c r="BA687" i="3"/>
  <c r="BG686" i="3"/>
  <c r="BA686" i="3"/>
  <c r="BG685" i="3"/>
  <c r="BA685" i="3"/>
  <c r="Z685" i="3"/>
  <c r="G685" i="3"/>
  <c r="BG684" i="3"/>
  <c r="BA684" i="3"/>
  <c r="BG683" i="3"/>
  <c r="BA683" i="3"/>
  <c r="BG682" i="3"/>
  <c r="BA682" i="3"/>
  <c r="BG681" i="3"/>
  <c r="BA681" i="3"/>
  <c r="BG680" i="3"/>
  <c r="BA680" i="3"/>
  <c r="BG679" i="3"/>
  <c r="BA679" i="3"/>
  <c r="BG678" i="3"/>
  <c r="BA678" i="3"/>
  <c r="BG677" i="3"/>
  <c r="BA677" i="3"/>
  <c r="Z677" i="3"/>
  <c r="G677" i="3"/>
  <c r="BG676" i="3"/>
  <c r="BA676" i="3"/>
  <c r="BG675" i="3"/>
  <c r="BA675" i="3"/>
  <c r="BG674" i="3"/>
  <c r="BA674" i="3"/>
  <c r="BG673" i="3"/>
  <c r="BA673" i="3"/>
  <c r="BG672" i="3"/>
  <c r="BA672" i="3"/>
  <c r="BG671" i="3"/>
  <c r="BG696" i="3"/>
  <c r="BH695" i="3"/>
  <c r="BI695" i="3"/>
  <c r="BA671" i="3"/>
  <c r="BA670" i="3"/>
  <c r="Z669" i="3"/>
  <c r="G669" i="3"/>
  <c r="Z661" i="3"/>
  <c r="G661" i="3"/>
  <c r="CM657" i="3"/>
  <c r="DR657" i="3"/>
  <c r="CH657" i="3"/>
  <c r="DM657" i="3"/>
  <c r="CC657" i="3"/>
  <c r="DH657" i="3"/>
  <c r="BX657" i="3"/>
  <c r="DC657" i="3"/>
  <c r="BS657" i="3"/>
  <c r="CX657" i="3"/>
  <c r="BN657" i="3"/>
  <c r="CS657" i="3"/>
  <c r="CM656" i="3"/>
  <c r="DR656" i="3"/>
  <c r="CH656" i="3"/>
  <c r="DM656" i="3"/>
  <c r="CC656" i="3"/>
  <c r="DH656" i="3"/>
  <c r="BX656" i="3"/>
  <c r="DC656" i="3"/>
  <c r="BS656" i="3"/>
  <c r="CX656" i="3"/>
  <c r="BN656" i="3"/>
  <c r="CS656" i="3"/>
  <c r="CM655" i="3"/>
  <c r="DR655" i="3"/>
  <c r="CH655" i="3"/>
  <c r="DM655" i="3"/>
  <c r="CC655" i="3"/>
  <c r="DH655" i="3"/>
  <c r="BX655" i="3"/>
  <c r="DC655" i="3"/>
  <c r="BS655" i="3"/>
  <c r="CX655" i="3"/>
  <c r="BN655" i="3"/>
  <c r="CS655" i="3"/>
  <c r="CM654" i="3"/>
  <c r="DR654" i="3"/>
  <c r="CH654" i="3"/>
  <c r="DM654" i="3"/>
  <c r="CC654" i="3"/>
  <c r="DH654" i="3"/>
  <c r="BX654" i="3"/>
  <c r="DC654" i="3"/>
  <c r="BS654" i="3"/>
  <c r="CX654" i="3"/>
  <c r="BN654" i="3"/>
  <c r="CS654" i="3"/>
  <c r="CM653" i="3"/>
  <c r="DR653" i="3"/>
  <c r="CH653" i="3"/>
  <c r="DM653" i="3"/>
  <c r="CC653" i="3"/>
  <c r="DH653" i="3"/>
  <c r="BX653" i="3"/>
  <c r="DC653" i="3"/>
  <c r="BS653" i="3"/>
  <c r="CX653" i="3"/>
  <c r="BN653" i="3"/>
  <c r="CS653" i="3"/>
  <c r="Z653" i="3"/>
  <c r="G653" i="3"/>
  <c r="CM652" i="3"/>
  <c r="DR652" i="3"/>
  <c r="CH652" i="3"/>
  <c r="DM652" i="3"/>
  <c r="CC652" i="3"/>
  <c r="DH652" i="3"/>
  <c r="BX652" i="3"/>
  <c r="DC652" i="3"/>
  <c r="BS652" i="3"/>
  <c r="CX652" i="3"/>
  <c r="BN652" i="3"/>
  <c r="CS652" i="3"/>
  <c r="CM651" i="3"/>
  <c r="DR651" i="3"/>
  <c r="CH651" i="3"/>
  <c r="DM651" i="3"/>
  <c r="CC651" i="3"/>
  <c r="DH651" i="3"/>
  <c r="BX651" i="3"/>
  <c r="DC651" i="3"/>
  <c r="BS651" i="3"/>
  <c r="CX651" i="3"/>
  <c r="BN651" i="3"/>
  <c r="CS651" i="3"/>
  <c r="DR650" i="3"/>
  <c r="CX650" i="3"/>
  <c r="CM650" i="3"/>
  <c r="CH650" i="3"/>
  <c r="DM650" i="3"/>
  <c r="CC650" i="3"/>
  <c r="DH650" i="3"/>
  <c r="BX650" i="3"/>
  <c r="DC650" i="3"/>
  <c r="BS650" i="3"/>
  <c r="BN650" i="3"/>
  <c r="CS650" i="3"/>
  <c r="DR649" i="3"/>
  <c r="CX649" i="3"/>
  <c r="CM649" i="3"/>
  <c r="CH649" i="3"/>
  <c r="DM649" i="3"/>
  <c r="CC649" i="3"/>
  <c r="DH649" i="3"/>
  <c r="BX649" i="3"/>
  <c r="DC649" i="3"/>
  <c r="BS649" i="3"/>
  <c r="BN649" i="3"/>
  <c r="CS649" i="3"/>
  <c r="AO649" i="3"/>
  <c r="DC648" i="3"/>
  <c r="DC658" i="3"/>
  <c r="CM648" i="3"/>
  <c r="CM658" i="3"/>
  <c r="CQ659" i="3"/>
  <c r="CH648" i="3"/>
  <c r="CH658" i="3"/>
  <c r="CL659" i="3"/>
  <c r="CC648" i="3"/>
  <c r="CC658" i="3"/>
  <c r="CG659" i="3"/>
  <c r="BX648" i="3"/>
  <c r="BX658" i="3"/>
  <c r="CB659" i="3"/>
  <c r="BS648" i="3"/>
  <c r="BS658" i="3"/>
  <c r="BW659" i="3"/>
  <c r="BN648" i="3"/>
  <c r="BN658" i="3"/>
  <c r="CM643" i="3"/>
  <c r="CH643" i="3"/>
  <c r="CC643" i="3"/>
  <c r="BX643" i="3"/>
  <c r="BS643" i="3"/>
  <c r="BN643" i="3"/>
  <c r="CM642" i="3"/>
  <c r="CH642" i="3"/>
  <c r="CC642" i="3"/>
  <c r="BX642" i="3"/>
  <c r="BS642" i="3"/>
  <c r="BN642" i="3"/>
  <c r="O642" i="3"/>
  <c r="R642" i="3"/>
  <c r="CM641" i="3"/>
  <c r="CH641" i="3"/>
  <c r="CC641" i="3"/>
  <c r="BX641" i="3"/>
  <c r="BS641" i="3"/>
  <c r="BN641" i="3"/>
  <c r="O641" i="3"/>
  <c r="R641" i="3"/>
  <c r="CM640" i="3"/>
  <c r="CM644" i="3"/>
  <c r="CQ645" i="3"/>
  <c r="CH640" i="3"/>
  <c r="CH644" i="3"/>
  <c r="CL645" i="3"/>
  <c r="CC640" i="3"/>
  <c r="CC644" i="3"/>
  <c r="CG645" i="3"/>
  <c r="BX640" i="3"/>
  <c r="BX644" i="3"/>
  <c r="CB645" i="3"/>
  <c r="BS640" i="3"/>
  <c r="BS644" i="3"/>
  <c r="BW645" i="3"/>
  <c r="BN640" i="3"/>
  <c r="BN644" i="3"/>
  <c r="O639" i="3"/>
  <c r="R639" i="3"/>
  <c r="O638" i="3"/>
  <c r="R638" i="3"/>
  <c r="R637" i="3"/>
  <c r="O637" i="3"/>
  <c r="DR634" i="3"/>
  <c r="DM634" i="3"/>
  <c r="DH634" i="3"/>
  <c r="DC634" i="3"/>
  <c r="CX634" i="3"/>
  <c r="CS634" i="3"/>
  <c r="CM634" i="3"/>
  <c r="EW634" i="3"/>
  <c r="CH634" i="3"/>
  <c r="ER634" i="3"/>
  <c r="CC634" i="3"/>
  <c r="EM634" i="3"/>
  <c r="BX634" i="3"/>
  <c r="EH634" i="3"/>
  <c r="BS634" i="3"/>
  <c r="EC634" i="3"/>
  <c r="BN634" i="3"/>
  <c r="DX634" i="3"/>
  <c r="BI634" i="3"/>
  <c r="BK634" i="3"/>
  <c r="BE634" i="3"/>
  <c r="BG634" i="3"/>
  <c r="DR633" i="3"/>
  <c r="DM633" i="3"/>
  <c r="DH633" i="3"/>
  <c r="DC633" i="3"/>
  <c r="CX633" i="3"/>
  <c r="CS633" i="3"/>
  <c r="CM633" i="3"/>
  <c r="EW633" i="3"/>
  <c r="CH633" i="3"/>
  <c r="ER633" i="3"/>
  <c r="CC633" i="3"/>
  <c r="EM633" i="3"/>
  <c r="BX633" i="3"/>
  <c r="EH633" i="3"/>
  <c r="BS633" i="3"/>
  <c r="EC633" i="3"/>
  <c r="BN633" i="3"/>
  <c r="DX633" i="3"/>
  <c r="BI633" i="3"/>
  <c r="BK633" i="3"/>
  <c r="BE633" i="3"/>
  <c r="BG633" i="3"/>
  <c r="DR632" i="3"/>
  <c r="DM632" i="3"/>
  <c r="DH632" i="3"/>
  <c r="DC632" i="3"/>
  <c r="CX632" i="3"/>
  <c r="CS632" i="3"/>
  <c r="CM632" i="3"/>
  <c r="EW632" i="3"/>
  <c r="CH632" i="3"/>
  <c r="ER632" i="3"/>
  <c r="CC632" i="3"/>
  <c r="EM632" i="3"/>
  <c r="BX632" i="3"/>
  <c r="EH632" i="3"/>
  <c r="BS632" i="3"/>
  <c r="EC632" i="3"/>
  <c r="BN632" i="3"/>
  <c r="DX632" i="3"/>
  <c r="BI632" i="3"/>
  <c r="BK632" i="3"/>
  <c r="BE632" i="3"/>
  <c r="BG632" i="3"/>
  <c r="DR631" i="3"/>
  <c r="DM631" i="3"/>
  <c r="DH631" i="3"/>
  <c r="DC631" i="3"/>
  <c r="CX631" i="3"/>
  <c r="CS631" i="3"/>
  <c r="CM631" i="3"/>
  <c r="EW631" i="3"/>
  <c r="CH631" i="3"/>
  <c r="ER631" i="3"/>
  <c r="CC631" i="3"/>
  <c r="EM631" i="3"/>
  <c r="BX631" i="3"/>
  <c r="EH631" i="3"/>
  <c r="BS631" i="3"/>
  <c r="EC631" i="3"/>
  <c r="BN631" i="3"/>
  <c r="DX631" i="3"/>
  <c r="BI631" i="3"/>
  <c r="BK631" i="3"/>
  <c r="BE631" i="3"/>
  <c r="BG631" i="3"/>
  <c r="DR630" i="3"/>
  <c r="DM630" i="3"/>
  <c r="DH630" i="3"/>
  <c r="DC630" i="3"/>
  <c r="CX630" i="3"/>
  <c r="CS630" i="3"/>
  <c r="CM630" i="3"/>
  <c r="EW630" i="3"/>
  <c r="CH630" i="3"/>
  <c r="ER630" i="3"/>
  <c r="CC630" i="3"/>
  <c r="EM630" i="3"/>
  <c r="BX630" i="3"/>
  <c r="EH630" i="3"/>
  <c r="BS630" i="3"/>
  <c r="EC630" i="3"/>
  <c r="BN630" i="3"/>
  <c r="DX630" i="3"/>
  <c r="BI630" i="3"/>
  <c r="BK630" i="3"/>
  <c r="BE630" i="3"/>
  <c r="BG630" i="3"/>
  <c r="DR629" i="3"/>
  <c r="DM629" i="3"/>
  <c r="DH629" i="3"/>
  <c r="DC629" i="3"/>
  <c r="CX629" i="3"/>
  <c r="CS629" i="3"/>
  <c r="CM629" i="3"/>
  <c r="EW629" i="3"/>
  <c r="CH629" i="3"/>
  <c r="ER629" i="3"/>
  <c r="CC629" i="3"/>
  <c r="EM629" i="3"/>
  <c r="BX629" i="3"/>
  <c r="EH629" i="3"/>
  <c r="BS629" i="3"/>
  <c r="EC629" i="3"/>
  <c r="BN629" i="3"/>
  <c r="DX629" i="3"/>
  <c r="BI629" i="3"/>
  <c r="BK629" i="3"/>
  <c r="BE629" i="3"/>
  <c r="BG629" i="3"/>
  <c r="DR628" i="3"/>
  <c r="DM628" i="3"/>
  <c r="DH628" i="3"/>
  <c r="DC628" i="3"/>
  <c r="CX628" i="3"/>
  <c r="CS628" i="3"/>
  <c r="CM628" i="3"/>
  <c r="EW628" i="3"/>
  <c r="CH628" i="3"/>
  <c r="ER628" i="3"/>
  <c r="CC628" i="3"/>
  <c r="EM628" i="3"/>
  <c r="BX628" i="3"/>
  <c r="EH628" i="3"/>
  <c r="BS628" i="3"/>
  <c r="EC628" i="3"/>
  <c r="BN628" i="3"/>
  <c r="DX628" i="3"/>
  <c r="BI628" i="3"/>
  <c r="BK628" i="3"/>
  <c r="BE628" i="3"/>
  <c r="BG628" i="3"/>
  <c r="DR627" i="3"/>
  <c r="DM627" i="3"/>
  <c r="DH627" i="3"/>
  <c r="DC627" i="3"/>
  <c r="CX627" i="3"/>
  <c r="CS627" i="3"/>
  <c r="CM627" i="3"/>
  <c r="EW627" i="3"/>
  <c r="CH627" i="3"/>
  <c r="ER627" i="3"/>
  <c r="CC627" i="3"/>
  <c r="EM627" i="3"/>
  <c r="BX627" i="3"/>
  <c r="EH627" i="3"/>
  <c r="BS627" i="3"/>
  <c r="EC627" i="3"/>
  <c r="BN627" i="3"/>
  <c r="DX627" i="3"/>
  <c r="BI627" i="3"/>
  <c r="BK627" i="3"/>
  <c r="BE627" i="3"/>
  <c r="BG627" i="3"/>
  <c r="DR626" i="3"/>
  <c r="DM626" i="3"/>
  <c r="DH626" i="3"/>
  <c r="DC626" i="3"/>
  <c r="CX626" i="3"/>
  <c r="CS626" i="3"/>
  <c r="CM626" i="3"/>
  <c r="EW626" i="3"/>
  <c r="CH626" i="3"/>
  <c r="ER626" i="3"/>
  <c r="CC626" i="3"/>
  <c r="EM626" i="3"/>
  <c r="BX626" i="3"/>
  <c r="EH626" i="3"/>
  <c r="BS626" i="3"/>
  <c r="EC626" i="3"/>
  <c r="BN626" i="3"/>
  <c r="DX626" i="3"/>
  <c r="BI626" i="3"/>
  <c r="BK626" i="3"/>
  <c r="BE626" i="3"/>
  <c r="BG626" i="3"/>
  <c r="DR625" i="3"/>
  <c r="DM625" i="3"/>
  <c r="DH625" i="3"/>
  <c r="DC625" i="3"/>
  <c r="CX625" i="3"/>
  <c r="CS625" i="3"/>
  <c r="CM625" i="3"/>
  <c r="EW625" i="3"/>
  <c r="CH625" i="3"/>
  <c r="ER625" i="3"/>
  <c r="CC625" i="3"/>
  <c r="EM625" i="3"/>
  <c r="BX625" i="3"/>
  <c r="EH625" i="3"/>
  <c r="BS625" i="3"/>
  <c r="EC625" i="3"/>
  <c r="BN625" i="3"/>
  <c r="DX625" i="3"/>
  <c r="BI625" i="3"/>
  <c r="BK625" i="3"/>
  <c r="BE625" i="3"/>
  <c r="BG625" i="3"/>
  <c r="DR624" i="3"/>
  <c r="DM624" i="3"/>
  <c r="DH624" i="3"/>
  <c r="DC624" i="3"/>
  <c r="CX624" i="3"/>
  <c r="CS624" i="3"/>
  <c r="CM624" i="3"/>
  <c r="EW624" i="3"/>
  <c r="CH624" i="3"/>
  <c r="ER624" i="3"/>
  <c r="CC624" i="3"/>
  <c r="EM624" i="3"/>
  <c r="BX624" i="3"/>
  <c r="EH624" i="3"/>
  <c r="BS624" i="3"/>
  <c r="EC624" i="3"/>
  <c r="BN624" i="3"/>
  <c r="DX624" i="3"/>
  <c r="BI624" i="3"/>
  <c r="BK624" i="3"/>
  <c r="BE624" i="3"/>
  <c r="BG624" i="3"/>
  <c r="DR623" i="3"/>
  <c r="DM623" i="3"/>
  <c r="DH623" i="3"/>
  <c r="DC623" i="3"/>
  <c r="CX623" i="3"/>
  <c r="CS623" i="3"/>
  <c r="CM623" i="3"/>
  <c r="EW623" i="3"/>
  <c r="CH623" i="3"/>
  <c r="ER623" i="3"/>
  <c r="CC623" i="3"/>
  <c r="EM623" i="3"/>
  <c r="BX623" i="3"/>
  <c r="EH623" i="3"/>
  <c r="BS623" i="3"/>
  <c r="EC623" i="3"/>
  <c r="BN623" i="3"/>
  <c r="DX623" i="3"/>
  <c r="BI623" i="3"/>
  <c r="BK623" i="3"/>
  <c r="BE623" i="3"/>
  <c r="BG623" i="3"/>
  <c r="DR622" i="3"/>
  <c r="DM622" i="3"/>
  <c r="DH622" i="3"/>
  <c r="DC622" i="3"/>
  <c r="CX622" i="3"/>
  <c r="CS622" i="3"/>
  <c r="CM622" i="3"/>
  <c r="EW622" i="3"/>
  <c r="CH622" i="3"/>
  <c r="ER622" i="3"/>
  <c r="CC622" i="3"/>
  <c r="EM622" i="3"/>
  <c r="BX622" i="3"/>
  <c r="EH622" i="3"/>
  <c r="BS622" i="3"/>
  <c r="EC622" i="3"/>
  <c r="BN622" i="3"/>
  <c r="DX622" i="3"/>
  <c r="BI622" i="3"/>
  <c r="BK622" i="3"/>
  <c r="BE622" i="3"/>
  <c r="BG622" i="3"/>
  <c r="DR621" i="3"/>
  <c r="DM621" i="3"/>
  <c r="DH621" i="3"/>
  <c r="DC621" i="3"/>
  <c r="CX621" i="3"/>
  <c r="CS621" i="3"/>
  <c r="CM621" i="3"/>
  <c r="EW621" i="3"/>
  <c r="CH621" i="3"/>
  <c r="ER621" i="3"/>
  <c r="CC621" i="3"/>
  <c r="EM621" i="3"/>
  <c r="BX621" i="3"/>
  <c r="EH621" i="3"/>
  <c r="BS621" i="3"/>
  <c r="EC621" i="3"/>
  <c r="BN621" i="3"/>
  <c r="DX621" i="3"/>
  <c r="BI621" i="3"/>
  <c r="BK621" i="3"/>
  <c r="BE621" i="3"/>
  <c r="BG621" i="3"/>
  <c r="DR620" i="3"/>
  <c r="DM620" i="3"/>
  <c r="DH620" i="3"/>
  <c r="DC620" i="3"/>
  <c r="CX620" i="3"/>
  <c r="CS620" i="3"/>
  <c r="CM620" i="3"/>
  <c r="EW620" i="3"/>
  <c r="CH620" i="3"/>
  <c r="ER620" i="3"/>
  <c r="CC620" i="3"/>
  <c r="EM620" i="3"/>
  <c r="BX620" i="3"/>
  <c r="EH620" i="3"/>
  <c r="BS620" i="3"/>
  <c r="EC620" i="3"/>
  <c r="BN620" i="3"/>
  <c r="DX620" i="3"/>
  <c r="BI620" i="3"/>
  <c r="BK620" i="3"/>
  <c r="BE620" i="3"/>
  <c r="BG620" i="3"/>
  <c r="DR619" i="3"/>
  <c r="DM619" i="3"/>
  <c r="DH619" i="3"/>
  <c r="DC619" i="3"/>
  <c r="CX619" i="3"/>
  <c r="CS619" i="3"/>
  <c r="CM619" i="3"/>
  <c r="EW619" i="3"/>
  <c r="CH619" i="3"/>
  <c r="ER619" i="3"/>
  <c r="CC619" i="3"/>
  <c r="EM619" i="3"/>
  <c r="BX619" i="3"/>
  <c r="EH619" i="3"/>
  <c r="BS619" i="3"/>
  <c r="EC619" i="3"/>
  <c r="BN619" i="3"/>
  <c r="DX619" i="3"/>
  <c r="BI619" i="3"/>
  <c r="BK619" i="3"/>
  <c r="BE619" i="3"/>
  <c r="BG619" i="3"/>
  <c r="Z619" i="3"/>
  <c r="G619" i="3"/>
  <c r="DR618" i="3"/>
  <c r="DM618" i="3"/>
  <c r="DH618" i="3"/>
  <c r="DC618" i="3"/>
  <c r="CX618" i="3"/>
  <c r="CS618" i="3"/>
  <c r="CM618" i="3"/>
  <c r="EW618" i="3"/>
  <c r="CH618" i="3"/>
  <c r="ER618" i="3"/>
  <c r="CC618" i="3"/>
  <c r="EM618" i="3"/>
  <c r="BX618" i="3"/>
  <c r="EH618" i="3"/>
  <c r="BS618" i="3"/>
  <c r="EC618" i="3"/>
  <c r="BN618" i="3"/>
  <c r="DX618" i="3"/>
  <c r="BI618" i="3"/>
  <c r="BK618" i="3"/>
  <c r="BE618" i="3"/>
  <c r="BG618" i="3"/>
  <c r="DR617" i="3"/>
  <c r="DM617" i="3"/>
  <c r="DH617" i="3"/>
  <c r="DC617" i="3"/>
  <c r="CX617" i="3"/>
  <c r="CS617" i="3"/>
  <c r="CM617" i="3"/>
  <c r="EW617" i="3"/>
  <c r="CH617" i="3"/>
  <c r="ER617" i="3"/>
  <c r="CC617" i="3"/>
  <c r="EM617" i="3"/>
  <c r="BX617" i="3"/>
  <c r="EH617" i="3"/>
  <c r="BS617" i="3"/>
  <c r="EC617" i="3"/>
  <c r="BN617" i="3"/>
  <c r="DX617" i="3"/>
  <c r="BI617" i="3"/>
  <c r="BK617" i="3"/>
  <c r="BE617" i="3"/>
  <c r="BG617" i="3"/>
  <c r="DR616" i="3"/>
  <c r="DM616" i="3"/>
  <c r="DH616" i="3"/>
  <c r="DC616" i="3"/>
  <c r="CX616" i="3"/>
  <c r="CS616" i="3"/>
  <c r="CM616" i="3"/>
  <c r="EW616" i="3"/>
  <c r="CH616" i="3"/>
  <c r="ER616" i="3"/>
  <c r="CC616" i="3"/>
  <c r="EM616" i="3"/>
  <c r="BX616" i="3"/>
  <c r="EH616" i="3"/>
  <c r="BS616" i="3"/>
  <c r="EC616" i="3"/>
  <c r="BN616" i="3"/>
  <c r="DX616" i="3"/>
  <c r="BI616" i="3"/>
  <c r="BK616" i="3"/>
  <c r="BE616" i="3"/>
  <c r="BG616" i="3"/>
  <c r="DR615" i="3"/>
  <c r="DM615" i="3"/>
  <c r="DH615" i="3"/>
  <c r="DC615" i="3"/>
  <c r="CX615" i="3"/>
  <c r="CS615" i="3"/>
  <c r="CM615" i="3"/>
  <c r="EW615" i="3"/>
  <c r="CH615" i="3"/>
  <c r="ER615" i="3"/>
  <c r="CC615" i="3"/>
  <c r="EM615" i="3"/>
  <c r="BX615" i="3"/>
  <c r="EH615" i="3"/>
  <c r="BS615" i="3"/>
  <c r="EC615" i="3"/>
  <c r="BN615" i="3"/>
  <c r="DX615" i="3"/>
  <c r="BI615" i="3"/>
  <c r="BK615" i="3"/>
  <c r="BE615" i="3"/>
  <c r="BG615" i="3"/>
  <c r="DR614" i="3"/>
  <c r="DM614" i="3"/>
  <c r="DH614" i="3"/>
  <c r="DC614" i="3"/>
  <c r="CX614" i="3"/>
  <c r="CS614" i="3"/>
  <c r="CM614" i="3"/>
  <c r="EW614" i="3"/>
  <c r="CH614" i="3"/>
  <c r="ER614" i="3"/>
  <c r="CC614" i="3"/>
  <c r="EM614" i="3"/>
  <c r="BX614" i="3"/>
  <c r="EH614" i="3"/>
  <c r="BS614" i="3"/>
  <c r="EC614" i="3"/>
  <c r="BN614" i="3"/>
  <c r="DX614" i="3"/>
  <c r="BI614" i="3"/>
  <c r="BK614" i="3"/>
  <c r="BE614" i="3"/>
  <c r="BG614" i="3"/>
  <c r="DR613" i="3"/>
  <c r="DM613" i="3"/>
  <c r="DH613" i="3"/>
  <c r="DC613" i="3"/>
  <c r="CX613" i="3"/>
  <c r="CS613" i="3"/>
  <c r="CM613" i="3"/>
  <c r="EW613" i="3"/>
  <c r="CH613" i="3"/>
  <c r="ER613" i="3"/>
  <c r="CC613" i="3"/>
  <c r="EM613" i="3"/>
  <c r="BX613" i="3"/>
  <c r="EH613" i="3"/>
  <c r="BS613" i="3"/>
  <c r="EC613" i="3"/>
  <c r="BN613" i="3"/>
  <c r="DX613" i="3"/>
  <c r="BI613" i="3"/>
  <c r="BK613" i="3"/>
  <c r="BE613" i="3"/>
  <c r="BG613" i="3"/>
  <c r="DR612" i="3"/>
  <c r="DM612" i="3"/>
  <c r="DH612" i="3"/>
  <c r="DC612" i="3"/>
  <c r="CX612" i="3"/>
  <c r="CS612" i="3"/>
  <c r="CM612" i="3"/>
  <c r="EW612" i="3"/>
  <c r="CH612" i="3"/>
  <c r="ER612" i="3"/>
  <c r="CC612" i="3"/>
  <c r="EM612" i="3"/>
  <c r="BX612" i="3"/>
  <c r="EH612" i="3"/>
  <c r="BS612" i="3"/>
  <c r="EC612" i="3"/>
  <c r="BN612" i="3"/>
  <c r="DX612" i="3"/>
  <c r="BI612" i="3"/>
  <c r="BK612" i="3"/>
  <c r="BE612" i="3"/>
  <c r="BG612" i="3"/>
  <c r="DR611" i="3"/>
  <c r="DM611" i="3"/>
  <c r="DH611" i="3"/>
  <c r="DC611" i="3"/>
  <c r="CX611" i="3"/>
  <c r="CS611" i="3"/>
  <c r="CM611" i="3"/>
  <c r="EW611" i="3"/>
  <c r="CH611" i="3"/>
  <c r="ER611" i="3"/>
  <c r="CC611" i="3"/>
  <c r="EM611" i="3"/>
  <c r="BX611" i="3"/>
  <c r="EH611" i="3"/>
  <c r="BS611" i="3"/>
  <c r="EC611" i="3"/>
  <c r="BN611" i="3"/>
  <c r="DX611" i="3"/>
  <c r="BI611" i="3"/>
  <c r="BK611" i="3"/>
  <c r="BE611" i="3"/>
  <c r="BG611" i="3"/>
  <c r="Z611" i="3"/>
  <c r="G611" i="3"/>
  <c r="DR610" i="3"/>
  <c r="DR635" i="3"/>
  <c r="DM610" i="3"/>
  <c r="DM635" i="3"/>
  <c r="DH610" i="3"/>
  <c r="DH635" i="3"/>
  <c r="DC610" i="3"/>
  <c r="CX610" i="3"/>
  <c r="CX635" i="3"/>
  <c r="CS610" i="3"/>
  <c r="CS635" i="3"/>
  <c r="CM610" i="3"/>
  <c r="CM635" i="3"/>
  <c r="CQ637" i="3"/>
  <c r="CH610" i="3"/>
  <c r="CH635" i="3"/>
  <c r="CC610" i="3"/>
  <c r="CC635" i="3"/>
  <c r="BX610" i="3"/>
  <c r="BX635" i="3"/>
  <c r="BS610" i="3"/>
  <c r="BS635" i="3"/>
  <c r="BN610" i="3"/>
  <c r="BN635" i="3"/>
  <c r="BI610" i="3"/>
  <c r="BK610" i="3"/>
  <c r="BK635" i="3"/>
  <c r="X1031" i="3"/>
  <c r="BE610" i="3"/>
  <c r="BG610" i="3"/>
  <c r="BG635" i="3"/>
  <c r="X1027" i="3"/>
  <c r="Z603" i="3"/>
  <c r="G603" i="3"/>
  <c r="Z595" i="3"/>
  <c r="G595" i="3"/>
  <c r="Z587" i="3"/>
  <c r="G587" i="3"/>
  <c r="BI580" i="3"/>
  <c r="BI579" i="3"/>
  <c r="Z578" i="3"/>
  <c r="G578" i="3"/>
  <c r="AM576" i="3"/>
  <c r="BI572" i="3"/>
  <c r="BI571" i="3"/>
  <c r="T570" i="3"/>
  <c r="Q570" i="3"/>
  <c r="T568" i="3"/>
  <c r="Q568" i="3"/>
  <c r="BI564" i="3"/>
  <c r="BI563" i="3"/>
  <c r="BI556" i="3"/>
  <c r="BI555" i="3"/>
  <c r="BA500" i="3"/>
  <c r="BA499" i="3"/>
  <c r="BA492" i="3"/>
  <c r="BA491" i="3"/>
  <c r="BA484" i="3"/>
  <c r="BA483" i="3"/>
  <c r="BA476" i="3"/>
  <c r="BA475" i="3"/>
  <c r="AG447" i="3"/>
  <c r="AG441" i="3"/>
  <c r="AG449" i="3"/>
  <c r="AG440" i="3"/>
  <c r="I420" i="3"/>
  <c r="AF417" i="3"/>
  <c r="P417" i="3"/>
  <c r="W417" i="3"/>
  <c r="BG241" i="3"/>
  <c r="BG240" i="3"/>
  <c r="BG239" i="3"/>
  <c r="BG238" i="3"/>
  <c r="BG237" i="3"/>
  <c r="BG236" i="3"/>
  <c r="BG234" i="3"/>
  <c r="BG233" i="3"/>
  <c r="BG232" i="3"/>
  <c r="M231" i="3"/>
  <c r="BG230" i="3"/>
  <c r="BG229" i="3"/>
  <c r="BG228" i="3"/>
  <c r="BG227" i="3"/>
  <c r="BG226" i="3"/>
  <c r="BG243" i="3"/>
  <c r="BO245" i="3"/>
  <c r="T266" i="3"/>
  <c r="I184" i="3"/>
  <c r="K27" i="7"/>
  <c r="S27" i="7"/>
  <c r="AA27" i="7"/>
  <c r="G27" i="7"/>
  <c r="O27" i="7"/>
  <c r="W27" i="7"/>
  <c r="I30" i="8"/>
  <c r="Z807" i="3"/>
  <c r="DC635" i="3"/>
  <c r="F30" i="8"/>
  <c r="T753" i="3"/>
  <c r="AB29" i="23"/>
  <c r="J21" i="23"/>
  <c r="J23" i="23"/>
  <c r="J25" i="23"/>
  <c r="J27" i="23"/>
  <c r="AN29" i="23"/>
  <c r="AC882" i="3"/>
  <c r="BA990" i="3"/>
  <c r="AG1028" i="3"/>
  <c r="CG637" i="3"/>
  <c r="CC663" i="3"/>
  <c r="AB972" i="3"/>
  <c r="AJ972" i="3"/>
  <c r="EC639" i="3"/>
  <c r="EM639" i="3"/>
  <c r="EW639" i="3"/>
  <c r="EC640" i="3"/>
  <c r="EM640" i="3"/>
  <c r="EW640" i="3"/>
  <c r="EC641" i="3"/>
  <c r="EM641" i="3"/>
  <c r="EW641" i="3"/>
  <c r="EC642" i="3"/>
  <c r="EM642" i="3"/>
  <c r="EW642" i="3"/>
  <c r="EC643" i="3"/>
  <c r="EM643" i="3"/>
  <c r="EW643" i="3"/>
  <c r="EC644" i="3"/>
  <c r="EM644" i="3"/>
  <c r="EW644" i="3"/>
  <c r="EC645" i="3"/>
  <c r="EM645" i="3"/>
  <c r="EW645" i="3"/>
  <c r="EC646" i="3"/>
  <c r="EM646" i="3"/>
  <c r="EW646" i="3"/>
  <c r="EC647" i="3"/>
  <c r="EM647" i="3"/>
  <c r="EW647" i="3"/>
  <c r="EC648" i="3"/>
  <c r="EM648" i="3"/>
  <c r="EW648" i="3"/>
  <c r="EC649" i="3"/>
  <c r="EM649" i="3"/>
  <c r="EW649" i="3"/>
  <c r="EC650" i="3"/>
  <c r="EM650" i="3"/>
  <c r="EW650" i="3"/>
  <c r="EC651" i="3"/>
  <c r="EM651" i="3"/>
  <c r="EW651" i="3"/>
  <c r="EC652" i="3"/>
  <c r="EM652" i="3"/>
  <c r="EW652" i="3"/>
  <c r="EC653" i="3"/>
  <c r="EM653" i="3"/>
  <c r="EW653" i="3"/>
  <c r="EC654" i="3"/>
  <c r="EM654" i="3"/>
  <c r="EW654" i="3"/>
  <c r="EC655" i="3"/>
  <c r="EM655" i="3"/>
  <c r="EW655" i="3"/>
  <c r="EC656" i="3"/>
  <c r="EM656" i="3"/>
  <c r="EW656" i="3"/>
  <c r="EC657" i="3"/>
  <c r="EM657" i="3"/>
  <c r="EW657" i="3"/>
  <c r="EC658" i="3"/>
  <c r="EM658" i="3"/>
  <c r="EW658" i="3"/>
  <c r="EC659" i="3"/>
  <c r="EM659" i="3"/>
  <c r="EW659" i="3"/>
  <c r="EC660" i="3"/>
  <c r="EM660" i="3"/>
  <c r="EW660" i="3"/>
  <c r="EC661" i="3"/>
  <c r="EM661" i="3"/>
  <c r="EW661" i="3"/>
  <c r="EC662" i="3"/>
  <c r="EM662" i="3"/>
  <c r="EW662" i="3"/>
  <c r="CS660" i="3"/>
  <c r="BR659" i="3"/>
  <c r="CS661" i="3"/>
  <c r="C30" i="8"/>
  <c r="Y798" i="3"/>
  <c r="Y799" i="3"/>
  <c r="BS663" i="3"/>
  <c r="AB970" i="3"/>
  <c r="BW637" i="3"/>
  <c r="AG1024" i="3"/>
  <c r="BN663" i="3"/>
  <c r="AB969" i="3"/>
  <c r="CM636" i="3"/>
  <c r="BR637" i="3"/>
  <c r="E13" i="21"/>
  <c r="I13" i="21"/>
  <c r="BX663" i="3"/>
  <c r="AB971" i="3"/>
  <c r="AJ971" i="3"/>
  <c r="CB637" i="3"/>
  <c r="CH663" i="3"/>
  <c r="CL637" i="3"/>
  <c r="DX639" i="3"/>
  <c r="EH639" i="3"/>
  <c r="ER639" i="3"/>
  <c r="DX640" i="3"/>
  <c r="EH640" i="3"/>
  <c r="ER640" i="3"/>
  <c r="DX641" i="3"/>
  <c r="EH641" i="3"/>
  <c r="ER641" i="3"/>
  <c r="DX642" i="3"/>
  <c r="EH642" i="3"/>
  <c r="ER642" i="3"/>
  <c r="DX643" i="3"/>
  <c r="EH643" i="3"/>
  <c r="ER643" i="3"/>
  <c r="DX644" i="3"/>
  <c r="EH644" i="3"/>
  <c r="ER644" i="3"/>
  <c r="DX645" i="3"/>
  <c r="EH645" i="3"/>
  <c r="ER645" i="3"/>
  <c r="DX646" i="3"/>
  <c r="EH646" i="3"/>
  <c r="ER646" i="3"/>
  <c r="DX647" i="3"/>
  <c r="EH647" i="3"/>
  <c r="ER647" i="3"/>
  <c r="DX648" i="3"/>
  <c r="EH648" i="3"/>
  <c r="ER648" i="3"/>
  <c r="DX649" i="3"/>
  <c r="EH649" i="3"/>
  <c r="ER649" i="3"/>
  <c r="DX650" i="3"/>
  <c r="EH650" i="3"/>
  <c r="ER650" i="3"/>
  <c r="DX651" i="3"/>
  <c r="EH651" i="3"/>
  <c r="ER651" i="3"/>
  <c r="DX652" i="3"/>
  <c r="EH652" i="3"/>
  <c r="ER652" i="3"/>
  <c r="DX653" i="3"/>
  <c r="EH653" i="3"/>
  <c r="ER653" i="3"/>
  <c r="DX654" i="3"/>
  <c r="EH654" i="3"/>
  <c r="ER654" i="3"/>
  <c r="DX655" i="3"/>
  <c r="EH655" i="3"/>
  <c r="ER655" i="3"/>
  <c r="DX656" i="3"/>
  <c r="EH656" i="3"/>
  <c r="ER656" i="3"/>
  <c r="DX657" i="3"/>
  <c r="EH657" i="3"/>
  <c r="ER657" i="3"/>
  <c r="DX658" i="3"/>
  <c r="EH658" i="3"/>
  <c r="ER658" i="3"/>
  <c r="DX659" i="3"/>
  <c r="EH659" i="3"/>
  <c r="ER659" i="3"/>
  <c r="DX660" i="3"/>
  <c r="EH660" i="3"/>
  <c r="ER660" i="3"/>
  <c r="DX661" i="3"/>
  <c r="EH661" i="3"/>
  <c r="ER661" i="3"/>
  <c r="DX662" i="3"/>
  <c r="EH662" i="3"/>
  <c r="ER662" i="3"/>
  <c r="BR645" i="3"/>
  <c r="CS645" i="3"/>
  <c r="CS644" i="3"/>
  <c r="AJ969" i="3"/>
  <c r="AG442" i="3"/>
  <c r="AG443" i="3"/>
  <c r="AG444" i="3"/>
  <c r="EC610" i="3"/>
  <c r="EM610" i="3"/>
  <c r="EW610" i="3"/>
  <c r="CS648" i="3"/>
  <c r="CS658" i="3"/>
  <c r="DM648" i="3"/>
  <c r="DM658" i="3"/>
  <c r="E15" i="21"/>
  <c r="AB48" i="15"/>
  <c r="AO651" i="3"/>
  <c r="BH672" i="3"/>
  <c r="BI672" i="3"/>
  <c r="BH674" i="3"/>
  <c r="BI674" i="3"/>
  <c r="BH676" i="3"/>
  <c r="BI676" i="3"/>
  <c r="BH678" i="3"/>
  <c r="BI678" i="3"/>
  <c r="BH680" i="3"/>
  <c r="BI680" i="3"/>
  <c r="BH682" i="3"/>
  <c r="BI682" i="3"/>
  <c r="BH684" i="3"/>
  <c r="BI684" i="3"/>
  <c r="BH686" i="3"/>
  <c r="BI686" i="3"/>
  <c r="BH688" i="3"/>
  <c r="BI688" i="3"/>
  <c r="BH690" i="3"/>
  <c r="BI690" i="3"/>
  <c r="BH692" i="3"/>
  <c r="BI692" i="3"/>
  <c r="BH694" i="3"/>
  <c r="BI694" i="3"/>
  <c r="BG728" i="3"/>
  <c r="BH713" i="3"/>
  <c r="BI713" i="3"/>
  <c r="AC881" i="3"/>
  <c r="AC883" i="3"/>
  <c r="I1027" i="3"/>
  <c r="BA989" i="3"/>
  <c r="V29" i="23"/>
  <c r="AH29" i="23"/>
  <c r="J20" i="23"/>
  <c r="J22" i="23"/>
  <c r="J24" i="23"/>
  <c r="J26" i="23"/>
  <c r="DX610" i="3"/>
  <c r="EH610" i="3"/>
  <c r="ER610" i="3"/>
  <c r="CM663" i="3"/>
  <c r="AB973" i="3"/>
  <c r="AJ973" i="3"/>
  <c r="BH671" i="3"/>
  <c r="BH673" i="3"/>
  <c r="BI673" i="3"/>
  <c r="BH675" i="3"/>
  <c r="BI675" i="3"/>
  <c r="BH677" i="3"/>
  <c r="BI677" i="3"/>
  <c r="BH679" i="3"/>
  <c r="BI679" i="3"/>
  <c r="BH681" i="3"/>
  <c r="BI681" i="3"/>
  <c r="BH683" i="3"/>
  <c r="BI683" i="3"/>
  <c r="BH685" i="3"/>
  <c r="BI685" i="3"/>
  <c r="BH687" i="3"/>
  <c r="BI687" i="3"/>
  <c r="BH689" i="3"/>
  <c r="BI689" i="3"/>
  <c r="BH691" i="3"/>
  <c r="BI691" i="3"/>
  <c r="BH693" i="3"/>
  <c r="BI693" i="3"/>
  <c r="BH711" i="3"/>
  <c r="BI711" i="3"/>
  <c r="BH721" i="3"/>
  <c r="BI721" i="3"/>
  <c r="BH725" i="3"/>
  <c r="BI725" i="3"/>
  <c r="G6" i="7"/>
  <c r="G14" i="7"/>
  <c r="R63" i="4"/>
  <c r="R97" i="4"/>
  <c r="R105" i="4"/>
  <c r="R12" i="4"/>
  <c r="P29" i="23"/>
  <c r="J19" i="23"/>
  <c r="C63" i="4"/>
  <c r="E63" i="4"/>
  <c r="E97" i="4"/>
  <c r="E105" i="4"/>
  <c r="G63" i="4"/>
  <c r="G97" i="4"/>
  <c r="G105" i="4"/>
  <c r="I63" i="4"/>
  <c r="I97" i="4"/>
  <c r="I105" i="4"/>
  <c r="K63" i="4"/>
  <c r="K97" i="4"/>
  <c r="K105" i="4"/>
  <c r="M63" i="4"/>
  <c r="M97" i="4"/>
  <c r="M105" i="4"/>
  <c r="O63" i="4"/>
  <c r="O97" i="4"/>
  <c r="O105" i="4"/>
  <c r="S63" i="4"/>
  <c r="B8" i="13"/>
  <c r="B11" i="13"/>
  <c r="D12" i="13"/>
  <c r="B38" i="13"/>
  <c r="AK72" i="20"/>
  <c r="T784" i="20"/>
  <c r="AF784" i="20"/>
  <c r="AV110" i="20"/>
  <c r="AW104" i="20"/>
  <c r="AK553" i="20"/>
  <c r="T795" i="20"/>
  <c r="AF795" i="20"/>
  <c r="T796" i="20"/>
  <c r="AS575" i="20"/>
  <c r="AS573" i="20"/>
  <c r="AK684" i="20"/>
  <c r="T798" i="20"/>
  <c r="AF798" i="20"/>
  <c r="CX648" i="3"/>
  <c r="CX658" i="3"/>
  <c r="E12" i="21"/>
  <c r="I12" i="21"/>
  <c r="DH648" i="3"/>
  <c r="DH658" i="3"/>
  <c r="E14" i="21"/>
  <c r="DR648" i="3"/>
  <c r="DR658" i="3"/>
  <c r="E6" i="21"/>
  <c r="E92" i="20"/>
  <c r="E93" i="20"/>
  <c r="G8" i="7"/>
  <c r="R970" i="3"/>
  <c r="B8" i="4"/>
  <c r="B54" i="4"/>
  <c r="T63" i="4"/>
  <c r="B70" i="4"/>
  <c r="B81" i="4"/>
  <c r="C12" i="13"/>
  <c r="T789" i="20"/>
  <c r="T788" i="20"/>
  <c r="AF788" i="20"/>
  <c r="I27" i="7"/>
  <c r="M27" i="7"/>
  <c r="Q27" i="7"/>
  <c r="U27" i="7"/>
  <c r="Y27" i="7"/>
  <c r="AC27" i="7"/>
  <c r="AG27" i="7"/>
  <c r="G39" i="7"/>
  <c r="K39" i="7"/>
  <c r="O39" i="7"/>
  <c r="S39" i="7"/>
  <c r="W39" i="7"/>
  <c r="AA39" i="7"/>
  <c r="AE39" i="7"/>
  <c r="I52" i="7"/>
  <c r="I39" i="7"/>
  <c r="M39" i="7"/>
  <c r="Q39" i="7"/>
  <c r="U39" i="7"/>
  <c r="Y39" i="7"/>
  <c r="AC39" i="7"/>
  <c r="B64" i="11"/>
  <c r="B98" i="11"/>
  <c r="B106" i="11"/>
  <c r="B13" i="11"/>
  <c r="D9" i="11"/>
  <c r="D43" i="11"/>
  <c r="D55" i="11"/>
  <c r="D71" i="11"/>
  <c r="D5" i="11"/>
  <c r="C12" i="11"/>
  <c r="D12" i="11"/>
  <c r="D18" i="11"/>
  <c r="D27" i="11"/>
  <c r="D30" i="11"/>
  <c r="C39" i="11"/>
  <c r="D39" i="11"/>
  <c r="D41" i="11"/>
  <c r="D46" i="11"/>
  <c r="D58" i="11"/>
  <c r="D66" i="11"/>
  <c r="D73" i="11"/>
  <c r="C78" i="11"/>
  <c r="D78" i="11"/>
  <c r="D80" i="11"/>
  <c r="D85" i="11"/>
  <c r="D100" i="11"/>
  <c r="D57" i="11"/>
  <c r="D84" i="11"/>
  <c r="AJ970" i="3"/>
  <c r="BH727" i="3"/>
  <c r="BI727" i="3"/>
  <c r="BH723" i="3"/>
  <c r="BI723" i="3"/>
  <c r="BH717" i="3"/>
  <c r="BI717" i="3"/>
  <c r="BH719" i="3"/>
  <c r="BI719" i="3"/>
  <c r="BH715" i="3"/>
  <c r="BI715" i="3"/>
  <c r="AW108" i="20"/>
  <c r="AW106" i="20"/>
  <c r="AD27" i="15"/>
  <c r="T27" i="15"/>
  <c r="AI27" i="15"/>
  <c r="Y27" i="15"/>
  <c r="C64" i="11"/>
  <c r="I57" i="7"/>
  <c r="K52" i="7"/>
  <c r="E63" i="13"/>
  <c r="S97" i="4"/>
  <c r="J29" i="23"/>
  <c r="AT24" i="23"/>
  <c r="G21" i="7"/>
  <c r="I14" i="7"/>
  <c r="BH696" i="3"/>
  <c r="BI671" i="3"/>
  <c r="BI696" i="3"/>
  <c r="AH753" i="3"/>
  <c r="ER638" i="3"/>
  <c r="ER663" i="3"/>
  <c r="Y118" i="20"/>
  <c r="Y121" i="20"/>
  <c r="Y124" i="20"/>
  <c r="ER635" i="3"/>
  <c r="DX638" i="3"/>
  <c r="DX663" i="3"/>
  <c r="E118" i="20"/>
  <c r="E121" i="20"/>
  <c r="E124" i="20"/>
  <c r="DX635" i="3"/>
  <c r="BH709" i="3"/>
  <c r="BI709" i="3"/>
  <c r="BH707" i="3"/>
  <c r="BI707" i="3"/>
  <c r="BH705" i="3"/>
  <c r="BI705" i="3"/>
  <c r="BH703" i="3"/>
  <c r="BH726" i="3"/>
  <c r="BI726" i="3"/>
  <c r="BH724" i="3"/>
  <c r="BI724" i="3"/>
  <c r="BH722" i="3"/>
  <c r="BI722" i="3"/>
  <c r="BH720" i="3"/>
  <c r="BI720" i="3"/>
  <c r="BH718" i="3"/>
  <c r="BI718" i="3"/>
  <c r="BH716" i="3"/>
  <c r="BI716" i="3"/>
  <c r="BH714" i="3"/>
  <c r="BI714" i="3"/>
  <c r="BH712" i="3"/>
  <c r="BI712" i="3"/>
  <c r="BH710" i="3"/>
  <c r="BI710" i="3"/>
  <c r="BH706" i="3"/>
  <c r="BI706" i="3"/>
  <c r="EW638" i="3"/>
  <c r="EW663" i="3"/>
  <c r="AD118" i="20"/>
  <c r="AD121" i="20"/>
  <c r="EW635" i="3"/>
  <c r="EC638" i="3"/>
  <c r="EC663" i="3"/>
  <c r="J118" i="20"/>
  <c r="J121" i="20"/>
  <c r="EC635" i="3"/>
  <c r="CS637" i="3"/>
  <c r="CS663" i="3"/>
  <c r="J8" i="22"/>
  <c r="J10" i="22"/>
  <c r="U588" i="20"/>
  <c r="AB974" i="3"/>
  <c r="C13" i="11"/>
  <c r="D13" i="11"/>
  <c r="T97" i="4"/>
  <c r="H63" i="13"/>
  <c r="N154" i="23"/>
  <c r="N160" i="23"/>
  <c r="N161" i="23"/>
  <c r="B63" i="4"/>
  <c r="B12" i="4"/>
  <c r="I8" i="7"/>
  <c r="G9" i="7"/>
  <c r="AW109" i="20"/>
  <c r="AW107" i="20"/>
  <c r="AW105" i="20"/>
  <c r="T785" i="20"/>
  <c r="AF785" i="20"/>
  <c r="AK174" i="20"/>
  <c r="T791" i="20"/>
  <c r="AF791" i="20"/>
  <c r="B63" i="13"/>
  <c r="C97" i="4"/>
  <c r="G7" i="7"/>
  <c r="I6" i="7"/>
  <c r="EH638" i="3"/>
  <c r="EH663" i="3"/>
  <c r="O118" i="20"/>
  <c r="O121" i="20"/>
  <c r="O124" i="20"/>
  <c r="EH635" i="3"/>
  <c r="AT26" i="23"/>
  <c r="BH708" i="3"/>
  <c r="BI708" i="3"/>
  <c r="BH704" i="3"/>
  <c r="BI704" i="3"/>
  <c r="DR660" i="3"/>
  <c r="EM638" i="3"/>
  <c r="EM663" i="3"/>
  <c r="T118" i="20"/>
  <c r="T121" i="20"/>
  <c r="T124" i="20"/>
  <c r="EM635" i="3"/>
  <c r="AJ975" i="3"/>
  <c r="AJ1028" i="3"/>
  <c r="AP768" i="20"/>
  <c r="P420" i="3"/>
  <c r="E11" i="21"/>
  <c r="Z816" i="3"/>
  <c r="AW110" i="20"/>
  <c r="AJ1024" i="3"/>
  <c r="AP767" i="20"/>
  <c r="J124" i="20"/>
  <c r="AD124" i="20"/>
  <c r="AT20" i="23"/>
  <c r="AJ1008" i="3"/>
  <c r="AJ986" i="3"/>
  <c r="AT22" i="23"/>
  <c r="E16" i="21"/>
  <c r="I11" i="21"/>
  <c r="AP765" i="20"/>
  <c r="B1039" i="3"/>
  <c r="B97" i="13"/>
  <c r="B97" i="4"/>
  <c r="C105" i="4"/>
  <c r="H97" i="13"/>
  <c r="T105" i="4"/>
  <c r="AT29" i="23"/>
  <c r="N151" i="23"/>
  <c r="AT21" i="23"/>
  <c r="AT25" i="23"/>
  <c r="AT28" i="23"/>
  <c r="AU36" i="23"/>
  <c r="AU40" i="23"/>
  <c r="AU44" i="23"/>
  <c r="AU37" i="23"/>
  <c r="AU41" i="23"/>
  <c r="AU45" i="23"/>
  <c r="AT23" i="23"/>
  <c r="AT27" i="23"/>
  <c r="AU38" i="23"/>
  <c r="AU42" i="23"/>
  <c r="AU46" i="23"/>
  <c r="AU39" i="23"/>
  <c r="AU43" i="23"/>
  <c r="AU47" i="23"/>
  <c r="K6" i="7"/>
  <c r="I7" i="7"/>
  <c r="G4" i="7"/>
  <c r="I9" i="7"/>
  <c r="K8" i="7"/>
  <c r="BH728" i="3"/>
  <c r="BI703" i="3"/>
  <c r="BI728" i="3"/>
  <c r="AM753" i="3"/>
  <c r="E91" i="20"/>
  <c r="E94" i="20"/>
  <c r="E81" i="20"/>
  <c r="E82" i="20"/>
  <c r="E83" i="20"/>
  <c r="I21" i="7"/>
  <c r="K14" i="7"/>
  <c r="AT19" i="23"/>
  <c r="E97" i="13"/>
  <c r="S105" i="4"/>
  <c r="K57" i="7"/>
  <c r="M52" i="7"/>
  <c r="D64" i="11"/>
  <c r="C98" i="11"/>
  <c r="AP769" i="20"/>
  <c r="AJ1032" i="3"/>
  <c r="AP772" i="20"/>
  <c r="AP771" i="20"/>
  <c r="AP774" i="20"/>
  <c r="AF767" i="20"/>
  <c r="E126" i="20"/>
  <c r="E127" i="20"/>
  <c r="AK131" i="20"/>
  <c r="T787" i="20"/>
  <c r="AF787" i="20"/>
  <c r="AZ846" i="3"/>
  <c r="AZ849" i="3"/>
  <c r="M57" i="7"/>
  <c r="O52" i="7"/>
  <c r="K21" i="7"/>
  <c r="M14" i="7"/>
  <c r="M8" i="7"/>
  <c r="K9" i="7"/>
  <c r="I4" i="7"/>
  <c r="G5" i="7"/>
  <c r="G10" i="7"/>
  <c r="H105" i="13"/>
  <c r="T107" i="4"/>
  <c r="H107" i="13"/>
  <c r="AG252" i="20"/>
  <c r="B105" i="13"/>
  <c r="B105" i="4"/>
  <c r="AC454" i="3"/>
  <c r="D98" i="11"/>
  <c r="C106" i="11"/>
  <c r="D106" i="11"/>
  <c r="E105" i="13"/>
  <c r="S107" i="4"/>
  <c r="E48" i="7"/>
  <c r="K7" i="7"/>
  <c r="M6" i="7"/>
  <c r="I14" i="21"/>
  <c r="I15" i="21"/>
  <c r="T24" i="15"/>
  <c r="AZ854" i="3"/>
  <c r="I16" i="21"/>
  <c r="G48" i="7"/>
  <c r="E47" i="7"/>
  <c r="E46" i="7"/>
  <c r="O6" i="7"/>
  <c r="M7" i="7"/>
  <c r="AF766" i="20"/>
  <c r="AF768" i="20"/>
  <c r="AK774" i="20"/>
  <c r="T799" i="20"/>
  <c r="AF799" i="20"/>
  <c r="E107" i="13"/>
  <c r="AC455" i="3"/>
  <c r="AB47" i="15"/>
  <c r="AB49" i="15"/>
  <c r="AC453" i="3"/>
  <c r="AB249" i="20"/>
  <c r="AG251" i="20"/>
  <c r="AG253" i="20"/>
  <c r="AK256" i="20"/>
  <c r="T792" i="20"/>
  <c r="AF792" i="20"/>
  <c r="AF801" i="20"/>
  <c r="I5" i="7"/>
  <c r="I10" i="7"/>
  <c r="K4" i="7"/>
  <c r="M21" i="7"/>
  <c r="O14" i="7"/>
  <c r="O57" i="7"/>
  <c r="Q52" i="7"/>
  <c r="AI11" i="15"/>
  <c r="AI23" i="15"/>
  <c r="AI26" i="15"/>
  <c r="AI28" i="15"/>
  <c r="AD11" i="15"/>
  <c r="AD23" i="15"/>
  <c r="AD26" i="15"/>
  <c r="AD28" i="15"/>
  <c r="M9" i="7"/>
  <c r="O8" i="7"/>
  <c r="Q8" i="7"/>
  <c r="O9" i="7"/>
  <c r="Q57" i="7"/>
  <c r="S52" i="7"/>
  <c r="O21" i="7"/>
  <c r="Q14" i="7"/>
  <c r="M4" i="7"/>
  <c r="K5" i="7"/>
  <c r="K10" i="7"/>
  <c r="O7" i="7"/>
  <c r="Q6" i="7"/>
  <c r="G46" i="7"/>
  <c r="G47" i="7"/>
  <c r="I48" i="7"/>
  <c r="AB54" i="15"/>
  <c r="AB55" i="15"/>
  <c r="T11" i="15"/>
  <c r="T23" i="15"/>
  <c r="Y11" i="15"/>
  <c r="Y23" i="15"/>
  <c r="Y26" i="15"/>
  <c r="Y28" i="15"/>
  <c r="E61" i="7"/>
  <c r="K48" i="7"/>
  <c r="E69" i="7"/>
  <c r="E71" i="7"/>
  <c r="T26" i="15"/>
  <c r="T28" i="15"/>
  <c r="T29" i="15"/>
  <c r="Y64" i="15"/>
  <c r="Y68" i="15"/>
  <c r="AD38" i="15"/>
  <c r="AD40" i="15"/>
  <c r="Y38" i="15"/>
  <c r="Y40" i="15"/>
  <c r="G61" i="7"/>
  <c r="M5" i="7"/>
  <c r="M10" i="7"/>
  <c r="O4" i="7"/>
  <c r="Q21" i="7"/>
  <c r="S14" i="7"/>
  <c r="S57" i="7"/>
  <c r="U52" i="7"/>
  <c r="I47" i="7"/>
  <c r="I46" i="7"/>
  <c r="S6" i="7"/>
  <c r="Q7" i="7"/>
  <c r="Q9" i="7"/>
  <c r="S8" i="7"/>
  <c r="G69" i="7"/>
  <c r="G71" i="7"/>
  <c r="Y41" i="15"/>
  <c r="AB56" i="15"/>
  <c r="AB57" i="15"/>
  <c r="K46" i="7"/>
  <c r="K47" i="7"/>
  <c r="U8" i="7"/>
  <c r="S9" i="7"/>
  <c r="I61" i="7"/>
  <c r="M48" i="7"/>
  <c r="S7" i="7"/>
  <c r="U6" i="7"/>
  <c r="U57" i="7"/>
  <c r="W52" i="7"/>
  <c r="S21" i="7"/>
  <c r="U14" i="7"/>
  <c r="Q4" i="7"/>
  <c r="O5" i="7"/>
  <c r="O10" i="7"/>
  <c r="M26" i="3"/>
  <c r="P203" i="3"/>
  <c r="O48" i="7"/>
  <c r="U21" i="7"/>
  <c r="W14" i="7"/>
  <c r="K61" i="7"/>
  <c r="Q5" i="7"/>
  <c r="Q10" i="7"/>
  <c r="S4" i="7"/>
  <c r="W57" i="7"/>
  <c r="Y52" i="7"/>
  <c r="W6" i="7"/>
  <c r="U7" i="7"/>
  <c r="M47" i="7"/>
  <c r="M46" i="7"/>
  <c r="I69" i="7"/>
  <c r="I71" i="7"/>
  <c r="U9" i="7"/>
  <c r="W8" i="7"/>
  <c r="AB59" i="15"/>
  <c r="AB76" i="15"/>
  <c r="AB77" i="15"/>
  <c r="K69" i="7"/>
  <c r="K71" i="7"/>
  <c r="Q48" i="7"/>
  <c r="U4" i="7"/>
  <c r="S5" i="7"/>
  <c r="S10" i="7"/>
  <c r="O46" i="7"/>
  <c r="O47" i="7"/>
  <c r="AB78" i="15"/>
  <c r="AB80" i="15"/>
  <c r="J81" i="15"/>
  <c r="E3" i="21"/>
  <c r="E7" i="21"/>
  <c r="E18" i="21"/>
  <c r="M27" i="3"/>
  <c r="P204" i="3"/>
  <c r="Y8" i="7"/>
  <c r="W9" i="7"/>
  <c r="Y57" i="7"/>
  <c r="AA52" i="7"/>
  <c r="M61" i="7"/>
  <c r="W7" i="7"/>
  <c r="Y6" i="7"/>
  <c r="W21" i="7"/>
  <c r="Y14" i="7"/>
  <c r="S48" i="7"/>
  <c r="O61" i="7"/>
  <c r="O69" i="7"/>
  <c r="U5" i="7"/>
  <c r="U10" i="7"/>
  <c r="W4" i="7"/>
  <c r="M69" i="7"/>
  <c r="M71" i="7"/>
  <c r="Y9" i="7"/>
  <c r="AA8" i="7"/>
  <c r="Y21" i="7"/>
  <c r="AA14" i="7"/>
  <c r="AA6" i="7"/>
  <c r="Y7" i="7"/>
  <c r="AA57" i="7"/>
  <c r="AC52" i="7"/>
  <c r="Q47" i="7"/>
  <c r="Q46" i="7"/>
  <c r="O71" i="7"/>
  <c r="U48" i="7"/>
  <c r="Q61" i="7"/>
  <c r="AA7" i="7"/>
  <c r="AC6" i="7"/>
  <c r="Y4" i="7"/>
  <c r="W5" i="7"/>
  <c r="W10" i="7"/>
  <c r="S46" i="7"/>
  <c r="S47" i="7"/>
  <c r="AC57" i="7"/>
  <c r="AE52" i="7"/>
  <c r="AA21" i="7"/>
  <c r="AC14" i="7"/>
  <c r="AC8" i="7"/>
  <c r="AA9" i="7"/>
  <c r="W48" i="7"/>
  <c r="AE57" i="7"/>
  <c r="AG52" i="7"/>
  <c r="AG57" i="7"/>
  <c r="Y5" i="7"/>
  <c r="Y10" i="7"/>
  <c r="AA4" i="7"/>
  <c r="AC21" i="7"/>
  <c r="AE14" i="7"/>
  <c r="S61" i="7"/>
  <c r="AE6" i="7"/>
  <c r="AC7" i="7"/>
  <c r="AC9" i="7"/>
  <c r="AE8" i="7"/>
  <c r="Q69" i="7"/>
  <c r="Q71" i="7"/>
  <c r="U47" i="7"/>
  <c r="U46" i="7"/>
  <c r="Y48" i="7"/>
  <c r="AG8" i="7"/>
  <c r="AG9" i="7"/>
  <c r="AE9" i="7"/>
  <c r="W46" i="7"/>
  <c r="W47" i="7"/>
  <c r="U61" i="7"/>
  <c r="S69" i="7"/>
  <c r="S71" i="7"/>
  <c r="AE21" i="7"/>
  <c r="AG14" i="7"/>
  <c r="AG21" i="7"/>
  <c r="AC4" i="7"/>
  <c r="AA5" i="7"/>
  <c r="AA10" i="7"/>
  <c r="AE7" i="7"/>
  <c r="AG6" i="7"/>
  <c r="AG7" i="7"/>
  <c r="AA48" i="7"/>
  <c r="Y47" i="7"/>
  <c r="Y46" i="7"/>
  <c r="W61" i="7"/>
  <c r="AC5" i="7"/>
  <c r="AC10" i="7"/>
  <c r="AE4" i="7"/>
  <c r="U69" i="7"/>
  <c r="U71" i="7"/>
  <c r="AC48" i="7"/>
  <c r="W69" i="7"/>
  <c r="W71" i="7"/>
  <c r="Y61" i="7"/>
  <c r="AG4" i="7"/>
  <c r="AE5" i="7"/>
  <c r="AE10" i="7"/>
  <c r="AA46" i="7"/>
  <c r="AA47" i="7"/>
  <c r="AE48" i="7"/>
  <c r="AG5" i="7"/>
  <c r="AG10" i="7"/>
  <c r="AA61" i="7"/>
  <c r="AA69" i="7"/>
  <c r="AC47" i="7"/>
  <c r="AC46" i="7"/>
  <c r="Y69" i="7"/>
  <c r="Y71" i="7"/>
  <c r="AA71" i="7"/>
  <c r="AG48" i="7"/>
  <c r="AC61" i="7"/>
  <c r="AE46" i="7"/>
  <c r="AE47" i="7"/>
  <c r="AE61" i="7"/>
  <c r="AE69" i="7"/>
  <c r="AC69" i="7"/>
  <c r="AC71" i="7"/>
  <c r="AG47" i="7"/>
  <c r="AG46" i="7"/>
  <c r="AE71" i="7"/>
  <c r="AG61" i="7"/>
  <c r="AG69" i="7"/>
  <c r="AG7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rgb="FF000000"/>
            <rFont val="Tahoma"/>
            <family val="2"/>
          </rPr>
          <t>For projects subject to a 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<sst xmlns="http://schemas.openxmlformats.org/spreadsheetml/2006/main" count="5063" uniqueCount="2642">
  <si>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</si>
  <si>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</si>
  <si>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</si>
  <si>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</si>
  <si>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</si>
  <si>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</si>
  <si>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</si>
  <si>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</si>
  <si>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</si>
  <si>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</si>
  <si>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</si>
  <si>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</si>
  <si>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</si>
  <si>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</si>
  <si>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</si>
  <si>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</si>
  <si>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</si>
  <si>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</si>
  <si>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</si>
  <si>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</si>
  <si>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</si>
  <si>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</si>
  <si>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</si>
  <si>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</si>
  <si>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</si>
  <si>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</si>
  <si>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</si>
  <si>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</si>
  <si>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</si>
  <si>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</si>
  <si>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</si>
  <si>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</si>
  <si>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</si>
  <si>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</si>
  <si>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</si>
  <si>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</si>
  <si>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</si>
  <si>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</si>
  <si>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</si>
  <si>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</si>
  <si>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</si>
  <si>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</si>
  <si>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</si>
  <si>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</si>
  <si>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</si>
  <si>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</si>
  <si>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</si>
  <si>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</si>
  <si>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</si>
  <si>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</si>
  <si>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</si>
  <si>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</si>
  <si>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</si>
  <si>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</si>
  <si>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</si>
  <si>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</si>
  <si>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</si>
  <si>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</si>
  <si>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</si>
  <si>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</si>
  <si>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</si>
  <si>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</si>
  <si>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</si>
  <si>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</si>
  <si>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</si>
  <si>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</si>
  <si>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</si>
  <si>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</si>
  <si>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</si>
  <si>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</si>
  <si>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</si>
  <si>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</si>
  <si>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</si>
  <si>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</si>
  <si>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</si>
  <si>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</si>
  <si>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</si>
  <si>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</si>
  <si>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</si>
  <si>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</si>
  <si>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</si>
  <si>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</si>
  <si>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</si>
  <si>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</si>
  <si>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</si>
  <si>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</si>
  <si>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</si>
  <si>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</si>
  <si>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</si>
  <si>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</si>
  <si>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</si>
  <si>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</si>
  <si>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</si>
  <si>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</si>
  <si>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</si>
  <si>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</si>
  <si>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</si>
  <si>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</si>
  <si>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</si>
  <si>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</si>
  <si>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</si>
  <si>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</si>
  <si>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</si>
  <si>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</si>
  <si>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</si>
  <si>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</si>
  <si>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</si>
  <si>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</si>
  <si>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</si>
  <si>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</si>
  <si>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</si>
  <si>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</si>
  <si>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</si>
  <si>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</si>
  <si>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</si>
  <si>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</si>
  <si>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</si>
  <si>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</si>
  <si>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</si>
  <si>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</si>
  <si>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</si>
  <si>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</si>
  <si>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</si>
  <si>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</si>
  <si>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</si>
  <si>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</si>
  <si>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</si>
  <si>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</si>
  <si>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</si>
  <si>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</si>
  <si>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</si>
  <si>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</si>
  <si>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</si>
  <si>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</si>
  <si>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</si>
  <si>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</si>
  <si>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</si>
  <si>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</si>
  <si>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</si>
  <si>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</si>
  <si>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</si>
  <si>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</si>
  <si>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</si>
  <si>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</si>
  <si>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</si>
  <si>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</si>
  <si>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</si>
  <si>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</si>
  <si>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</si>
  <si>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</si>
  <si>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</si>
  <si>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</si>
  <si>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</si>
  <si>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</si>
  <si>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</si>
  <si>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</si>
  <si>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</si>
  <si>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</si>
  <si>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</si>
  <si>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</si>
  <si>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</si>
  <si>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</si>
  <si>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</si>
  <si>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</si>
  <si>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</si>
  <si>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</si>
  <si>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</si>
  <si>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</si>
  <si>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</si>
  <si>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</si>
  <si>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</si>
  <si>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</si>
  <si>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</si>
  <si>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</si>
  <si>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</si>
  <si>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</si>
  <si>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</si>
  <si>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</si>
  <si>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</si>
  <si>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</si>
  <si>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</si>
  <si>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</si>
  <si>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</si>
  <si>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</si>
  <si>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</si>
  <si>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</si>
  <si>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</si>
  <si>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</si>
  <si>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</si>
  <si>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</si>
  <si>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</si>
  <si>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</si>
  <si>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</si>
  <si>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</si>
  <si>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</si>
  <si>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</si>
  <si>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</si>
  <si>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</si>
  <si>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</si>
  <si>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</si>
  <si>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</si>
  <si>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</si>
  <si>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</si>
  <si>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</si>
  <si>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</si>
  <si>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</si>
  <si>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</si>
  <si>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</si>
  <si>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</si>
  <si>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</si>
  <si>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</si>
  <si>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</si>
  <si>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</si>
  <si>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</si>
  <si>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</si>
  <si>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</si>
  <si>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</si>
  <si>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</si>
  <si>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</si>
  <si>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</si>
  <si>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</si>
  <si>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</si>
  <si>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</si>
  <si>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</si>
  <si>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</si>
  <si>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</si>
  <si>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</si>
  <si>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</si>
  <si>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</si>
  <si>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</si>
  <si>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</si>
  <si>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</si>
  <si>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</si>
  <si>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</si>
  <si>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</si>
  <si>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</si>
  <si>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</si>
  <si>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</si>
  <si>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</si>
  <si>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</si>
  <si>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</si>
  <si>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</si>
  <si>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</si>
  <si>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</si>
  <si>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</si>
  <si>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</si>
  <si>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</si>
  <si>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</si>
  <si>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</si>
  <si>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</si>
  <si>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</si>
  <si>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</si>
  <si>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</si>
  <si>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</si>
  <si>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</si>
  <si>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</si>
  <si>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</si>
  <si>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</si>
  <si>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</si>
  <si>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</si>
  <si>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</si>
  <si>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</si>
  <si>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</si>
  <si>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</si>
  <si>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</si>
  <si>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</si>
  <si>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</si>
  <si>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</si>
  <si>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</si>
  <si>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</si>
  <si>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</si>
  <si>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</si>
  <si>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</si>
  <si>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</si>
  <si>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</si>
  <si>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</si>
  <si>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</si>
  <si>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</si>
  <si>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</si>
  <si>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</si>
  <si>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</si>
  <si>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</si>
  <si>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</si>
  <si>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</si>
  <si>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</si>
  <si>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</si>
  <si>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</si>
  <si>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</si>
  <si>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</si>
  <si>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</si>
  <si>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</si>
  <si>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</si>
  <si>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</si>
  <si>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</si>
  <si>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</si>
  <si>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</si>
  <si>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</si>
  <si>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</si>
  <si>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</si>
  <si>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</si>
  <si>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</si>
  <si>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</si>
  <si>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</si>
  <si>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</si>
  <si>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</si>
  <si>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</si>
  <si>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</si>
  <si>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</si>
  <si>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</si>
  <si>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</si>
  <si>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</si>
  <si>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</si>
  <si>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</si>
  <si>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</si>
  <si>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</si>
  <si>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</si>
  <si>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</si>
  <si>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</si>
  <si>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</si>
  <si>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</si>
  <si>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</si>
  <si>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</si>
  <si>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</si>
  <si>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</si>
  <si>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</si>
  <si>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</si>
  <si>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</si>
  <si>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</si>
  <si>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</si>
  <si>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</si>
  <si>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</si>
  <si>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</si>
  <si>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</si>
  <si>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</si>
  <si>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</si>
  <si>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</si>
  <si>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</si>
  <si>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</si>
  <si>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</si>
  <si>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</si>
  <si>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</si>
  <si>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</si>
  <si>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</si>
  <si>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</si>
  <si>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</si>
  <si>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</si>
  <si>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</si>
  <si>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</si>
  <si>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</si>
  <si>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</si>
  <si>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</si>
  <si>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</si>
  <si>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</si>
  <si>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</si>
  <si>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</si>
  <si>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</si>
  <si>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</si>
  <si>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</si>
  <si>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</si>
  <si>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</si>
  <si>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</si>
  <si>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</si>
  <si>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</si>
  <si>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</si>
  <si>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</si>
  <si>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</si>
  <si>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</si>
  <si>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</si>
  <si>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</si>
  <si>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</si>
  <si>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</si>
  <si>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</si>
  <si>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</si>
  <si>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</si>
  <si>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</si>
  <si>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</si>
  <si>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</si>
  <si>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</si>
  <si>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</si>
  <si>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</si>
  <si>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</si>
  <si>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</si>
  <si>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</si>
  <si>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</si>
  <si>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</si>
  <si>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</si>
  <si>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</si>
  <si>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</si>
  <si>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</si>
  <si>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</si>
  <si>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</si>
  <si>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</si>
  <si>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</si>
  <si>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</si>
  <si>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</si>
  <si>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</si>
  <si>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</si>
  <si>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</si>
  <si>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</si>
  <si>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</si>
  <si>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</si>
  <si>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</si>
  <si>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</si>
  <si>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</si>
  <si>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</si>
  <si>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</si>
  <si>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</si>
  <si>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</si>
  <si>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</si>
  <si>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</si>
  <si>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</si>
  <si>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</si>
  <si>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</si>
  <si>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</si>
  <si>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</si>
  <si>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</si>
  <si>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</si>
  <si>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</si>
  <si>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</si>
  <si>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</si>
  <si>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</si>
  <si>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</si>
  <si>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</si>
  <si>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</si>
  <si>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</si>
  <si>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</si>
  <si>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</si>
  <si>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</si>
  <si>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</si>
  <si>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</si>
  <si>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</si>
  <si>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</si>
  <si>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</si>
  <si>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</si>
  <si>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</si>
  <si>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</si>
  <si>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</si>
  <si>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</si>
  <si>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</si>
  <si>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</si>
  <si>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</si>
  <si>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</si>
  <si>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</si>
  <si>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</si>
  <si>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</si>
  <si>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</si>
  <si>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</si>
  <si>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</si>
  <si>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</si>
  <si>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</si>
  <si>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</si>
  <si>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</si>
  <si>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</si>
  <si>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</si>
  <si>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</si>
  <si>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</si>
  <si>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</si>
  <si>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</si>
  <si>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</si>
  <si>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</si>
  <si>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</si>
  <si>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</si>
  <si>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</si>
  <si>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</si>
  <si>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</si>
  <si>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</si>
  <si>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</si>
  <si>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</si>
  <si>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</si>
  <si>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</si>
  <si>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</si>
  <si>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</si>
  <si>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</si>
  <si>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</si>
  <si>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</si>
  <si>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</si>
  <si>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</si>
  <si>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</si>
  <si>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</si>
  <si>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</si>
  <si>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</si>
  <si>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</si>
  <si>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</si>
  <si>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</si>
  <si>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</si>
  <si>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</si>
  <si>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</si>
  <si>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</si>
  <si>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</si>
  <si>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</si>
  <si>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</si>
  <si>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</si>
  <si>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</si>
  <si>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</si>
  <si>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</si>
  <si>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</si>
  <si>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</si>
  <si>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</si>
  <si>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</si>
  <si>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</si>
  <si>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</si>
  <si>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</si>
  <si>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</si>
  <si>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</si>
  <si>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</si>
  <si>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</si>
  <si>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</si>
  <si>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</si>
  <si>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</si>
  <si>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</si>
  <si>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</si>
  <si>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</si>
  <si>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</si>
  <si>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</si>
  <si>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</si>
  <si>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</si>
  <si>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</si>
  <si>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</si>
  <si>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</si>
  <si>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</si>
  <si>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</si>
  <si>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</si>
  <si>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</si>
  <si>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</si>
  <si>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</si>
  <si>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</si>
  <si>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</si>
  <si>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</si>
  <si>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</si>
  <si>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</si>
  <si>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</si>
  <si>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</si>
  <si>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</si>
  <si>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</si>
  <si>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</si>
  <si>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</si>
  <si>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</si>
  <si>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</si>
  <si>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</si>
  <si>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</si>
  <si>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</si>
  <si>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</si>
  <si>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</si>
  <si>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</si>
  <si>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</si>
  <si>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</si>
  <si>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</si>
  <si>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</si>
  <si>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</si>
  <si>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</si>
  <si>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</si>
  <si>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</si>
  <si>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</si>
  <si>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</si>
  <si>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</si>
  <si>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</si>
  <si>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</si>
  <si>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</si>
  <si>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</si>
  <si>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</si>
  <si>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</si>
  <si>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</si>
  <si>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</si>
  <si>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</si>
  <si>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</si>
  <si>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</si>
  <si>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</si>
  <si>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</si>
  <si>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</si>
  <si>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</si>
  <si>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</si>
  <si>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</si>
  <si>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</si>
  <si>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</si>
  <si>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</si>
  <si>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</si>
  <si>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</si>
  <si>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</si>
  <si>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</si>
  <si>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</si>
  <si>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</si>
  <si>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</si>
  <si>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</si>
  <si>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</si>
  <si>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</si>
  <si>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</si>
  <si>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</si>
  <si>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</si>
  <si>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</si>
  <si>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</si>
  <si>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</si>
  <si>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</si>
  <si>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</si>
  <si>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</si>
  <si>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</si>
  <si>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</si>
  <si>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</si>
  <si>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</si>
  <si>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</si>
  <si>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</si>
  <si>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</si>
  <si>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</si>
  <si>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</si>
  <si>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</si>
  <si>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</si>
  <si>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</si>
  <si>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</si>
  <si>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</si>
  <si>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</si>
  <si>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</si>
  <si>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</si>
  <si>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</si>
  <si>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</si>
  <si>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</si>
  <si>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</si>
  <si>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</si>
  <si>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</si>
  <si>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</si>
  <si>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</si>
  <si>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</si>
  <si>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</si>
  <si>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</si>
  <si>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</si>
  <si>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</si>
  <si>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</si>
  <si>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</si>
  <si>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</si>
  <si>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</si>
  <si>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</si>
  <si>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</si>
  <si>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</si>
  <si>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</si>
  <si>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</si>
  <si>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</si>
  <si>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</si>
  <si>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</si>
  <si>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</si>
  <si>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</si>
  <si>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</si>
  <si>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</si>
  <si>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</si>
  <si>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</si>
  <si>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</si>
  <si>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</si>
  <si>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</si>
  <si>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</si>
  <si>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</si>
  <si>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</si>
  <si>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</si>
  <si>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</si>
  <si>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</si>
  <si>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</si>
  <si>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</si>
  <si>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</si>
  <si>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</si>
  <si>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</si>
  <si>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</si>
  <si>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</si>
  <si>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</si>
  <si>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</si>
  <si>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</si>
  <si>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</si>
  <si>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</si>
  <si>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</si>
  <si>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</si>
  <si>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</si>
  <si>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</si>
  <si>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</si>
  <si>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</si>
  <si>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</si>
  <si>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</si>
  <si>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</si>
  <si>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</si>
  <si>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</si>
  <si>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</si>
  <si>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</si>
  <si>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</si>
  <si>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</si>
  <si>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</si>
  <si>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</si>
  <si>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</si>
  <si>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</si>
  <si>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</si>
  <si>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</si>
  <si>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</si>
  <si>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</si>
  <si>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</si>
  <si>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</si>
  <si>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</si>
  <si>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</si>
  <si>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</si>
  <si>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</si>
  <si>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</si>
  <si>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</si>
  <si>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</si>
  <si>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</si>
  <si>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</si>
  <si>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</si>
  <si>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</si>
  <si>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</si>
  <si>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</si>
  <si>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</si>
  <si>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</si>
  <si>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</si>
  <si>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</si>
  <si>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</si>
  <si>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</si>
  <si>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</si>
  <si>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</si>
  <si>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</si>
  <si>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</si>
  <si>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</si>
  <si>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</si>
  <si>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</si>
  <si>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</si>
  <si>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</si>
  <si>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</si>
  <si>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</si>
  <si>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</si>
  <si>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</si>
  <si>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</si>
  <si>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</si>
  <si>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</si>
  <si>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</si>
  <si>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</si>
  <si>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</si>
  <si>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</si>
  <si>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</si>
  <si>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</si>
  <si>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</si>
  <si>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</si>
  <si>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</si>
  <si>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</si>
  <si>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</si>
  <si>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</si>
  <si>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</si>
  <si>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</si>
  <si>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</si>
  <si>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</si>
  <si>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</si>
  <si>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</si>
  <si>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</si>
  <si>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</si>
  <si>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</si>
  <si>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</si>
  <si>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</si>
  <si>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</si>
  <si>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</si>
  <si>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</si>
  <si>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</si>
  <si>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</si>
  <si>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</si>
  <si>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</si>
  <si>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</si>
  <si>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</si>
  <si>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</si>
  <si>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</si>
  <si>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</si>
  <si>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</si>
  <si>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</si>
  <si>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</si>
  <si>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</si>
  <si>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</si>
  <si>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</si>
  <si>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</si>
  <si>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</si>
  <si>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</si>
  <si>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</si>
  <si>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</si>
  <si>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</si>
  <si>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</si>
  <si>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</si>
  <si>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</si>
  <si>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</si>
  <si>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</si>
  <si>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</si>
  <si>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</si>
  <si>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</si>
  <si>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</si>
  <si>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</si>
  <si>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</si>
  <si>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</si>
  <si>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</si>
  <si>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</si>
  <si>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</si>
  <si>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</si>
  <si>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</si>
  <si>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</si>
  <si>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</si>
  <si>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</si>
  <si>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</si>
  <si>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</si>
  <si>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</si>
  <si>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</si>
  <si>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</si>
  <si>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</si>
  <si>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</si>
  <si>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</si>
  <si>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</si>
  <si>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</si>
  <si>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</si>
  <si>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</si>
  <si>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</si>
  <si>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</si>
  <si>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</si>
  <si>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</si>
  <si>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</si>
  <si>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</si>
  <si>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</si>
  <si>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</si>
  <si>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</si>
  <si>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</si>
  <si>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</si>
  <si>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</si>
  <si>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</si>
  <si>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</si>
  <si>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</si>
  <si>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</si>
  <si>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</si>
  <si>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</si>
  <si>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</si>
  <si>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</si>
  <si>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</si>
  <si>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</si>
  <si>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</si>
  <si>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</si>
  <si>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</si>
  <si>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</si>
  <si>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</si>
  <si>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</si>
  <si>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</si>
  <si>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</si>
  <si>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</si>
  <si>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</si>
  <si>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</si>
  <si>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</si>
  <si>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</si>
  <si>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</si>
  <si>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</si>
  <si>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</si>
  <si>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</si>
  <si>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</si>
  <si>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</si>
  <si>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</si>
  <si>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</si>
  <si>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</si>
  <si>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</si>
  <si>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</si>
  <si>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</si>
  <si>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</si>
  <si>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</si>
  <si>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</si>
  <si>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</si>
  <si>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</si>
  <si>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</si>
  <si>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</si>
  <si>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</si>
  <si>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</si>
  <si>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</si>
  <si>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</si>
  <si>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</si>
  <si>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</si>
  <si>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</si>
  <si>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</si>
  <si>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</si>
  <si>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</si>
  <si>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</si>
  <si>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</si>
  <si>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</si>
  <si>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</si>
  <si>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</si>
  <si>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</si>
  <si>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</si>
  <si>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</si>
  <si>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</si>
  <si>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</si>
  <si>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</si>
  <si>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</si>
  <si>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</si>
  <si>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</si>
  <si>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</si>
  <si>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</si>
  <si>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</si>
  <si>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</si>
  <si>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</si>
  <si>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</si>
  <si>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</si>
  <si>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</si>
  <si>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</si>
  <si>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</si>
  <si>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</si>
  <si>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</si>
  <si>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</si>
  <si>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</si>
  <si>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</si>
  <si>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</si>
  <si>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</si>
  <si>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</si>
  <si>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</si>
  <si>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</si>
  <si>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</si>
  <si>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</si>
  <si>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</si>
  <si>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</si>
  <si>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</si>
  <si>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</si>
  <si>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</si>
  <si>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</si>
  <si>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</si>
  <si>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</si>
  <si>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</si>
  <si>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</si>
  <si>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</si>
  <si>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</si>
  <si>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</si>
  <si>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</si>
  <si>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</si>
  <si>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</si>
  <si>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</si>
  <si>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</si>
  <si>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</si>
  <si>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</si>
  <si>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</si>
  <si>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</si>
  <si>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</si>
  <si>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</si>
  <si>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</si>
  <si>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</si>
  <si>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</si>
  <si>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</si>
  <si>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</si>
  <si>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</si>
  <si>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</si>
  <si>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</si>
  <si>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</si>
  <si>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</si>
  <si>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</si>
  <si>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</si>
  <si>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</si>
  <si>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</si>
  <si>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</si>
  <si>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</si>
  <si>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</si>
  <si>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</si>
  <si>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</si>
  <si>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</si>
  <si>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</si>
  <si>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</si>
  <si>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</si>
  <si>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</si>
  <si>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</si>
  <si>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</si>
  <si>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</si>
  <si>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</si>
  <si>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</si>
  <si>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</si>
  <si>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</si>
  <si>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</si>
  <si>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</si>
  <si>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</si>
  <si>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</si>
  <si>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</si>
  <si>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</si>
  <si>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</si>
  <si>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</si>
  <si>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</si>
  <si>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</si>
  <si>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</si>
  <si>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</si>
  <si>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</si>
  <si>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</si>
  <si>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</si>
  <si>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</si>
  <si>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</si>
  <si>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</si>
  <si>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</si>
  <si>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</si>
  <si>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</si>
  <si>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</si>
  <si>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</si>
  <si>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</si>
  <si>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</si>
  <si>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</si>
  <si>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</si>
  <si>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</si>
  <si>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</si>
  <si>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</si>
  <si>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</si>
  <si>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</si>
  <si>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</si>
  <si>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</si>
  <si>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</si>
  <si>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</si>
  <si>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</si>
  <si>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</si>
  <si>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</si>
  <si>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</si>
  <si>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</si>
  <si>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</si>
  <si>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</si>
  <si>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</si>
  <si>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</si>
  <si>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</si>
  <si>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</si>
  <si>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</si>
  <si>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</si>
  <si>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</si>
  <si>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</si>
  <si>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</si>
  <si>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</si>
  <si>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</si>
  <si>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</si>
  <si>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</si>
  <si>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</si>
  <si>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</si>
  <si>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</si>
  <si>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</si>
  <si>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</si>
  <si>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</si>
  <si>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</si>
  <si>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</si>
  <si>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</si>
  <si>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</si>
  <si>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</si>
  <si>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</si>
  <si>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</si>
  <si>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</si>
  <si>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</si>
  <si>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</si>
  <si>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</si>
  <si>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</si>
  <si>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</si>
  <si>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</si>
  <si>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</si>
  <si>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</si>
  <si>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</si>
  <si>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</si>
  <si>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</si>
  <si>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</si>
  <si>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</si>
  <si>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</si>
  <si>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</si>
  <si>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</si>
  <si>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</si>
  <si>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</si>
  <si>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</si>
  <si>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</si>
  <si>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</si>
  <si>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</si>
  <si>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</si>
  <si>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</si>
  <si>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</si>
  <si>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</si>
  <si>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</si>
  <si>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</si>
  <si>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</si>
  <si>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</si>
  <si>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</si>
  <si>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</si>
  <si>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</si>
  <si>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</si>
  <si>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</si>
  <si>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</si>
  <si>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</si>
  <si>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</si>
  <si>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</si>
  <si>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</si>
  <si>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</si>
  <si>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</si>
  <si>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</si>
  <si>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</si>
  <si>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</si>
  <si>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</si>
  <si>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</si>
  <si>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</si>
  <si>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</si>
  <si>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</si>
  <si>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</si>
  <si>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</si>
  <si>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</si>
  <si>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</si>
  <si>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</si>
  <si>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</si>
  <si>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</si>
  <si>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</si>
  <si>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</si>
  <si>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</si>
  <si>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</si>
  <si>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</si>
  <si>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</si>
  <si>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</si>
  <si>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</si>
  <si>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</si>
  <si>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</si>
  <si>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</si>
  <si>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</si>
  <si>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</si>
  <si>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</si>
  <si>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</si>
  <si>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</si>
  <si>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</si>
  <si>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</si>
  <si>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</si>
  <si>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</si>
  <si>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</si>
  <si>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</si>
  <si>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</si>
  <si>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</si>
  <si>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</si>
  <si>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</si>
  <si>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</si>
  <si>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</si>
  <si>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</si>
  <si>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</si>
  <si>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</si>
  <si>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</si>
  <si>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</si>
  <si>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</si>
  <si>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</si>
  <si>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</si>
  <si>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</si>
  <si>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</si>
  <si>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</si>
  <si>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</si>
  <si>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</si>
  <si>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</si>
  <si>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</si>
  <si>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</si>
  <si>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</si>
  <si>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</si>
  <si>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</si>
  <si>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</si>
  <si>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</si>
  <si>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</si>
  <si>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</si>
  <si>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</si>
  <si>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</si>
  <si>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</si>
  <si>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</si>
  <si>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</si>
  <si>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</si>
  <si>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</si>
  <si>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</si>
  <si>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</si>
  <si>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</si>
  <si>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</si>
  <si>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</si>
  <si>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</si>
  <si>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</si>
  <si>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</si>
  <si>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</si>
  <si>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</si>
  <si>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</si>
  <si>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</si>
  <si>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</si>
  <si>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</si>
  <si>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</si>
  <si>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</si>
  <si>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</si>
  <si>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</si>
  <si>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</si>
  <si>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</si>
  <si>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</si>
  <si>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</si>
  <si>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</si>
  <si>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</si>
  <si>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</si>
  <si>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</si>
  <si>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</si>
  <si>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</si>
  <si>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</si>
  <si>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</si>
  <si>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</si>
  <si>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</si>
  <si>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</si>
  <si>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</si>
  <si>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</si>
  <si>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</si>
  <si>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</si>
  <si>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</si>
  <si>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</si>
  <si>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</si>
  <si>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</si>
  <si>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</si>
  <si>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</si>
  <si>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</si>
  <si>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</si>
  <si>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</si>
  <si>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</si>
  <si>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</si>
  <si>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</si>
  <si>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</si>
  <si>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</si>
  <si>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</si>
  <si>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</si>
  <si>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</si>
  <si>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</si>
  <si>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</si>
  <si>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</si>
  <si>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</si>
  <si>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</si>
  <si>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</si>
  <si>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</si>
  <si>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</si>
  <si>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</si>
  <si>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</si>
  <si>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</si>
  <si>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</si>
  <si>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</si>
  <si>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</si>
  <si>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</si>
  <si>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</si>
  <si>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</si>
  <si>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</si>
  <si>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</si>
  <si>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</si>
  <si>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</si>
  <si>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</si>
  <si>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</si>
  <si>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</si>
  <si>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</si>
  <si>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</si>
  <si>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</si>
  <si>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</si>
  <si>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</si>
  <si>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</si>
  <si>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</si>
  <si>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</si>
  <si>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</si>
  <si>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</si>
  <si>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</si>
  <si>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</si>
  <si>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</si>
  <si>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</si>
  <si>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</si>
  <si>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</si>
  <si>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</si>
  <si>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</si>
  <si>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</si>
  <si>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</si>
  <si>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</si>
  <si>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</si>
  <si>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</si>
  <si>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</si>
  <si>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</si>
  <si>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</si>
  <si>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</si>
  <si>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</si>
  <si>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</si>
  <si>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</si>
  <si>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</si>
  <si>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</si>
  <si>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</si>
  <si>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</si>
  <si>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</si>
  <si>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</si>
  <si>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</si>
  <si>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</si>
  <si>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</si>
  <si>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</si>
  <si>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</si>
  <si>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</si>
  <si>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</si>
  <si>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</si>
  <si>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</si>
  <si>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</si>
  <si>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</si>
  <si>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</si>
  <si>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</si>
  <si>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</si>
  <si>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</si>
  <si>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</si>
  <si>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</si>
  <si>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</si>
  <si>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</si>
  <si>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</si>
  <si>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</si>
  <si>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</si>
  <si>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</si>
  <si>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</si>
  <si>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</si>
  <si>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</si>
  <si>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</si>
  <si>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</si>
  <si>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</si>
  <si>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</si>
  <si>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</si>
  <si>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</si>
  <si>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</si>
  <si>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</si>
  <si>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</si>
  <si>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</si>
  <si>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</si>
  <si>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</si>
  <si>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</si>
  <si>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</si>
  <si>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</si>
  <si>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</si>
  <si>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</si>
  <si>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</si>
  <si>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</si>
  <si>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</si>
  <si>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</si>
  <si>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</si>
  <si>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</si>
  <si>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</si>
  <si>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</si>
  <si>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</si>
  <si>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</si>
  <si>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</si>
  <si>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</si>
  <si>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</si>
  <si>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</si>
  <si>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</si>
  <si>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</si>
  <si>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</si>
  <si>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</si>
  <si>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</si>
  <si>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</si>
  <si>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</si>
  <si>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</si>
  <si>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</si>
  <si>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</si>
  <si>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</si>
  <si>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</si>
  <si>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</si>
  <si>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</si>
  <si>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</si>
  <si>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</si>
  <si>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</si>
  <si>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</si>
  <si>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</si>
  <si>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</si>
  <si>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</si>
  <si>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</si>
  <si>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</si>
  <si>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</si>
  <si>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</si>
  <si>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</si>
  <si>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</si>
  <si>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</si>
  <si>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</si>
  <si>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</si>
  <si>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</si>
  <si>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</si>
  <si>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</si>
  <si>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</si>
  <si>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</si>
  <si>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</si>
  <si>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</si>
  <si>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</si>
  <si>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</si>
  <si>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</si>
  <si>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</si>
  <si>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</si>
  <si>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</si>
  <si>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</si>
  <si>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</si>
  <si>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</si>
  <si>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</si>
  <si>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</si>
  <si>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</si>
  <si>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</si>
  <si>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</si>
  <si>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</si>
  <si>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</si>
  <si>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</si>
  <si>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</si>
  <si>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</si>
  <si>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</si>
  <si>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</si>
  <si>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</si>
  <si>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</si>
  <si>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</si>
  <si>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</si>
  <si>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</si>
  <si>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</si>
  <si>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</si>
  <si>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</si>
  <si>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</si>
  <si>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</si>
  <si>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</si>
  <si>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</si>
  <si>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</si>
  <si>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</si>
  <si>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</si>
  <si>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</si>
  <si>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</si>
  <si>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</si>
  <si>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</si>
  <si>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</si>
  <si>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</si>
  <si>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</si>
  <si>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</si>
  <si>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</si>
  <si>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</si>
  <si>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</si>
  <si>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</si>
  <si>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</si>
  <si>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</si>
  <si>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</si>
  <si>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</si>
  <si>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</si>
  <si>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</si>
  <si>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</si>
  <si>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</si>
  <si>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</si>
  <si>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</si>
  <si>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</si>
  <si>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</si>
  <si>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</si>
  <si>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</si>
  <si>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</si>
  <si>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</si>
  <si>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</si>
  <si>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</si>
  <si>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</si>
  <si>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</si>
  <si>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</si>
  <si>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</si>
  <si>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</si>
  <si>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</si>
  <si>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</si>
  <si>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</si>
  <si>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</si>
  <si>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</si>
  <si>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</si>
  <si>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</si>
  <si>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</si>
  <si>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</si>
  <si>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</si>
  <si>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</si>
  <si>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</si>
  <si>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</si>
  <si>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</si>
  <si>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</si>
  <si>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</si>
  <si>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</si>
  <si>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</si>
  <si>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</si>
  <si>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</si>
  <si>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</si>
  <si>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</si>
  <si>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</si>
  <si>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</si>
  <si>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</si>
  <si>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</si>
  <si>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</si>
  <si>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</si>
  <si>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</si>
  <si>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</si>
  <si>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</si>
  <si>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</si>
  <si>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</si>
  <si>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</si>
  <si>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</si>
  <si>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</si>
  <si>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</si>
  <si>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</si>
  <si>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</si>
  <si>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</si>
  <si>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</si>
  <si>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</si>
  <si>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</si>
  <si>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</si>
  <si>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</si>
  <si>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</si>
  <si>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</si>
  <si>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</si>
  <si>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</si>
  <si>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</si>
  <si>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</si>
  <si>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</si>
  <si>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</si>
  <si>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</si>
  <si>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</si>
  <si>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</si>
  <si>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</si>
  <si>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</si>
  <si>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</si>
  <si>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</si>
  <si>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</si>
  <si>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</si>
  <si>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</si>
  <si>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</si>
  <si>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</si>
  <si>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</si>
  <si>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</si>
  <si>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</si>
  <si>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</si>
  <si>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</si>
  <si>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</si>
  <si>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</si>
  <si>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</si>
  <si>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</si>
  <si>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</si>
  <si>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</si>
  <si>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</si>
  <si>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</si>
  <si>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</si>
  <si>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</si>
  <si>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</si>
  <si>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</si>
  <si>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</si>
  <si>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</si>
  <si>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</si>
  <si>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</si>
  <si>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</si>
  <si>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</si>
  <si>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</si>
  <si>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</si>
  <si>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</si>
  <si>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</si>
  <si>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</si>
  <si>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</si>
  <si>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</si>
  <si>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</si>
  <si>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</si>
  <si>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</si>
  <si>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</si>
  <si>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</si>
  <si>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</si>
  <si>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</si>
  <si>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</si>
  <si>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</si>
  <si>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</si>
  <si>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</si>
  <si>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</si>
  <si>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</si>
  <si>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</si>
  <si>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</si>
  <si>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</si>
  <si>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</si>
  <si>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</si>
  <si>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</si>
  <si>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</si>
  <si>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</si>
  <si>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</si>
  <si>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</si>
  <si>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</si>
  <si>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</si>
  <si>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</si>
  <si>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</si>
  <si>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</si>
  <si>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</si>
  <si>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</si>
  <si>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</si>
  <si>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</si>
  <si>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</si>
  <si>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</si>
  <si>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</si>
  <si>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</si>
  <si>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</si>
  <si>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</si>
  <si>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</si>
  <si>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</si>
  <si>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</si>
  <si>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</si>
  <si>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</si>
  <si>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</si>
  <si>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</si>
  <si>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</si>
  <si>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</si>
  <si>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</si>
  <si>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</si>
  <si>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</si>
  <si>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</si>
  <si>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</si>
  <si>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</si>
  <si>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</si>
  <si>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</si>
  <si>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</si>
  <si>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</si>
  <si>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</si>
  <si>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</si>
  <si>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</si>
  <si>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</si>
  <si>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</si>
  <si>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</si>
  <si>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</si>
  <si>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</si>
  <si>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</si>
  <si>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</si>
  <si>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</si>
  <si>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</si>
  <si>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</si>
  <si>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</si>
  <si>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</si>
  <si>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</si>
  <si>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</si>
  <si>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</si>
  <si>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</si>
  <si>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</si>
  <si>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</si>
  <si>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</si>
  <si>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</si>
  <si>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</si>
  <si>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</si>
  <si>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</si>
  <si>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</si>
  <si>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</si>
  <si>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</si>
  <si>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</si>
  <si>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</si>
  <si>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</si>
  <si>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</si>
  <si>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</si>
  <si>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</si>
  <si>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</si>
  <si>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</si>
  <si>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</si>
  <si>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</si>
  <si>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</si>
  <si>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</si>
  <si>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</si>
  <si>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</si>
  <si>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</si>
  <si>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</si>
  <si>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</si>
  <si>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</si>
  <si>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</si>
  <si>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</si>
  <si>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</si>
  <si>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</si>
  <si>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</si>
  <si>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</si>
  <si>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</si>
  <si>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</si>
  <si>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</si>
  <si>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</si>
  <si>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</si>
  <si>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</si>
  <si>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</si>
  <si>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</si>
  <si>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</si>
  <si>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</si>
  <si>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</si>
  <si>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</si>
  <si>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</si>
  <si>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</si>
  <si>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</si>
  <si>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</si>
  <si>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</si>
  <si>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</si>
  <si>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</si>
  <si>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</si>
  <si>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</si>
  <si>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</si>
  <si>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</si>
  <si>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</si>
  <si>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</si>
  <si>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</si>
  <si>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</si>
  <si>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</si>
  <si>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</si>
  <si>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</si>
  <si>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</si>
  <si>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</si>
  <si>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</si>
  <si>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</si>
  <si>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</si>
  <si>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</si>
  <si>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</si>
  <si>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</si>
  <si>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</si>
  <si>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</si>
  <si>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</si>
  <si>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</si>
  <si>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</si>
  <si>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</si>
  <si>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</si>
  <si>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</si>
  <si>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</si>
  <si>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</si>
  <si>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</si>
  <si>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</si>
  <si>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</si>
  <si>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</si>
  <si>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</si>
  <si>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</si>
  <si>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</si>
  <si>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</si>
  <si>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</si>
  <si>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</si>
  <si>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</si>
  <si>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</si>
  <si>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</si>
  <si>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</si>
  <si>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</si>
  <si>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</si>
  <si>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</si>
  <si>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</si>
  <si>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</si>
  <si>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</si>
  <si>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</si>
  <si>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</si>
  <si>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</si>
  <si>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</si>
  <si>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</si>
  <si>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</si>
  <si>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</si>
  <si>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</si>
  <si>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</si>
  <si>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</si>
  <si>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</si>
  <si>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</si>
  <si>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</si>
  <si>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</si>
  <si>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</si>
  <si>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</si>
  <si>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</si>
  <si>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</si>
  <si>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</si>
  <si>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</si>
  <si>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</si>
  <si>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</si>
  <si>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</si>
  <si>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</si>
  <si>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</si>
  <si>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</si>
  <si>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</si>
  <si>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</si>
  <si>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</si>
  <si>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</si>
  <si>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</si>
  <si>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</si>
  <si>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</si>
  <si>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</si>
  <si>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</si>
  <si>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</si>
  <si>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</si>
  <si>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</si>
  <si>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</si>
  <si>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</si>
  <si>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</si>
  <si>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</si>
  <si>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</si>
  <si>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</si>
  <si>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</si>
  <si>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</si>
  <si>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</si>
  <si>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</si>
  <si>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</si>
  <si>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</si>
  <si>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</si>
  <si>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</si>
  <si>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</si>
  <si>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</si>
  <si>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</si>
  <si>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</si>
  <si>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</si>
  <si>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</si>
  <si>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</si>
  <si>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</si>
  <si>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</si>
  <si>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</si>
  <si>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</si>
  <si>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</si>
  <si>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</si>
  <si>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</si>
  <si>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</si>
  <si>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</si>
  <si>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</si>
  <si>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</si>
  <si>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</si>
  <si>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</si>
  <si>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</si>
  <si>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</si>
  <si>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</si>
  <si>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</si>
  <si>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</si>
  <si>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</si>
  <si>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</si>
  <si>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</si>
  <si>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</si>
  <si>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</si>
  <si>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</si>
  <si>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</si>
  <si>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</si>
  <si>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</si>
  <si>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</si>
  <si>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</si>
  <si>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</si>
  <si>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</si>
  <si>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</si>
  <si>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</si>
  <si>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</si>
  <si>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</si>
  <si>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</si>
  <si>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</si>
  <si>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</si>
  <si>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</si>
  <si>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</si>
  <si>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</si>
  <si>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</si>
  <si>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</si>
  <si>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</si>
  <si>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</si>
  <si>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</si>
  <si>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</si>
  <si>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</si>
  <si>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</si>
  <si>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</si>
  <si>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</si>
  <si>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</si>
  <si>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</si>
  <si>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</si>
  <si>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</si>
  <si>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</si>
  <si>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</si>
  <si>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</si>
  <si>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</si>
  <si>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</si>
  <si>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</si>
  <si>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</si>
  <si>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</si>
  <si>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</si>
  <si>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</si>
  <si>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</si>
  <si>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</si>
  <si>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</si>
  <si>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</si>
  <si>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</si>
  <si>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</si>
  <si>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</si>
  <si>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</si>
  <si>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</si>
  <si>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</si>
  <si>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</si>
  <si>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</si>
  <si>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</si>
  <si>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</si>
  <si>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</si>
  <si>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</si>
  <si>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</si>
  <si>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</si>
  <si>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</si>
  <si>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</si>
  <si>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</si>
  <si>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</si>
  <si>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</si>
  <si>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</si>
  <si>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</si>
  <si>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</si>
  <si>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</si>
  <si>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</si>
  <si>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</si>
  <si>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</si>
  <si>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</si>
  <si>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</si>
  <si>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</si>
  <si>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</si>
  <si>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</si>
  <si>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</si>
  <si>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</si>
  <si>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</si>
  <si>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</si>
  <si>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</si>
  <si>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</si>
  <si>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</si>
  <si>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</si>
  <si>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</si>
  <si>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</si>
  <si>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</si>
  <si>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</si>
  <si>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</si>
  <si>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</si>
  <si>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</si>
  <si>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</si>
  <si>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</si>
  <si>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</si>
  <si>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</si>
  <si>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</si>
  <si>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</si>
  <si>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</si>
  <si>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</si>
  <si>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</si>
  <si>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</si>
  <si>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</si>
  <si>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</si>
  <si>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</si>
  <si>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</si>
  <si>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</si>
  <si>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</si>
  <si>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</si>
  <si>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</si>
  <si>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</si>
  <si>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</si>
  <si>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</si>
  <si>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</si>
  <si>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</si>
  <si>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</si>
  <si>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</si>
  <si>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</si>
  <si>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</si>
  <si>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</si>
  <si>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</si>
  <si>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</si>
  <si>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</si>
  <si>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</si>
  <si>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</si>
  <si>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</si>
  <si>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</si>
  <si>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</si>
  <si>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</si>
  <si>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</si>
  <si>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</si>
  <si>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</si>
  <si>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</si>
  <si>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</si>
  <si>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</si>
  <si>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</si>
  <si>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</si>
  <si>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</si>
  <si>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</si>
  <si>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</si>
  <si>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</si>
  <si>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</si>
  <si>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</si>
  <si>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</si>
  <si>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</si>
  <si>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</si>
  <si>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</si>
  <si>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</si>
  <si>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</si>
  <si>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</si>
  <si>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</si>
  <si>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</si>
  <si>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</si>
  <si>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</si>
  <si>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</si>
  <si>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</si>
  <si>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</si>
  <si>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</si>
  <si>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</si>
  <si>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</si>
  <si>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</si>
  <si>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</si>
  <si>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</si>
  <si>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</si>
  <si>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</si>
  <si>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</si>
  <si>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</si>
  <si>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</si>
  <si>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</si>
  <si>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</si>
  <si>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</si>
  <si>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</si>
  <si>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</si>
  <si>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</si>
  <si>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</si>
  <si>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</si>
  <si>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</si>
  <si>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</si>
  <si>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</si>
  <si>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</si>
  <si>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</si>
  <si>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</si>
  <si>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</si>
  <si>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</si>
  <si>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</si>
  <si>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</si>
  <si>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</si>
  <si>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</si>
  <si>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</si>
  <si>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</si>
  <si>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</si>
  <si>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</si>
  <si>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</si>
  <si>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</si>
  <si>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</si>
  <si>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</si>
  <si>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</si>
  <si>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</si>
  <si>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</si>
  <si>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</si>
  <si>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</si>
  <si>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</si>
  <si>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</si>
  <si>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</si>
  <si>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</si>
  <si>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</si>
  <si>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</si>
  <si>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</si>
  <si>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</si>
  <si>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</si>
  <si>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</si>
  <si>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</si>
  <si>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</si>
  <si>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</si>
  <si>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</si>
  <si>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</si>
  <si>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</si>
  <si>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</si>
  <si>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</si>
  <si>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</si>
  <si>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</si>
  <si>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</si>
  <si>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</si>
  <si>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</si>
  <si>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</si>
  <si>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</si>
  <si>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</si>
  <si>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</si>
  <si>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</si>
  <si>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</si>
  <si>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</si>
  <si>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</si>
  <si>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</si>
  <si>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</si>
  <si>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</si>
  <si>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</si>
  <si>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</si>
  <si>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</si>
  <si>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</si>
  <si>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</si>
  <si>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</si>
  <si>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</si>
  <si>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</si>
  <si>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</si>
  <si>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</si>
  <si>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</si>
  <si>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</si>
  <si>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</si>
  <si>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</si>
  <si>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</si>
  <si>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</si>
  <si>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</si>
  <si>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</si>
  <si>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</si>
  <si>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</si>
  <si>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</si>
  <si>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</si>
  <si>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</si>
  <si>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</si>
  <si>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</si>
  <si>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</si>
  <si>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</si>
  <si>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</si>
  <si>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</si>
  <si>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</si>
  <si>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</si>
  <si>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</si>
  <si>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</si>
  <si>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</si>
  <si>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</si>
  <si>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</si>
  <si>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</si>
  <si>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</si>
  <si>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</si>
  <si>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</si>
  <si>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</si>
  <si>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</si>
  <si>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</si>
  <si>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</si>
  <si>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</si>
  <si>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</si>
  <si>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</si>
  <si>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</si>
  <si>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</si>
  <si>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</si>
  <si>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</si>
  <si>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</si>
  <si>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</si>
  <si>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</si>
  <si>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</si>
  <si>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</si>
  <si>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</si>
  <si>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</si>
  <si>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</si>
  <si>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</si>
  <si>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</si>
  <si>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</si>
  <si>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</si>
  <si>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</si>
  <si>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</si>
  <si>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</si>
  <si>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</si>
  <si>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</si>
  <si>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</si>
  <si>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</si>
  <si>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</si>
  <si>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</si>
  <si>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</si>
  <si>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</si>
  <si>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</si>
  <si>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</si>
  <si>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</si>
  <si>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</si>
  <si>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</si>
  <si>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</si>
  <si>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</si>
  <si>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</si>
  <si>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</si>
  <si>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</si>
  <si>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</si>
  <si>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</si>
  <si>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</si>
  <si>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</si>
  <si>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</si>
  <si>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</si>
  <si>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</si>
  <si>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</si>
  <si>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</si>
  <si>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</si>
  <si>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</si>
  <si>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</si>
  <si>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</si>
  <si>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</si>
  <si>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</si>
  <si>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</si>
  <si>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</si>
  <si>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</si>
  <si>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</si>
  <si>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</si>
  <si>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</si>
  <si>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</si>
  <si>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</si>
  <si>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</si>
  <si>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</si>
  <si>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</si>
  <si>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</si>
  <si>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</si>
  <si>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</si>
  <si>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</si>
  <si>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</si>
  <si>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</si>
  <si>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</si>
  <si>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</si>
  <si>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</si>
  <si>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</si>
  <si>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</si>
  <si>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</si>
  <si>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</si>
  <si>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</si>
  <si>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</si>
  <si>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</si>
  <si>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</si>
  <si>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</si>
  <si>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</si>
  <si>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</si>
  <si>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</si>
  <si>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</si>
  <si>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</si>
  <si>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</si>
  <si>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</si>
  <si>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</si>
  <si>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</si>
  <si>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</si>
  <si>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</si>
  <si>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</si>
  <si>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</si>
  <si>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</si>
  <si>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</si>
  <si>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</si>
  <si>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</si>
  <si>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</si>
  <si>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</si>
  <si>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</si>
  <si>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</si>
  <si>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</si>
  <si>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</si>
  <si>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</si>
  <si>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</si>
  <si>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</si>
  <si>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</si>
  <si>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</si>
  <si>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</si>
  <si>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</si>
  <si>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</si>
  <si>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</si>
  <si>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</si>
  <si>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</si>
  <si>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</si>
  <si>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</si>
  <si>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</si>
  <si>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</si>
  <si>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</si>
  <si>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</si>
  <si>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</si>
  <si>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</si>
  <si>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</si>
  <si>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</si>
  <si>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</si>
  <si>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</si>
  <si>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</si>
  <si>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</si>
  <si>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</si>
  <si>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</si>
  <si>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</si>
  <si>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</si>
  <si>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</si>
  <si>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</si>
  <si>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</si>
  <si>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</si>
  <si>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</si>
  <si>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</si>
  <si>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</si>
  <si>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</si>
  <si>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</si>
  <si>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</si>
  <si>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</si>
  <si>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</si>
  <si>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</si>
  <si>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</si>
  <si>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</si>
  <si>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</si>
  <si>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</si>
  <si>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</si>
  <si>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</si>
  <si>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</si>
  <si>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</si>
  <si>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</si>
  <si>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</si>
  <si>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</si>
  <si>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</si>
  <si>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</si>
  <si>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</si>
  <si>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</si>
  <si>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</si>
  <si>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</si>
  <si>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</si>
  <si>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</si>
  <si>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</si>
  <si>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</si>
  <si>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</si>
  <si>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</si>
  <si>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</si>
  <si>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</si>
  <si>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</si>
  <si>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</si>
  <si>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</si>
  <si>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</si>
  <si>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</si>
  <si>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</si>
  <si>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</si>
  <si>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</si>
  <si>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</si>
  <si>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</si>
  <si>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</si>
  <si>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</si>
  <si>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</si>
  <si>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</si>
  <si>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</si>
  <si>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</si>
  <si>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</si>
  <si>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</si>
  <si>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</si>
  <si>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</si>
  <si>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</si>
  <si>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</si>
  <si>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</si>
  <si>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</si>
  <si>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</si>
  <si>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</si>
  <si>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</si>
  <si>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</si>
  <si>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</si>
  <si>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</si>
  <si>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</si>
  <si>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</si>
  <si>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</si>
  <si>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</si>
  <si>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</si>
  <si>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</si>
  <si>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</si>
  <si>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</si>
  <si>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</si>
  <si>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</si>
  <si>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</si>
  <si>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</si>
  <si>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</si>
  <si>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</si>
  <si>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</si>
  <si>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</si>
  <si>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</si>
  <si>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</si>
  <si>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</si>
  <si>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</si>
  <si>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</si>
  <si>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</si>
  <si>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</si>
  <si>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</si>
  <si>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</si>
  <si>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</si>
  <si>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</si>
  <si>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</si>
  <si>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</si>
  <si>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</si>
  <si>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</si>
  <si>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</si>
  <si>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</si>
  <si>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</si>
  <si>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</si>
  <si>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</si>
  <si>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</si>
  <si>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</si>
  <si>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</si>
  <si>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</si>
  <si>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</si>
  <si>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</si>
  <si>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</si>
  <si>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</si>
  <si>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</si>
  <si>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</si>
  <si>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</si>
  <si>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</si>
  <si>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</si>
  <si>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</si>
  <si>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</si>
  <si>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</si>
  <si>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</si>
  <si>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</si>
  <si>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</si>
  <si>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</si>
  <si>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</si>
  <si>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</si>
  <si>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</si>
  <si>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</si>
  <si>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</si>
  <si>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</si>
  <si>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</si>
  <si>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</si>
  <si>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</si>
  <si>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</si>
  <si>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</si>
  <si>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</si>
  <si>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</si>
  <si>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</si>
  <si>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</si>
  <si>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</si>
  <si>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</si>
  <si>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</si>
  <si>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</si>
  <si>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</si>
  <si>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</si>
  <si>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</si>
  <si>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</si>
  <si>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</si>
  <si>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</si>
  <si>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</si>
  <si>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</si>
  <si>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</si>
  <si>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</si>
  <si>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</si>
  <si>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</si>
  <si>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</si>
  <si>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</si>
  <si>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</si>
  <si>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</si>
  <si>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</si>
  <si>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</si>
  <si>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</si>
  <si>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</si>
  <si>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</si>
  <si>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</si>
  <si>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</si>
  <si>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</si>
  <si>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</si>
  <si>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</si>
  <si>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</si>
  <si>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</si>
  <si>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</si>
  <si>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</si>
  <si>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</si>
  <si>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</si>
  <si>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</si>
  <si>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</si>
  <si>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</si>
  <si>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</si>
  <si>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</si>
  <si>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</si>
  <si>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</si>
  <si>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</si>
  <si>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</si>
  <si>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</si>
  <si>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</si>
  <si>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</si>
  <si>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</si>
  <si>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</si>
  <si>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</si>
  <si>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</si>
  <si>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</si>
  <si>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</si>
  <si>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</si>
  <si>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</si>
  <si>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</si>
  <si>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</si>
  <si>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</si>
  <si>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</si>
  <si>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</si>
  <si>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</si>
  <si>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</si>
  <si>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</si>
  <si>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</si>
  <si>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</si>
  <si>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</si>
  <si>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</si>
  <si>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</si>
  <si>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</si>
  <si>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</si>
  <si>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</si>
  <si>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</si>
  <si>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</si>
  <si>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</si>
  <si>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</si>
  <si>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</si>
  <si>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</si>
  <si>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</si>
  <si>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</si>
  <si>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</si>
  <si>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</si>
  <si>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</si>
  <si>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</si>
  <si>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</si>
  <si>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</si>
  <si>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</si>
  <si>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</si>
  <si>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</si>
  <si>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</si>
  <si>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</si>
  <si>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</si>
  <si>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</si>
  <si>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</si>
  <si>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</si>
  <si>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</si>
  <si>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</si>
  <si>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</si>
  <si>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</si>
  <si>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</si>
  <si>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</si>
  <si>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</si>
  <si>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</si>
  <si>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</si>
  <si>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</si>
  <si>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</si>
  <si>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</si>
  <si>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</si>
  <si>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</si>
  <si>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</si>
  <si>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</si>
  <si>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</si>
  <si>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</si>
  <si>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</si>
  <si>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</si>
  <si>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</si>
  <si>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</si>
  <si>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</si>
  <si>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</si>
  <si>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</si>
  <si>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</si>
  <si>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</si>
  <si>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</si>
  <si>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</si>
  <si>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</si>
  <si>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</si>
  <si>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</si>
  <si>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</si>
  <si>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</si>
  <si>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</si>
  <si>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</si>
  <si>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</si>
  <si>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</si>
  <si>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</si>
  <si>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</si>
  <si>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</si>
  <si>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Roosevelt Park Apartments</t>
  </si>
  <si>
    <t>Geoffrey Morgan</t>
  </si>
  <si>
    <t>President &amp; CEO</t>
  </si>
  <si>
    <t>San Jose</t>
  </si>
  <si>
    <t>, 2021 at</t>
  </si>
  <si>
    <t>City of San Jose</t>
  </si>
  <si>
    <t>Dave Sykes</t>
  </si>
  <si>
    <t>200 East Santa Clara Street</t>
  </si>
  <si>
    <t>408-535-8100</t>
  </si>
  <si>
    <t>408-920-7007</t>
  </si>
  <si>
    <t>dave.sykes@sanjoseca.gov</t>
  </si>
  <si>
    <t>CDLAC-TCAC Joint Application (submitting concurrently)</t>
  </si>
  <si>
    <t>21 N 21st Street</t>
  </si>
  <si>
    <t>467-12-001</t>
  </si>
  <si>
    <t>Low Resource</t>
  </si>
  <si>
    <t>40%/60%</t>
  </si>
  <si>
    <t>CA</t>
  </si>
  <si>
    <t>Ava Kuo</t>
  </si>
  <si>
    <t>408-291-8650</t>
  </si>
  <si>
    <t>avak@firsthousing.org</t>
  </si>
  <si>
    <t>First Community Housing</t>
  </si>
  <si>
    <t>21 N 21st Street, LLC</t>
  </si>
  <si>
    <t>Managing GP</t>
  </si>
  <si>
    <t>75 East Santa Clara Street, Suite 1300</t>
  </si>
  <si>
    <t>Sole member of General Partner</t>
  </si>
  <si>
    <t>75 E Santa Clara St, Ste 1300</t>
  </si>
  <si>
    <t>San Jose, CA  95113</t>
  </si>
  <si>
    <t>Office of Jerome King</t>
  </si>
  <si>
    <t>97 East St James Street</t>
  </si>
  <si>
    <t>San Jose, CA  95112</t>
  </si>
  <si>
    <t>408-295-2210</t>
  </si>
  <si>
    <t>Law Offices of Goldfarb &amp; Lipman</t>
  </si>
  <si>
    <t>1300 Clay Street, 11th Floor</t>
  </si>
  <si>
    <t>Oakland, CA  94612</t>
  </si>
  <si>
    <t>Jennifer Bell</t>
  </si>
  <si>
    <t>510-836-6336</t>
  </si>
  <si>
    <t>jbell@goldfarblipman.com</t>
  </si>
  <si>
    <t>Margaret Jung</t>
  </si>
  <si>
    <t>mjung@goldfarblipman.com</t>
  </si>
  <si>
    <t>Armanino LLP</t>
  </si>
  <si>
    <t>50 W San Fernando St, Ste 500</t>
  </si>
  <si>
    <t>Larry Kuechler</t>
  </si>
  <si>
    <t>408-494-1211</t>
  </si>
  <si>
    <t>larry.kuechler@armaninollp.com</t>
  </si>
  <si>
    <t>California Housing Partnership</t>
  </si>
  <si>
    <t>369 Pine Street, #300</t>
  </si>
  <si>
    <t>San Francisco, CA  94104</t>
  </si>
  <si>
    <t>Fillmore Group</t>
  </si>
  <si>
    <t>555 Meridian Avenue, Suite C</t>
  </si>
  <si>
    <t>San Jose, CA 95126</t>
  </si>
  <si>
    <t>Jeffrey Fillmore</t>
  </si>
  <si>
    <t>408-299-0444</t>
  </si>
  <si>
    <t>jfillmore@fillmoregroup.com</t>
  </si>
  <si>
    <t>Thornton Tomasetti</t>
  </si>
  <si>
    <t>650 California Street, Suite 1400</t>
  </si>
  <si>
    <t>San Francisco, CA  94108</t>
  </si>
  <si>
    <t>TBD</t>
  </si>
  <si>
    <t>Jerry King</t>
  </si>
  <si>
    <t>jerry@ojkarch.com</t>
  </si>
  <si>
    <t>James E Roberts-Obayashi Corp.</t>
  </si>
  <si>
    <t>20 Oak Court</t>
  </si>
  <si>
    <t>Danville, CA  94526</t>
  </si>
  <si>
    <t>Scott Smith</t>
  </si>
  <si>
    <t>925-272-0928</t>
  </si>
  <si>
    <t>scott@jerocorp.com</t>
  </si>
  <si>
    <t>510-433-6621</t>
  </si>
  <si>
    <t>Colin Schless</t>
  </si>
  <si>
    <t>978-501-2623</t>
  </si>
  <si>
    <t>cschless@ThorntonTomasetti.com</t>
  </si>
  <si>
    <t>Zorica Stancevic</t>
  </si>
  <si>
    <t>415-738-7793</t>
  </si>
  <si>
    <t>zstancevic@chpc.net</t>
  </si>
  <si>
    <t>Raney Planning &amp; Management, Inc.</t>
  </si>
  <si>
    <t>1501 Sports Drive, Suite A</t>
  </si>
  <si>
    <t>Sacramento, CA  95834</t>
  </si>
  <si>
    <t>Stefanie Williams</t>
  </si>
  <si>
    <t>916-372-6100</t>
  </si>
  <si>
    <t>swilliams@laurinassociates.com</t>
  </si>
  <si>
    <t>FPI Management</t>
  </si>
  <si>
    <t>800 Iron Point Road</t>
  </si>
  <si>
    <t>Folsom, CA  95630</t>
  </si>
  <si>
    <t>Curtis Tumbaga</t>
  </si>
  <si>
    <t>916-850-4457</t>
  </si>
  <si>
    <t>curtis.tumbaga@fpimgt.com</t>
  </si>
  <si>
    <t>AGV, LLC</t>
  </si>
  <si>
    <t>Managing Member</t>
  </si>
  <si>
    <t>Gongxin He</t>
  </si>
  <si>
    <t>County of Santa Clara</t>
  </si>
  <si>
    <t>Secured by Leasehold Interest</t>
  </si>
  <si>
    <t>Inner City Infill Site</t>
  </si>
  <si>
    <t>There will be 7,590 SF of commercial office space on the 9th floor. The ownership entity, 21 N 21st Street, LP will own the space and lease it to First Community Housing for its offices.</t>
  </si>
  <si>
    <t>City of San Jose Loan</t>
  </si>
  <si>
    <t>CA HCD AHSC Loan</t>
  </si>
  <si>
    <t>Citibank, N.A. - Tax-Exempt Loan</t>
  </si>
  <si>
    <t>Citibank, N.A. - Taxable Loan</t>
  </si>
  <si>
    <t>County of Santa Clara Loan</t>
  </si>
  <si>
    <t>CSJ - Accrued/Deferred Interest</t>
  </si>
  <si>
    <t>CSC-Accrued/Deferred Interest</t>
  </si>
  <si>
    <t>FHLB SF AHP</t>
  </si>
  <si>
    <t>General Partner Equity</t>
  </si>
  <si>
    <t>Limited Partner Equity</t>
  </si>
  <si>
    <t>Costs Deferred Until Conversion</t>
  </si>
  <si>
    <t>Variable</t>
  </si>
  <si>
    <t>Fixed</t>
  </si>
  <si>
    <t>200 E Santa Clara Street</t>
  </si>
  <si>
    <t>Jacky Morales-Ferrand</t>
  </si>
  <si>
    <t>408-535-3855</t>
  </si>
  <si>
    <t>Soft Loan</t>
  </si>
  <si>
    <t>2310 N First Street, Suite 201</t>
  </si>
  <si>
    <t>Eloiza Murillo-Garcia</t>
  </si>
  <si>
    <t>408-278-6400</t>
  </si>
  <si>
    <t>333 Bush Street, Suite 2700</t>
  </si>
  <si>
    <t>Robert Stegall</t>
  </si>
  <si>
    <t>415-616-2631</t>
  </si>
  <si>
    <t>300 South Grand Avenue, Suite 3110</t>
  </si>
  <si>
    <t>Sonia Rahm</t>
  </si>
  <si>
    <t>213-239-1726</t>
  </si>
  <si>
    <t>Tax-Exempt Construction Loan</t>
  </si>
  <si>
    <t>FHLB AHP Loan</t>
  </si>
  <si>
    <t>Taxble Construction Loan</t>
  </si>
  <si>
    <t>Accrued Interest</t>
  </si>
  <si>
    <t>Citibank, N.A. Permanent Loan</t>
  </si>
  <si>
    <t>CSC - Accrued/Deferred Interest</t>
  </si>
  <si>
    <t>CA HCD AHSC</t>
  </si>
  <si>
    <t>Tax-Exempt Permanent Loan</t>
  </si>
  <si>
    <t>75 E Santa Clara Street, Suite 1300</t>
  </si>
  <si>
    <t>Equity</t>
  </si>
  <si>
    <t>2020 W El Camino Avenue, Suite 600</t>
  </si>
  <si>
    <t>Alfredo Gutierrez</t>
  </si>
  <si>
    <t>916-263-2729</t>
  </si>
  <si>
    <t>Santa Clara County Housing Authority</t>
  </si>
  <si>
    <t>Miscellaneous Admin</t>
  </si>
  <si>
    <t>Payroll Taxes/Benefits</t>
  </si>
  <si>
    <t>Miscellaneous O&amp;M</t>
  </si>
  <si>
    <t>Miscellaneous Tax/License</t>
  </si>
  <si>
    <t>Interest</t>
  </si>
  <si>
    <t>AHSC</t>
  </si>
  <si>
    <t>FHLB - SF AHP</t>
  </si>
  <si>
    <t>Project-based vouchers (PBVs)</t>
  </si>
  <si>
    <t>Santa Clara Cty Hsg Authority</t>
  </si>
  <si>
    <t>HCD CA AHSC Interest Payment</t>
  </si>
  <si>
    <t>City of San Jose Issuer Fee</t>
  </si>
  <si>
    <t>Misc. Business Taxes/Fees:</t>
  </si>
  <si>
    <t>Above residual receipts line for cash flow</t>
  </si>
  <si>
    <t>Other:  GP/Sponsor Legal</t>
  </si>
  <si>
    <t>Not Applicable</t>
  </si>
  <si>
    <t>Provided</t>
  </si>
  <si>
    <t>February</t>
  </si>
  <si>
    <t xml:space="preserve"> 21 N 21st Street, LP &amp; First Community Housing</t>
  </si>
  <si>
    <t>Avi Meyers</t>
  </si>
  <si>
    <t>c/o Vivian Wang, 10105 S DeAnza Blvd, Cupertino, CA  95014</t>
  </si>
  <si>
    <t>415-515-6644</t>
  </si>
  <si>
    <t>C-P, no maximum density</t>
  </si>
  <si>
    <t>85 feet</t>
  </si>
  <si>
    <t>65 parking stalls</t>
  </si>
  <si>
    <t>Urban Village</t>
  </si>
  <si>
    <t>0 &amp; 1-BR: 0 spaces, 2 &amp; 3-BR: 0.25 spaces, commcl: 1/250 SF</t>
  </si>
  <si>
    <t>LIBOR</t>
  </si>
  <si>
    <t>Sec 8 PBV from Santa Clara County Housing Authority</t>
  </si>
  <si>
    <t>21 N 21st Street, LLC (First Community Housing)</t>
  </si>
  <si>
    <t>Santa Clara County</t>
  </si>
  <si>
    <t>2 bedroom</t>
  </si>
  <si>
    <t>3 bedroom</t>
  </si>
  <si>
    <t>First Community Housing &amp; Others</t>
  </si>
  <si>
    <t>The Health Trust</t>
  </si>
  <si>
    <t>Community building &amp; social activities</t>
  </si>
  <si>
    <t>0.34 FTE</t>
  </si>
  <si>
    <t>0.16 FTE</t>
  </si>
  <si>
    <t>84 hours</t>
  </si>
  <si>
    <t>Operations</t>
  </si>
  <si>
    <t>FHLB SF</t>
  </si>
  <si>
    <t>$500M</t>
  </si>
  <si>
    <t>Stephan Jackson</t>
  </si>
  <si>
    <t>stephan.jackson@sanjoseca.gov</t>
  </si>
  <si>
    <t>(See Attachment 00-B1 for signature)</t>
  </si>
  <si>
    <t>408-794-9914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</si>
</sst>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
      <sz val="10"/>
      <color rgb="FF000000"/>
      <name val="Arial"/>
      <family val="2"/>
    </font>
    <font>
      <b/>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bottom style="thin">
        <color auto="1"/>
      </bottom>
      <diagonal/>
    </border>
    <border>
      <left/>
      <right/>
      <top style="thin">
        <color auto="1"/>
      </top>
      <bottom style="thin">
        <color auto="1"/>
      </bottom>
      <diagonal/>
    </border>
  </borders>
  <cellStyleXfs count="17140">
    <xf numFmtId="0" fontId="0" fillId="0" borderId="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2" fillId="35"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4" fillId="37" borderId="18" applyNumberFormat="0" applyAlignment="0" applyProtection="0"/>
    <xf numFmtId="0" fontId="84" fillId="37" borderId="18" applyNumberFormat="0" applyAlignment="0" applyProtection="0"/>
    <xf numFmtId="0" fontId="85" fillId="38"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9"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40"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1"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21" fillId="0" borderId="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96" fillId="37" borderId="25" applyNumberFormat="0" applyAlignment="0" applyProtection="0"/>
    <xf numFmtId="0" fontId="96" fillId="37"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9" fontId="12" fillId="0" borderId="0" applyFont="0" applyFill="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3"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5"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106"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97" fillId="0" borderId="0" applyNumberForma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4" fontId="12" fillId="0" borderId="0" applyFont="0" applyFill="0" applyBorder="0" applyAlignment="0" applyProtection="0"/>
    <xf numFmtId="9" fontId="115" fillId="0" borderId="0" applyFont="0" applyFill="0" applyBorder="0" applyAlignment="0" applyProtection="0"/>
    <xf numFmtId="0" fontId="115"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4" fontId="168" fillId="0" borderId="0" applyFont="0" applyFill="0" applyBorder="0" applyAlignment="0" applyProtection="0"/>
    <xf numFmtId="43" fontId="168"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8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2" fillId="5" borderId="11" xfId="0" applyFont="1" applyFill="1" applyBorder="1" applyAlignment="1" applyProtection="1">
      <alignment horizontal="right" vertical="top" wrapText="1"/>
      <protection locked="0"/>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544" applyNumberFormat="1" applyFont="1" applyBorder="1" applyAlignment="1" applyProtection="1">
      <alignment horizontal="right" vertical="top" wrapText="1"/>
    </xf>
    <xf numFmtId="0" fontId="21" fillId="0" borderId="0" xfId="544" applyNumberFormat="1" applyFont="1" applyBorder="1" applyAlignment="1" applyProtection="1">
      <alignment horizontal="left" vertical="center"/>
    </xf>
    <xf numFmtId="0" fontId="21" fillId="0" borderId="0" xfId="544"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3" fontId="64" fillId="0" borderId="6" xfId="0" applyNumberFormat="1" applyFont="1" applyBorder="1"/>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0" fontId="17" fillId="0" borderId="11" xfId="253" applyFont="1" applyFill="1" applyBorder="1" applyAlignment="1" applyProtection="1">
      <alignment horizontal="center" wrapText="1"/>
      <protection locked="0"/>
    </xf>
    <xf numFmtId="168" fontId="17" fillId="0" borderId="0" xfId="271" applyNumberFormat="1" applyFont="1" applyBorder="1" applyProtection="1">
      <protection locked="0"/>
    </xf>
    <xf numFmtId="3" fontId="17" fillId="10" borderId="11" xfId="271" applyNumberFormat="1" applyFont="1" applyFill="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165" fontId="19" fillId="0" borderId="0" xfId="271" applyNumberFormat="1" applyFont="1" applyBorder="1" applyAlignment="1" applyProtection="1">
      <alignment horizontal="center"/>
    </xf>
    <xf numFmtId="0" fontId="19" fillId="0" borderId="0" xfId="271" applyFont="1" applyBorder="1" applyAlignment="1" applyProtection="1">
      <alignment horizontal="center"/>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3"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70" applyFont="1" applyBorder="1" applyAlignment="1" applyProtection="1">
      <alignment vertical="top" wrapText="1"/>
    </xf>
    <xf numFmtId="0" fontId="26" fillId="0" borderId="0" xfId="570" applyFont="1" applyBorder="1" applyAlignment="1" applyProtection="1">
      <alignment vertical="top" wrapText="1"/>
    </xf>
    <xf numFmtId="0" fontId="51" fillId="2" borderId="11" xfId="570" applyFont="1" applyFill="1" applyBorder="1" applyAlignment="1" applyProtection="1">
      <alignment horizontal="left" vertical="top" wrapText="1"/>
    </xf>
    <xf numFmtId="6" fontId="49" fillId="4" borderId="11" xfId="570" applyNumberFormat="1" applyFont="1" applyFill="1" applyBorder="1" applyAlignment="1" applyProtection="1">
      <alignmen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6" fontId="49" fillId="0" borderId="11" xfId="570" applyNumberFormat="1" applyFont="1" applyFill="1" applyBorder="1" applyAlignment="1" applyProtection="1">
      <alignment vertical="top" wrapText="1"/>
    </xf>
    <xf numFmtId="6" fontId="49" fillId="5" borderId="11" xfId="570" applyNumberFormat="1" applyFont="1" applyFill="1" applyBorder="1" applyAlignment="1" applyProtection="1">
      <alignment vertical="top" wrapText="1"/>
      <protection locked="0"/>
    </xf>
    <xf numFmtId="6" fontId="49" fillId="6" borderId="11" xfId="570" applyNumberFormat="1" applyFont="1" applyFill="1" applyBorder="1" applyAlignment="1" applyProtection="1">
      <alignment horizontal="center" vertical="top" wrapText="1"/>
    </xf>
    <xf numFmtId="0" fontId="49" fillId="0" borderId="11" xfId="570" applyFont="1" applyBorder="1" applyAlignment="1" applyProtection="1">
      <alignment horizontal="right" vertical="top" wrapText="1"/>
    </xf>
    <xf numFmtId="0" fontId="50" fillId="0" borderId="11" xfId="570" applyFont="1" applyBorder="1" applyAlignment="1" applyProtection="1">
      <alignment horizontal="right" vertical="top" wrapText="1"/>
    </xf>
    <xf numFmtId="0" fontId="49" fillId="0" borderId="11" xfId="570" applyFont="1" applyFill="1" applyBorder="1" applyAlignment="1" applyProtection="1">
      <alignment horizontal="right" vertical="top"/>
    </xf>
    <xf numFmtId="0" fontId="49" fillId="0" borderId="11" xfId="570" applyFont="1" applyFill="1" applyBorder="1" applyAlignment="1" applyProtection="1">
      <alignment horizontal="right" vertical="top" wrapText="1"/>
    </xf>
    <xf numFmtId="6" fontId="50" fillId="0" borderId="11" xfId="570" applyNumberFormat="1" applyFont="1" applyFill="1" applyBorder="1" applyAlignment="1" applyProtection="1">
      <alignment vertical="top" wrapText="1"/>
    </xf>
    <xf numFmtId="0" fontId="50" fillId="0" borderId="11" xfId="570" applyFont="1" applyFill="1" applyBorder="1" applyAlignment="1" applyProtection="1">
      <alignment horizontal="right" vertical="top" wrapText="1"/>
    </xf>
    <xf numFmtId="0" fontId="50" fillId="0" borderId="8" xfId="570" applyFont="1" applyBorder="1" applyAlignment="1" applyProtection="1">
      <alignment vertical="top" wrapText="1"/>
    </xf>
    <xf numFmtId="0" fontId="50" fillId="0" borderId="0" xfId="570" applyFont="1" applyBorder="1" applyAlignment="1" applyProtection="1">
      <alignment vertical="top" wrapText="1"/>
    </xf>
    <xf numFmtId="0" fontId="15" fillId="0" borderId="11" xfId="570" applyFont="1" applyBorder="1" applyAlignment="1" applyProtection="1">
      <alignment horizontal="right" vertical="top" wrapText="1"/>
    </xf>
    <xf numFmtId="0" fontId="50" fillId="0" borderId="0" xfId="570" applyFont="1" applyBorder="1" applyAlignment="1" applyProtection="1">
      <alignment horizontal="left" vertical="top"/>
    </xf>
    <xf numFmtId="6" fontId="49"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9" fillId="0" borderId="0" xfId="570" applyNumberFormat="1" applyFont="1" applyBorder="1" applyAlignment="1" applyProtection="1">
      <alignment vertical="top" wrapText="1"/>
    </xf>
    <xf numFmtId="6" fontId="50" fillId="0" borderId="11" xfId="570" applyNumberFormat="1" applyFont="1" applyBorder="1" applyAlignment="1" applyProtection="1">
      <alignment vertical="top" wrapText="1"/>
    </xf>
    <xf numFmtId="0" fontId="49" fillId="0" borderId="0" xfId="570" applyFont="1" applyBorder="1" applyAlignment="1" applyProtection="1">
      <alignment horizontal="left" vertical="top"/>
    </xf>
    <xf numFmtId="0" fontId="49" fillId="0" borderId="12" xfId="570" applyFont="1" applyBorder="1" applyAlignment="1" applyProtection="1">
      <alignment vertical="top" wrapText="1"/>
    </xf>
    <xf numFmtId="0" fontId="19"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60" fillId="0" borderId="0" xfId="570" applyFont="1" applyFill="1" applyBorder="1" applyAlignment="1" applyProtection="1">
      <alignment horizontal="left" vertical="center"/>
    </xf>
    <xf numFmtId="0" fontId="27" fillId="0" borderId="0" xfId="570" applyFont="1" applyFill="1" applyBorder="1" applyAlignment="1" applyProtection="1">
      <alignment vertical="top" wrapText="1"/>
    </xf>
    <xf numFmtId="0" fontId="27" fillId="0" borderId="0" xfId="570" applyFont="1" applyBorder="1" applyAlignment="1" applyProtection="1">
      <alignment vertical="top" wrapText="1"/>
    </xf>
    <xf numFmtId="0" fontId="27" fillId="0" borderId="12" xfId="570" applyFont="1" applyBorder="1" applyAlignment="1" applyProtection="1">
      <alignment vertical="top" wrapText="1"/>
    </xf>
    <xf numFmtId="0" fontId="27" fillId="0" borderId="8" xfId="570" applyFont="1" applyBorder="1" applyAlignment="1" applyProtection="1">
      <alignment vertical="top" wrapText="1"/>
    </xf>
    <xf numFmtId="0" fontId="49" fillId="0" borderId="0" xfId="570" applyFont="1" applyFill="1" applyBorder="1" applyAlignment="1" applyProtection="1">
      <alignment vertical="top"/>
    </xf>
    <xf numFmtId="0" fontId="49" fillId="0" borderId="0" xfId="570" applyFont="1" applyFill="1" applyBorder="1" applyAlignment="1" applyProtection="1">
      <alignment vertical="top" wrapText="1"/>
    </xf>
    <xf numFmtId="168" fontId="49" fillId="0" borderId="0" xfId="570" applyNumberFormat="1" applyFont="1" applyFill="1" applyBorder="1" applyAlignment="1" applyProtection="1">
      <alignment horizontal="right" vertical="top" wrapText="1"/>
      <protection locked="0"/>
    </xf>
    <xf numFmtId="0" fontId="12" fillId="0" borderId="0" xfId="570" applyFont="1" applyFill="1" applyBorder="1" applyAlignment="1" applyProtection="1">
      <alignment vertical="top" wrapText="1"/>
    </xf>
    <xf numFmtId="0" fontId="12" fillId="0" borderId="0" xfId="570" applyFont="1" applyFill="1" applyBorder="1" applyAlignment="1">
      <alignment vertical="top"/>
    </xf>
    <xf numFmtId="0" fontId="49" fillId="0" borderId="0" xfId="570" applyFont="1" applyFill="1" applyBorder="1" applyAlignment="1" applyProtection="1">
      <alignment horizontal="right" vertical="top" wrapText="1"/>
    </xf>
    <xf numFmtId="0" fontId="19" fillId="0" borderId="0" xfId="570" applyFont="1" applyFill="1" applyBorder="1" applyAlignment="1" applyProtection="1">
      <alignment horizontal="left" vertical="top" wrapText="1"/>
    </xf>
    <xf numFmtId="168" fontId="49" fillId="0" borderId="0" xfId="570" applyNumberFormat="1" applyFont="1" applyFill="1" applyBorder="1" applyAlignment="1" applyProtection="1">
      <alignment horizontal="right" vertical="top" wrapText="1"/>
    </xf>
    <xf numFmtId="0" fontId="12" fillId="0" borderId="0" xfId="570" applyFont="1" applyFill="1" applyBorder="1" applyAlignment="1" applyProtection="1">
      <alignment horizontal="left" vertical="top" wrapText="1"/>
      <protection locked="0"/>
    </xf>
    <xf numFmtId="0" fontId="12" fillId="0" borderId="0" xfId="570" applyFont="1" applyFill="1" applyBorder="1" applyAlignment="1" applyProtection="1">
      <alignment horizontal="right" vertical="top" wrapText="1"/>
    </xf>
    <xf numFmtId="0" fontId="12" fillId="0" borderId="0" xfId="570" applyFont="1" applyFill="1" applyBorder="1" applyAlignment="1" applyProtection="1">
      <alignment horizontal="left" vertical="top"/>
    </xf>
    <xf numFmtId="0" fontId="19" fillId="0" borderId="0" xfId="570" applyFont="1" applyFill="1" applyBorder="1" applyAlignment="1" applyProtection="1">
      <alignment horizontal="left" vertical="top"/>
    </xf>
    <xf numFmtId="0" fontId="77" fillId="0" borderId="0" xfId="570" applyFont="1" applyBorder="1" applyAlignment="1" applyProtection="1">
      <alignment vertical="top" wrapText="1"/>
    </xf>
    <xf numFmtId="0" fontId="77" fillId="0" borderId="12" xfId="570" applyFont="1" applyBorder="1" applyAlignment="1" applyProtection="1">
      <alignment vertical="top" wrapText="1"/>
    </xf>
    <xf numFmtId="0" fontId="77" fillId="0" borderId="8" xfId="570" applyFont="1" applyBorder="1" applyAlignment="1" applyProtection="1">
      <alignment vertical="top" wrapText="1"/>
    </xf>
    <xf numFmtId="0" fontId="26" fillId="0" borderId="0" xfId="570" applyFont="1" applyFill="1" applyBorder="1" applyAlignment="1" applyProtection="1">
      <alignment vertical="top" wrapText="1"/>
    </xf>
    <xf numFmtId="0" fontId="12" fillId="0" borderId="0" xfId="570" applyFont="1" applyBorder="1" applyAlignment="1" applyProtection="1">
      <alignment horizontal="right" vertical="top" wrapText="1"/>
    </xf>
    <xf numFmtId="0" fontId="12" fillId="0" borderId="0" xfId="570" applyFont="1" applyBorder="1" applyAlignment="1" applyProtection="1">
      <alignment vertical="top" wrapText="1"/>
    </xf>
    <xf numFmtId="0" fontId="26" fillId="0" borderId="0" xfId="570" applyFont="1" applyBorder="1" applyAlignment="1" applyProtection="1">
      <alignment horizontal="right" vertical="top" wrapText="1"/>
    </xf>
    <xf numFmtId="0" fontId="77" fillId="0" borderId="0" xfId="570" applyFont="1" applyBorder="1" applyAlignment="1" applyProtection="1">
      <alignment horizontal="right" vertical="top" wrapText="1"/>
    </xf>
    <xf numFmtId="0" fontId="50" fillId="0" borderId="3" xfId="570" applyFont="1" applyBorder="1" applyAlignment="1" applyProtection="1">
      <alignment horizontal="left"/>
    </xf>
    <xf numFmtId="0" fontId="50" fillId="0" borderId="13" xfId="570" applyFont="1" applyBorder="1" applyAlignment="1" applyProtection="1">
      <alignment horizontal="center" wrapText="1"/>
    </xf>
    <xf numFmtId="0" fontId="50" fillId="0" borderId="13" xfId="570" applyFont="1" applyFill="1" applyBorder="1" applyAlignment="1" applyProtection="1">
      <alignment horizontal="center" wrapText="1"/>
    </xf>
    <xf numFmtId="0" fontId="50" fillId="0" borderId="8" xfId="570" applyFont="1" applyBorder="1" applyAlignment="1" applyProtection="1">
      <alignment horizontal="center" wrapText="1"/>
    </xf>
    <xf numFmtId="0" fontId="50" fillId="0" borderId="0" xfId="570" applyFont="1" applyBorder="1" applyAlignment="1" applyProtection="1">
      <alignment horizontal="center" wrapText="1"/>
    </xf>
    <xf numFmtId="0" fontId="12" fillId="0" borderId="0" xfId="570" applyFont="1"/>
    <xf numFmtId="0" fontId="12" fillId="0" borderId="0" xfId="570"/>
    <xf numFmtId="0" fontId="12" fillId="0" borderId="0" xfId="570" applyFill="1"/>
    <xf numFmtId="0" fontId="12" fillId="0" borderId="0" xfId="570" applyBorder="1" applyProtection="1"/>
    <xf numFmtId="0" fontId="18" fillId="0" borderId="0" xfId="570" applyFont="1" applyFill="1" applyBorder="1" applyAlignment="1">
      <alignment horizontal="center" vertical="center"/>
    </xf>
    <xf numFmtId="0" fontId="12" fillId="0" borderId="0" xfId="570" applyFont="1" applyFill="1"/>
    <xf numFmtId="0" fontId="19" fillId="0" borderId="0" xfId="570" applyFont="1"/>
    <xf numFmtId="0" fontId="12" fillId="0" borderId="1" xfId="570" applyBorder="1"/>
    <xf numFmtId="0" fontId="12" fillId="0" borderId="2" xfId="570" applyBorder="1"/>
    <xf numFmtId="0" fontId="12" fillId="0" borderId="8" xfId="570" applyBorder="1"/>
    <xf numFmtId="0" fontId="12" fillId="0" borderId="0" xfId="570" applyBorder="1"/>
    <xf numFmtId="0" fontId="12" fillId="0" borderId="9" xfId="570" applyBorder="1"/>
    <xf numFmtId="0" fontId="12" fillId="0" borderId="6" xfId="570" applyBorder="1"/>
    <xf numFmtId="0" fontId="20" fillId="0" borderId="0" xfId="570" applyFont="1"/>
    <xf numFmtId="0" fontId="12" fillId="0" borderId="7" xfId="570" applyBorder="1"/>
    <xf numFmtId="0" fontId="12" fillId="0" borderId="12" xfId="570" applyBorder="1"/>
    <xf numFmtId="0" fontId="12" fillId="0" borderId="10" xfId="570" applyBorder="1"/>
    <xf numFmtId="0" fontId="20" fillId="0" borderId="0" xfId="570" applyNumberFormat="1" applyFont="1" applyAlignment="1">
      <alignment vertical="top" wrapText="1"/>
    </xf>
    <xf numFmtId="0" fontId="12" fillId="0" borderId="0" xfId="570" applyFill="1" applyAlignment="1">
      <alignment horizontal="right"/>
    </xf>
    <xf numFmtId="0" fontId="12" fillId="0" borderId="0" xfId="570" applyFill="1" applyBorder="1"/>
    <xf numFmtId="0" fontId="12" fillId="0" borderId="0" xfId="570" applyFont="1" applyBorder="1" applyAlignment="1">
      <alignment wrapText="1"/>
    </xf>
    <xf numFmtId="0" fontId="12" fillId="0" borderId="0" xfId="570" applyFont="1" applyFill="1" applyAlignment="1">
      <alignment vertical="center"/>
    </xf>
    <xf numFmtId="0" fontId="12" fillId="0" borderId="0" xfId="570" applyFill="1" applyAlignment="1">
      <alignment vertical="center"/>
    </xf>
    <xf numFmtId="0" fontId="36" fillId="0" borderId="0" xfId="570" applyFont="1" applyFill="1" applyBorder="1" applyAlignment="1">
      <alignment vertical="center" wrapText="1"/>
    </xf>
    <xf numFmtId="0" fontId="30" fillId="0" borderId="0" xfId="570" applyFont="1" applyAlignment="1">
      <alignment vertical="top" wrapText="1"/>
    </xf>
    <xf numFmtId="0" fontId="12" fillId="0" borderId="0" xfId="570" applyFill="1" applyAlignment="1">
      <alignment wrapText="1"/>
    </xf>
    <xf numFmtId="0" fontId="19" fillId="0" borderId="0" xfId="570" applyFont="1" applyFill="1"/>
    <xf numFmtId="0" fontId="19" fillId="0" borderId="0" xfId="570" applyFont="1" applyFill="1" applyAlignment="1">
      <alignment horizontal="left" vertical="top"/>
    </xf>
    <xf numFmtId="0" fontId="19" fillId="0" borderId="0" xfId="570" applyFont="1" applyFill="1" applyAlignment="1">
      <alignment vertical="top" wrapText="1"/>
    </xf>
    <xf numFmtId="0" fontId="19" fillId="0" borderId="0" xfId="570" applyFont="1" applyAlignment="1">
      <alignment vertical="top" wrapText="1"/>
    </xf>
    <xf numFmtId="0" fontId="20" fillId="0" borderId="0" xfId="570" applyFont="1" applyAlignment="1">
      <alignment horizontal="left" vertical="top" wrapText="1"/>
    </xf>
    <xf numFmtId="164" fontId="12" fillId="0" borderId="0" xfId="570" applyNumberFormat="1" applyFill="1" applyBorder="1" applyAlignment="1">
      <alignment horizontal="right"/>
    </xf>
    <xf numFmtId="0" fontId="49" fillId="0" borderId="0" xfId="570" applyFont="1" applyFill="1" applyBorder="1" applyAlignment="1">
      <alignment vertical="top" wrapText="1"/>
    </xf>
    <xf numFmtId="0" fontId="12" fillId="0" borderId="0" xfId="570" applyBorder="1" applyAlignment="1"/>
    <xf numFmtId="168" fontId="12"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9" fillId="0" borderId="0" xfId="570" applyFont="1" applyBorder="1"/>
    <xf numFmtId="168" fontId="12" fillId="0" borderId="0" xfId="570" applyNumberFormat="1" applyFill="1" applyBorder="1" applyAlignment="1">
      <alignment wrapText="1"/>
    </xf>
    <xf numFmtId="0" fontId="12" fillId="0" borderId="0" xfId="570"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3" fontId="17" fillId="10" borderId="11" xfId="271" applyNumberFormat="1" applyFont="1" applyFill="1" applyBorder="1" applyAlignment="1" applyProtection="1">
      <alignment horizontal="center"/>
      <protection locked="0"/>
    </xf>
    <xf numFmtId="0" fontId="49" fillId="0" borderId="0" xfId="570" applyFont="1" applyBorder="1" applyAlignment="1">
      <alignment horizontal="left"/>
    </xf>
    <xf numFmtId="0" fontId="12" fillId="0" borderId="3" xfId="570" applyBorder="1"/>
    <xf numFmtId="0" fontId="12" fillId="5" borderId="3" xfId="570" applyFill="1" applyBorder="1"/>
    <xf numFmtId="0" fontId="12" fillId="0" borderId="0" xfId="570"/>
    <xf numFmtId="0" fontId="12" fillId="0" borderId="0" xfId="570"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2"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70"/>
    <xf numFmtId="0" fontId="12" fillId="0" borderId="0" xfId="570" applyFont="1" applyFill="1"/>
    <xf numFmtId="4" fontId="12" fillId="0" borderId="0" xfId="1193"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70"/>
    <xf numFmtId="4" fontId="12" fillId="0" borderId="0" xfId="570" applyNumberFormat="1" applyFont="1" applyFill="1" applyAlignment="1" applyProtection="1">
      <alignment horizontal="left"/>
    </xf>
    <xf numFmtId="4" fontId="12" fillId="0" borderId="0" xfId="570" applyNumberFormat="1" applyFont="1" applyFill="1" applyAlignment="1" applyProtection="1">
      <alignment horizontal="left"/>
    </xf>
    <xf numFmtId="0" fontId="12" fillId="0" borderId="0" xfId="570" applyFont="1" applyAlignment="1">
      <alignment horizontal="left" vertical="top" wrapText="1"/>
    </xf>
    <xf numFmtId="0" fontId="12" fillId="0" borderId="0" xfId="570" applyFont="1" applyFill="1" applyAlignment="1">
      <alignment horizontal="left" vertical="top" wrapText="1"/>
    </xf>
    <xf numFmtId="0" fontId="12" fillId="0" borderId="0" xfId="570"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3" applyFont="1" applyFill="1" applyAlignment="1" applyProtection="1">
      <alignment horizontal="left"/>
    </xf>
    <xf numFmtId="0" fontId="12" fillId="0" borderId="0" xfId="1193" applyFont="1" applyFill="1" applyAlignment="1">
      <alignment horizontal="left"/>
    </xf>
    <xf numFmtId="0" fontId="12" fillId="0" borderId="0" xfId="0" applyFont="1" applyBorder="1" applyAlignment="1">
      <alignment horizontal="left"/>
    </xf>
    <xf numFmtId="0" fontId="19" fillId="0" borderId="0" xfId="570" applyFont="1" applyBorder="1" applyAlignment="1" applyProtection="1">
      <alignment horizontal="left"/>
    </xf>
    <xf numFmtId="0" fontId="12" fillId="0" borderId="0" xfId="0" applyFont="1" applyBorder="1" applyAlignment="1">
      <alignment horizontal="left" vertical="top" wrapText="1"/>
    </xf>
    <xf numFmtId="0" fontId="41" fillId="0" borderId="0" xfId="1193" applyFont="1"/>
    <xf numFmtId="0" fontId="49" fillId="0" borderId="11" xfId="0" applyFont="1" applyBorder="1" applyAlignment="1" applyProtection="1">
      <alignment horizontal="right" vertical="center"/>
    </xf>
    <xf numFmtId="0" fontId="49" fillId="0" borderId="11" xfId="570"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3"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70"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70" applyAlignment="1">
      <alignment wrapText="1"/>
    </xf>
    <xf numFmtId="0" fontId="12" fillId="0" borderId="0" xfId="1193" applyFont="1" applyAlignment="1"/>
    <xf numFmtId="0" fontId="12" fillId="0" borderId="0" xfId="570"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3" applyFont="1" applyAlignment="1">
      <alignment horizontal="left" vertical="top" wrapText="1"/>
    </xf>
    <xf numFmtId="4" fontId="12" fillId="0" borderId="0" xfId="570" applyNumberFormat="1" applyFont="1" applyFill="1" applyAlignment="1" applyProtection="1">
      <alignment horizontal="left"/>
    </xf>
    <xf numFmtId="0" fontId="12" fillId="0" borderId="0" xfId="570" applyFont="1" applyFill="1" applyAlignment="1">
      <alignment horizontal="left" vertical="top" wrapText="1"/>
    </xf>
    <xf numFmtId="0" fontId="13" fillId="0" borderId="0" xfId="244" quotePrefix="1" applyAlignment="1" applyProtection="1">
      <alignment horizontal="left"/>
    </xf>
    <xf numFmtId="4" fontId="12" fillId="0" borderId="0" xfId="1193" applyNumberFormat="1" applyFont="1" applyFill="1" applyAlignment="1" applyProtection="1">
      <alignment horizontal="left" vertical="top" wrapText="1"/>
    </xf>
    <xf numFmtId="0" fontId="12" fillId="0" borderId="0" xfId="570" applyFont="1" applyAlignment="1">
      <alignment horizontal="left" vertical="top" wrapText="1"/>
    </xf>
    <xf numFmtId="0" fontId="12" fillId="0" borderId="0" xfId="570" applyFont="1" applyAlignment="1">
      <alignment horizontal="left"/>
    </xf>
    <xf numFmtId="0" fontId="12" fillId="0" borderId="0" xfId="1193" applyFont="1" applyAlignment="1" applyProtection="1">
      <alignment horizontal="left"/>
    </xf>
    <xf numFmtId="0" fontId="12" fillId="0" borderId="0" xfId="1193" applyFont="1" applyFill="1" applyAlignment="1" applyProtection="1">
      <alignment horizontal="left"/>
    </xf>
    <xf numFmtId="0" fontId="12" fillId="0" borderId="0" xfId="570" applyFont="1" applyAlignment="1" applyProtection="1">
      <alignment horizontal="center"/>
    </xf>
    <xf numFmtId="0" fontId="12" fillId="0" borderId="0" xfId="570" applyFont="1" applyProtection="1"/>
    <xf numFmtId="0" fontId="12" fillId="0" borderId="0" xfId="570" applyProtection="1"/>
    <xf numFmtId="0" fontId="12" fillId="0" borderId="0" xfId="570" applyFill="1" applyProtection="1"/>
    <xf numFmtId="0" fontId="30" fillId="0" borderId="0" xfId="570" applyFont="1" applyAlignment="1" applyProtection="1">
      <alignment horizontal="left"/>
    </xf>
    <xf numFmtId="0" fontId="30" fillId="0" borderId="0" xfId="570" applyFont="1" applyAlignment="1" applyProtection="1">
      <alignment horizontal="center"/>
    </xf>
    <xf numFmtId="0" fontId="19" fillId="0" borderId="0" xfId="570" applyFont="1" applyProtection="1"/>
    <xf numFmtId="49" fontId="19" fillId="0" borderId="0" xfId="570" applyNumberFormat="1" applyFont="1" applyAlignment="1" applyProtection="1">
      <alignment horizontal="center"/>
    </xf>
    <xf numFmtId="0" fontId="12" fillId="0" borderId="0" xfId="1193" applyFont="1"/>
    <xf numFmtId="0" fontId="47" fillId="0" borderId="0" xfId="570" applyFont="1" applyAlignment="1" applyProtection="1">
      <alignment horizontal="center"/>
    </xf>
    <xf numFmtId="0" fontId="12" fillId="5" borderId="6" xfId="570" applyFill="1" applyBorder="1" applyAlignment="1" applyProtection="1">
      <protection locked="0"/>
    </xf>
    <xf numFmtId="49" fontId="19" fillId="0" borderId="0" xfId="570" applyNumberFormat="1" applyFont="1" applyAlignment="1">
      <alignment horizontal="center"/>
    </xf>
    <xf numFmtId="0" fontId="12" fillId="0" borderId="0" xfId="570" applyFont="1" applyAlignment="1" applyProtection="1">
      <alignment horizontal="left"/>
    </xf>
    <xf numFmtId="0" fontId="12" fillId="0" borderId="0" xfId="570" applyFont="1" applyFill="1" applyAlignment="1" applyProtection="1">
      <alignment horizontal="center"/>
    </xf>
    <xf numFmtId="0" fontId="12" fillId="0" borderId="0" xfId="570" applyFont="1" applyFill="1" applyProtection="1"/>
    <xf numFmtId="0" fontId="12" fillId="0" borderId="0" xfId="1193" applyFont="1" applyAlignment="1">
      <alignment horizontal="left"/>
    </xf>
    <xf numFmtId="0" fontId="12" fillId="0" borderId="0" xfId="570" applyFont="1" applyAlignment="1">
      <alignment horizontal="center"/>
    </xf>
    <xf numFmtId="0" fontId="47" fillId="0" borderId="0" xfId="570" applyFont="1" applyFill="1" applyAlignment="1" applyProtection="1">
      <alignment horizontal="center"/>
    </xf>
    <xf numFmtId="0" fontId="12" fillId="0" borderId="0" xfId="570" applyFont="1" applyFill="1" applyAlignment="1">
      <alignment horizontal="center"/>
    </xf>
    <xf numFmtId="0" fontId="13" fillId="0" borderId="0" xfId="244" applyFont="1" applyAlignment="1" applyProtection="1">
      <alignment horizontal="center"/>
    </xf>
    <xf numFmtId="49" fontId="12" fillId="0" borderId="0" xfId="570" applyNumberFormat="1" applyFont="1" applyAlignment="1">
      <alignment horizontal="center"/>
    </xf>
    <xf numFmtId="0" fontId="12" fillId="0" borderId="0" xfId="570" applyFont="1" applyAlignment="1" applyProtection="1">
      <alignment horizontal="center" vertical="center"/>
    </xf>
    <xf numFmtId="0" fontId="12" fillId="0" borderId="0" xfId="570" applyFont="1" applyAlignment="1">
      <alignment horizontal="center" vertical="center"/>
    </xf>
    <xf numFmtId="0" fontId="12" fillId="0" borderId="0" xfId="570" applyFont="1" applyAlignment="1">
      <alignment vertical="center"/>
    </xf>
    <xf numFmtId="0" fontId="12" fillId="0" borderId="0" xfId="570" applyAlignment="1">
      <alignment vertical="center"/>
    </xf>
    <xf numFmtId="0" fontId="12" fillId="0" borderId="0" xfId="1193" applyFont="1" applyAlignment="1" applyProtection="1">
      <alignment horizontal="center"/>
    </xf>
    <xf numFmtId="0" fontId="12" fillId="0" borderId="0" xfId="1193"/>
    <xf numFmtId="0" fontId="12" fillId="0" borderId="0" xfId="1193" applyFont="1" applyBorder="1"/>
    <xf numFmtId="0" fontId="19" fillId="0" borderId="0" xfId="570" applyFont="1" applyAlignment="1" applyProtection="1">
      <alignment horizontal="center"/>
    </xf>
    <xf numFmtId="0" fontId="19" fillId="0" borderId="0" xfId="570" applyFont="1" applyBorder="1" applyAlignment="1" applyProtection="1"/>
    <xf numFmtId="0" fontId="12" fillId="0" borderId="0" xfId="570" applyFont="1" applyBorder="1" applyAlignment="1" applyProtection="1">
      <alignment horizontal="center"/>
    </xf>
    <xf numFmtId="0" fontId="12" fillId="0" borderId="0" xfId="570" applyFont="1" applyBorder="1" applyProtection="1"/>
    <xf numFmtId="0" fontId="19" fillId="0" borderId="0" xfId="570" applyFont="1" applyBorder="1" applyProtection="1"/>
    <xf numFmtId="0" fontId="12" fillId="0" borderId="0" xfId="570" applyFont="1" applyAlignment="1" applyProtection="1">
      <alignment horizontal="left" indent="4"/>
    </xf>
    <xf numFmtId="0" fontId="12" fillId="0" borderId="0" xfId="570" quotePrefix="1" applyFont="1" applyAlignment="1" applyProtection="1">
      <alignment horizontal="left"/>
    </xf>
    <xf numFmtId="0" fontId="30" fillId="0" borderId="0" xfId="570" applyFont="1" applyProtection="1"/>
    <xf numFmtId="0" fontId="12" fillId="0" borderId="0" xfId="1193" applyFont="1" applyFill="1" applyAlignment="1" applyProtection="1">
      <alignment horizontal="left"/>
      <protection locked="0"/>
    </xf>
    <xf numFmtId="0" fontId="12" fillId="0" borderId="0" xfId="570" applyFont="1" applyFill="1" applyAlignment="1" applyProtection="1">
      <alignment horizontal="left"/>
      <protection locked="0"/>
    </xf>
    <xf numFmtId="0" fontId="12" fillId="0" borderId="0" xfId="1193" applyFont="1" applyFill="1" applyBorder="1" applyAlignment="1" applyProtection="1">
      <alignment horizontal="left"/>
    </xf>
    <xf numFmtId="49" fontId="12" fillId="0" borderId="0" xfId="1193" applyNumberFormat="1" applyAlignment="1">
      <alignment horizontal="center"/>
    </xf>
    <xf numFmtId="0" fontId="47" fillId="0" borderId="0" xfId="1193" applyFont="1" applyAlignment="1" applyProtection="1">
      <alignment horizontal="center"/>
    </xf>
    <xf numFmtId="49" fontId="12" fillId="0" borderId="0" xfId="570" applyNumberFormat="1" applyFont="1" applyAlignment="1" applyProtection="1">
      <alignment horizontal="center"/>
    </xf>
    <xf numFmtId="0" fontId="12" fillId="0" borderId="0" xfId="570" applyFont="1" applyAlignment="1" applyProtection="1"/>
    <xf numFmtId="0" fontId="12" fillId="0" borderId="0" xfId="570" applyAlignment="1" applyProtection="1"/>
    <xf numFmtId="0" fontId="12" fillId="0" borderId="0" xfId="570" applyFont="1" applyAlignment="1" applyProtection="1">
      <alignment horizontal="left" vertical="top" wrapText="1"/>
    </xf>
    <xf numFmtId="0" fontId="30" fillId="0" borderId="0" xfId="570" applyFont="1" applyFill="1" applyAlignment="1">
      <alignment horizontal="center"/>
    </xf>
    <xf numFmtId="0" fontId="19" fillId="0" borderId="0" xfId="1193" applyFont="1" applyFill="1" applyAlignment="1">
      <alignment horizontal="left"/>
    </xf>
    <xf numFmtId="49" fontId="19" fillId="0" borderId="0" xfId="570" applyNumberFormat="1" applyFont="1" applyFill="1" applyAlignment="1" applyProtection="1">
      <alignment horizontal="center"/>
    </xf>
    <xf numFmtId="0" fontId="19" fillId="0" borderId="0" xfId="570" applyFont="1" applyAlignment="1">
      <alignment horizontal="left"/>
    </xf>
    <xf numFmtId="0" fontId="19" fillId="0" borderId="0" xfId="570" applyFont="1" applyAlignment="1" applyProtection="1">
      <alignment horizontal="left"/>
    </xf>
    <xf numFmtId="4" fontId="12" fillId="0" borderId="0" xfId="1193" applyNumberFormat="1" applyFont="1" applyAlignment="1" applyProtection="1">
      <alignment horizontal="left"/>
    </xf>
    <xf numFmtId="0" fontId="30" fillId="0" borderId="0" xfId="570" applyFont="1" applyFill="1" applyAlignment="1" applyProtection="1">
      <alignment horizontal="center"/>
    </xf>
    <xf numFmtId="0" fontId="19" fillId="0" borderId="0" xfId="570" quotePrefix="1" applyFont="1" applyAlignment="1" applyProtection="1">
      <alignment horizontal="center"/>
    </xf>
    <xf numFmtId="0" fontId="30" fillId="0" borderId="0" xfId="570" applyFont="1" applyBorder="1" applyAlignment="1" applyProtection="1">
      <alignment horizontal="center"/>
    </xf>
    <xf numFmtId="0" fontId="12" fillId="0" borderId="0" xfId="570" applyFont="1" applyBorder="1" applyAlignment="1" applyProtection="1">
      <alignment horizontal="left"/>
    </xf>
    <xf numFmtId="49" fontId="12" fillId="0" borderId="0" xfId="570" applyNumberFormat="1" applyProtection="1"/>
    <xf numFmtId="0" fontId="44" fillId="0" borderId="0" xfId="570" applyFont="1" applyAlignment="1" applyProtection="1">
      <alignment horizontal="left"/>
    </xf>
    <xf numFmtId="0" fontId="12" fillId="0" borderId="0" xfId="570" applyFont="1" applyFill="1" applyBorder="1" applyProtection="1"/>
    <xf numFmtId="49" fontId="12" fillId="0" borderId="0" xfId="570" applyNumberFormat="1" applyFill="1" applyProtection="1"/>
    <xf numFmtId="0" fontId="12" fillId="0" borderId="0" xfId="570" applyFont="1" applyFill="1" applyAlignment="1" applyProtection="1">
      <alignment horizontal="left" vertical="top" wrapText="1"/>
    </xf>
    <xf numFmtId="49" fontId="12" fillId="0" borderId="0" xfId="570" applyNumberFormat="1" applyFont="1" applyProtection="1"/>
    <xf numFmtId="49" fontId="12" fillId="0" borderId="0" xfId="570" applyNumberFormat="1" applyFont="1" applyFill="1" applyProtection="1"/>
    <xf numFmtId="0" fontId="12" fillId="0" borderId="0" xfId="570" applyFont="1" applyFill="1" applyAlignment="1" applyProtection="1">
      <alignment horizontal="left"/>
    </xf>
    <xf numFmtId="4" fontId="47" fillId="0" borderId="0" xfId="570" applyNumberFormat="1" applyFont="1" applyAlignment="1" applyProtection="1">
      <alignment horizontal="center"/>
    </xf>
    <xf numFmtId="4" fontId="12" fillId="0" borderId="0" xfId="570" applyNumberFormat="1" applyFont="1" applyAlignment="1" applyProtection="1">
      <alignment horizontal="center"/>
    </xf>
    <xf numFmtId="4" fontId="12" fillId="0" borderId="0" xfId="570" applyNumberFormat="1" applyFont="1" applyProtection="1"/>
    <xf numFmtId="4" fontId="12" fillId="0" borderId="0" xfId="570" applyNumberFormat="1" applyFill="1" applyProtection="1"/>
    <xf numFmtId="0" fontId="30" fillId="0" borderId="0" xfId="570" applyFont="1" applyFill="1" applyAlignment="1">
      <alignment horizontal="left"/>
    </xf>
    <xf numFmtId="0" fontId="42" fillId="0" borderId="0" xfId="570"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5"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70" applyFont="1" applyBorder="1" applyAlignment="1">
      <alignment horizontal="left"/>
    </xf>
    <xf numFmtId="0" fontId="100" fillId="0" borderId="0" xfId="0" applyFont="1" applyBorder="1"/>
    <xf numFmtId="0" fontId="12"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2" fillId="0" borderId="0" xfId="570"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70"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70" applyFont="1" applyBorder="1" applyAlignment="1">
      <alignment horizontal="left" vertical="top" wrapText="1"/>
    </xf>
    <xf numFmtId="4" fontId="12" fillId="0" borderId="0" xfId="1193" applyNumberFormat="1" applyFont="1" applyFill="1" applyAlignment="1" applyProtection="1">
      <alignment vertical="top" wrapText="1"/>
    </xf>
    <xf numFmtId="0" fontId="19" fillId="0" borderId="16" xfId="271" applyFont="1" applyFill="1" applyBorder="1" applyAlignment="1" applyProtection="1"/>
    <xf numFmtId="0" fontId="56" fillId="0" borderId="0" xfId="570" applyFont="1" applyProtection="1"/>
    <xf numFmtId="0" fontId="36" fillId="0" borderId="0" xfId="570"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70" applyFont="1" applyBorder="1" applyAlignment="1">
      <alignment vertical="top" wrapText="1"/>
    </xf>
    <xf numFmtId="0" fontId="12" fillId="0" borderId="0" xfId="570" applyFont="1" applyBorder="1" applyAlignment="1">
      <alignment vertical="top"/>
    </xf>
    <xf numFmtId="0" fontId="0" fillId="0" borderId="0" xfId="0" applyAlignment="1" applyProtection="1"/>
    <xf numFmtId="0" fontId="12" fillId="0" borderId="0" xfId="1193" applyFont="1" applyFill="1" applyBorder="1" applyAlignment="1" applyProtection="1">
      <alignment horizontal="left" vertical="top" wrapText="1"/>
    </xf>
    <xf numFmtId="0" fontId="12" fillId="0" borderId="0" xfId="1193" applyFont="1" applyAlignment="1" applyProtection="1">
      <alignment vertical="top" wrapText="1"/>
    </xf>
    <xf numFmtId="49" fontId="12" fillId="0" borderId="0" xfId="1193"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2"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2" fillId="0" borderId="0" xfId="1193" applyFont="1" applyAlignment="1" applyProtection="1">
      <alignment horizontal="left"/>
    </xf>
    <xf numFmtId="172" fontId="12" fillId="0" borderId="8" xfId="543" applyNumberFormat="1" applyFont="1" applyBorder="1" applyProtection="1"/>
    <xf numFmtId="0" fontId="12" fillId="0" borderId="8" xfId="4496" applyFont="1" applyBorder="1" applyProtection="1"/>
    <xf numFmtId="0" fontId="12" fillId="0" borderId="0" xfId="4496" applyFont="1" applyProtection="1"/>
    <xf numFmtId="0" fontId="18" fillId="0" borderId="0" xfId="4496" applyFont="1" applyFill="1" applyBorder="1" applyAlignment="1" applyProtection="1">
      <alignment horizontal="center" vertical="center"/>
    </xf>
    <xf numFmtId="0" fontId="12" fillId="0" borderId="8" xfId="4496" applyFont="1" applyFill="1" applyBorder="1" applyProtection="1"/>
    <xf numFmtId="0" fontId="12" fillId="0" borderId="0" xfId="4496" applyFont="1" applyFill="1" applyProtection="1"/>
    <xf numFmtId="0" fontId="19" fillId="0" borderId="0" xfId="4496" applyFont="1" applyAlignment="1" applyProtection="1">
      <alignment horizontal="left"/>
    </xf>
    <xf numFmtId="0" fontId="19" fillId="0" borderId="0" xfId="4496" applyFont="1" applyProtection="1"/>
    <xf numFmtId="0" fontId="22" fillId="0" borderId="0" xfId="4496" applyFont="1" applyFill="1" applyBorder="1" applyAlignment="1" applyProtection="1">
      <alignment horizontal="center" vertical="center"/>
    </xf>
    <xf numFmtId="0" fontId="22" fillId="0" borderId="27" xfId="4496" applyFont="1" applyFill="1" applyBorder="1" applyAlignment="1" applyProtection="1">
      <alignment horizontal="center" vertical="center"/>
    </xf>
    <xf numFmtId="0" fontId="22" fillId="0" borderId="46" xfId="4496" applyFont="1" applyFill="1" applyBorder="1" applyAlignment="1" applyProtection="1">
      <alignment horizontal="center" vertical="center"/>
    </xf>
    <xf numFmtId="0" fontId="19" fillId="0" borderId="0" xfId="4496" applyFont="1" applyAlignment="1" applyProtection="1">
      <alignment horizontal="right"/>
    </xf>
    <xf numFmtId="0" fontId="30" fillId="0" borderId="0" xfId="4496" applyFont="1" applyFill="1" applyBorder="1" applyAlignment="1" applyProtection="1">
      <alignment horizontal="left" vertical="center"/>
    </xf>
    <xf numFmtId="0" fontId="12" fillId="0" borderId="0" xfId="1193" quotePrefix="1" applyNumberFormat="1" applyFont="1" applyAlignment="1" applyProtection="1">
      <alignment horizontal="center"/>
    </xf>
    <xf numFmtId="0" fontId="42" fillId="0" borderId="0" xfId="4496" applyFont="1" applyFill="1" applyBorder="1" applyAlignment="1" applyProtection="1">
      <alignment horizontal="left" vertical="center"/>
    </xf>
    <xf numFmtId="49" fontId="20" fillId="0" borderId="0" xfId="4496" applyNumberFormat="1" applyFont="1" applyFill="1" applyBorder="1" applyAlignment="1" applyProtection="1">
      <alignment horizontal="left" vertical="top"/>
    </xf>
    <xf numFmtId="0" fontId="12" fillId="0" borderId="47" xfId="4496" applyFont="1" applyFill="1" applyBorder="1" applyAlignment="1" applyProtection="1">
      <alignment horizontal="left" vertical="center"/>
    </xf>
    <xf numFmtId="0" fontId="22" fillId="0" borderId="48" xfId="4496" applyFont="1" applyFill="1" applyBorder="1" applyAlignment="1" applyProtection="1">
      <alignment horizontal="center" vertical="center"/>
    </xf>
    <xf numFmtId="0" fontId="20" fillId="0" borderId="0" xfId="4496" applyFont="1" applyProtection="1"/>
    <xf numFmtId="0" fontId="20"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2"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2" fillId="0" borderId="0" xfId="4497" applyFont="1" applyAlignment="1">
      <alignment vertical="center"/>
    </xf>
    <xf numFmtId="0" fontId="19" fillId="0" borderId="0" xfId="4496" applyFont="1" applyFill="1" applyProtection="1"/>
    <xf numFmtId="0" fontId="20" fillId="0" borderId="3" xfId="4496" applyFont="1" applyFill="1" applyBorder="1" applyAlignment="1" applyProtection="1">
      <alignment vertical="top" wrapText="1"/>
    </xf>
    <xf numFmtId="0" fontId="20"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20" fillId="0" borderId="4" xfId="4496" applyFont="1" applyFill="1" applyBorder="1" applyAlignment="1" applyProtection="1"/>
    <xf numFmtId="0" fontId="19" fillId="0" borderId="5" xfId="4496" applyFont="1" applyFill="1" applyBorder="1" applyAlignment="1" applyProtection="1">
      <alignment horizontal="right"/>
    </xf>
    <xf numFmtId="0" fontId="12" fillId="0" borderId="16" xfId="4496" applyFont="1" applyFill="1" applyBorder="1" applyAlignment="1" applyProtection="1"/>
    <xf numFmtId="0" fontId="12" fillId="0" borderId="16" xfId="4496" applyFont="1" applyFill="1" applyBorder="1" applyAlignment="1" applyProtection="1">
      <alignment horizontal="left" vertical="top"/>
    </xf>
    <xf numFmtId="0" fontId="20" fillId="0" borderId="16" xfId="4496" applyFont="1" applyFill="1" applyBorder="1" applyAlignment="1" applyProtection="1">
      <alignment horizontal="left" vertical="top" wrapText="1"/>
    </xf>
    <xf numFmtId="0" fontId="20" fillId="0" borderId="45" xfId="4496" applyFont="1" applyFill="1" applyBorder="1" applyAlignment="1" applyProtection="1">
      <alignment horizontal="left" vertical="top" wrapText="1"/>
    </xf>
    <xf numFmtId="0" fontId="115" fillId="0" borderId="0" xfId="4496"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6" applyFont="1" applyFill="1" applyBorder="1" applyAlignment="1" applyProtection="1">
      <alignment horizontal="left" vertical="top" wrapText="1"/>
    </xf>
    <xf numFmtId="0" fontId="20" fillId="0" borderId="0" xfId="4496" applyFont="1" applyAlignment="1" applyProtection="1">
      <alignment horizontal="right" vertical="top"/>
    </xf>
    <xf numFmtId="0" fontId="12"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9" fillId="0" borderId="57" xfId="4496" applyFont="1" applyBorder="1" applyProtection="1"/>
    <xf numFmtId="0" fontId="19" fillId="0" borderId="58" xfId="4496" applyFont="1" applyBorder="1" applyProtection="1"/>
    <xf numFmtId="0" fontId="19" fillId="0" borderId="58" xfId="4496" applyFont="1" applyBorder="1" applyAlignment="1" applyProtection="1">
      <alignment horizontal="right"/>
    </xf>
    <xf numFmtId="0" fontId="19"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2" fillId="0" borderId="57" xfId="4496" applyFont="1" applyFill="1" applyBorder="1" applyAlignment="1" applyProtection="1">
      <alignment horizontal="center" vertical="center"/>
    </xf>
    <xf numFmtId="0" fontId="22" fillId="0" borderId="58" xfId="4496" applyFont="1" applyFill="1" applyBorder="1" applyAlignment="1" applyProtection="1">
      <alignment horizontal="center" vertical="center"/>
    </xf>
    <xf numFmtId="0" fontId="22" fillId="0" borderId="59" xfId="4496" applyFont="1" applyFill="1" applyBorder="1" applyAlignment="1" applyProtection="1">
      <alignment horizontal="center" vertical="center"/>
    </xf>
    <xf numFmtId="0" fontId="19" fillId="0" borderId="0" xfId="4496" applyFont="1" applyAlignment="1" applyProtection="1">
      <alignment horizontal="center"/>
    </xf>
    <xf numFmtId="0" fontId="19" fillId="0" borderId="0" xfId="4496" applyFont="1" applyFill="1" applyBorder="1" applyProtection="1"/>
    <xf numFmtId="0" fontId="19" fillId="0" borderId="8" xfId="4496" applyFont="1" applyBorder="1" applyProtection="1"/>
    <xf numFmtId="0" fontId="19" fillId="0" borderId="0" xfId="4496" applyFont="1" applyFill="1" applyBorder="1" applyAlignment="1" applyProtection="1">
      <alignment horizontal="left"/>
    </xf>
    <xf numFmtId="0" fontId="20" fillId="0" borderId="0" xfId="4496" applyFont="1" applyFill="1" applyBorder="1" applyAlignment="1" applyProtection="1">
      <alignment horizontal="left"/>
    </xf>
    <xf numFmtId="0" fontId="19" fillId="0" borderId="0" xfId="4496" applyFont="1" applyFill="1" applyBorder="1" applyAlignment="1" applyProtection="1">
      <alignment horizontal="center" vertical="top"/>
    </xf>
    <xf numFmtId="0" fontId="12" fillId="0" borderId="0" xfId="4496" applyFont="1" applyBorder="1" applyProtection="1"/>
    <xf numFmtId="0" fontId="12" fillId="0" borderId="0" xfId="4496" applyNumberFormat="1" applyFont="1" applyAlignment="1" applyProtection="1">
      <alignment horizontal="center"/>
    </xf>
    <xf numFmtId="0" fontId="28" fillId="0" borderId="0" xfId="4496" applyFont="1" applyProtection="1"/>
    <xf numFmtId="0" fontId="12" fillId="0" borderId="0" xfId="1193" applyFont="1" applyBorder="1" applyProtection="1"/>
    <xf numFmtId="0" fontId="12" fillId="0" borderId="0" xfId="1193" applyNumberFormat="1" applyFont="1" applyAlignment="1" applyProtection="1">
      <alignment horizontal="center"/>
    </xf>
    <xf numFmtId="0" fontId="19" fillId="0" borderId="0" xfId="4496" applyFont="1" applyFill="1" applyAlignment="1" applyProtection="1">
      <alignment horizontal="left"/>
    </xf>
    <xf numFmtId="0" fontId="19" fillId="0" borderId="0" xfId="4496" applyFont="1" applyFill="1" applyAlignment="1" applyProtection="1">
      <alignment horizontal="center"/>
    </xf>
    <xf numFmtId="0" fontId="12" fillId="0" borderId="0" xfId="1193" applyFont="1" applyProtection="1"/>
    <xf numFmtId="0" fontId="28" fillId="0" borderId="0" xfId="4496" applyFont="1" applyFill="1" applyBorder="1" applyAlignment="1" applyProtection="1"/>
    <xf numFmtId="0" fontId="20" fillId="0" borderId="8" xfId="4496" applyFont="1" applyBorder="1" applyProtection="1"/>
    <xf numFmtId="0" fontId="20" fillId="0" borderId="8" xfId="4496" applyFont="1" applyFill="1" applyBorder="1" applyProtection="1"/>
    <xf numFmtId="0" fontId="20" fillId="0" borderId="0" xfId="4496" applyFont="1" applyFill="1" applyProtection="1"/>
    <xf numFmtId="0" fontId="49" fillId="0" borderId="8" xfId="4496" applyFont="1" applyFill="1" applyBorder="1" applyAlignment="1" applyProtection="1"/>
    <xf numFmtId="0" fontId="12" fillId="0" borderId="0" xfId="1193" applyFont="1" applyFill="1" applyProtection="1"/>
    <xf numFmtId="0" fontId="12" fillId="0" borderId="0" xfId="4496" applyFont="1" applyFill="1" applyBorder="1" applyAlignment="1" applyProtection="1">
      <alignment horizontal="center"/>
    </xf>
    <xf numFmtId="0" fontId="12" fillId="0" borderId="0" xfId="4496" applyFont="1" applyFill="1" applyBorder="1" applyProtection="1"/>
    <xf numFmtId="1" fontId="12" fillId="0" borderId="0" xfId="1193" applyNumberFormat="1" applyFont="1" applyProtection="1"/>
    <xf numFmtId="0" fontId="12" fillId="0" borderId="3" xfId="4496" applyFont="1" applyFill="1" applyBorder="1" applyProtection="1"/>
    <xf numFmtId="0" fontId="12" fillId="0" borderId="4" xfId="4496" applyFont="1" applyFill="1" applyBorder="1" applyProtection="1"/>
    <xf numFmtId="0" fontId="12" fillId="0" borderId="0" xfId="4496" applyNumberFormat="1" applyFont="1" applyFill="1" applyBorder="1" applyAlignment="1" applyProtection="1">
      <alignment horizontal="center"/>
    </xf>
    <xf numFmtId="0" fontId="12" fillId="0" borderId="0" xfId="1193" applyFont="1" applyAlignment="1" applyProtection="1">
      <alignment wrapText="1"/>
    </xf>
    <xf numFmtId="0" fontId="19" fillId="0" borderId="0" xfId="4496" applyFont="1" applyFill="1" applyBorder="1" applyAlignment="1" applyProtection="1"/>
    <xf numFmtId="0" fontId="20" fillId="0" borderId="0" xfId="4496" applyNumberFormat="1" applyFont="1" applyAlignment="1" applyProtection="1">
      <alignment vertical="top" wrapText="1"/>
    </xf>
    <xf numFmtId="0" fontId="20" fillId="0" borderId="0" xfId="1193" applyFont="1" applyProtection="1"/>
    <xf numFmtId="0" fontId="20" fillId="0" borderId="0" xfId="4496" applyNumberFormat="1" applyFont="1" applyFill="1" applyAlignment="1" applyProtection="1">
      <alignment vertical="top" wrapText="1"/>
    </xf>
    <xf numFmtId="0" fontId="12" fillId="0" borderId="0" xfId="4496" applyFont="1" applyFill="1" applyBorder="1" applyAlignment="1" applyProtection="1">
      <alignment horizontal="left"/>
    </xf>
    <xf numFmtId="0" fontId="20" fillId="0" borderId="3" xfId="4496" applyFont="1" applyFill="1" applyBorder="1" applyProtection="1"/>
    <xf numFmtId="0" fontId="20" fillId="0" borderId="4" xfId="4496" applyFont="1" applyFill="1" applyBorder="1" applyProtection="1"/>
    <xf numFmtId="0" fontId="12" fillId="0" borderId="4" xfId="4496" applyFont="1" applyFill="1" applyBorder="1" applyAlignment="1" applyProtection="1"/>
    <xf numFmtId="0" fontId="12" fillId="0" borderId="4" xfId="4496" applyFont="1" applyFill="1" applyBorder="1" applyAlignment="1" applyProtection="1">
      <alignment horizontal="right"/>
    </xf>
    <xf numFmtId="1" fontId="12" fillId="0" borderId="0" xfId="4496" applyNumberFormat="1" applyFont="1" applyFill="1" applyBorder="1" applyAlignment="1" applyProtection="1">
      <alignment horizontal="center"/>
    </xf>
    <xf numFmtId="0" fontId="49" fillId="0" borderId="0" xfId="4496" applyFont="1" applyFill="1" applyBorder="1" applyAlignment="1" applyProtection="1"/>
    <xf numFmtId="0" fontId="12" fillId="0" borderId="0" xfId="4496" applyFont="1" applyFill="1" applyBorder="1" applyAlignment="1" applyProtection="1"/>
    <xf numFmtId="0" fontId="12" fillId="0" borderId="0" xfId="4496" applyFont="1" applyFill="1" applyBorder="1" applyAlignment="1" applyProtection="1">
      <alignment horizontal="right"/>
    </xf>
    <xf numFmtId="0" fontId="20" fillId="0" borderId="0" xfId="4496" applyFont="1" applyBorder="1" applyProtection="1"/>
    <xf numFmtId="0" fontId="20" fillId="0" borderId="0" xfId="4496" applyFont="1" applyFill="1" applyBorder="1" applyProtection="1"/>
    <xf numFmtId="0" fontId="20" fillId="0" borderId="0" xfId="4496" applyFont="1" applyFill="1" applyBorder="1" applyAlignment="1" applyProtection="1">
      <alignment vertical="top" wrapText="1"/>
    </xf>
    <xf numFmtId="0" fontId="20" fillId="0" borderId="0" xfId="4496" applyNumberFormat="1" applyFont="1" applyFill="1" applyBorder="1" applyAlignment="1" applyProtection="1">
      <alignment vertical="top"/>
    </xf>
    <xf numFmtId="0" fontId="20" fillId="0" borderId="27" xfId="4496" applyFont="1" applyFill="1" applyBorder="1" applyProtection="1"/>
    <xf numFmtId="0" fontId="20" fillId="0" borderId="27" xfId="4496" applyFont="1" applyBorder="1" applyProtection="1"/>
    <xf numFmtId="0" fontId="19" fillId="0" borderId="0" xfId="4496" applyFont="1" applyFill="1" applyBorder="1" applyAlignment="1" applyProtection="1">
      <alignment vertical="top"/>
    </xf>
    <xf numFmtId="0" fontId="30" fillId="0" borderId="0" xfId="4496" applyFont="1" applyFill="1" applyBorder="1" applyAlignment="1" applyProtection="1">
      <alignment vertical="top" wrapText="1"/>
    </xf>
    <xf numFmtId="0" fontId="19"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2" fillId="0" borderId="0" xfId="4496" applyFont="1" applyFill="1" applyBorder="1" applyAlignment="1" applyProtection="1">
      <alignment horizontal="left" vertical="top"/>
    </xf>
    <xf numFmtId="0" fontId="30"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2" fillId="0" borderId="10" xfId="4496" applyFont="1" applyFill="1" applyBorder="1" applyAlignment="1" applyProtection="1">
      <alignment horizontal="center"/>
    </xf>
    <xf numFmtId="0" fontId="12" fillId="0" borderId="8" xfId="4496" applyFont="1" applyFill="1" applyBorder="1" applyAlignment="1" applyProtection="1"/>
    <xf numFmtId="0" fontId="12" fillId="0" borderId="16" xfId="4496" applyFont="1" applyFill="1" applyBorder="1" applyAlignment="1" applyProtection="1">
      <alignment horizontal="center"/>
    </xf>
    <xf numFmtId="0" fontId="28" fillId="0" borderId="16" xfId="4496" applyFont="1" applyFill="1" applyBorder="1" applyAlignment="1" applyProtection="1"/>
    <xf numFmtId="0" fontId="20" fillId="0" borderId="16" xfId="4496" applyFont="1" applyFill="1" applyBorder="1" applyAlignment="1" applyProtection="1"/>
    <xf numFmtId="0" fontId="20" fillId="0" borderId="16" xfId="4496" applyFont="1" applyFill="1" applyBorder="1" applyProtection="1"/>
    <xf numFmtId="0" fontId="20" fillId="0" borderId="16" xfId="4496" applyFont="1" applyBorder="1" applyProtection="1"/>
    <xf numFmtId="0" fontId="12" fillId="0" borderId="0" xfId="4497" applyFont="1" applyAlignment="1" applyProtection="1">
      <alignment vertical="top" wrapText="1"/>
    </xf>
    <xf numFmtId="0" fontId="19" fillId="0" borderId="0" xfId="1193" applyFont="1" applyAlignment="1" applyProtection="1">
      <alignment horizontal="right"/>
    </xf>
    <xf numFmtId="0" fontId="19" fillId="0" borderId="0" xfId="1193" applyFont="1" applyFill="1" applyAlignment="1" applyProtection="1">
      <alignment horizontal="right"/>
    </xf>
    <xf numFmtId="0" fontId="12" fillId="0" borderId="0" xfId="4497" applyFont="1" applyProtection="1"/>
    <xf numFmtId="0" fontId="12" fillId="0" borderId="0" xfId="4497" applyFont="1" applyAlignment="1" applyProtection="1">
      <alignment horizontal="left"/>
    </xf>
    <xf numFmtId="0" fontId="12" fillId="0" borderId="0" xfId="4497" applyFont="1" applyAlignment="1" applyProtection="1">
      <alignment horizontal="right"/>
    </xf>
    <xf numFmtId="0" fontId="20" fillId="0" borderId="0" xfId="4497" applyFont="1" applyAlignment="1" applyProtection="1">
      <alignment vertical="top" wrapText="1"/>
    </xf>
    <xf numFmtId="0" fontId="12" fillId="0" borderId="4" xfId="4497" applyFont="1" applyFill="1" applyBorder="1" applyProtection="1"/>
    <xf numFmtId="0" fontId="19" fillId="0" borderId="4" xfId="4497" applyFont="1" applyFill="1" applyBorder="1" applyAlignment="1" applyProtection="1">
      <alignment horizontal="right"/>
    </xf>
    <xf numFmtId="0" fontId="20" fillId="0" borderId="27" xfId="4496" applyFont="1" applyFill="1" applyBorder="1" applyAlignment="1" applyProtection="1"/>
    <xf numFmtId="0" fontId="20" fillId="0" borderId="27" xfId="4496" applyFont="1" applyFill="1" applyBorder="1" applyAlignment="1" applyProtection="1">
      <alignment horizontal="left" vertical="top"/>
    </xf>
    <xf numFmtId="0" fontId="12" fillId="0" borderId="27" xfId="4496" applyFont="1" applyFill="1" applyBorder="1" applyAlignment="1" applyProtection="1">
      <alignment horizontal="left" vertical="top"/>
    </xf>
    <xf numFmtId="0" fontId="19" fillId="0" borderId="27" xfId="4496" applyFont="1" applyFill="1" applyBorder="1" applyAlignment="1" applyProtection="1">
      <alignment horizontal="right"/>
    </xf>
    <xf numFmtId="0" fontId="12" fillId="0" borderId="27" xfId="4496" applyFont="1" applyFill="1" applyBorder="1" applyAlignment="1" applyProtection="1">
      <alignment horizontal="center"/>
    </xf>
    <xf numFmtId="0" fontId="12" fillId="0" borderId="46" xfId="4496" applyFont="1" applyFill="1" applyBorder="1" applyAlignment="1" applyProtection="1">
      <alignment horizontal="center"/>
    </xf>
    <xf numFmtId="0" fontId="20" fillId="0" borderId="0" xfId="4496"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6" applyFont="1" applyFill="1" applyBorder="1" applyProtection="1"/>
    <xf numFmtId="164" fontId="20" fillId="0" borderId="0" xfId="4496" applyNumberFormat="1" applyFont="1" applyFill="1" applyBorder="1" applyAlignment="1" applyProtection="1">
      <alignment horizontal="left" vertical="top" wrapText="1"/>
    </xf>
    <xf numFmtId="0" fontId="23" fillId="0" borderId="0" xfId="4496" applyFont="1" applyFill="1" applyBorder="1" applyProtection="1"/>
    <xf numFmtId="0" fontId="20" fillId="0" borderId="0" xfId="4496" applyFont="1" applyAlignment="1" applyProtection="1">
      <alignment horizontal="right"/>
    </xf>
    <xf numFmtId="0" fontId="20" fillId="0" borderId="0" xfId="4496" applyNumberFormat="1" applyFont="1" applyFill="1" applyBorder="1" applyAlignment="1" applyProtection="1">
      <alignment vertical="top" wrapText="1"/>
    </xf>
    <xf numFmtId="0" fontId="20" fillId="0" borderId="0" xfId="4496" applyNumberFormat="1" applyFont="1" applyFill="1" applyBorder="1" applyAlignment="1" applyProtection="1"/>
    <xf numFmtId="0" fontId="20" fillId="0" borderId="3" xfId="4496"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2" fillId="0" borderId="0" xfId="543" applyNumberFormat="1" applyFont="1" applyBorder="1" applyProtection="1"/>
    <xf numFmtId="0" fontId="12" fillId="0" borderId="0" xfId="4496" applyFont="1" applyFill="1" applyBorder="1" applyAlignment="1" applyProtection="1">
      <alignment vertical="top" wrapText="1"/>
    </xf>
    <xf numFmtId="0" fontId="20" fillId="0" borderId="0" xfId="4496" applyFont="1" applyAlignment="1" applyProtection="1">
      <alignment vertical="top"/>
    </xf>
    <xf numFmtId="0" fontId="12" fillId="0" borderId="0" xfId="4496" applyFont="1" applyFill="1" applyBorder="1" applyAlignment="1" applyProtection="1">
      <alignment horizontal="left" vertical="top" wrapText="1"/>
    </xf>
    <xf numFmtId="0" fontId="115" fillId="0" borderId="0" xfId="4496"/>
    <xf numFmtId="0" fontId="12" fillId="0" borderId="50" xfId="4496" applyFont="1" applyFill="1" applyBorder="1" applyAlignment="1" applyProtection="1">
      <alignment vertical="top"/>
    </xf>
    <xf numFmtId="0" fontId="12" fillId="0" borderId="51" xfId="4496" applyFont="1" applyFill="1" applyBorder="1" applyAlignment="1" applyProtection="1">
      <alignment vertical="top"/>
    </xf>
    <xf numFmtId="0" fontId="12" fillId="0" borderId="52" xfId="4496" applyFont="1" applyFill="1" applyBorder="1" applyAlignment="1" applyProtection="1">
      <alignment vertical="top"/>
    </xf>
    <xf numFmtId="1" fontId="20" fillId="0" borderId="8" xfId="4496" applyNumberFormat="1" applyFont="1" applyBorder="1" applyProtection="1"/>
    <xf numFmtId="0" fontId="12" fillId="0" borderId="0" xfId="543" applyFont="1" applyAlignment="1" applyProtection="1">
      <alignment vertical="top"/>
    </xf>
    <xf numFmtId="0" fontId="20" fillId="0" borderId="51" xfId="4496" applyFont="1" applyFill="1" applyBorder="1" applyAlignment="1" applyProtection="1">
      <alignment horizontal="left" vertical="top"/>
    </xf>
    <xf numFmtId="0" fontId="20" fillId="0" borderId="52" xfId="4496" applyFont="1" applyFill="1" applyBorder="1" applyAlignment="1" applyProtection="1">
      <alignment horizontal="left" vertical="top"/>
    </xf>
    <xf numFmtId="0" fontId="20" fillId="0" borderId="0" xfId="4496" applyFont="1" applyAlignment="1" applyProtection="1"/>
    <xf numFmtId="0" fontId="12" fillId="0" borderId="8" xfId="543" applyFont="1" applyBorder="1" applyAlignment="1" applyProtection="1"/>
    <xf numFmtId="0" fontId="117" fillId="0" borderId="0" xfId="4497" applyFont="1" applyAlignment="1"/>
    <xf numFmtId="168" fontId="12" fillId="0" borderId="0" xfId="543" applyNumberFormat="1" applyFont="1" applyAlignment="1" applyProtection="1"/>
    <xf numFmtId="0" fontId="115" fillId="0" borderId="0" xfId="4496" applyFill="1" applyBorder="1" applyAlignment="1" applyProtection="1">
      <alignment horizontal="center"/>
      <protection locked="0"/>
    </xf>
    <xf numFmtId="0" fontId="12" fillId="0" borderId="53" xfId="4496" applyFont="1" applyFill="1" applyBorder="1" applyAlignment="1" applyProtection="1">
      <alignment vertical="top"/>
    </xf>
    <xf numFmtId="0" fontId="12" fillId="0" borderId="54" xfId="4496" applyFont="1" applyFill="1" applyBorder="1" applyAlignment="1" applyProtection="1">
      <alignment vertical="top" wrapText="1"/>
    </xf>
    <xf numFmtId="0" fontId="57" fillId="0" borderId="53" xfId="4496" applyFont="1" applyFill="1" applyBorder="1"/>
    <xf numFmtId="0" fontId="20" fillId="0" borderId="54" xfId="4496" applyFont="1" applyFill="1" applyBorder="1" applyAlignment="1" applyProtection="1">
      <alignment horizontal="left" vertical="top"/>
    </xf>
    <xf numFmtId="0" fontId="12" fillId="0" borderId="53" xfId="4496" applyFont="1" applyFill="1" applyBorder="1" applyAlignment="1" applyProtection="1">
      <alignment vertical="center" wrapText="1"/>
    </xf>
    <xf numFmtId="0" fontId="57" fillId="0" borderId="57" xfId="4496" applyFont="1" applyFill="1" applyBorder="1"/>
    <xf numFmtId="0" fontId="20" fillId="0" borderId="58" xfId="4496" applyFont="1" applyFill="1" applyBorder="1" applyAlignment="1" applyProtection="1">
      <alignment horizontal="left" vertical="top"/>
    </xf>
    <xf numFmtId="0" fontId="20" fillId="0" borderId="12" xfId="4496" applyFont="1" applyFill="1" applyBorder="1" applyProtection="1"/>
    <xf numFmtId="0" fontId="12" fillId="0" borderId="57" xfId="4496" applyFont="1" applyFill="1" applyBorder="1" applyAlignment="1" applyProtection="1">
      <alignment vertical="center"/>
    </xf>
    <xf numFmtId="0" fontId="12" fillId="0" borderId="58" xfId="4496" applyFont="1" applyFill="1" applyBorder="1" applyAlignment="1" applyProtection="1">
      <alignment vertical="top"/>
    </xf>
    <xf numFmtId="0" fontId="12" fillId="0" borderId="59" xfId="4496" applyFont="1" applyFill="1" applyBorder="1" applyAlignment="1" applyProtection="1">
      <alignment vertical="top"/>
    </xf>
    <xf numFmtId="172" fontId="12" fillId="0" borderId="0" xfId="543" applyNumberFormat="1" applyFont="1" applyFill="1" applyBorder="1" applyProtection="1"/>
    <xf numFmtId="0" fontId="12" fillId="0" borderId="0" xfId="4496" applyFont="1" applyFill="1" applyBorder="1" applyAlignment="1" applyProtection="1">
      <alignment vertical="top"/>
    </xf>
    <xf numFmtId="0" fontId="20" fillId="0" borderId="4" xfId="4496" applyFont="1" applyFill="1" applyBorder="1" applyAlignment="1" applyProtection="1">
      <alignment horizontal="left" vertical="top"/>
    </xf>
    <xf numFmtId="0" fontId="12" fillId="0" borderId="4" xfId="4496" applyFont="1" applyFill="1" applyBorder="1" applyAlignment="1" applyProtection="1">
      <alignment horizontal="left" vertical="top"/>
    </xf>
    <xf numFmtId="0" fontId="12" fillId="0" borderId="2" xfId="4496" applyFont="1" applyFill="1" applyBorder="1" applyAlignment="1" applyProtection="1"/>
    <xf numFmtId="0" fontId="20" fillId="0" borderId="2" xfId="4496" applyFont="1" applyBorder="1" applyProtection="1"/>
    <xf numFmtId="0" fontId="20" fillId="0" borderId="2" xfId="4496" applyFont="1" applyFill="1" applyBorder="1" applyAlignment="1" applyProtection="1"/>
    <xf numFmtId="0" fontId="20" fillId="0" borderId="2" xfId="4496" applyFont="1" applyFill="1" applyBorder="1" applyProtection="1"/>
    <xf numFmtId="0" fontId="12" fillId="0" borderId="2" xfId="4496" applyFont="1" applyFill="1" applyBorder="1" applyAlignment="1" applyProtection="1">
      <alignment horizontal="center"/>
    </xf>
    <xf numFmtId="0" fontId="20" fillId="0" borderId="7" xfId="4496" applyFont="1" applyBorder="1" applyProtection="1"/>
    <xf numFmtId="0" fontId="28"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8" fillId="0" borderId="0" xfId="4496" applyFont="1" applyFill="1" applyBorder="1" applyAlignment="1" applyProtection="1">
      <alignment horizontal="left" vertical="top"/>
    </xf>
    <xf numFmtId="0" fontId="20" fillId="0" borderId="0" xfId="4496" applyFont="1" applyFill="1" applyBorder="1" applyAlignment="1" applyProtection="1">
      <alignment vertical="top"/>
    </xf>
    <xf numFmtId="0" fontId="20" fillId="0" borderId="0" xfId="4496" applyFont="1" applyFill="1" applyBorder="1" applyAlignment="1" applyProtection="1">
      <alignment horizontal="right"/>
    </xf>
    <xf numFmtId="0" fontId="20" fillId="0" borderId="0" xfId="4496" quotePrefix="1" applyNumberFormat="1" applyFont="1" applyAlignment="1" applyProtection="1">
      <alignment horizontal="right"/>
    </xf>
    <xf numFmtId="0" fontId="12" fillId="0" borderId="0" xfId="4498" applyFont="1" applyAlignment="1" applyProtection="1"/>
    <xf numFmtId="0" fontId="20" fillId="0" borderId="0" xfId="4496" applyFont="1" applyFill="1" applyBorder="1" applyAlignment="1" applyProtection="1">
      <alignment horizontal="left" vertical="top" wrapText="1" shrinkToFit="1"/>
    </xf>
    <xf numFmtId="0" fontId="115" fillId="0" borderId="0" xfId="4496" applyAlignment="1">
      <alignment vertical="top" wrapText="1"/>
    </xf>
    <xf numFmtId="0" fontId="20" fillId="0" borderId="4" xfId="4496" applyFont="1" applyFill="1" applyBorder="1" applyAlignment="1" applyProtection="1">
      <alignment horizontal="left" vertical="top" wrapText="1" shrinkToFit="1"/>
    </xf>
    <xf numFmtId="0" fontId="28" fillId="0" borderId="8" xfId="4496" applyFont="1" applyBorder="1" applyProtection="1"/>
    <xf numFmtId="0" fontId="20" fillId="0" borderId="0" xfId="4496" applyFont="1" applyFill="1" applyBorder="1" applyAlignment="1" applyProtection="1">
      <alignment horizontal="center"/>
    </xf>
    <xf numFmtId="0" fontId="20" fillId="0" borderId="0" xfId="4496" quotePrefix="1" applyNumberFormat="1" applyFont="1" applyFill="1" applyAlignment="1" applyProtection="1">
      <alignment horizontal="right"/>
    </xf>
    <xf numFmtId="0" fontId="20" fillId="0" borderId="0" xfId="4496" quotePrefix="1" applyFont="1" applyFill="1" applyProtection="1"/>
    <xf numFmtId="0" fontId="20" fillId="0" borderId="0" xfId="4496" applyFont="1" applyFill="1" applyBorder="1" applyAlignment="1" applyProtection="1">
      <alignment horizontal="left" vertical="top" shrinkToFit="1"/>
    </xf>
    <xf numFmtId="0" fontId="42" fillId="0" borderId="0" xfId="4496" applyFont="1" applyProtection="1"/>
    <xf numFmtId="0" fontId="20" fillId="0" borderId="0" xfId="4496" applyNumberFormat="1" applyFont="1" applyAlignment="1" applyProtection="1">
      <alignment horizontal="right"/>
    </xf>
    <xf numFmtId="0" fontId="20"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9"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2" fillId="0" borderId="8" xfId="543" applyNumberFormat="1" applyFont="1" applyFill="1" applyBorder="1" applyProtection="1"/>
    <xf numFmtId="0" fontId="19"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2" fillId="0" borderId="0" xfId="4498" applyFont="1" applyProtection="1"/>
    <xf numFmtId="168" fontId="12" fillId="0" borderId="0" xfId="4498" applyNumberFormat="1" applyFont="1" applyProtection="1"/>
    <xf numFmtId="0" fontId="20" fillId="0" borderId="0" xfId="4496" quotePrefix="1" applyNumberFormat="1" applyFont="1" applyProtection="1"/>
    <xf numFmtId="1" fontId="20" fillId="0" borderId="0" xfId="4496" applyNumberFormat="1" applyFont="1" applyFill="1" applyBorder="1" applyAlignment="1" applyProtection="1">
      <alignment horizontal="center" vertical="top"/>
    </xf>
    <xf numFmtId="0" fontId="19"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20" fillId="0" borderId="6" xfId="4496" applyFont="1" applyBorder="1" applyProtection="1"/>
    <xf numFmtId="1" fontId="20" fillId="0" borderId="8" xfId="4496" applyNumberFormat="1" applyFont="1" applyFill="1" applyBorder="1" applyAlignment="1" applyProtection="1">
      <alignment horizontal="center" vertical="top"/>
    </xf>
    <xf numFmtId="0" fontId="115" fillId="0" borderId="12" xfId="4496" applyFill="1" applyBorder="1" applyProtection="1"/>
    <xf numFmtId="0" fontId="20" fillId="0" borderId="9" xfId="4496" applyFont="1" applyBorder="1" applyProtection="1"/>
    <xf numFmtId="0" fontId="115" fillId="0" borderId="10" xfId="4496" applyFill="1" applyBorder="1" applyProtection="1"/>
    <xf numFmtId="0" fontId="28" fillId="0" borderId="3" xfId="4496" applyFont="1" applyBorder="1" applyProtection="1"/>
    <xf numFmtId="0" fontId="19"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20" fillId="0" borderId="0" xfId="4496" applyFont="1" applyAlignment="1"/>
    <xf numFmtId="0" fontId="28"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8" fillId="0" borderId="9" xfId="4496" applyFont="1" applyBorder="1" applyProtection="1"/>
    <xf numFmtId="0" fontId="20" fillId="0" borderId="6" xfId="4496" applyFont="1" applyBorder="1" applyAlignment="1"/>
    <xf numFmtId="0" fontId="20" fillId="0" borderId="10" xfId="4496" applyFont="1" applyBorder="1" applyAlignment="1"/>
    <xf numFmtId="0" fontId="125" fillId="0" borderId="0" xfId="4496" applyFont="1" applyAlignment="1">
      <alignment wrapText="1"/>
    </xf>
    <xf numFmtId="0" fontId="28" fillId="0" borderId="9" xfId="4496" applyFont="1" applyBorder="1" applyAlignment="1" applyProtection="1">
      <alignment horizontal="center"/>
    </xf>
    <xf numFmtId="0" fontId="19" fillId="0" borderId="10" xfId="4496" applyFont="1" applyFill="1" applyBorder="1" applyProtection="1"/>
    <xf numFmtId="0" fontId="30" fillId="0" borderId="0" xfId="4496" applyFont="1" applyProtection="1"/>
    <xf numFmtId="0" fontId="20" fillId="0" borderId="50" xfId="4496" applyFont="1" applyBorder="1" applyProtection="1"/>
    <xf numFmtId="0" fontId="20" fillId="0" borderId="51" xfId="4496" applyFont="1" applyBorder="1" applyProtection="1"/>
    <xf numFmtId="1" fontId="20" fillId="0" borderId="51" xfId="4496" quotePrefix="1" applyNumberFormat="1" applyFont="1" applyFill="1" applyBorder="1" applyAlignment="1" applyProtection="1">
      <alignment horizontal="center" vertical="top"/>
    </xf>
    <xf numFmtId="0" fontId="19" fillId="0" borderId="51" xfId="4496" applyFont="1" applyBorder="1" applyAlignment="1" applyProtection="1"/>
    <xf numFmtId="0" fontId="19" fillId="0" borderId="52" xfId="4496" applyFont="1" applyBorder="1" applyAlignment="1" applyProtection="1">
      <alignment horizontal="center"/>
    </xf>
    <xf numFmtId="0" fontId="12" fillId="0" borderId="53" xfId="4496" applyFont="1" applyBorder="1" applyProtection="1"/>
    <xf numFmtId="1" fontId="20" fillId="0" borderId="0" xfId="4496" quotePrefix="1" applyNumberFormat="1" applyFont="1" applyFill="1" applyBorder="1" applyAlignment="1" applyProtection="1">
      <alignment horizontal="center" vertical="top"/>
    </xf>
    <xf numFmtId="0" fontId="19" fillId="0" borderId="0" xfId="4496" applyFont="1" applyBorder="1" applyAlignment="1" applyProtection="1"/>
    <xf numFmtId="0" fontId="19" fillId="0" borderId="54" xfId="4496" applyFont="1" applyBorder="1" applyAlignment="1" applyProtection="1">
      <alignment horizontal="center"/>
    </xf>
    <xf numFmtId="0" fontId="28" fillId="0" borderId="0" xfId="4496" applyFont="1" applyBorder="1" applyAlignment="1">
      <alignment vertical="top"/>
    </xf>
    <xf numFmtId="0" fontId="20" fillId="0" borderId="0" xfId="4496" applyFont="1" applyBorder="1" applyAlignment="1">
      <alignment vertical="top" wrapText="1"/>
    </xf>
    <xf numFmtId="0" fontId="20" fillId="0" borderId="61" xfId="4496" applyFont="1" applyBorder="1" applyProtection="1"/>
    <xf numFmtId="0" fontId="115" fillId="0" borderId="58" xfId="4496" applyFill="1" applyBorder="1" applyAlignment="1" applyProtection="1">
      <alignment horizontal="center"/>
    </xf>
    <xf numFmtId="1" fontId="20" fillId="0" borderId="58" xfId="4496" quotePrefix="1" applyNumberFormat="1" applyFont="1" applyFill="1" applyBorder="1" applyAlignment="1" applyProtection="1">
      <alignment horizontal="center" vertical="top"/>
    </xf>
    <xf numFmtId="0" fontId="28" fillId="0" borderId="58" xfId="4496" applyFont="1" applyBorder="1" applyAlignment="1">
      <alignment vertical="top"/>
    </xf>
    <xf numFmtId="0" fontId="20" fillId="0" borderId="58" xfId="4496" applyFont="1" applyBorder="1" applyAlignment="1">
      <alignment vertical="top" wrapText="1"/>
    </xf>
    <xf numFmtId="0" fontId="20" fillId="0" borderId="58" xfId="4496" applyFont="1" applyBorder="1" applyProtection="1"/>
    <xf numFmtId="0" fontId="19"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2" fillId="0" borderId="53" xfId="543" applyFont="1" applyBorder="1" applyProtection="1"/>
    <xf numFmtId="0" fontId="20" fillId="0" borderId="54" xfId="4496" applyFont="1" applyBorder="1" applyProtection="1"/>
    <xf numFmtId="0" fontId="12" fillId="0" borderId="58" xfId="543" applyFont="1" applyBorder="1" applyProtection="1"/>
    <xf numFmtId="1" fontId="20" fillId="0" borderId="58" xfId="4496" applyNumberFormat="1" applyFont="1" applyFill="1" applyBorder="1" applyAlignment="1" applyProtection="1">
      <alignment horizontal="center" vertical="top"/>
    </xf>
    <xf numFmtId="0" fontId="28" fillId="0" borderId="58" xfId="4496" applyFont="1" applyBorder="1" applyAlignment="1">
      <alignment vertical="center"/>
    </xf>
    <xf numFmtId="0" fontId="115" fillId="0" borderId="58" xfId="4496" applyBorder="1" applyAlignment="1">
      <alignment vertical="top" wrapText="1"/>
    </xf>
    <xf numFmtId="0" fontId="12" fillId="0" borderId="58" xfId="4496" applyFont="1" applyBorder="1" applyProtection="1"/>
    <xf numFmtId="0" fontId="20" fillId="0" borderId="0" xfId="4496" applyFont="1" applyBorder="1" applyAlignment="1">
      <alignment horizontal="left" vertical="top" wrapText="1"/>
    </xf>
    <xf numFmtId="0" fontId="28" fillId="0" borderId="0" xfId="4496" applyFont="1" applyBorder="1" applyAlignment="1">
      <alignment vertical="center"/>
    </xf>
    <xf numFmtId="0" fontId="20" fillId="0" borderId="53" xfId="4496" applyFont="1" applyBorder="1" applyProtection="1"/>
    <xf numFmtId="0" fontId="12" fillId="0" borderId="57" xfId="543" applyFont="1" applyBorder="1" applyProtection="1"/>
    <xf numFmtId="0" fontId="20" fillId="0" borderId="58" xfId="4496" applyFont="1" applyBorder="1" applyAlignment="1">
      <alignment vertical="top"/>
    </xf>
    <xf numFmtId="0" fontId="20" fillId="0" borderId="59" xfId="4496" applyFont="1" applyBorder="1" applyProtection="1"/>
    <xf numFmtId="0" fontId="20" fillId="0" borderId="57" xfId="4496" applyFont="1" applyBorder="1" applyProtection="1"/>
    <xf numFmtId="0" fontId="20" fillId="0" borderId="0" xfId="4496" applyFont="1" applyAlignment="1">
      <alignment vertical="top" wrapText="1"/>
    </xf>
    <xf numFmtId="0" fontId="19" fillId="0" borderId="51" xfId="4496" applyFont="1" applyBorder="1" applyProtection="1"/>
    <xf numFmtId="0" fontId="12" fillId="0" borderId="51" xfId="4496" applyFont="1" applyBorder="1" applyProtection="1"/>
    <xf numFmtId="0" fontId="20" fillId="0" borderId="52" xfId="4496"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6" applyFont="1" applyBorder="1" applyProtection="1"/>
    <xf numFmtId="0" fontId="28" fillId="0" borderId="0" xfId="4496" applyNumberFormat="1" applyFont="1" applyBorder="1" applyAlignment="1">
      <alignment vertical="top"/>
    </xf>
    <xf numFmtId="0" fontId="20" fillId="0" borderId="0" xfId="4496" applyNumberFormat="1" applyFont="1" applyBorder="1" applyAlignment="1">
      <alignment vertical="top" wrapText="1"/>
    </xf>
    <xf numFmtId="0" fontId="28" fillId="0" borderId="0" xfId="4496" applyFont="1" applyBorder="1" applyProtection="1"/>
    <xf numFmtId="0" fontId="28" fillId="0" borderId="58" xfId="4496" applyNumberFormat="1" applyFont="1" applyBorder="1" applyAlignment="1">
      <alignment vertical="top"/>
    </xf>
    <xf numFmtId="0" fontId="20" fillId="0" borderId="58" xfId="4496" applyNumberFormat="1" applyFont="1" applyBorder="1" applyAlignment="1">
      <alignment vertical="top" wrapText="1"/>
    </xf>
    <xf numFmtId="0" fontId="20" fillId="0" borderId="62" xfId="4496" applyFont="1" applyBorder="1" applyProtection="1"/>
    <xf numFmtId="0" fontId="28" fillId="0" borderId="0" xfId="4496" applyNumberFormat="1" applyFont="1" applyAlignment="1">
      <alignment vertical="top"/>
    </xf>
    <xf numFmtId="0" fontId="20" fillId="0" borderId="0" xfId="4496" applyNumberFormat="1" applyFont="1" applyAlignment="1">
      <alignment vertical="top" wrapText="1"/>
    </xf>
    <xf numFmtId="0" fontId="20" fillId="0" borderId="0" xfId="4496" applyFont="1" applyBorder="1" applyAlignment="1">
      <alignment wrapText="1"/>
    </xf>
    <xf numFmtId="0" fontId="28" fillId="0" borderId="0" xfId="4496" applyFont="1" applyAlignment="1">
      <alignment vertical="top"/>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2" fillId="0" borderId="0" xfId="543" applyNumberFormat="1" applyFont="1" applyBorder="1" applyProtection="1"/>
    <xf numFmtId="0" fontId="115" fillId="0" borderId="0" xfId="4496" applyBorder="1" applyAlignment="1" applyProtection="1">
      <alignment vertical="top" wrapText="1"/>
    </xf>
    <xf numFmtId="2" fontId="20" fillId="0" borderId="0" xfId="4496" applyNumberFormat="1" applyFont="1" applyFill="1" applyBorder="1" applyAlignment="1" applyProtection="1">
      <alignment horizontal="right"/>
    </xf>
    <xf numFmtId="0" fontId="19" fillId="0" borderId="0" xfId="4496" applyFont="1" applyBorder="1" applyAlignment="1" applyProtection="1">
      <alignment horizontal="center"/>
    </xf>
    <xf numFmtId="2" fontId="20" fillId="0" borderId="0" xfId="4496" applyNumberFormat="1" applyFont="1" applyBorder="1" applyAlignment="1" applyProtection="1">
      <alignment horizontal="right"/>
    </xf>
    <xf numFmtId="0" fontId="12" fillId="0" borderId="0" xfId="4496" applyFont="1" applyBorder="1" applyAlignment="1" applyProtection="1"/>
    <xf numFmtId="2" fontId="20" fillId="0" borderId="8" xfId="4496" applyNumberFormat="1" applyFont="1" applyFill="1" applyBorder="1" applyAlignment="1" applyProtection="1">
      <alignment horizontal="left"/>
    </xf>
    <xf numFmtId="0" fontId="20"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9" fillId="0" borderId="59" xfId="4496" applyFont="1" applyBorder="1" applyAlignment="1" applyProtection="1">
      <alignment horizontal="center"/>
    </xf>
    <xf numFmtId="0" fontId="12" fillId="0" borderId="8" xfId="4496" applyNumberFormat="1" applyFont="1" applyFill="1" applyBorder="1" applyAlignment="1" applyProtection="1"/>
    <xf numFmtId="0" fontId="20" fillId="0" borderId="0" xfId="4496" applyFont="1" applyAlignment="1" applyProtection="1">
      <alignment horizontal="left"/>
    </xf>
    <xf numFmtId="0" fontId="12" fillId="0" borderId="8" xfId="4496" applyNumberFormat="1" applyFont="1" applyBorder="1" applyAlignment="1" applyProtection="1"/>
    <xf numFmtId="9" fontId="20" fillId="0" borderId="0" xfId="4496" applyNumberFormat="1" applyFont="1" applyAlignment="1" applyProtection="1">
      <alignment horizontal="left"/>
    </xf>
    <xf numFmtId="0" fontId="20" fillId="0" borderId="50" xfId="4496" applyFont="1" applyFill="1" applyBorder="1" applyProtection="1"/>
    <xf numFmtId="0" fontId="20" fillId="0" borderId="51" xfId="4496"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6" applyFont="1" applyAlignment="1" applyProtection="1">
      <alignment horizontal="center"/>
    </xf>
    <xf numFmtId="0" fontId="30" fillId="0" borderId="0" xfId="4496" applyFont="1" applyBorder="1" applyProtection="1"/>
    <xf numFmtId="0" fontId="12" fillId="0" borderId="51" xfId="4496" quotePrefix="1" applyFont="1" applyFill="1" applyBorder="1" applyAlignment="1" applyProtection="1">
      <alignment horizontal="center" vertical="top"/>
    </xf>
    <xf numFmtId="0" fontId="20" fillId="0" borderId="53" xfId="4496" applyFont="1" applyFill="1" applyBorder="1" applyAlignment="1" applyProtection="1">
      <alignment horizontal="left" vertical="top"/>
    </xf>
    <xf numFmtId="0" fontId="20" fillId="0" borderId="0" xfId="4496" applyFont="1" applyFill="1" applyBorder="1" applyAlignment="1" applyProtection="1">
      <alignment horizontal="center" vertical="top"/>
    </xf>
    <xf numFmtId="0" fontId="20" fillId="0" borderId="57" xfId="4496" applyFont="1" applyFill="1" applyBorder="1" applyAlignment="1" applyProtection="1">
      <alignment horizontal="left" vertical="top"/>
    </xf>
    <xf numFmtId="0" fontId="20" fillId="0" borderId="58" xfId="4496" applyFont="1" applyFill="1" applyBorder="1" applyAlignment="1" applyProtection="1">
      <alignment horizontal="center" vertical="top"/>
    </xf>
    <xf numFmtId="0" fontId="115" fillId="0" borderId="58" xfId="4496" applyFill="1" applyBorder="1" applyAlignment="1" applyProtection="1"/>
    <xf numFmtId="0" fontId="19" fillId="0" borderId="58" xfId="4496" applyFont="1" applyFill="1" applyBorder="1" applyAlignment="1" applyProtection="1">
      <alignment vertical="top"/>
    </xf>
    <xf numFmtId="0" fontId="19" fillId="0" borderId="58" xfId="4496" applyFont="1" applyFill="1" applyBorder="1" applyAlignment="1" applyProtection="1">
      <alignment horizontal="left" vertical="top"/>
    </xf>
    <xf numFmtId="0" fontId="115" fillId="0" borderId="0" xfId="4496" applyFill="1" applyBorder="1" applyAlignment="1" applyProtection="1"/>
    <xf numFmtId="0" fontId="19" fillId="0" borderId="51" xfId="4496" applyFont="1" applyFill="1" applyBorder="1" applyAlignment="1" applyProtection="1">
      <alignment horizontal="left" vertical="top"/>
    </xf>
    <xf numFmtId="0" fontId="19" fillId="0" borderId="53" xfId="4496" applyFont="1" applyBorder="1" applyAlignment="1" applyProtection="1">
      <alignment horizontal="left" vertical="top"/>
    </xf>
    <xf numFmtId="0" fontId="49" fillId="0" borderId="0" xfId="4496" applyFont="1" applyFill="1" applyBorder="1" applyAlignment="1" applyProtection="1">
      <alignment horizontal="left" vertical="top"/>
    </xf>
    <xf numFmtId="0" fontId="20" fillId="0" borderId="0" xfId="4496" quotePrefix="1" applyFont="1" applyFill="1" applyBorder="1" applyAlignment="1" applyProtection="1">
      <alignment horizontal="center" vertical="top"/>
    </xf>
    <xf numFmtId="0" fontId="50" fillId="0" borderId="0" xfId="4496" applyFont="1" applyFill="1" applyBorder="1" applyAlignment="1" applyProtection="1">
      <alignment horizontal="center"/>
    </xf>
    <xf numFmtId="0" fontId="49" fillId="0" borderId="0" xfId="4496" applyFont="1" applyBorder="1" applyProtection="1"/>
    <xf numFmtId="0" fontId="50" fillId="0" borderId="0" xfId="4496" applyFont="1" applyFill="1" applyBorder="1" applyAlignment="1" applyProtection="1">
      <alignment vertical="top"/>
    </xf>
    <xf numFmtId="0" fontId="102" fillId="0" borderId="0" xfId="4496" applyFont="1" applyBorder="1" applyProtection="1"/>
    <xf numFmtId="0" fontId="49" fillId="0" borderId="0" xfId="4496" applyFont="1" applyBorder="1" applyAlignment="1" applyProtection="1">
      <alignment vertical="top"/>
    </xf>
    <xf numFmtId="0" fontId="28" fillId="0" borderId="53" xfId="4496" applyFont="1" applyBorder="1" applyProtection="1"/>
    <xf numFmtId="2" fontId="20" fillId="0" borderId="8" xfId="4496" applyNumberFormat="1" applyFont="1" applyFill="1" applyBorder="1" applyAlignment="1" applyProtection="1">
      <alignment horizontal="right"/>
    </xf>
    <xf numFmtId="0" fontId="19" fillId="0" borderId="50" xfId="4496" applyFont="1" applyFill="1" applyBorder="1" applyAlignment="1" applyProtection="1">
      <alignment horizontal="left" vertical="top"/>
    </xf>
    <xf numFmtId="0" fontId="20" fillId="0" borderId="51" xfId="4496" applyFont="1" applyFill="1" applyBorder="1" applyAlignment="1" applyProtection="1"/>
    <xf numFmtId="0" fontId="49"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9" fillId="0" borderId="58" xfId="4496"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6" applyFont="1" applyFill="1" applyBorder="1" applyAlignment="1" applyProtection="1">
      <alignment wrapText="1"/>
    </xf>
    <xf numFmtId="0" fontId="28" fillId="0" borderId="0" xfId="4496" applyNumberFormat="1" applyFont="1" applyFill="1" applyBorder="1" applyAlignment="1" applyProtection="1">
      <alignment horizontal="center"/>
    </xf>
    <xf numFmtId="0" fontId="28" fillId="0" borderId="0" xfId="4496" applyFont="1" applyFill="1" applyBorder="1" applyAlignment="1" applyProtection="1">
      <alignment vertical="center" wrapText="1"/>
    </xf>
    <xf numFmtId="0" fontId="20" fillId="0" borderId="0" xfId="4496" applyNumberFormat="1" applyFont="1" applyFill="1" applyBorder="1" applyAlignment="1" applyProtection="1">
      <alignment horizontal="center"/>
    </xf>
    <xf numFmtId="180" fontId="20" fillId="0" borderId="0" xfId="4496" applyNumberFormat="1" applyFont="1" applyFill="1" applyBorder="1" applyAlignment="1" applyProtection="1">
      <alignment horizontal="center"/>
    </xf>
    <xf numFmtId="1" fontId="20" fillId="0" borderId="0" xfId="4496" applyNumberFormat="1" applyFont="1" applyFill="1" applyBorder="1" applyAlignment="1" applyProtection="1">
      <alignment horizontal="center"/>
    </xf>
    <xf numFmtId="0" fontId="19" fillId="0" borderId="51" xfId="4496" applyFont="1" applyFill="1" applyBorder="1" applyAlignment="1" applyProtection="1">
      <alignment horizontal="center"/>
    </xf>
    <xf numFmtId="0" fontId="19" fillId="0" borderId="51" xfId="4496"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6" applyFont="1" applyFill="1" applyBorder="1" applyProtection="1"/>
    <xf numFmtId="0" fontId="19" fillId="0" borderId="53" xfId="4496" applyFont="1" applyFill="1" applyBorder="1" applyProtection="1"/>
    <xf numFmtId="0" fontId="12" fillId="0" borderId="54" xfId="543" applyFont="1" applyBorder="1" applyProtection="1"/>
    <xf numFmtId="49" fontId="20" fillId="0" borderId="0" xfId="4496" applyNumberFormat="1" applyFont="1" applyFill="1" applyBorder="1" applyAlignment="1" applyProtection="1">
      <alignment horizontal="left" vertical="center" wrapText="1"/>
    </xf>
    <xf numFmtId="0" fontId="12" fillId="0" borderId="57" xfId="4496" applyFont="1" applyFill="1" applyBorder="1" applyAlignment="1" applyProtection="1"/>
    <xf numFmtId="0" fontId="20" fillId="0" borderId="58" xfId="4496" applyFont="1" applyFill="1" applyBorder="1" applyProtection="1"/>
    <xf numFmtId="0" fontId="20" fillId="0" borderId="58" xfId="4496" applyFont="1" applyFill="1" applyBorder="1" applyAlignment="1" applyProtection="1">
      <alignment vertical="top" wrapText="1"/>
    </xf>
    <xf numFmtId="1" fontId="12" fillId="0" borderId="0" xfId="4496" applyNumberFormat="1" applyFont="1" applyFill="1" applyBorder="1" applyAlignment="1" applyProtection="1">
      <alignment vertical="center"/>
    </xf>
    <xf numFmtId="0" fontId="30" fillId="0" borderId="50" xfId="4496" applyFont="1" applyBorder="1" applyProtection="1"/>
    <xf numFmtId="0" fontId="20" fillId="0" borderId="51" xfId="4496" applyFont="1" applyFill="1" applyBorder="1" applyAlignment="1" applyProtection="1">
      <alignment horizontal="center" vertical="top"/>
    </xf>
    <xf numFmtId="0" fontId="20" fillId="0" borderId="51" xfId="4496" applyFont="1" applyFill="1" applyBorder="1" applyAlignment="1" applyProtection="1">
      <alignment vertical="top" wrapText="1"/>
    </xf>
    <xf numFmtId="0" fontId="20" fillId="0" borderId="51" xfId="4496" applyFont="1" applyFill="1" applyBorder="1" applyAlignment="1" applyProtection="1">
      <alignment horizontal="left" vertical="top" wrapText="1"/>
    </xf>
    <xf numFmtId="0" fontId="12" fillId="0" borderId="0" xfId="4496" quotePrefix="1" applyFont="1" applyFill="1" applyBorder="1" applyAlignment="1" applyProtection="1">
      <alignment horizontal="center" vertical="top"/>
    </xf>
    <xf numFmtId="0" fontId="12" fillId="0" borderId="53" xfId="4496" applyFont="1" applyFill="1" applyBorder="1" applyAlignment="1" applyProtection="1"/>
    <xf numFmtId="0" fontId="20" fillId="0" borderId="0" xfId="4496" applyNumberFormat="1" applyFont="1" applyProtection="1"/>
    <xf numFmtId="1" fontId="20" fillId="0" borderId="0" xfId="4496" quotePrefix="1" applyNumberFormat="1" applyFont="1" applyFill="1" applyBorder="1" applyAlignment="1" applyProtection="1">
      <alignment wrapText="1"/>
    </xf>
    <xf numFmtId="0" fontId="20" fillId="0" borderId="6" xfId="4496" applyFont="1" applyFill="1" applyBorder="1" applyAlignment="1" applyProtection="1">
      <alignment horizontal="right"/>
    </xf>
    <xf numFmtId="0" fontId="117" fillId="0" borderId="0" xfId="4497" applyFont="1" applyAlignment="1">
      <alignment wrapText="1"/>
    </xf>
    <xf numFmtId="0" fontId="12" fillId="0" borderId="0" xfId="4497" applyFont="1" applyBorder="1" applyAlignment="1" applyProtection="1">
      <alignment wrapText="1"/>
    </xf>
    <xf numFmtId="0" fontId="12" fillId="0" borderId="50" xfId="4496" applyNumberFormat="1" applyFont="1" applyBorder="1" applyAlignment="1">
      <alignment vertical="top"/>
    </xf>
    <xf numFmtId="0" fontId="28" fillId="0" borderId="51" xfId="4496" applyNumberFormat="1" applyFont="1" applyBorder="1" applyAlignment="1">
      <alignment vertical="top"/>
    </xf>
    <xf numFmtId="0" fontId="12" fillId="0" borderId="51" xfId="4497" applyFont="1" applyBorder="1" applyAlignment="1" applyProtection="1">
      <alignment wrapText="1"/>
    </xf>
    <xf numFmtId="0" fontId="19" fillId="0" borderId="51" xfId="4496" applyFont="1" applyFill="1" applyBorder="1" applyAlignment="1" applyProtection="1">
      <alignment horizontal="right"/>
    </xf>
    <xf numFmtId="0" fontId="12" fillId="0" borderId="52" xfId="4496" applyFont="1" applyFill="1" applyBorder="1" applyAlignment="1" applyProtection="1">
      <alignment horizontal="center"/>
    </xf>
    <xf numFmtId="0" fontId="12" fillId="0" borderId="53" xfId="4496" applyNumberFormat="1" applyFont="1" applyBorder="1" applyAlignment="1">
      <alignment horizontal="left" vertical="top"/>
    </xf>
    <xf numFmtId="0" fontId="12" fillId="0" borderId="0" xfId="4496" applyNumberFormat="1" applyFont="1" applyBorder="1" applyAlignment="1">
      <alignment horizontal="left" vertical="top"/>
    </xf>
    <xf numFmtId="0" fontId="12" fillId="0" borderId="54" xfId="4496" applyNumberFormat="1" applyFont="1" applyBorder="1" applyAlignment="1">
      <alignment horizontal="left" vertical="top"/>
    </xf>
    <xf numFmtId="0" fontId="12" fillId="0" borderId="54" xfId="4496" applyFont="1" applyFill="1" applyBorder="1" applyAlignment="1" applyProtection="1">
      <alignment horizontal="center"/>
    </xf>
    <xf numFmtId="0" fontId="12" fillId="0" borderId="59" xfId="4496" applyFont="1" applyFill="1" applyBorder="1" applyAlignment="1" applyProtection="1">
      <alignment horizontal="center"/>
    </xf>
    <xf numFmtId="0" fontId="12" fillId="0" borderId="0" xfId="4496" applyNumberFormat="1" applyFont="1" applyBorder="1" applyAlignment="1">
      <alignment vertical="top" wrapText="1"/>
    </xf>
    <xf numFmtId="0" fontId="19" fillId="0" borderId="0" xfId="1193" applyFont="1" applyAlignment="1" applyProtection="1">
      <alignment horizontal="left"/>
    </xf>
    <xf numFmtId="9" fontId="12" fillId="0" borderId="0" xfId="4497"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6" applyFont="1" applyBorder="1" applyProtection="1"/>
    <xf numFmtId="0" fontId="19" fillId="0" borderId="0" xfId="4496" applyFont="1" applyFill="1" applyBorder="1" applyAlignment="1" applyProtection="1">
      <alignment horizontal="center" wrapText="1"/>
    </xf>
    <xf numFmtId="0" fontId="19" fillId="0" borderId="9" xfId="4496" applyFont="1" applyFill="1" applyBorder="1" applyAlignment="1" applyProtection="1">
      <alignment horizontal="left"/>
    </xf>
    <xf numFmtId="0" fontId="20" fillId="0" borderId="10" xfId="4496" applyFont="1" applyBorder="1" applyProtection="1"/>
    <xf numFmtId="0" fontId="19" fillId="0" borderId="3" xfId="4496" applyFont="1" applyFill="1" applyBorder="1" applyAlignment="1" applyProtection="1">
      <alignment horizontal="left"/>
    </xf>
    <xf numFmtId="0" fontId="12" fillId="0" borderId="3" xfId="4496" applyFont="1" applyBorder="1" applyProtection="1"/>
    <xf numFmtId="0" fontId="19" fillId="0" borderId="0" xfId="4496" applyFont="1" applyBorder="1"/>
    <xf numFmtId="0" fontId="19" fillId="0" borderId="4" xfId="4496" applyFont="1" applyFill="1" applyBorder="1" applyAlignment="1" applyProtection="1">
      <alignment horizontal="left"/>
    </xf>
    <xf numFmtId="0" fontId="12" fillId="0" borderId="2" xfId="4496" applyFont="1" applyFill="1" applyBorder="1" applyAlignment="1" applyProtection="1">
      <alignment horizontal="left"/>
    </xf>
    <xf numFmtId="0" fontId="19" fillId="0" borderId="2" xfId="4496" applyFont="1" applyFill="1" applyBorder="1" applyAlignment="1" applyProtection="1">
      <alignment horizontal="left"/>
    </xf>
    <xf numFmtId="0" fontId="19" fillId="0" borderId="5" xfId="4496" applyFont="1" applyFill="1" applyBorder="1" applyAlignment="1" applyProtection="1">
      <alignment horizontal="left"/>
    </xf>
    <xf numFmtId="180" fontId="60" fillId="0" borderId="0" xfId="4496" applyNumberFormat="1" applyFont="1" applyFill="1" applyBorder="1" applyAlignment="1" applyProtection="1">
      <alignment horizontal="center" vertical="center"/>
    </xf>
    <xf numFmtId="0" fontId="12" fillId="0" borderId="12" xfId="4496" applyFont="1" applyFill="1" applyBorder="1" applyAlignment="1" applyProtection="1">
      <alignment vertical="top"/>
    </xf>
    <xf numFmtId="0" fontId="94" fillId="0" borderId="0" xfId="4497" applyFont="1"/>
    <xf numFmtId="0" fontId="94" fillId="0" borderId="0" xfId="4497" applyFont="1" applyAlignment="1">
      <alignment wrapText="1"/>
    </xf>
    <xf numFmtId="0" fontId="132" fillId="0" borderId="0" xfId="4497" applyFont="1"/>
    <xf numFmtId="0" fontId="94" fillId="0" borderId="0" xfId="4497" applyFont="1" applyBorder="1"/>
    <xf numFmtId="0" fontId="94"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4" fillId="0" borderId="0" xfId="4497" applyNumberFormat="1" applyFont="1" applyAlignment="1">
      <alignment horizontal="center"/>
    </xf>
    <xf numFmtId="168" fontId="94" fillId="0" borderId="0" xfId="4500" applyNumberFormat="1" applyFont="1" applyFill="1" applyBorder="1" applyAlignment="1">
      <alignment vertical="center"/>
    </xf>
    <xf numFmtId="0" fontId="94" fillId="0" borderId="0" xfId="4497" applyFont="1" applyAlignment="1">
      <alignment vertical="center"/>
    </xf>
    <xf numFmtId="9" fontId="94" fillId="0" borderId="0" xfId="4500" applyFont="1" applyFill="1" applyBorder="1" applyAlignment="1">
      <alignment vertical="center"/>
    </xf>
    <xf numFmtId="0" fontId="94" fillId="0" borderId="0" xfId="4497" applyFont="1" applyFill="1" applyBorder="1" applyAlignment="1">
      <alignment vertical="center"/>
    </xf>
    <xf numFmtId="0" fontId="94" fillId="0" borderId="0" xfId="4497" applyFont="1" applyFill="1" applyAlignment="1">
      <alignment vertical="center"/>
    </xf>
    <xf numFmtId="9" fontId="94" fillId="0" borderId="0" xfId="4500" applyFont="1" applyBorder="1" applyAlignment="1">
      <alignment vertical="center"/>
    </xf>
    <xf numFmtId="182" fontId="94" fillId="0" borderId="0" xfId="4497" applyNumberFormat="1" applyFont="1"/>
    <xf numFmtId="182" fontId="94" fillId="0" borderId="0" xfId="4497" applyNumberFormat="1" applyFont="1" applyFill="1" applyBorder="1"/>
    <xf numFmtId="0" fontId="94" fillId="0" borderId="0" xfId="4497" applyFont="1" applyAlignment="1">
      <alignment horizontal="center"/>
    </xf>
    <xf numFmtId="0" fontId="94" fillId="0" borderId="0" xfId="4497" applyFont="1" applyFill="1" applyBorder="1" applyAlignment="1">
      <alignment horizontal="center"/>
    </xf>
    <xf numFmtId="0" fontId="135" fillId="0" borderId="0" xfId="4497" applyFont="1" applyFill="1"/>
    <xf numFmtId="0" fontId="136" fillId="0" borderId="0" xfId="4497" applyFont="1" applyFill="1"/>
    <xf numFmtId="0" fontId="94" fillId="0" borderId="0" xfId="4497" applyFont="1" applyFill="1"/>
    <xf numFmtId="182" fontId="94" fillId="0" borderId="0" xfId="4497" applyNumberFormat="1" applyFont="1" applyFill="1" applyAlignment="1">
      <alignment horizontal="center"/>
    </xf>
    <xf numFmtId="182" fontId="94" fillId="0" borderId="0" xfId="4497" applyNumberFormat="1" applyFont="1" applyFill="1" applyBorder="1" applyAlignment="1">
      <alignment horizontal="center"/>
    </xf>
    <xf numFmtId="0" fontId="94" fillId="0" borderId="0" xfId="4497" applyFont="1" applyFill="1" applyAlignment="1">
      <alignment horizontal="center"/>
    </xf>
    <xf numFmtId="0" fontId="94" fillId="0" borderId="0" xfId="4497" applyFont="1" applyFill="1" applyAlignment="1">
      <alignment wrapText="1"/>
    </xf>
    <xf numFmtId="0" fontId="94" fillId="0" borderId="6" xfId="4497" applyFont="1" applyBorder="1" applyAlignment="1">
      <alignment horizontal="center"/>
    </xf>
    <xf numFmtId="0" fontId="94" fillId="0" borderId="0" xfId="4497" applyFont="1" applyFill="1" applyAlignment="1">
      <alignment horizontal="left"/>
    </xf>
    <xf numFmtId="2" fontId="94" fillId="0" borderId="0" xfId="4497" applyNumberFormat="1" applyFont="1" applyFill="1" applyAlignment="1">
      <alignment horizontal="center"/>
    </xf>
    <xf numFmtId="2" fontId="94" fillId="0" borderId="0" xfId="4497" applyNumberFormat="1" applyFont="1" applyFill="1" applyBorder="1" applyAlignment="1">
      <alignment horizontal="center"/>
    </xf>
    <xf numFmtId="2" fontId="94" fillId="0" borderId="0" xfId="4497" applyNumberFormat="1" applyFont="1" applyFill="1"/>
    <xf numFmtId="2" fontId="94" fillId="0" borderId="6" xfId="4497" applyNumberFormat="1" applyFont="1" applyFill="1" applyBorder="1"/>
    <xf numFmtId="181" fontId="94"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2" fillId="0" borderId="0" xfId="4496" applyFont="1" applyFill="1" applyBorder="1" applyAlignment="1" applyProtection="1">
      <alignment vertical="top" wrapText="1"/>
    </xf>
    <xf numFmtId="0" fontId="12" fillId="0" borderId="51" xfId="4496" applyFont="1" applyFill="1" applyBorder="1" applyAlignment="1" applyProtection="1">
      <alignment horizontal="left" vertical="top" wrapText="1"/>
    </xf>
    <xf numFmtId="0" fontId="12" fillId="0" borderId="51" xfId="4496" applyFont="1" applyFill="1" applyBorder="1" applyAlignment="1" applyProtection="1">
      <alignment horizontal="right"/>
    </xf>
    <xf numFmtId="0" fontId="12" fillId="0" borderId="52" xfId="4496" applyFont="1" applyFill="1" applyBorder="1" applyAlignment="1" applyProtection="1">
      <alignment horizontal="right"/>
    </xf>
    <xf numFmtId="0" fontId="12" fillId="0" borderId="54" xfId="4496" applyFont="1" applyFill="1" applyBorder="1" applyAlignment="1" applyProtection="1">
      <alignment horizontal="right"/>
    </xf>
    <xf numFmtId="0" fontId="12" fillId="0" borderId="58" xfId="4496" applyFont="1" applyFill="1" applyBorder="1" applyAlignment="1" applyProtection="1">
      <alignment horizontal="left" vertical="top" wrapText="1"/>
    </xf>
    <xf numFmtId="0" fontId="12" fillId="0" borderId="58" xfId="4496" applyFont="1" applyFill="1" applyBorder="1" applyAlignment="1" applyProtection="1">
      <alignment horizontal="right"/>
    </xf>
    <xf numFmtId="0" fontId="12" fillId="0" borderId="59" xfId="4496" applyFont="1" applyFill="1" applyBorder="1" applyAlignment="1" applyProtection="1">
      <alignment horizontal="right"/>
    </xf>
    <xf numFmtId="0" fontId="42" fillId="0" borderId="0" xfId="4496" applyFont="1" applyFill="1" applyBorder="1" applyAlignment="1" applyProtection="1">
      <alignment horizontal="left" vertical="top" wrapText="1"/>
    </xf>
    <xf numFmtId="0" fontId="19" fillId="0" borderId="0" xfId="1193" applyFont="1" applyFill="1" applyBorder="1" applyAlignment="1" applyProtection="1">
      <alignment horizontal="left"/>
    </xf>
    <xf numFmtId="0" fontId="12" fillId="0" borderId="0" xfId="1193" applyFont="1" applyAlignment="1" applyProtection="1">
      <alignment horizontal="left" vertical="top"/>
    </xf>
    <xf numFmtId="0" fontId="12" fillId="0" borderId="0" xfId="1193" applyFont="1" applyFill="1"/>
    <xf numFmtId="0" fontId="30" fillId="0" borderId="0" xfId="1193" applyFont="1" applyAlignment="1" applyProtection="1">
      <alignment horizontal="left" vertical="top"/>
    </xf>
    <xf numFmtId="0" fontId="12" fillId="0" borderId="0" xfId="1193" applyFont="1" applyAlignment="1" applyProtection="1">
      <alignment vertical="top"/>
    </xf>
    <xf numFmtId="0" fontId="12" fillId="0" borderId="0" xfId="1193" applyFont="1" applyAlignment="1" applyProtection="1"/>
    <xf numFmtId="168" fontId="12" fillId="0" borderId="0" xfId="1193" applyNumberFormat="1" applyFont="1" applyAlignment="1" applyProtection="1"/>
    <xf numFmtId="165" fontId="12" fillId="0" borderId="0" xfId="1193" applyNumberFormat="1" applyFont="1" applyFill="1" applyBorder="1" applyAlignment="1" applyProtection="1"/>
    <xf numFmtId="168" fontId="12" fillId="0" borderId="0" xfId="1193" applyNumberFormat="1" applyFont="1" applyFill="1" applyBorder="1" applyAlignment="1" applyProtection="1"/>
    <xf numFmtId="165" fontId="12" fillId="0" borderId="0" xfId="1193" applyNumberFormat="1" applyFont="1" applyFill="1" applyBorder="1" applyAlignment="1" applyProtection="1">
      <alignment horizontal="right"/>
    </xf>
    <xf numFmtId="0" fontId="12" fillId="0" borderId="0" xfId="1193" applyFont="1" applyFill="1" applyBorder="1" applyProtection="1"/>
    <xf numFmtId="0" fontId="12" fillId="0" borderId="0" xfId="1193" applyFont="1" applyFill="1" applyBorder="1" applyAlignment="1" applyProtection="1"/>
    <xf numFmtId="2" fontId="12" fillId="0" borderId="0" xfId="1193" applyNumberFormat="1" applyFont="1" applyFill="1" applyBorder="1" applyAlignment="1" applyProtection="1"/>
    <xf numFmtId="0" fontId="12" fillId="0" borderId="0" xfId="1193" applyFont="1" applyFill="1" applyBorder="1" applyAlignment="1" applyProtection="1">
      <alignment horizontal="center"/>
    </xf>
    <xf numFmtId="6" fontId="12" fillId="0" borderId="0" xfId="1193" applyNumberFormat="1" applyFont="1" applyFill="1" applyBorder="1" applyAlignment="1" applyProtection="1"/>
    <xf numFmtId="0" fontId="19" fillId="0" borderId="0" xfId="1193" applyFont="1" applyFill="1" applyBorder="1" applyAlignment="1" applyProtection="1"/>
    <xf numFmtId="0" fontId="42" fillId="0" borderId="0" xfId="1193" applyFont="1" applyFill="1" applyBorder="1" applyAlignment="1" applyProtection="1"/>
    <xf numFmtId="168" fontId="12" fillId="0" borderId="0" xfId="4496" applyNumberFormat="1" applyFont="1" applyFill="1" applyBorder="1" applyAlignment="1" applyProtection="1"/>
    <xf numFmtId="0" fontId="19" fillId="0" borderId="0" xfId="1193" applyFont="1" applyFill="1" applyBorder="1" applyAlignment="1" applyProtection="1">
      <alignment vertical="center"/>
    </xf>
    <xf numFmtId="0" fontId="113" fillId="0" borderId="0" xfId="1193" applyFont="1" applyBorder="1" applyAlignment="1" applyProtection="1">
      <alignment horizontal="left"/>
    </xf>
    <xf numFmtId="0" fontId="12" fillId="0" borderId="0" xfId="1193" applyFont="1" applyFill="1" applyBorder="1"/>
    <xf numFmtId="0" fontId="110" fillId="0" borderId="0" xfId="1193" applyFont="1" applyBorder="1" applyAlignment="1" applyProtection="1">
      <alignment horizontal="left"/>
    </xf>
    <xf numFmtId="0" fontId="12" fillId="0" borderId="0" xfId="1193" applyFont="1" applyBorder="1" applyAlignment="1" applyProtection="1">
      <alignment horizontal="center"/>
    </xf>
    <xf numFmtId="0" fontId="110" fillId="0" borderId="0" xfId="1193" applyFont="1" applyBorder="1" applyAlignment="1" applyProtection="1">
      <alignment horizontal="center"/>
    </xf>
    <xf numFmtId="168" fontId="12" fillId="0" borderId="0" xfId="1193" applyNumberFormat="1" applyFont="1" applyFill="1" applyAlignment="1" applyProtection="1">
      <alignment horizontal="center"/>
    </xf>
    <xf numFmtId="9" fontId="12" fillId="0" borderId="0" xfId="1193" applyNumberFormat="1" applyFont="1" applyFill="1" applyBorder="1" applyAlignment="1" applyProtection="1"/>
    <xf numFmtId="0" fontId="12" fillId="0" borderId="0" xfId="1193" applyFont="1" applyAlignment="1" applyProtection="1">
      <alignment horizontal="right"/>
    </xf>
    <xf numFmtId="0" fontId="12" fillId="0" borderId="53" xfId="4496" applyFont="1" applyFill="1" applyBorder="1" applyAlignment="1" applyProtection="1">
      <alignment horizontal="left"/>
    </xf>
    <xf numFmtId="0" fontId="19" fillId="0" borderId="0" xfId="1193" applyFont="1" applyBorder="1" applyProtection="1"/>
    <xf numFmtId="6" fontId="19" fillId="0" borderId="0" xfId="1193" applyNumberFormat="1" applyFont="1" applyBorder="1" applyAlignment="1" applyProtection="1">
      <alignment horizontal="right"/>
    </xf>
    <xf numFmtId="0" fontId="19" fillId="0" borderId="0" xfId="1193" applyFont="1" applyFill="1" applyBorder="1" applyAlignment="1" applyProtection="1">
      <alignment horizontal="right"/>
    </xf>
    <xf numFmtId="165" fontId="12" fillId="0" borderId="0" xfId="4496" applyNumberFormat="1" applyFont="1" applyFill="1" applyBorder="1" applyAlignment="1" applyProtection="1"/>
    <xf numFmtId="0" fontId="50" fillId="0" borderId="4" xfId="4496" applyFont="1" applyFill="1" applyBorder="1" applyProtection="1"/>
    <xf numFmtId="0" fontId="94" fillId="0" borderId="0" xfId="4497" applyFont="1" applyFill="1" applyAlignment="1"/>
    <xf numFmtId="1" fontId="94" fillId="0" borderId="0" xfId="4497" applyNumberFormat="1" applyFont="1" applyFill="1"/>
    <xf numFmtId="1" fontId="94" fillId="0" borderId="6" xfId="4497" applyNumberFormat="1" applyFont="1" applyFill="1" applyBorder="1"/>
    <xf numFmtId="0" fontId="32" fillId="0" borderId="0" xfId="543" applyNumberFormat="1" applyFont="1" applyFill="1" applyBorder="1" applyAlignment="1" applyProtection="1">
      <alignment vertical="center" wrapText="1"/>
    </xf>
    <xf numFmtId="168" fontId="94" fillId="0" borderId="0" xfId="4500" applyNumberFormat="1" applyFont="1" applyBorder="1" applyAlignment="1">
      <alignment vertical="center"/>
    </xf>
    <xf numFmtId="2" fontId="94" fillId="0" borderId="0" xfId="4497" applyNumberFormat="1" applyFont="1" applyFill="1" applyBorder="1"/>
    <xf numFmtId="175" fontId="94" fillId="0" borderId="0" xfId="4500" applyNumberFormat="1" applyFont="1" applyFill="1" applyBorder="1" applyAlignment="1">
      <alignment vertical="center"/>
    </xf>
    <xf numFmtId="1" fontId="19" fillId="0" borderId="13" xfId="271" applyNumberFormat="1" applyFont="1" applyBorder="1" applyProtection="1"/>
    <xf numFmtId="1" fontId="21" fillId="0" borderId="13" xfId="271" applyNumberFormat="1" applyFont="1" applyBorder="1" applyProtection="1"/>
    <xf numFmtId="0" fontId="19" fillId="0" borderId="0" xfId="271" applyFont="1" applyBorder="1" applyAlignment="1" applyProtection="1"/>
    <xf numFmtId="49" fontId="131" fillId="0" borderId="0" xfId="570" applyNumberFormat="1" applyFont="1" applyFill="1" applyBorder="1" applyAlignment="1" applyProtection="1">
      <alignment vertical="center"/>
    </xf>
    <xf numFmtId="0" fontId="17" fillId="0" borderId="0" xfId="570" applyFont="1" applyBorder="1"/>
    <xf numFmtId="0" fontId="17" fillId="0" borderId="0" xfId="570" applyFont="1" applyFill="1" applyBorder="1"/>
    <xf numFmtId="0" fontId="17" fillId="0" borderId="0" xfId="570" applyFont="1" applyBorder="1" applyAlignment="1">
      <alignment horizontal="left" vertical="center" wrapText="1"/>
    </xf>
    <xf numFmtId="0" fontId="17" fillId="0" borderId="0" xfId="570" applyFont="1" applyBorder="1" applyAlignment="1">
      <alignment horizontal="left" vertical="center"/>
    </xf>
    <xf numFmtId="1" fontId="17" fillId="0" borderId="6" xfId="570" applyNumberFormat="1" applyFont="1" applyFill="1" applyBorder="1" applyAlignment="1">
      <alignment horizontal="left" vertical="center" wrapText="1"/>
    </xf>
    <xf numFmtId="0" fontId="17" fillId="0" borderId="6" xfId="570" applyFont="1" applyFill="1" applyBorder="1" applyAlignment="1" applyProtection="1">
      <alignment horizontal="left" vertical="center" wrapText="1"/>
    </xf>
    <xf numFmtId="0" fontId="17" fillId="5" borderId="6" xfId="570" applyFont="1" applyFill="1" applyBorder="1" applyAlignment="1" applyProtection="1">
      <alignment horizontal="left" vertical="center" wrapText="1"/>
      <protection locked="0"/>
    </xf>
    <xf numFmtId="0" fontId="17" fillId="0" borderId="0" xfId="570" applyFont="1" applyBorder="1" applyAlignment="1">
      <alignment horizontal="left"/>
    </xf>
    <xf numFmtId="0" fontId="17" fillId="0" borderId="0" xfId="570" applyFont="1" applyBorder="1" applyAlignment="1" applyProtection="1">
      <alignment horizontal="left"/>
    </xf>
    <xf numFmtId="0" fontId="17" fillId="0" borderId="6" xfId="570" applyFont="1" applyFill="1" applyBorder="1" applyAlignment="1" applyProtection="1">
      <alignment horizontal="left" wrapText="1"/>
    </xf>
    <xf numFmtId="0" fontId="17" fillId="0" borderId="6" xfId="570" applyFont="1" applyBorder="1"/>
    <xf numFmtId="0" fontId="19" fillId="43" borderId="8" xfId="570" applyFont="1" applyFill="1" applyBorder="1" applyAlignment="1"/>
    <xf numFmtId="0" fontId="12"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7" fillId="0" borderId="8" xfId="570" applyNumberFormat="1" applyFont="1" applyBorder="1"/>
    <xf numFmtId="0" fontId="17" fillId="5" borderId="14" xfId="570" applyFont="1" applyFill="1" applyBorder="1" applyProtection="1">
      <protection locked="0"/>
    </xf>
    <xf numFmtId="168" fontId="17" fillId="5" borderId="14" xfId="570" applyNumberFormat="1" applyFont="1" applyFill="1" applyBorder="1" applyProtection="1">
      <protection locked="0"/>
    </xf>
    <xf numFmtId="49" fontId="17" fillId="5" borderId="14" xfId="570" applyNumberFormat="1" applyFont="1" applyFill="1" applyBorder="1" applyProtection="1">
      <protection locked="0"/>
    </xf>
    <xf numFmtId="3" fontId="17" fillId="5" borderId="14" xfId="570" applyNumberFormat="1" applyFont="1" applyFill="1" applyBorder="1" applyProtection="1">
      <protection locked="0"/>
    </xf>
    <xf numFmtId="0" fontId="17" fillId="0" borderId="12" xfId="570" applyFont="1" applyFill="1" applyBorder="1"/>
    <xf numFmtId="0" fontId="17" fillId="5" borderId="12" xfId="570" applyFont="1" applyFill="1" applyBorder="1" applyProtection="1">
      <protection locked="0"/>
    </xf>
    <xf numFmtId="49" fontId="17" fillId="0" borderId="9" xfId="570" applyNumberFormat="1" applyFont="1" applyBorder="1"/>
    <xf numFmtId="0" fontId="17" fillId="0" borderId="6" xfId="570" applyFont="1" applyFill="1" applyBorder="1"/>
    <xf numFmtId="0" fontId="17" fillId="0" borderId="10" xfId="570" applyFont="1" applyFill="1" applyBorder="1"/>
    <xf numFmtId="49" fontId="19" fillId="43" borderId="8" xfId="570" applyNumberFormat="1" applyFont="1" applyFill="1" applyBorder="1"/>
    <xf numFmtId="0" fontId="17" fillId="43" borderId="0" xfId="570" applyFont="1" applyFill="1" applyBorder="1"/>
    <xf numFmtId="0" fontId="17" fillId="49" borderId="14" xfId="570" applyFont="1" applyFill="1" applyBorder="1" applyProtection="1"/>
    <xf numFmtId="3" fontId="17" fillId="49" borderId="14" xfId="570" applyNumberFormat="1" applyFont="1" applyFill="1" applyBorder="1" applyProtection="1"/>
    <xf numFmtId="49" fontId="17" fillId="49" borderId="14" xfId="570" applyNumberFormat="1" applyFont="1" applyFill="1" applyBorder="1" applyProtection="1"/>
    <xf numFmtId="0" fontId="17" fillId="0" borderId="9" xfId="570" applyFont="1" applyBorder="1"/>
    <xf numFmtId="49" fontId="61" fillId="43" borderId="8" xfId="570" applyNumberFormat="1" applyFont="1" applyFill="1" applyBorder="1"/>
    <xf numFmtId="0" fontId="17" fillId="49" borderId="14" xfId="570" applyFont="1" applyFill="1" applyBorder="1" applyProtection="1">
      <protection locked="0"/>
    </xf>
    <xf numFmtId="3" fontId="17" fillId="49" borderId="14" xfId="570" applyNumberFormat="1" applyFont="1" applyFill="1" applyBorder="1" applyProtection="1">
      <protection locked="0"/>
    </xf>
    <xf numFmtId="49" fontId="17" fillId="49" borderId="14" xfId="570" applyNumberFormat="1" applyFont="1" applyFill="1" applyBorder="1" applyProtection="1">
      <protection locked="0"/>
    </xf>
    <xf numFmtId="0" fontId="17" fillId="5" borderId="6" xfId="570" applyFont="1" applyFill="1" applyBorder="1" applyProtection="1">
      <protection locked="0"/>
    </xf>
    <xf numFmtId="0" fontId="17" fillId="5" borderId="4" xfId="570" applyFont="1" applyFill="1" applyBorder="1" applyProtection="1">
      <protection locked="0"/>
    </xf>
    <xf numFmtId="0" fontId="17" fillId="0" borderId="13" xfId="570" applyFont="1" applyBorder="1"/>
    <xf numFmtId="49" fontId="61" fillId="0" borderId="3" xfId="570" applyNumberFormat="1" applyFont="1" applyBorder="1"/>
    <xf numFmtId="0" fontId="17" fillId="0" borderId="4" xfId="570" applyFont="1" applyBorder="1"/>
    <xf numFmtId="0" fontId="17" fillId="3" borderId="13" xfId="570" applyFont="1" applyFill="1" applyBorder="1"/>
    <xf numFmtId="168" fontId="17" fillId="0" borderId="11" xfId="570" applyNumberFormat="1" applyFont="1" applyBorder="1"/>
    <xf numFmtId="0" fontId="17" fillId="3" borderId="5" xfId="570" applyFont="1" applyFill="1" applyBorder="1"/>
    <xf numFmtId="0" fontId="141" fillId="0" borderId="0" xfId="570" applyFont="1" applyBorder="1"/>
    <xf numFmtId="0" fontId="141" fillId="0" borderId="0" xfId="570" applyFont="1" applyBorder="1" applyProtection="1">
      <protection locked="0"/>
    </xf>
    <xf numFmtId="0" fontId="17" fillId="0" borderId="0" xfId="570" applyFont="1" applyBorder="1" applyProtection="1">
      <protection locked="0"/>
    </xf>
    <xf numFmtId="0" fontId="12" fillId="0" borderId="11" xfId="0" applyFont="1" applyBorder="1" applyProtection="1"/>
    <xf numFmtId="9" fontId="12"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20"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94"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5" fillId="0" borderId="0" xfId="4501"/>
    <xf numFmtId="0" fontId="99" fillId="0" borderId="0" xfId="4501" applyFont="1"/>
    <xf numFmtId="0" fontId="5" fillId="51" borderId="67" xfId="4501" applyFill="1" applyBorder="1"/>
    <xf numFmtId="0" fontId="5" fillId="51" borderId="0" xfId="4501" applyFill="1"/>
    <xf numFmtId="0" fontId="98" fillId="51" borderId="41" xfId="4501" applyFont="1" applyFill="1" applyBorder="1" applyAlignment="1">
      <alignment horizontal="center"/>
    </xf>
    <xf numFmtId="0" fontId="98" fillId="51" borderId="0" xfId="4501" applyFont="1" applyFill="1"/>
    <xf numFmtId="183" fontId="0" fillId="51" borderId="0" xfId="4502" applyNumberFormat="1" applyFont="1" applyFill="1" applyBorder="1" applyAlignment="1"/>
    <xf numFmtId="183" fontId="99" fillId="51" borderId="0" xfId="4502" applyNumberFormat="1" applyFont="1" applyFill="1" applyBorder="1" applyAlignment="1"/>
    <xf numFmtId="183" fontId="152" fillId="51" borderId="0" xfId="4502" applyNumberFormat="1" applyFont="1" applyFill="1" applyBorder="1" applyAlignment="1"/>
    <xf numFmtId="0" fontId="5" fillId="51" borderId="41" xfId="4501" applyFill="1" applyBorder="1"/>
    <xf numFmtId="0" fontId="99" fillId="51" borderId="0" xfId="4501" applyFont="1" applyFill="1"/>
    <xf numFmtId="0" fontId="158" fillId="51" borderId="0" xfId="4501" applyFont="1" applyFill="1"/>
    <xf numFmtId="0" fontId="98" fillId="51" borderId="41" xfId="4501" applyFont="1" applyFill="1" applyBorder="1"/>
    <xf numFmtId="0" fontId="98" fillId="0" borderId="0" xfId="4501" applyFont="1"/>
    <xf numFmtId="0" fontId="98" fillId="45" borderId="0" xfId="4501" applyFont="1" applyFill="1"/>
    <xf numFmtId="0" fontId="5" fillId="45" borderId="0" xfId="4501" applyFill="1"/>
    <xf numFmtId="0" fontId="160" fillId="51" borderId="0" xfId="4501" applyFont="1" applyFill="1"/>
    <xf numFmtId="0" fontId="5" fillId="50" borderId="66" xfId="4501" applyFill="1" applyBorder="1"/>
    <xf numFmtId="0" fontId="5" fillId="50" borderId="29" xfId="4501" applyFill="1" applyBorder="1"/>
    <xf numFmtId="0" fontId="5" fillId="50" borderId="31" xfId="4501" applyFill="1" applyBorder="1"/>
    <xf numFmtId="0" fontId="5" fillId="50" borderId="67" xfId="4501" applyFill="1" applyBorder="1"/>
    <xf numFmtId="0" fontId="5" fillId="50" borderId="0" xfId="4501" applyFill="1" applyBorder="1"/>
    <xf numFmtId="0" fontId="5" fillId="50" borderId="41" xfId="4501" applyFill="1" applyBorder="1"/>
    <xf numFmtId="0" fontId="5" fillId="50" borderId="88" xfId="4501" applyFill="1" applyBorder="1"/>
    <xf numFmtId="0" fontId="5" fillId="50" borderId="42" xfId="4501" applyFill="1" applyBorder="1"/>
    <xf numFmtId="0" fontId="5"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5" fillId="51" borderId="0" xfId="4501" applyFill="1" applyBorder="1"/>
    <xf numFmtId="0" fontId="98" fillId="51" borderId="67" xfId="4501" applyFont="1" applyFill="1" applyBorder="1"/>
    <xf numFmtId="49" fontId="98" fillId="51" borderId="67" xfId="4501" applyNumberFormat="1" applyFont="1" applyFill="1" applyBorder="1" applyAlignment="1">
      <alignment horizontal="right" vertical="top"/>
    </xf>
    <xf numFmtId="0" fontId="98" fillId="51" borderId="0" xfId="4501" applyFont="1" applyFill="1" applyBorder="1"/>
    <xf numFmtId="0" fontId="5" fillId="51" borderId="0" xfId="4501" applyFill="1" applyBorder="1" applyAlignment="1">
      <alignment vertical="top" wrapText="1"/>
    </xf>
    <xf numFmtId="0" fontId="5" fillId="51" borderId="88" xfId="4501" applyFill="1" applyBorder="1"/>
    <xf numFmtId="0" fontId="5" fillId="51" borderId="42" xfId="4501" applyFill="1" applyBorder="1"/>
    <xf numFmtId="0" fontId="5" fillId="51" borderId="44" xfId="4501" applyFill="1" applyBorder="1"/>
    <xf numFmtId="0" fontId="5" fillId="45" borderId="67" xfId="4501" applyFill="1" applyBorder="1"/>
    <xf numFmtId="0" fontId="5" fillId="45" borderId="0" xfId="4501" applyFill="1" applyBorder="1"/>
    <xf numFmtId="0" fontId="5" fillId="45" borderId="41" xfId="4501" applyFill="1" applyBorder="1"/>
    <xf numFmtId="0" fontId="5" fillId="45" borderId="0" xfId="4501" applyFill="1" applyBorder="1" applyAlignment="1">
      <alignment horizontal="left"/>
    </xf>
    <xf numFmtId="0" fontId="5" fillId="45" borderId="88" xfId="4501" applyFill="1" applyBorder="1"/>
    <xf numFmtId="0" fontId="5" fillId="45" borderId="42" xfId="4501" applyFill="1" applyBorder="1"/>
    <xf numFmtId="0" fontId="5" fillId="45" borderId="44" xfId="4501" applyFill="1" applyBorder="1"/>
    <xf numFmtId="0" fontId="165" fillId="0" borderId="0" xfId="4501" applyFont="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0" applyFont="1" applyBorder="1" applyAlignment="1" applyProtection="1"/>
    <xf numFmtId="0" fontId="19" fillId="0" borderId="5"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2" fillId="0" borderId="0" xfId="4496" applyFont="1" applyFill="1" applyBorder="1" applyAlignment="1" applyProtection="1">
      <alignment horizontal="left" vertical="center" wrapText="1"/>
    </xf>
    <xf numFmtId="0" fontId="19" fillId="0" borderId="0" xfId="4496" applyFont="1" applyAlignment="1" applyProtection="1">
      <alignment horizontal="right"/>
    </xf>
    <xf numFmtId="0" fontId="19" fillId="0" borderId="0" xfId="4496" applyFont="1" applyFill="1" applyBorder="1" applyAlignment="1" applyProtection="1">
      <alignment horizontal="right"/>
    </xf>
    <xf numFmtId="0" fontId="19" fillId="0" borderId="0" xfId="4496" applyFont="1" applyFill="1" applyBorder="1" applyAlignment="1" applyProtection="1">
      <alignment horizontal="center" vertical="top"/>
    </xf>
    <xf numFmtId="0" fontId="12"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left" vertical="top"/>
    </xf>
    <xf numFmtId="0" fontId="20" fillId="0" borderId="0" xfId="4496" applyFont="1" applyFill="1" applyBorder="1" applyAlignment="1" applyProtection="1">
      <alignment horizontal="center"/>
    </xf>
    <xf numFmtId="0" fontId="19" fillId="0" borderId="54" xfId="4496" applyFont="1" applyBorder="1" applyAlignment="1" applyProtection="1">
      <alignment horizontal="center"/>
    </xf>
    <xf numFmtId="0" fontId="19" fillId="0" borderId="0" xfId="4496"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4"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70" applyNumberFormat="1" applyFont="1" applyBorder="1" applyAlignment="1">
      <alignment vertical="top"/>
    </xf>
    <xf numFmtId="0" fontId="49" fillId="0" borderId="0" xfId="271" applyFont="1" applyFill="1" applyAlignment="1" applyProtection="1">
      <alignment vertical="top" wrapText="1"/>
    </xf>
    <xf numFmtId="184" fontId="94" fillId="0" borderId="0" xfId="4497" applyNumberFormat="1" applyFont="1" applyFill="1" applyAlignment="1">
      <alignment vertical="center" wrapText="1"/>
    </xf>
    <xf numFmtId="164" fontId="94" fillId="0" borderId="0" xfId="4497" applyNumberFormat="1" applyFont="1" applyFill="1" applyAlignment="1">
      <alignment vertical="center" wrapText="1"/>
    </xf>
    <xf numFmtId="164" fontId="94" fillId="0" borderId="0" xfId="4497" applyNumberFormat="1" applyFont="1" applyAlignment="1">
      <alignment wrapText="1"/>
    </xf>
    <xf numFmtId="0" fontId="12" fillId="0" borderId="0" xfId="4496" applyNumberFormat="1" applyFont="1" applyAlignment="1" applyProtection="1">
      <alignment vertical="top" wrapText="1"/>
    </xf>
    <xf numFmtId="164" fontId="12" fillId="0" borderId="0" xfId="4496" applyNumberFormat="1" applyFont="1" applyFill="1" applyBorder="1" applyAlignment="1" applyProtection="1">
      <alignment horizontal="left" vertical="top"/>
    </xf>
    <xf numFmtId="164" fontId="12" fillId="0" borderId="0" xfId="4496" applyNumberFormat="1" applyFont="1" applyFill="1" applyBorder="1" applyAlignment="1" applyProtection="1">
      <alignment horizontal="left" vertical="top" wrapText="1"/>
    </xf>
    <xf numFmtId="0" fontId="12" fillId="0" borderId="0" xfId="1193" applyFont="1" applyFill="1" applyBorder="1" applyAlignment="1" applyProtection="1">
      <alignment vertical="top"/>
    </xf>
    <xf numFmtId="0" fontId="22" fillId="0" borderId="0" xfId="4496" applyFont="1" applyFill="1" applyBorder="1" applyProtection="1"/>
    <xf numFmtId="0" fontId="12"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2" fillId="0" borderId="0" xfId="4496" applyFont="1" applyFill="1" applyBorder="1" applyAlignment="1" applyProtection="1"/>
    <xf numFmtId="164" fontId="12" fillId="0" borderId="0" xfId="1193" applyNumberFormat="1" applyFont="1" applyFill="1" applyBorder="1" applyAlignment="1" applyProtection="1">
      <alignment horizontal="right"/>
    </xf>
    <xf numFmtId="164" fontId="12" fillId="0" borderId="0" xfId="4496" applyNumberFormat="1" applyFont="1" applyFill="1" applyBorder="1" applyAlignment="1" applyProtection="1">
      <alignment horizontal="right"/>
    </xf>
    <xf numFmtId="0" fontId="12" fillId="0" borderId="0" xfId="4496" applyFont="1" applyFill="1" applyBorder="1" applyAlignment="1" applyProtection="1">
      <alignment horizontal="left" vertical="top" wrapText="1" shrinkToFit="1"/>
    </xf>
    <xf numFmtId="0" fontId="12" fillId="0" borderId="0" xfId="4496" applyFont="1" applyAlignment="1">
      <alignment vertical="top" wrapText="1"/>
    </xf>
    <xf numFmtId="0" fontId="12" fillId="0" borderId="6" xfId="4496" applyFont="1" applyBorder="1" applyAlignment="1">
      <alignment vertical="top" wrapText="1"/>
    </xf>
    <xf numFmtId="0" fontId="12" fillId="0" borderId="0" xfId="4496" applyFont="1" applyBorder="1" applyAlignment="1">
      <alignment vertical="top" wrapText="1"/>
    </xf>
    <xf numFmtId="0" fontId="166" fillId="0" borderId="4" xfId="4496" applyFont="1" applyFill="1" applyBorder="1" applyAlignment="1" applyProtection="1"/>
    <xf numFmtId="0" fontId="12" fillId="0" borderId="4" xfId="4496" applyFont="1" applyFill="1" applyBorder="1" applyAlignment="1" applyProtection="1">
      <alignment horizontal="left" vertical="top" wrapText="1" shrinkToFit="1"/>
    </xf>
    <xf numFmtId="0" fontId="22" fillId="0" borderId="0" xfId="4496" applyFont="1" applyFill="1" applyBorder="1" applyAlignment="1" applyProtection="1">
      <alignment horizontal="left" vertical="top"/>
    </xf>
    <xf numFmtId="0" fontId="12" fillId="0" borderId="0" xfId="4496" applyFont="1" applyFill="1" applyBorder="1" applyAlignment="1" applyProtection="1">
      <alignment vertical="center" wrapText="1" shrinkToFit="1"/>
    </xf>
    <xf numFmtId="0" fontId="12" fillId="0" borderId="0" xfId="4496" applyFont="1" applyFill="1" applyBorder="1" applyAlignment="1" applyProtection="1">
      <alignment horizontal="left" vertical="top" shrinkToFit="1"/>
    </xf>
    <xf numFmtId="0" fontId="12" fillId="0" borderId="0" xfId="4496" applyFont="1" applyFill="1" applyBorder="1" applyAlignment="1" applyProtection="1">
      <alignment horizontal="left" vertical="center" shrinkToFit="1"/>
    </xf>
    <xf numFmtId="0" fontId="22" fillId="0" borderId="4" xfId="4496" applyFont="1" applyFill="1" applyBorder="1" applyProtection="1"/>
    <xf numFmtId="0" fontId="12" fillId="0" borderId="4" xfId="4496" applyFont="1" applyFill="1" applyBorder="1" applyAlignment="1" applyProtection="1">
      <alignment horizontal="left" vertical="top" shrinkToFit="1"/>
    </xf>
    <xf numFmtId="0" fontId="12" fillId="0" borderId="0" xfId="4496" applyFont="1" applyAlignment="1" applyProtection="1">
      <alignment vertical="center"/>
    </xf>
    <xf numFmtId="0" fontId="18" fillId="0" borderId="0" xfId="4496" applyFont="1" applyFill="1" applyBorder="1" applyAlignment="1" applyProtection="1"/>
    <xf numFmtId="0" fontId="22" fillId="0" borderId="0" xfId="4496" applyFont="1" applyFill="1" applyProtection="1"/>
    <xf numFmtId="0" fontId="30" fillId="0" borderId="0" xfId="4496" applyFont="1" applyFill="1" applyBorder="1" applyAlignment="1" applyProtection="1"/>
    <xf numFmtId="0" fontId="22" fillId="0" borderId="0" xfId="4496" applyFont="1" applyFill="1" applyBorder="1" applyAlignment="1" applyProtection="1">
      <alignment horizontal="center"/>
    </xf>
    <xf numFmtId="0" fontId="12" fillId="0" borderId="4" xfId="4496" applyFont="1" applyFill="1" applyBorder="1" applyAlignment="1" applyProtection="1">
      <alignment horizontal="left" vertical="top" wrapText="1"/>
    </xf>
    <xf numFmtId="44" fontId="12" fillId="0" borderId="0" xfId="708" applyFont="1" applyFill="1" applyBorder="1" applyAlignment="1" applyProtection="1">
      <alignment horizontal="left" vertical="top" wrapText="1"/>
    </xf>
    <xf numFmtId="44" fontId="12" fillId="0" borderId="4" xfId="708" applyFont="1" applyFill="1" applyBorder="1" applyAlignment="1" applyProtection="1">
      <alignment horizontal="left" vertical="top" wrapText="1"/>
    </xf>
    <xf numFmtId="164" fontId="30" fillId="0" borderId="0" xfId="4496" applyNumberFormat="1" applyFont="1" applyFill="1" applyBorder="1" applyAlignment="1" applyProtection="1">
      <alignment horizontal="left"/>
    </xf>
    <xf numFmtId="0" fontId="22" fillId="0" borderId="0" xfId="4496" applyFont="1" applyFill="1" applyBorder="1" applyAlignment="1" applyProtection="1">
      <alignment horizontal="left"/>
    </xf>
    <xf numFmtId="0" fontId="12" fillId="0" borderId="0" xfId="4496" applyFont="1" applyFill="1" applyBorder="1" applyAlignment="1" applyProtection="1">
      <alignment vertical="center"/>
    </xf>
    <xf numFmtId="0" fontId="12" fillId="0" borderId="4" xfId="4496" applyFont="1" applyFill="1" applyBorder="1" applyAlignment="1" applyProtection="1">
      <alignment vertical="top" wrapText="1"/>
    </xf>
    <xf numFmtId="0" fontId="22" fillId="0" borderId="4" xfId="4496" applyFont="1" applyFill="1" applyBorder="1" applyAlignment="1" applyProtection="1">
      <alignment horizontal="left" vertical="top"/>
    </xf>
    <xf numFmtId="0" fontId="12" fillId="0" borderId="0" xfId="4496" applyFont="1" applyFill="1" applyBorder="1" applyAlignment="1" applyProtection="1">
      <alignment horizontal="left" vertical="center" wrapText="1" shrinkToFit="1"/>
    </xf>
    <xf numFmtId="0" fontId="12" fillId="0" borderId="6" xfId="4496" applyFont="1" applyFill="1" applyBorder="1" applyAlignment="1" applyProtection="1">
      <alignment horizontal="left" vertical="top" wrapText="1"/>
    </xf>
    <xf numFmtId="0" fontId="20" fillId="0" borderId="0" xfId="4496" applyFont="1" applyBorder="1" applyAlignment="1"/>
    <xf numFmtId="0" fontId="28" fillId="0" borderId="0" xfId="4496" applyFont="1" applyFill="1" applyBorder="1" applyAlignment="1">
      <alignment horizontal="center"/>
    </xf>
    <xf numFmtId="2" fontId="113" fillId="0" borderId="0" xfId="0" applyNumberFormat="1" applyFont="1" applyFill="1" applyAlignment="1">
      <alignment horizontal="center"/>
    </xf>
    <xf numFmtId="9" fontId="12" fillId="0" borderId="0" xfId="4495"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7" fillId="0" borderId="0" xfId="4497" applyFont="1" applyBorder="1" applyAlignment="1">
      <alignment vertical="center"/>
    </xf>
    <xf numFmtId="0" fontId="12" fillId="0" borderId="50" xfId="4496" applyFont="1" applyFill="1" applyBorder="1" applyAlignment="1" applyProtection="1">
      <alignment vertical="center"/>
    </xf>
    <xf numFmtId="0" fontId="12" fillId="0" borderId="51" xfId="4496" applyFont="1" applyFill="1" applyBorder="1" applyAlignment="1" applyProtection="1">
      <alignment vertical="center"/>
    </xf>
    <xf numFmtId="0" fontId="12" fillId="0" borderId="52" xfId="4496" applyFont="1" applyFill="1" applyBorder="1" applyAlignment="1" applyProtection="1">
      <alignment vertical="center"/>
    </xf>
    <xf numFmtId="0" fontId="12" fillId="0" borderId="54" xfId="4496" applyFont="1" applyFill="1" applyBorder="1" applyAlignment="1" applyProtection="1">
      <alignment vertical="center" wrapText="1"/>
    </xf>
    <xf numFmtId="0" fontId="12" fillId="0" borderId="53" xfId="4496"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7" applyFont="1" applyProtection="1"/>
    <xf numFmtId="0" fontId="4" fillId="0" borderId="0" xfId="4501" applyFont="1"/>
    <xf numFmtId="0" fontId="4" fillId="51" borderId="0" xfId="4501" applyFont="1" applyFill="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0" applyFont="1" applyAlignment="1">
      <alignment horizontal="left" wrapText="1"/>
    </xf>
    <xf numFmtId="0" fontId="12" fillId="0" borderId="0" xfId="1193"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4" fontId="12" fillId="0" borderId="0" xfId="1193" applyNumberFormat="1" applyFont="1" applyFill="1" applyAlignment="1" applyProtection="1">
      <alignment horizontal="left" vertical="top" wrapText="1"/>
    </xf>
    <xf numFmtId="0" fontId="30" fillId="0" borderId="0" xfId="0" applyFont="1" applyFill="1" applyAlignment="1">
      <alignment horizontal="left"/>
    </xf>
    <xf numFmtId="0" fontId="30" fillId="0" borderId="0" xfId="0" applyFont="1" applyAlignment="1">
      <alignment horizontal="left"/>
    </xf>
    <xf numFmtId="0" fontId="19" fillId="0" borderId="0" xfId="0" applyFont="1" applyAlignment="1">
      <alignment horizontal="left"/>
    </xf>
    <xf numFmtId="0" fontId="12" fillId="0" borderId="0" xfId="570" applyFont="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70" applyFont="1" applyAlignment="1">
      <alignment horizontal="left" vertical="top"/>
    </xf>
    <xf numFmtId="0" fontId="19" fillId="0" borderId="0" xfId="570"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70" applyFont="1" applyAlignment="1" applyProtection="1">
      <alignment horizontal="left" vertical="top"/>
    </xf>
    <xf numFmtId="0" fontId="12" fillId="0" borderId="0" xfId="570"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6" applyFont="1" applyAlignment="1" applyProtection="1">
      <alignment horizontal="center"/>
    </xf>
    <xf numFmtId="43" fontId="12" fillId="0" borderId="0" xfId="4506" applyFont="1" applyAlignment="1" applyProtection="1">
      <alignment horizontal="center"/>
    </xf>
    <xf numFmtId="43" fontId="12" fillId="0" borderId="0" xfId="4506" applyFont="1" applyProtection="1"/>
    <xf numFmtId="0" fontId="19" fillId="0" borderId="0" xfId="0" applyFont="1" applyAlignment="1">
      <alignment vertical="top"/>
    </xf>
    <xf numFmtId="0" fontId="19" fillId="0" borderId="0" xfId="570" applyFont="1" applyAlignment="1" applyProtection="1">
      <alignment horizontal="lef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3"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3" applyFont="1" applyFill="1"/>
    <xf numFmtId="49" fontId="12" fillId="0" borderId="0" xfId="0" applyNumberFormat="1" applyFont="1" applyAlignment="1" applyProtection="1">
      <alignment horizontal="center"/>
    </xf>
    <xf numFmtId="4" fontId="12" fillId="0" borderId="0" xfId="1193" applyNumberFormat="1" applyFont="1" applyFill="1" applyAlignment="1" applyProtection="1">
      <alignment horizontal="left"/>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vertical="top" wrapText="1"/>
    </xf>
    <xf numFmtId="0" fontId="12"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2" fillId="0" borderId="0" xfId="0" applyNumberFormat="1" applyFont="1" applyFill="1" applyAlignment="1" applyProtection="1">
      <alignment horizontal="center"/>
    </xf>
    <xf numFmtId="0" fontId="12" fillId="0" borderId="0" xfId="1193" applyFont="1" applyAlignment="1">
      <alignment horizontal="left" wrapText="1"/>
    </xf>
    <xf numFmtId="49" fontId="12" fillId="0" borderId="0" xfId="1193" applyNumberFormat="1" applyFont="1" applyAlignment="1">
      <alignment horizontal="center"/>
    </xf>
    <xf numFmtId="49" fontId="12" fillId="0" borderId="0" xfId="1193" applyNumberFormat="1" applyFont="1" applyFill="1"/>
    <xf numFmtId="49" fontId="12" fillId="0" borderId="0" xfId="1193" applyNumberFormat="1" applyFont="1" applyAlignment="1" applyProtection="1">
      <alignment horizontal="center"/>
    </xf>
    <xf numFmtId="0" fontId="42" fillId="0" borderId="0" xfId="0" applyFont="1" applyAlignment="1">
      <alignment horizontal="left"/>
    </xf>
    <xf numFmtId="49" fontId="12" fillId="0" borderId="0" xfId="0" applyNumberFormat="1" applyFont="1" applyAlignment="1">
      <alignment horizontal="left" vertical="top" wrapText="1"/>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6" applyNumberFormat="1" applyFont="1" applyFill="1" applyProtection="1"/>
    <xf numFmtId="0" fontId="12" fillId="0" borderId="0" xfId="4496"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6" applyNumberFormat="1" applyFont="1" applyFill="1" applyProtection="1"/>
    <xf numFmtId="0" fontId="12" fillId="0" borderId="0" xfId="570"/>
    <xf numFmtId="4" fontId="12" fillId="0" borderId="0" xfId="570" applyNumberFormat="1" applyFont="1" applyFill="1" applyAlignment="1" applyProtection="1">
      <alignment horizontal="left"/>
    </xf>
    <xf numFmtId="0" fontId="12" fillId="0" borderId="0" xfId="570" applyFont="1" applyProtection="1"/>
    <xf numFmtId="0" fontId="12" fillId="0" borderId="0" xfId="570" applyProtection="1"/>
    <xf numFmtId="0" fontId="12" fillId="0" borderId="0" xfId="570" applyFill="1" applyProtection="1"/>
    <xf numFmtId="0" fontId="19" fillId="0" borderId="0" xfId="570" applyFont="1" applyProtection="1"/>
    <xf numFmtId="0" fontId="12" fillId="5" borderId="6" xfId="570" applyFill="1" applyBorder="1" applyAlignment="1" applyProtection="1">
      <protection locked="0"/>
    </xf>
    <xf numFmtId="0" fontId="12" fillId="0" borderId="0" xfId="570" applyFont="1" applyFill="1" applyAlignment="1">
      <alignment horizontal="center"/>
    </xf>
    <xf numFmtId="0" fontId="12" fillId="0" borderId="0" xfId="1193"/>
    <xf numFmtId="0" fontId="12" fillId="0" borderId="0" xfId="1193" applyFont="1" applyAlignment="1" applyProtection="1">
      <alignment vertical="top" wrapText="1"/>
    </xf>
    <xf numFmtId="0" fontId="12"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9"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6" applyFont="1" applyFill="1" applyBorder="1" applyAlignment="1" applyProtection="1">
      <alignment horizontal="center"/>
    </xf>
    <xf numFmtId="0" fontId="19"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vertical="top"/>
    </xf>
    <xf numFmtId="0" fontId="20" fillId="0" borderId="0" xfId="4496" applyFont="1" applyFill="1" applyBorder="1" applyAlignment="1" applyProtection="1">
      <alignment horizontal="center"/>
    </xf>
    <xf numFmtId="0" fontId="12" fillId="0" borderId="0" xfId="543" applyFont="1" applyAlignment="1" applyProtection="1">
      <alignment horizontal="center"/>
    </xf>
    <xf numFmtId="0" fontId="19" fillId="0" borderId="0" xfId="4496" applyFont="1" applyFill="1" applyBorder="1" applyAlignment="1" applyProtection="1">
      <alignment horizontal="left" vertical="top"/>
    </xf>
    <xf numFmtId="0" fontId="12" fillId="0" borderId="0" xfId="1193" applyFont="1" applyAlignment="1" applyProtection="1">
      <alignment horizontal="right"/>
    </xf>
    <xf numFmtId="9" fontId="12" fillId="0" borderId="0" xfId="1193" quotePrefix="1" applyNumberFormat="1" applyFont="1" applyFill="1" applyBorder="1" applyAlignment="1" applyProtection="1">
      <alignment horizontal="center"/>
    </xf>
    <xf numFmtId="0" fontId="19"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2" fillId="0" borderId="0" xfId="4496"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3" applyNumberFormat="1" applyFont="1" applyFill="1" applyBorder="1" applyAlignment="1" applyProtection="1">
      <alignment horizontal="center"/>
    </xf>
    <xf numFmtId="0" fontId="115" fillId="0" borderId="64" xfId="4496" applyFill="1" applyBorder="1" applyAlignment="1" applyProtection="1"/>
    <xf numFmtId="0" fontId="28" fillId="0" borderId="0" xfId="4496"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5" fillId="51" borderId="67" xfId="4501" applyFill="1" applyBorder="1" applyProtection="1"/>
    <xf numFmtId="0" fontId="5" fillId="51" borderId="0" xfId="4501" applyFill="1" applyProtection="1"/>
    <xf numFmtId="0" fontId="98" fillId="51" borderId="0" xfId="4501" applyFont="1" applyFill="1" applyProtection="1"/>
    <xf numFmtId="0" fontId="5" fillId="0" borderId="0" xfId="4501" applyProtection="1"/>
    <xf numFmtId="0" fontId="0" fillId="0" borderId="0" xfId="0" applyAlignment="1" applyProtection="1"/>
    <xf numFmtId="0" fontId="0" fillId="0" borderId="0" xfId="0" applyFill="1" applyAlignment="1" applyProtection="1"/>
    <xf numFmtId="0" fontId="12" fillId="0" borderId="54" xfId="4496"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168" fontId="94" fillId="0" borderId="0" xfId="4500" applyNumberFormat="1" applyFont="1" applyFill="1" applyBorder="1" applyAlignment="1" applyProtection="1">
      <alignment vertical="center"/>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0" fontId="12" fillId="5" borderId="4" xfId="0"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0" fontId="0" fillId="5" borderId="107" xfId="0" applyFill="1" applyBorder="1" applyAlignment="1" applyProtection="1">
      <alignment horizontal="left"/>
      <protection locked="0"/>
    </xf>
    <xf numFmtId="0" fontId="0" fillId="5" borderId="106" xfId="0" applyFill="1" applyBorder="1" applyAlignment="1" applyProtection="1">
      <alignment horizontal="left"/>
      <protection locked="0"/>
    </xf>
    <xf numFmtId="0" fontId="0" fillId="5" borderId="107" xfId="0" applyFill="1" applyBorder="1" applyAlignment="1" applyProtection="1">
      <alignment horizontal="left"/>
      <protection locked="0"/>
    </xf>
    <xf numFmtId="0" fontId="0" fillId="5" borderId="106" xfId="0" applyFill="1" applyBorder="1" applyAlignment="1" applyProtection="1">
      <alignment horizontal="left"/>
      <protection locked="0"/>
    </xf>
    <xf numFmtId="0" fontId="0" fillId="5" borderId="107" xfId="0" applyFill="1" applyBorder="1" applyAlignment="1" applyProtection="1">
      <alignment horizontal="left"/>
      <protection locked="0"/>
    </xf>
    <xf numFmtId="0" fontId="0" fillId="5" borderId="106" xfId="0" applyFill="1" applyBorder="1" applyAlignment="1" applyProtection="1">
      <alignment horizontal="left"/>
      <protection locked="0"/>
    </xf>
    <xf numFmtId="0" fontId="0" fillId="5" borderId="107" xfId="0" applyFill="1" applyBorder="1" applyAlignment="1" applyProtection="1">
      <alignment horizontal="left"/>
      <protection locked="0"/>
    </xf>
    <xf numFmtId="0" fontId="0" fillId="5" borderId="106" xfId="0" applyFill="1" applyBorder="1" applyAlignment="1" applyProtection="1">
      <alignment horizontal="left"/>
      <protection locked="0"/>
    </xf>
    <xf numFmtId="0" fontId="0" fillId="5" borderId="107" xfId="0" applyFill="1" applyBorder="1" applyAlignment="1" applyProtection="1">
      <alignment horizontal="left"/>
      <protection locked="0"/>
    </xf>
    <xf numFmtId="0" fontId="0" fillId="5" borderId="106" xfId="0" applyFill="1" applyBorder="1" applyAlignment="1" applyProtection="1">
      <alignment horizontal="left"/>
      <protection locked="0"/>
    </xf>
    <xf numFmtId="0" fontId="0" fillId="5" borderId="107" xfId="0" applyFill="1" applyBorder="1" applyAlignment="1" applyProtection="1">
      <alignment horizontal="left"/>
      <protection locked="0"/>
    </xf>
    <xf numFmtId="0" fontId="0" fillId="5" borderId="106" xfId="0" applyFill="1" applyBorder="1" applyAlignment="1" applyProtection="1">
      <alignment horizontal="left"/>
      <protection locked="0"/>
    </xf>
    <xf numFmtId="166" fontId="12" fillId="5" borderId="106" xfId="0" applyNumberFormat="1" applyFont="1" applyFill="1" applyBorder="1" applyAlignment="1" applyProtection="1">
      <alignment horizontal="left"/>
      <protection locked="0"/>
    </xf>
    <xf numFmtId="0" fontId="0" fillId="5" borderId="107" xfId="0" applyFill="1" applyBorder="1" applyAlignment="1" applyProtection="1">
      <alignment horizontal="left"/>
      <protection locked="0"/>
    </xf>
    <xf numFmtId="0" fontId="0" fillId="5" borderId="106" xfId="0" applyFill="1" applyBorder="1" applyAlignment="1" applyProtection="1">
      <alignment horizontal="left"/>
      <protection locked="0"/>
    </xf>
    <xf numFmtId="0" fontId="49" fillId="5" borderId="11" xfId="0" applyFont="1" applyFill="1" applyBorder="1" applyAlignment="1" applyProtection="1">
      <alignment horizontal="right" vertical="top" wrapText="1"/>
      <protection locked="0"/>
    </xf>
    <xf numFmtId="9" fontId="12" fillId="0" borderId="11" xfId="4495" applyFont="1" applyBorder="1" applyAlignment="1">
      <alignment horizontal="center"/>
    </xf>
    <xf numFmtId="9" fontId="12" fillId="0" borderId="0" xfId="4495" applyFont="1" applyFill="1" applyAlignment="1">
      <alignment horizontal="center"/>
    </xf>
    <xf numFmtId="0" fontId="12" fillId="0" borderId="0" xfId="0" applyFont="1" applyAlignment="1">
      <alignment horizontal="left" vertical="top" wrapText="1"/>
    </xf>
    <xf numFmtId="0" fontId="13" fillId="0" borderId="0" xfId="244" applyBorder="1" applyAlignment="1" applyProtection="1">
      <alignment horizontal="left" vertical="top" wrapText="1"/>
    </xf>
    <xf numFmtId="0" fontId="12" fillId="0" borderId="0" xfId="0" applyFont="1" applyFill="1" applyAlignment="1">
      <alignment horizontal="left" vertical="top" wrapText="1"/>
    </xf>
    <xf numFmtId="0" fontId="12" fillId="0" borderId="0" xfId="1193" applyFont="1"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8"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0" fillId="0" borderId="0" xfId="0" applyFont="1" applyAlignment="1">
      <alignment horizontal="left" vertical="top" wrapText="1"/>
    </xf>
    <xf numFmtId="0" fontId="30" fillId="0" borderId="0" xfId="570" applyFont="1" applyAlignment="1">
      <alignment horizontal="left"/>
    </xf>
    <xf numFmtId="4" fontId="12" fillId="0" borderId="0" xfId="570" applyNumberFormat="1" applyFont="1" applyFill="1" applyAlignment="1" applyProtection="1">
      <alignment horizontal="left"/>
    </xf>
    <xf numFmtId="0" fontId="12" fillId="0" borderId="0" xfId="570" applyFont="1" applyFill="1" applyAlignment="1">
      <alignment horizontal="left" vertical="top" wrapText="1"/>
    </xf>
    <xf numFmtId="4" fontId="30" fillId="0" borderId="0" xfId="570" applyNumberFormat="1" applyFont="1" applyFill="1" applyAlignment="1" applyProtection="1">
      <alignment horizontal="left" vertical="top" wrapText="1"/>
    </xf>
    <xf numFmtId="4" fontId="12" fillId="0" borderId="0" xfId="570" applyNumberFormat="1" applyFont="1" applyFill="1" applyAlignment="1" applyProtection="1">
      <alignment horizontal="left" vertical="top" wrapText="1"/>
    </xf>
    <xf numFmtId="0" fontId="12" fillId="0" borderId="0" xfId="0" applyFont="1" applyAlignment="1" applyProtection="1">
      <alignment horizontal="left" vertical="top" wrapText="1"/>
    </xf>
    <xf numFmtId="0" fontId="21" fillId="0" borderId="0" xfId="0" applyFont="1" applyAlignment="1" applyProtection="1">
      <alignment horizontal="left" vertical="top"/>
    </xf>
    <xf numFmtId="0" fontId="12" fillId="0" borderId="0" xfId="0" applyFont="1" applyFill="1" applyAlignment="1" applyProtection="1">
      <alignment horizontal="left" vertical="top" wrapText="1"/>
    </xf>
    <xf numFmtId="0" fontId="30" fillId="0" borderId="0" xfId="0" applyFont="1" applyAlignment="1">
      <alignment horizontal="left"/>
    </xf>
    <xf numFmtId="0" fontId="12" fillId="0" borderId="0" xfId="0" applyFont="1" applyAlignment="1">
      <alignment horizontal="left"/>
    </xf>
    <xf numFmtId="0" fontId="19" fillId="0" borderId="4" xfId="570" applyFont="1" applyBorder="1" applyAlignment="1" applyProtection="1">
      <alignment horizontal="left"/>
    </xf>
    <xf numFmtId="0" fontId="19" fillId="0" borderId="4" xfId="570" applyFont="1" applyBorder="1" applyAlignment="1" applyProtection="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12" fillId="0" borderId="0" xfId="0" applyFont="1" applyFill="1" applyAlignment="1">
      <alignment horizontal="left"/>
    </xf>
    <xf numFmtId="0" fontId="12" fillId="0" borderId="0" xfId="0" applyFont="1" applyAlignment="1" applyProtection="1">
      <alignment horizontal="left"/>
    </xf>
    <xf numFmtId="0" fontId="21" fillId="0" borderId="0" xfId="0" applyFont="1" applyAlignment="1" applyProtection="1">
      <alignment horizontal="left"/>
    </xf>
    <xf numFmtId="0" fontId="13" fillId="0" borderId="0" xfId="244" quotePrefix="1" applyAlignment="1" applyProtection="1">
      <alignment horizontal="left"/>
    </xf>
    <xf numFmtId="0" fontId="19" fillId="0" borderId="4" xfId="0" applyFont="1" applyBorder="1" applyAlignment="1" applyProtection="1">
      <alignment horizontal="left"/>
    </xf>
    <xf numFmtId="0" fontId="12" fillId="0" borderId="0" xfId="0" applyFont="1" applyAlignment="1" applyProtection="1">
      <alignment horizontal="left" vertical="top"/>
    </xf>
    <xf numFmtId="0" fontId="19" fillId="0" borderId="4" xfId="570" applyFont="1" applyFill="1" applyBorder="1" applyAlignment="1" applyProtection="1">
      <alignment horizontal="left"/>
    </xf>
    <xf numFmtId="0" fontId="30" fillId="0" borderId="0" xfId="570" applyFont="1" applyFill="1" applyBorder="1" applyAlignment="1">
      <alignment horizontal="left" vertical="top"/>
    </xf>
    <xf numFmtId="0" fontId="12" fillId="0" borderId="0" xfId="570" applyFont="1" applyFill="1" applyBorder="1" applyAlignment="1">
      <alignment horizontal="left" vertical="top"/>
    </xf>
    <xf numFmtId="0" fontId="12" fillId="0" borderId="0" xfId="570" applyFont="1" applyAlignment="1">
      <alignment horizontal="left" vertical="top"/>
    </xf>
    <xf numFmtId="0" fontId="19" fillId="0" borderId="0" xfId="570"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4" fontId="12" fillId="0" borderId="0" xfId="1193" applyNumberFormat="1" applyFont="1" applyAlignment="1" applyProtection="1">
      <alignment horizontal="left" vertical="top" wrapText="1"/>
    </xf>
    <xf numFmtId="4" fontId="12" fillId="0" borderId="0" xfId="1193" applyNumberFormat="1" applyFont="1" applyFill="1" applyAlignment="1" applyProtection="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70" applyFont="1" applyBorder="1" applyAlignment="1">
      <alignment horizontal="left"/>
    </xf>
    <xf numFmtId="0" fontId="12" fillId="0" borderId="0" xfId="1193" applyFont="1" applyAlignment="1" applyProtection="1">
      <alignment horizontal="left" vertical="top" wrapText="1"/>
    </xf>
    <xf numFmtId="49" fontId="12" fillId="0" borderId="0" xfId="0" applyNumberFormat="1" applyFont="1" applyFill="1" applyAlignment="1">
      <alignment horizontal="left" vertical="top" wrapText="1"/>
    </xf>
    <xf numFmtId="49" fontId="12" fillId="0" borderId="0" xfId="1193" applyNumberFormat="1" applyFont="1" applyFill="1" applyAlignment="1">
      <alignment horizontal="left" vertical="top" wrapText="1"/>
    </xf>
    <xf numFmtId="0" fontId="12" fillId="0" borderId="0" xfId="1193" applyFont="1" applyFill="1" applyAlignment="1">
      <alignment horizontal="left" vertical="top" wrapText="1"/>
    </xf>
    <xf numFmtId="0" fontId="12" fillId="0" borderId="0" xfId="570" applyFont="1" applyAlignment="1">
      <alignment horizontal="left" vertical="top" wrapText="1"/>
    </xf>
    <xf numFmtId="0" fontId="30" fillId="0" borderId="0" xfId="570" applyFont="1" applyBorder="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12" fillId="0" borderId="0" xfId="570"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0" fontId="12" fillId="0" borderId="0" xfId="1193" applyFont="1" applyFill="1" applyBorder="1" applyAlignment="1" applyProtection="1">
      <alignment horizontal="left" vertical="top" wrapText="1"/>
    </xf>
    <xf numFmtId="0" fontId="13" fillId="0" borderId="0" xfId="244"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3" applyFont="1" applyAlignment="1" applyProtection="1">
      <alignment horizontal="left"/>
    </xf>
    <xf numFmtId="0" fontId="0" fillId="0" borderId="0" xfId="0" applyAlignment="1">
      <alignment horizontal="left" vertical="top" wrapText="1"/>
    </xf>
    <xf numFmtId="0" fontId="12" fillId="0" borderId="0" xfId="271" applyFont="1" applyFill="1" applyAlignment="1" applyProtection="1">
      <alignment horizontal="left" vertical="top" wrapText="1"/>
      <protection locked="0"/>
    </xf>
    <xf numFmtId="0" fontId="12" fillId="0" borderId="0" xfId="1193" applyFont="1" applyBorder="1" applyAlignment="1" applyProtection="1">
      <alignment horizontal="left" vertical="top" wrapText="1"/>
    </xf>
    <xf numFmtId="0" fontId="30" fillId="0" borderId="0" xfId="1193" applyFont="1" applyAlignment="1" applyProtection="1">
      <alignment horizontal="left"/>
    </xf>
    <xf numFmtId="0" fontId="12" fillId="0" borderId="0" xfId="1193" applyFont="1" applyFill="1" applyAlignment="1" applyProtection="1">
      <alignment horizontal="left"/>
    </xf>
    <xf numFmtId="0" fontId="12" fillId="0" borderId="0" xfId="1193" applyFont="1" applyFill="1" applyAlignment="1" applyProtection="1">
      <alignment horizontal="left" vertical="top" wrapText="1"/>
    </xf>
    <xf numFmtId="0" fontId="30" fillId="0" borderId="0" xfId="0" applyFont="1" applyFill="1" applyAlignment="1">
      <alignment horizontal="left"/>
    </xf>
    <xf numFmtId="0" fontId="19"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2" fillId="0" borderId="0" xfId="570" applyFont="1" applyAlignment="1">
      <alignment wrapText="1"/>
    </xf>
    <xf numFmtId="0" fontId="12" fillId="0" borderId="0" xfId="570" applyAlignment="1">
      <alignment wrapText="1"/>
    </xf>
    <xf numFmtId="0" fontId="19" fillId="0" borderId="0" xfId="570" applyFont="1" applyAlignment="1">
      <alignment wrapText="1"/>
    </xf>
    <xf numFmtId="0" fontId="60" fillId="0" borderId="0" xfId="570" applyFont="1" applyAlignment="1">
      <alignment horizontal="center"/>
    </xf>
    <xf numFmtId="0" fontId="12" fillId="0" borderId="0" xfId="570" applyAlignment="1"/>
    <xf numFmtId="0" fontId="27" fillId="0" borderId="0" xfId="570" applyFont="1" applyAlignment="1">
      <alignment horizontal="center"/>
    </xf>
    <xf numFmtId="0" fontId="12" fillId="0" borderId="0" xfId="570" applyFont="1" applyAlignment="1">
      <alignment horizontal="left" wrapText="1"/>
    </xf>
    <xf numFmtId="0" fontId="12" fillId="0" borderId="0" xfId="570" applyAlignment="1">
      <alignment horizontal="left" wrapText="1"/>
    </xf>
    <xf numFmtId="0" fontId="12" fillId="0" borderId="0" xfId="1193" applyFont="1" applyAlignment="1">
      <alignment wrapText="1"/>
    </xf>
    <xf numFmtId="0" fontId="12" fillId="0" borderId="0" xfId="1193" applyAlignment="1">
      <alignment wrapText="1"/>
    </xf>
    <xf numFmtId="0" fontId="12" fillId="0" borderId="0" xfId="570" applyFont="1" applyAlignment="1"/>
    <xf numFmtId="0" fontId="12" fillId="0" borderId="0" xfId="570" applyFont="1" applyAlignment="1" applyProtection="1">
      <alignment horizontal="left" vertical="top" wrapText="1"/>
    </xf>
    <xf numFmtId="0" fontId="12" fillId="0" borderId="0" xfId="570" applyFont="1" applyAlignment="1" applyProtection="1">
      <alignment horizontal="left" vertical="top"/>
    </xf>
    <xf numFmtId="0" fontId="30" fillId="0" borderId="0" xfId="570" applyFont="1" applyAlignment="1">
      <alignment horizontal="left" vertical="top" wrapText="1"/>
    </xf>
    <xf numFmtId="0" fontId="12" fillId="0" borderId="0" xfId="570" applyFont="1" applyAlignment="1" applyProtection="1">
      <alignment horizontal="left"/>
    </xf>
    <xf numFmtId="0" fontId="12" fillId="0" borderId="0" xfId="1193" applyFont="1" applyAlignment="1" applyProtection="1">
      <alignment vertical="top" wrapText="1"/>
    </xf>
    <xf numFmtId="0" fontId="30" fillId="0" borderId="0" xfId="570" applyFont="1" applyFill="1" applyAlignment="1">
      <alignment horizontal="left"/>
    </xf>
    <xf numFmtId="0" fontId="30" fillId="0" borderId="0" xfId="570" applyFont="1" applyAlignment="1">
      <alignment horizontal="left" wrapText="1"/>
    </xf>
    <xf numFmtId="0" fontId="12" fillId="0" borderId="0" xfId="570" applyFont="1" applyFill="1" applyAlignment="1" applyProtection="1">
      <alignment horizontal="left" vertical="top" wrapText="1"/>
    </xf>
    <xf numFmtId="0" fontId="12" fillId="0" borderId="0" xfId="570" applyFont="1" applyBorder="1" applyAlignment="1">
      <alignment horizontal="left" vertical="top" wrapText="1"/>
    </xf>
    <xf numFmtId="0" fontId="12" fillId="0" borderId="0" xfId="1193" applyFont="1" applyFill="1" applyAlignment="1" applyProtection="1">
      <alignment horizontal="left" vertical="top" wrapText="1"/>
      <protection locked="0"/>
    </xf>
    <xf numFmtId="0" fontId="12" fillId="0" borderId="27" xfId="570" applyFont="1" applyBorder="1" applyAlignment="1">
      <alignment horizontal="left"/>
    </xf>
    <xf numFmtId="0" fontId="13" fillId="0" borderId="0" xfId="244" applyAlignment="1" applyProtection="1">
      <alignment horizontal="left" vertical="top" wrapText="1"/>
    </xf>
    <xf numFmtId="0" fontId="12" fillId="0" borderId="0" xfId="570" applyFont="1" applyFill="1" applyAlignment="1">
      <alignment horizontal="left"/>
    </xf>
    <xf numFmtId="0" fontId="19" fillId="0" borderId="0" xfId="570"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0" fontId="12" fillId="0" borderId="0" xfId="1193" applyFont="1" applyFill="1" applyAlignment="1">
      <alignment horizontal="left"/>
    </xf>
    <xf numFmtId="0" fontId="30" fillId="0" borderId="0" xfId="570" applyFont="1" applyBorder="1" applyAlignment="1">
      <alignment horizontal="left"/>
    </xf>
    <xf numFmtId="0" fontId="12" fillId="0" borderId="0" xfId="570" applyFont="1" applyBorder="1" applyAlignment="1">
      <alignment horizontal="left"/>
    </xf>
    <xf numFmtId="0" fontId="19" fillId="0" borderId="16" xfId="570" applyFont="1" applyFill="1" applyBorder="1" applyAlignment="1" applyProtection="1">
      <alignment horizontal="left"/>
    </xf>
    <xf numFmtId="0" fontId="12" fillId="0" borderId="0" xfId="570" applyAlignment="1">
      <alignment horizontal="left" vertical="top" wrapText="1"/>
    </xf>
    <xf numFmtId="0" fontId="30" fillId="0" borderId="0" xfId="570" applyFont="1" applyAlignment="1" applyProtection="1">
      <alignment horizontal="center"/>
    </xf>
    <xf numFmtId="0" fontId="12" fillId="0" borderId="0" xfId="570" applyFont="1" applyAlignment="1" applyProtection="1"/>
    <xf numFmtId="0" fontId="30" fillId="0" borderId="0" xfId="570" applyFont="1" applyFill="1" applyAlignment="1">
      <alignment horizontal="center"/>
    </xf>
    <xf numFmtId="0" fontId="12" fillId="0" borderId="0" xfId="570" applyFill="1" applyAlignment="1">
      <alignment horizontal="center"/>
    </xf>
    <xf numFmtId="0" fontId="19" fillId="0" borderId="0" xfId="570" applyFont="1" applyFill="1" applyAlignment="1" applyProtection="1">
      <alignment horizontal="center"/>
    </xf>
    <xf numFmtId="0" fontId="12" fillId="0" borderId="0" xfId="570" applyFill="1" applyAlignment="1" applyProtection="1"/>
    <xf numFmtId="0" fontId="30" fillId="0" borderId="0" xfId="570" applyFont="1" applyAlignment="1" applyProtection="1">
      <alignment horizontal="left"/>
    </xf>
    <xf numFmtId="0" fontId="19" fillId="0" borderId="0" xfId="570" applyFont="1" applyAlignment="1" applyProtection="1">
      <alignment horizontal="center"/>
    </xf>
    <xf numFmtId="0" fontId="12" fillId="0" borderId="0" xfId="570" applyFont="1" applyFill="1" applyAlignment="1" applyProtection="1"/>
    <xf numFmtId="0" fontId="12" fillId="0" borderId="0" xfId="1193" applyFont="1" applyAlignment="1">
      <alignment horizontal="left"/>
    </xf>
    <xf numFmtId="0" fontId="13" fillId="0" borderId="0" xfId="244" applyNumberFormat="1" applyFill="1" applyAlignment="1" applyProtection="1">
      <alignment horizontal="left"/>
    </xf>
    <xf numFmtId="0" fontId="19" fillId="0" borderId="0" xfId="570" applyFont="1" applyAlignment="1">
      <alignment horizontal="left" vertical="top" wrapText="1"/>
    </xf>
    <xf numFmtId="4" fontId="12" fillId="0" borderId="0" xfId="570" applyNumberFormat="1" applyFont="1" applyAlignment="1" applyProtection="1">
      <alignment horizontal="left" vertical="top" wrapText="1"/>
    </xf>
    <xf numFmtId="0" fontId="19" fillId="0" borderId="0" xfId="0" applyFont="1" applyBorder="1" applyAlignment="1">
      <alignment horizontal="left" vertical="top"/>
    </xf>
    <xf numFmtId="0" fontId="19" fillId="0" borderId="0" xfId="0" applyFont="1" applyAlignment="1">
      <alignment horizontal="left" vertical="top"/>
    </xf>
    <xf numFmtId="0" fontId="12" fillId="0" borderId="0" xfId="0" quotePrefix="1" applyFont="1" applyAlignment="1">
      <alignment horizontal="left" vertical="top" wrapText="1"/>
    </xf>
    <xf numFmtId="0" fontId="30" fillId="0" borderId="0" xfId="0" applyFont="1" applyFill="1" applyAlignment="1">
      <alignment horizontal="left" vertical="top" wrapText="1"/>
    </xf>
    <xf numFmtId="0" fontId="19" fillId="0" borderId="0" xfId="0" applyFont="1" applyFill="1" applyAlignment="1">
      <alignment horizontal="left" vertical="top" wrapText="1"/>
    </xf>
    <xf numFmtId="0" fontId="12" fillId="0" borderId="0" xfId="0" quotePrefix="1" applyFont="1" applyAlignment="1">
      <alignment horizontal="left" vertical="top"/>
    </xf>
    <xf numFmtId="0" fontId="19" fillId="0" borderId="0" xfId="1193" applyFont="1" applyFill="1" applyAlignment="1">
      <alignment horizontal="left" vertical="top" wrapText="1"/>
    </xf>
    <xf numFmtId="49" fontId="19" fillId="0" borderId="0" xfId="0" applyNumberFormat="1" applyFont="1" applyAlignment="1">
      <alignment horizontal="left"/>
    </xf>
    <xf numFmtId="0" fontId="30" fillId="0" borderId="0" xfId="1193" applyFont="1" applyFill="1" applyAlignment="1">
      <alignment horizontal="left" vertical="top" wrapText="1"/>
    </xf>
    <xf numFmtId="49" fontId="19" fillId="0" borderId="0" xfId="0" applyNumberFormat="1" applyFont="1" applyAlignment="1">
      <alignment horizontal="left" vertical="top"/>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0" fontId="12" fillId="0" borderId="0" xfId="1193" applyFont="1" applyAlignment="1">
      <alignment horizontal="left" wrapText="1"/>
    </xf>
    <xf numFmtId="49" fontId="12" fillId="0" borderId="0" xfId="0" applyNumberFormat="1" applyFont="1" applyAlignment="1">
      <alignment horizontal="left" vertical="top" wrapText="1"/>
    </xf>
    <xf numFmtId="4" fontId="12" fillId="0" borderId="0" xfId="0" applyNumberFormat="1" applyFont="1" applyFill="1" applyBorder="1" applyAlignment="1" applyProtection="1">
      <alignment horizontal="left"/>
    </xf>
    <xf numFmtId="0" fontId="19" fillId="0" borderId="4" xfId="0"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4" fontId="12" fillId="0" borderId="0" xfId="0" applyNumberFormat="1" applyFont="1" applyAlignment="1" applyProtection="1">
      <alignment horizontal="left"/>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70" applyAlignment="1" applyProtection="1">
      <alignment horizontal="left" wrapText="1"/>
    </xf>
    <xf numFmtId="0" fontId="12" fillId="0" borderId="0" xfId="0" applyFont="1" applyFill="1" applyBorder="1" applyAlignment="1">
      <alignment horizontal="left" vertical="top" wrapText="1"/>
    </xf>
    <xf numFmtId="0" fontId="21" fillId="46" borderId="11" xfId="0" applyFont="1" applyFill="1" applyBorder="1" applyAlignment="1" applyProtection="1">
      <alignment horizontal="center"/>
    </xf>
    <xf numFmtId="0" fontId="21" fillId="46" borderId="3" xfId="0" applyFont="1" applyFill="1" applyBorder="1" applyAlignment="1" applyProtection="1">
      <alignment horizontal="center"/>
    </xf>
    <xf numFmtId="0" fontId="21" fillId="46" borderId="4" xfId="0" applyFont="1" applyFill="1" applyBorder="1" applyAlignment="1" applyProtection="1">
      <alignment horizontal="center"/>
    </xf>
    <xf numFmtId="0" fontId="21" fillId="46" borderId="5" xfId="0" applyFont="1" applyFill="1" applyBorder="1" applyAlignment="1" applyProtection="1">
      <alignment horizontal="center"/>
    </xf>
    <xf numFmtId="168" fontId="0" fillId="5" borderId="6" xfId="0" applyNumberForma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166" fontId="12" fillId="5" borderId="106" xfId="0" applyNumberFormat="1" applyFont="1" applyFill="1" applyBorder="1" applyAlignment="1" applyProtection="1">
      <alignment horizontal="left"/>
      <protection locked="0"/>
    </xf>
    <xf numFmtId="0" fontId="0" fillId="5" borderId="106" xfId="0" applyFill="1" applyBorder="1" applyAlignment="1" applyProtection="1">
      <alignment horizontal="left"/>
      <protection locked="0"/>
    </xf>
    <xf numFmtId="0" fontId="0" fillId="5" borderId="107" xfId="0" applyFill="1" applyBorder="1" applyAlignment="1" applyProtection="1">
      <alignment horizontal="left"/>
      <protection locked="0"/>
    </xf>
    <xf numFmtId="0" fontId="12" fillId="5" borderId="107" xfId="0"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5" xfId="0" applyFont="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44" borderId="6" xfId="0" applyFill="1" applyBorder="1" applyAlignment="1" applyProtection="1">
      <alignment horizontal="left"/>
      <protection locked="0"/>
    </xf>
    <xf numFmtId="0" fontId="21" fillId="5" borderId="6"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0" fontId="0" fillId="5" borderId="6" xfId="0" applyFill="1" applyBorder="1" applyAlignment="1" applyProtection="1">
      <alignment horizontal="center"/>
      <protection locked="0"/>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168" fontId="0" fillId="44" borderId="6" xfId="0" applyNumberFormat="1" applyFill="1" applyBorder="1" applyAlignment="1" applyProtection="1">
      <alignment horizontal="right"/>
      <protection locked="0"/>
    </xf>
    <xf numFmtId="0" fontId="20" fillId="44" borderId="6" xfId="0" applyFont="1" applyFill="1" applyBorder="1" applyAlignment="1" applyProtection="1">
      <alignment horizontal="left"/>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168" fontId="21"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0" fontId="21" fillId="5" borderId="9" xfId="0" applyFon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166" fontId="21" fillId="5" borderId="4" xfId="0" applyNumberFormat="1" applyFont="1" applyFill="1" applyBorder="1" applyAlignment="1" applyProtection="1">
      <alignment horizontal="lef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0" fontId="12" fillId="5" borderId="106" xfId="570" applyFont="1" applyFill="1" applyBorder="1" applyAlignment="1" applyProtection="1">
      <alignment horizontal="left"/>
      <protection locked="0"/>
    </xf>
    <xf numFmtId="0" fontId="12" fillId="5" borderId="106" xfId="570" applyFill="1" applyBorder="1" applyAlignment="1" applyProtection="1">
      <alignment horizontal="left"/>
      <protection locked="0"/>
    </xf>
    <xf numFmtId="0" fontId="12" fillId="5" borderId="107" xfId="570" applyFont="1" applyFill="1" applyBorder="1" applyAlignment="1" applyProtection="1">
      <alignment horizontal="left"/>
      <protection locked="0"/>
    </xf>
    <xf numFmtId="0" fontId="12" fillId="5" borderId="107" xfId="570" applyFill="1" applyBorder="1" applyAlignment="1" applyProtection="1">
      <alignment horizontal="left"/>
      <protection locked="0"/>
    </xf>
    <xf numFmtId="166" fontId="12" fillId="5" borderId="107" xfId="570" applyNumberFormat="1" applyFont="1" applyFill="1" applyBorder="1" applyAlignment="1" applyProtection="1">
      <alignment horizontal="left"/>
      <protection locked="0"/>
    </xf>
    <xf numFmtId="0" fontId="0" fillId="0" borderId="6" xfId="0" applyBorder="1" applyAlignment="1" applyProtection="1">
      <alignment horizontal="center"/>
      <protection locked="0"/>
    </xf>
    <xf numFmtId="0" fontId="1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 fontId="21" fillId="5" borderId="6" xfId="0" applyNumberFormat="1" applyFont="1" applyFill="1" applyBorder="1" applyAlignment="1" applyProtection="1">
      <alignment horizontal="right"/>
      <protection locked="0"/>
    </xf>
    <xf numFmtId="0" fontId="19" fillId="0" borderId="0" xfId="0" applyFont="1" applyAlignment="1" applyProtection="1">
      <alignment horizontal="center"/>
    </xf>
    <xf numFmtId="0" fontId="12" fillId="5" borderId="6" xfId="0" applyFont="1" applyFill="1" applyBorder="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168" fontId="12" fillId="0" borderId="3" xfId="0" applyNumberFormat="1" applyFont="1" applyFill="1" applyBorder="1" applyAlignment="1" applyProtection="1">
      <alignment horizontal="left" vertical="top"/>
    </xf>
    <xf numFmtId="3" fontId="21" fillId="0" borderId="11" xfId="0" applyNumberFormat="1" applyFont="1" applyFill="1" applyBorder="1" applyAlignment="1" applyProtection="1">
      <alignment horizontal="center"/>
    </xf>
    <xf numFmtId="0" fontId="12" fillId="0" borderId="0" xfId="0" applyFont="1" applyAlignment="1" applyProtection="1">
      <alignment horizontal="left" wrapText="1"/>
    </xf>
    <xf numFmtId="0" fontId="12" fillId="44" borderId="4" xfId="0" applyFont="1" applyFill="1" applyBorder="1" applyAlignment="1" applyProtection="1">
      <alignment horizontal="left" wrapText="1"/>
      <protection locked="0"/>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12" fillId="44" borderId="6" xfId="0" applyFont="1" applyFill="1" applyBorder="1" applyAlignment="1" applyProtection="1">
      <alignment horizontal="left"/>
      <protection locked="0"/>
    </xf>
    <xf numFmtId="178" fontId="21" fillId="5" borderId="4" xfId="0" applyNumberFormat="1" applyFont="1" applyFill="1" applyBorder="1" applyAlignment="1" applyProtection="1">
      <alignment horizontal="right"/>
      <protection locked="0"/>
    </xf>
    <xf numFmtId="168" fontId="12" fillId="0" borderId="0" xfId="543" applyNumberFormat="1" applyFont="1" applyFill="1" applyBorder="1" applyAlignment="1" applyProtection="1">
      <alignment horizontal="center" vertical="center"/>
    </xf>
    <xf numFmtId="0" fontId="12" fillId="0" borderId="6" xfId="543" applyFont="1" applyBorder="1" applyAlignment="1" applyProtection="1">
      <alignment horizontal="lef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1" fillId="5" borderId="6" xfId="0" applyFont="1" applyFill="1" applyBorder="1" applyAlignment="1" applyProtection="1">
      <alignment horizontal="left"/>
      <protection locked="0"/>
    </xf>
    <xf numFmtId="0" fontId="12" fillId="5" borderId="6" xfId="0" applyFont="1" applyFill="1" applyBorder="1" applyAlignment="1" applyProtection="1">
      <alignment horizontal="center"/>
      <protection locked="0"/>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175" fontId="12" fillId="0" borderId="3" xfId="543" applyNumberFormat="1" applyFont="1" applyFill="1" applyBorder="1" applyAlignment="1" applyProtection="1">
      <alignment horizontal="center" vertical="center"/>
    </xf>
    <xf numFmtId="175" fontId="12" fillId="0" borderId="4" xfId="543" applyNumberFormat="1" applyFont="1" applyFill="1" applyBorder="1" applyAlignment="1" applyProtection="1">
      <alignment horizontal="center" vertical="center"/>
    </xf>
    <xf numFmtId="175" fontId="12"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2" fillId="0" borderId="0" xfId="543" applyFont="1" applyBorder="1" applyAlignment="1" applyProtection="1">
      <alignment horizontal="left"/>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2" fillId="44" borderId="3" xfId="0" applyNumberFormat="1" applyFont="1" applyFill="1" applyBorder="1" applyAlignment="1" applyProtection="1">
      <alignment horizontal="center"/>
      <protection locked="0"/>
    </xf>
    <xf numFmtId="168" fontId="12" fillId="44" borderId="4" xfId="0" applyNumberFormat="1" applyFont="1" applyFill="1" applyBorder="1" applyAlignment="1" applyProtection="1">
      <alignment horizontal="center"/>
      <protection locked="0"/>
    </xf>
    <xf numFmtId="168" fontId="12" fillId="44" borderId="5" xfId="0" applyNumberFormat="1" applyFont="1" applyFill="1" applyBorder="1" applyAlignment="1" applyProtection="1">
      <alignment horizontal="center"/>
      <protection locked="0"/>
    </xf>
    <xf numFmtId="0" fontId="21" fillId="5" borderId="4" xfId="0" applyFont="1" applyFill="1" applyBorder="1" applyAlignment="1" applyProtection="1">
      <alignment horizontal="left"/>
      <protection locked="0"/>
    </xf>
    <xf numFmtId="0" fontId="0" fillId="0" borderId="6" xfId="0" applyFill="1" applyBorder="1" applyAlignment="1" applyProtection="1">
      <alignment horizontal="left"/>
    </xf>
    <xf numFmtId="1" fontId="0" fillId="5" borderId="6" xfId="0" applyNumberFormat="1" applyFill="1" applyBorder="1" applyAlignment="1" applyProtection="1">
      <alignment horizontal="center"/>
      <protection locked="0"/>
    </xf>
    <xf numFmtId="0" fontId="12"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80" fontId="20" fillId="44" borderId="3" xfId="0" applyNumberFormat="1" applyFont="1" applyFill="1" applyBorder="1" applyAlignment="1" applyProtection="1">
      <alignment horizontal="center"/>
      <protection locked="0"/>
    </xf>
    <xf numFmtId="180" fontId="20" fillId="44" borderId="4" xfId="0" applyNumberFormat="1" applyFont="1" applyFill="1" applyBorder="1" applyAlignment="1" applyProtection="1">
      <alignment horizontal="center"/>
      <protection locked="0"/>
    </xf>
    <xf numFmtId="180" fontId="20" fillId="44" borderId="5" xfId="0" applyNumberFormat="1" applyFont="1"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6" xfId="0" applyFont="1" applyBorder="1" applyAlignment="1" applyProtection="1">
      <alignment horizontal="right"/>
    </xf>
    <xf numFmtId="0" fontId="19" fillId="0" borderId="5" xfId="0" applyFont="1" applyBorder="1" applyAlignment="1" applyProtection="1">
      <alignment horizontal="right"/>
    </xf>
    <xf numFmtId="0" fontId="19" fillId="0" borderId="10" xfId="0" applyFont="1" applyFill="1" applyBorder="1" applyAlignment="1" applyProtection="1">
      <alignment horizontal="center"/>
    </xf>
    <xf numFmtId="0" fontId="19" fillId="0" borderId="3" xfId="0" applyFont="1" applyBorder="1" applyAlignment="1" applyProtection="1">
      <alignment horizontal="center" wrapText="1"/>
    </xf>
    <xf numFmtId="0" fontId="19" fillId="0" borderId="4" xfId="0" applyFont="1" applyBorder="1" applyAlignment="1" applyProtection="1">
      <alignment horizontal="center" wrapText="1"/>
    </xf>
    <xf numFmtId="0" fontId="19" fillId="0" borderId="5" xfId="0" applyFont="1" applyBorder="1" applyAlignment="1" applyProtection="1">
      <alignment horizontal="center" wrapText="1"/>
    </xf>
    <xf numFmtId="0" fontId="12" fillId="5" borderId="5" xfId="0" applyFont="1" applyFill="1" applyBorder="1" applyAlignment="1" applyProtection="1">
      <alignment horizontal="left"/>
      <protection locked="0"/>
    </xf>
    <xf numFmtId="175" fontId="12" fillId="44" borderId="3" xfId="0" applyNumberFormat="1" applyFont="1" applyFill="1" applyBorder="1" applyAlignment="1" applyProtection="1">
      <alignment horizontal="center"/>
      <protection locked="0"/>
    </xf>
    <xf numFmtId="175" fontId="12" fillId="44" borderId="4" xfId="0" applyNumberFormat="1" applyFont="1" applyFill="1" applyBorder="1" applyAlignment="1" applyProtection="1">
      <alignment horizontal="center"/>
      <protection locked="0"/>
    </xf>
    <xf numFmtId="175" fontId="12" fillId="44" borderId="5" xfId="0" applyNumberFormat="1" applyFont="1" applyFill="1" applyBorder="1" applyAlignment="1" applyProtection="1">
      <alignment horizontal="center"/>
      <protection locked="0"/>
    </xf>
    <xf numFmtId="0" fontId="0" fillId="44" borderId="10" xfId="0" applyFill="1" applyBorder="1" applyAlignment="1" applyProtection="1">
      <alignment horizontal="left"/>
      <protection locked="0"/>
    </xf>
    <xf numFmtId="1" fontId="12" fillId="5" borderId="3" xfId="0" applyNumberFormat="1" applyFont="1" applyFill="1" applyBorder="1" applyAlignment="1" applyProtection="1">
      <alignment horizontal="center"/>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0" fontId="19"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9" fillId="0" borderId="2" xfId="0" applyFont="1" applyBorder="1" applyAlignment="1" applyProtection="1">
      <alignment horizontal="center" wrapText="1"/>
    </xf>
    <xf numFmtId="0" fontId="19" fillId="0" borderId="7" xfId="0" applyFont="1" applyBorder="1" applyAlignment="1" applyProtection="1">
      <alignment horizontal="center" wrapText="1"/>
    </xf>
    <xf numFmtId="0" fontId="12" fillId="0" borderId="11" xfId="0" applyFont="1" applyBorder="1" applyAlignment="1" applyProtection="1">
      <alignment horizontal="center"/>
    </xf>
    <xf numFmtId="0" fontId="21" fillId="0" borderId="3" xfId="0" applyFont="1" applyBorder="1" applyAlignment="1" applyProtection="1">
      <alignment horizontal="center"/>
    </xf>
    <xf numFmtId="0" fontId="21" fillId="0" borderId="5" xfId="0" applyFont="1" applyBorder="1" applyAlignment="1" applyProtection="1">
      <alignment horizontal="center"/>
    </xf>
    <xf numFmtId="0" fontId="12" fillId="0" borderId="4" xfId="0" applyFont="1" applyBorder="1" applyAlignment="1" applyProtection="1">
      <alignment horizontal="center"/>
    </xf>
    <xf numFmtId="0" fontId="21" fillId="0" borderId="4" xfId="0" applyFont="1" applyBorder="1" applyAlignment="1" applyProtection="1">
      <alignment horizontal="center"/>
    </xf>
    <xf numFmtId="0" fontId="12"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0" fontId="21"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0" borderId="0" xfId="0" applyFont="1" applyFill="1" applyAlignment="1" applyProtection="1">
      <alignment horizontal="center"/>
    </xf>
    <xf numFmtId="0" fontId="21" fillId="0" borderId="0" xfId="0" applyFont="1" applyFill="1" applyAlignment="1" applyProtection="1">
      <alignment horizontal="center"/>
    </xf>
    <xf numFmtId="0" fontId="12" fillId="0" borderId="6" xfId="0" applyFont="1" applyFill="1" applyBorder="1" applyAlignment="1" applyProtection="1">
      <alignment horizontal="center"/>
      <protection locked="0"/>
    </xf>
    <xf numFmtId="0" fontId="12" fillId="0" borderId="6" xfId="0" applyFont="1" applyBorder="1" applyAlignment="1" applyProtection="1">
      <alignment horizontal="center"/>
      <protection locked="0"/>
    </xf>
    <xf numFmtId="0" fontId="12" fillId="5" borderId="6" xfId="244" applyFont="1" applyFill="1" applyBorder="1" applyAlignment="1" applyProtection="1">
      <alignment horizontal="left"/>
      <protection locked="0"/>
    </xf>
    <xf numFmtId="168" fontId="21" fillId="0" borderId="6" xfId="0" applyNumberFormat="1" applyFont="1" applyFill="1" applyBorder="1" applyAlignment="1" applyProtection="1">
      <alignment horizontal="center"/>
    </xf>
    <xf numFmtId="0" fontId="21" fillId="5" borderId="6" xfId="0" applyFont="1" applyFill="1" applyBorder="1" applyAlignment="1" applyProtection="1">
      <alignment horizontal="left" wrapText="1"/>
      <protection locked="0"/>
    </xf>
    <xf numFmtId="0" fontId="12" fillId="5" borderId="6" xfId="0" applyFont="1" applyFill="1" applyBorder="1" applyAlignment="1" applyProtection="1">
      <alignment horizontal="left" wrapText="1"/>
      <protection locked="0"/>
    </xf>
    <xf numFmtId="0" fontId="20" fillId="0" borderId="0" xfId="0" applyFont="1" applyAlignment="1" applyProtection="1">
      <alignment horizontal="center"/>
    </xf>
    <xf numFmtId="0" fontId="21" fillId="5"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0" borderId="6" xfId="0" applyFont="1" applyFill="1" applyBorder="1" applyAlignment="1" applyProtection="1">
      <alignment horizontal="left"/>
    </xf>
    <xf numFmtId="0" fontId="12" fillId="5" borderId="106" xfId="244" applyFont="1" applyFill="1" applyBorder="1" applyAlignment="1" applyProtection="1">
      <alignment horizontal="left"/>
      <protection locked="0"/>
    </xf>
    <xf numFmtId="0" fontId="12" fillId="5" borderId="106" xfId="0" applyFont="1" applyFill="1" applyBorder="1" applyAlignment="1" applyProtection="1">
      <alignment horizontal="left"/>
      <protection locked="0"/>
    </xf>
    <xf numFmtId="0" fontId="13" fillId="0" borderId="0" xfId="244" applyFill="1" applyAlignment="1" applyProtection="1">
      <alignment horizontal="left"/>
      <protection locked="0"/>
    </xf>
    <xf numFmtId="0" fontId="12" fillId="5" borderId="0" xfId="244" applyFont="1" applyFill="1" applyBorder="1" applyAlignment="1" applyProtection="1">
      <alignment horizontal="left"/>
      <protection locked="0"/>
    </xf>
    <xf numFmtId="166" fontId="21" fillId="5" borderId="4" xfId="271" applyNumberFormat="1" applyFont="1" applyFill="1" applyBorder="1" applyAlignment="1" applyProtection="1">
      <alignment horizontal="left"/>
      <protection locked="0"/>
    </xf>
    <xf numFmtId="0" fontId="21" fillId="0" borderId="6" xfId="0" applyFont="1" applyFill="1" applyBorder="1" applyAlignment="1" applyProtection="1">
      <alignment horizontal="left" wrapText="1"/>
    </xf>
    <xf numFmtId="166" fontId="12" fillId="5" borderId="6" xfId="271" applyNumberFormat="1" applyFont="1" applyFill="1" applyBorder="1" applyAlignment="1" applyProtection="1">
      <alignment horizontal="left"/>
      <protection locked="0"/>
    </xf>
    <xf numFmtId="166" fontId="21"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2" fillId="5" borderId="106" xfId="0" applyFont="1" applyFill="1" applyBorder="1" applyAlignment="1" applyProtection="1">
      <alignment horizontal="left" wrapText="1"/>
      <protection locked="0"/>
    </xf>
    <xf numFmtId="0" fontId="0" fillId="5" borderId="6" xfId="0" applyFill="1" applyBorder="1" applyProtection="1">
      <protection locked="0"/>
    </xf>
    <xf numFmtId="0" fontId="12" fillId="44" borderId="0" xfId="0" applyFont="1" applyFill="1" applyBorder="1" applyAlignment="1" applyProtection="1">
      <alignment horizontal="left" vertical="center" wrapText="1"/>
      <protection locked="0"/>
    </xf>
    <xf numFmtId="0" fontId="12" fillId="44" borderId="6" xfId="0" applyFon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168" fontId="0" fillId="0" borderId="6" xfId="0" applyNumberFormat="1" applyFill="1" applyBorder="1" applyAlignment="1" applyProtection="1">
      <alignment horizontal="center"/>
    </xf>
    <xf numFmtId="0" fontId="19" fillId="0" borderId="0" xfId="0" applyFont="1" applyBorder="1" applyAlignment="1" applyProtection="1">
      <alignment horizontal="center"/>
    </xf>
    <xf numFmtId="168" fontId="12" fillId="0" borderId="6" xfId="0" applyNumberFormat="1" applyFont="1" applyFill="1" applyBorder="1" applyAlignment="1" applyProtection="1">
      <alignment horizontal="center"/>
    </xf>
    <xf numFmtId="0" fontId="27" fillId="0" borderId="0" xfId="0" applyFont="1" applyAlignment="1" applyProtection="1">
      <alignment horizontal="center"/>
    </xf>
    <xf numFmtId="0" fontId="2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4" fontId="21" fillId="5" borderId="4" xfId="0" applyNumberFormat="1" applyFon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0" fontId="19" fillId="0" borderId="9" xfId="0" applyFont="1" applyBorder="1" applyAlignment="1" applyProtection="1">
      <alignment horizontal="right"/>
    </xf>
    <xf numFmtId="0" fontId="19" fillId="0" borderId="10" xfId="0" applyFont="1" applyBorder="1" applyAlignment="1" applyProtection="1">
      <alignment horizontal="right"/>
    </xf>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9" fillId="0" borderId="11" xfId="0" applyFont="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1" fillId="0" borderId="11" xfId="0" applyFont="1" applyFill="1" applyBorder="1" applyAlignment="1" applyProtection="1">
      <alignment horizontal="center"/>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0" borderId="11" xfId="0" applyNumberFormat="1" applyFill="1" applyBorder="1" applyAlignment="1" applyProtection="1">
      <alignment horizontal="center"/>
    </xf>
    <xf numFmtId="0" fontId="20" fillId="5" borderId="3" xfId="0" applyFont="1" applyFill="1" applyBorder="1" applyAlignment="1" applyProtection="1">
      <alignment horizontal="left"/>
      <protection locked="0"/>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0" fontId="21"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9" fillId="0" borderId="11" xfId="0" applyFont="1" applyFill="1" applyBorder="1" applyAlignment="1" applyProtection="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2" fontId="12" fillId="0" borderId="0" xfId="543" applyNumberFormat="1" applyFont="1" applyBorder="1" applyAlignment="1" applyProtection="1">
      <alignment horizontal="center"/>
    </xf>
    <xf numFmtId="0" fontId="12" fillId="0" borderId="0" xfId="543" applyFont="1" applyBorder="1" applyAlignment="1" applyProtection="1">
      <alignment horizontal="center"/>
    </xf>
    <xf numFmtId="2" fontId="12" fillId="0" borderId="0" xfId="543" applyNumberFormat="1" applyFont="1" applyFill="1" applyBorder="1" applyAlignment="1" applyProtection="1">
      <alignment horizontal="center"/>
    </xf>
    <xf numFmtId="0" fontId="31" fillId="5" borderId="3" xfId="0" applyFont="1" applyFill="1" applyBorder="1" applyAlignment="1" applyProtection="1">
      <alignment horizontal="left"/>
      <protection locked="0"/>
    </xf>
    <xf numFmtId="171" fontId="12"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2" fillId="0" borderId="0" xfId="543" applyNumberFormat="1" applyFont="1" applyFill="1" applyBorder="1" applyAlignment="1" applyProtection="1">
      <alignment horizontal="center" vertical="center"/>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xf numFmtId="171" fontId="12" fillId="0" borderId="0" xfId="543" applyNumberFormat="1"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2" fillId="5" borderId="3" xfId="0" applyNumberFormat="1" applyFon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0" fontId="19" fillId="0" borderId="6" xfId="0" applyFont="1" applyBorder="1" applyAlignment="1" applyProtection="1">
      <alignment horizontal="center"/>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168" fontId="12" fillId="0" borderId="11" xfId="543" applyNumberFormat="1" applyFont="1" applyFill="1" applyBorder="1" applyAlignment="1" applyProtection="1">
      <alignment horizontal="center"/>
    </xf>
    <xf numFmtId="0" fontId="12" fillId="0" borderId="0" xfId="543" applyFont="1" applyFill="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19"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21" fillId="0" borderId="3" xfId="0" applyFont="1" applyBorder="1" applyAlignment="1" applyProtection="1">
      <alignment horizontal="left"/>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0" fontId="21" fillId="0" borderId="11" xfId="0" applyFont="1" applyFill="1" applyBorder="1" applyAlignment="1" applyProtection="1">
      <alignment horizontal="center" vertical="top" wrapText="1"/>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0" fontId="21" fillId="2" borderId="11" xfId="0" applyFont="1" applyFill="1" applyBorder="1" applyAlignment="1" applyProtection="1">
      <alignment horizontal="center"/>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0" fontId="28" fillId="0" borderId="1" xfId="0" applyFont="1" applyBorder="1" applyAlignment="1" applyProtection="1">
      <alignment horizontal="center" wrapText="1"/>
    </xf>
    <xf numFmtId="0" fontId="28" fillId="0" borderId="2" xfId="0" applyFont="1" applyBorder="1" applyAlignment="1" applyProtection="1">
      <alignment horizontal="center" wrapText="1"/>
    </xf>
    <xf numFmtId="0" fontId="28" fillId="0" borderId="7" xfId="0" applyFont="1" applyBorder="1" applyAlignment="1" applyProtection="1">
      <alignment horizontal="center" wrapText="1"/>
    </xf>
    <xf numFmtId="0" fontId="28" fillId="0" borderId="8" xfId="0" applyFont="1" applyBorder="1" applyAlignment="1" applyProtection="1">
      <alignment horizontal="center" wrapText="1"/>
    </xf>
    <xf numFmtId="0" fontId="28" fillId="0" borderId="0" xfId="0" applyFont="1" applyBorder="1" applyAlignment="1" applyProtection="1">
      <alignment horizontal="center" wrapText="1"/>
    </xf>
    <xf numFmtId="0" fontId="28" fillId="0" borderId="12" xfId="0" applyFont="1" applyBorder="1" applyAlignment="1" applyProtection="1">
      <alignment horizontal="center" wrapText="1"/>
    </xf>
    <xf numFmtId="0" fontId="28" fillId="0" borderId="9" xfId="0" applyFont="1" applyBorder="1" applyAlignment="1" applyProtection="1">
      <alignment horizontal="center" wrapText="1"/>
    </xf>
    <xf numFmtId="0" fontId="28" fillId="0" borderId="6" xfId="0" applyFont="1" applyBorder="1" applyAlignment="1" applyProtection="1">
      <alignment horizontal="center" wrapText="1"/>
    </xf>
    <xf numFmtId="0" fontId="28" fillId="0" borderId="10" xfId="0" applyFont="1" applyBorder="1" applyAlignment="1" applyProtection="1">
      <alignment horizontal="center" wrapText="1"/>
    </xf>
    <xf numFmtId="0" fontId="50" fillId="0" borderId="1" xfId="0" applyFont="1" applyBorder="1" applyAlignment="1" applyProtection="1">
      <alignment horizontal="center" wrapText="1"/>
    </xf>
    <xf numFmtId="0" fontId="50" fillId="0" borderId="2" xfId="0" applyFont="1" applyBorder="1" applyAlignment="1" applyProtection="1">
      <alignment horizontal="center" wrapText="1"/>
    </xf>
    <xf numFmtId="0" fontId="50" fillId="0" borderId="7" xfId="0" applyFont="1" applyBorder="1" applyAlignment="1" applyProtection="1">
      <alignment horizontal="center" wrapText="1"/>
    </xf>
    <xf numFmtId="0" fontId="50" fillId="0" borderId="8" xfId="0" applyFont="1" applyBorder="1" applyAlignment="1" applyProtection="1">
      <alignment horizontal="center" wrapText="1"/>
    </xf>
    <xf numFmtId="0" fontId="50" fillId="0" borderId="0" xfId="0" applyFont="1" applyBorder="1" applyAlignment="1" applyProtection="1">
      <alignment horizontal="center" wrapText="1"/>
    </xf>
    <xf numFmtId="0" fontId="50" fillId="0" borderId="12" xfId="0" applyFont="1" applyBorder="1" applyAlignment="1" applyProtection="1">
      <alignment horizontal="center" wrapText="1"/>
    </xf>
    <xf numFmtId="0" fontId="50" fillId="0" borderId="9" xfId="0" applyFont="1" applyBorder="1" applyAlignment="1" applyProtection="1">
      <alignment horizontal="center" wrapText="1"/>
    </xf>
    <xf numFmtId="0" fontId="50" fillId="0" borderId="6" xfId="0" applyFont="1" applyBorder="1" applyAlignment="1" applyProtection="1">
      <alignment horizontal="center" wrapText="1"/>
    </xf>
    <xf numFmtId="0" fontId="50" fillId="0" borderId="10" xfId="0" applyFont="1" applyBorder="1" applyAlignment="1" applyProtection="1">
      <alignment horizontal="center" wrapText="1"/>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172" fontId="19" fillId="0" borderId="2" xfId="0" applyNumberFormat="1" applyFont="1" applyBorder="1" applyAlignment="1" applyProtection="1">
      <alignment horizontal="center" wrapText="1"/>
    </xf>
    <xf numFmtId="172" fontId="19" fillId="0" borderId="7" xfId="0" applyNumberFormat="1" applyFont="1" applyBorder="1" applyAlignment="1" applyProtection="1">
      <alignment horizontal="center" wrapText="1"/>
    </xf>
    <xf numFmtId="172" fontId="19" fillId="0" borderId="0" xfId="0" applyNumberFormat="1" applyFont="1" applyBorder="1" applyAlignment="1" applyProtection="1">
      <alignment horizontal="center" wrapText="1"/>
    </xf>
    <xf numFmtId="172" fontId="19" fillId="0" borderId="12" xfId="0" applyNumberFormat="1" applyFont="1" applyBorder="1" applyAlignment="1" applyProtection="1">
      <alignment horizontal="center" wrapText="1"/>
    </xf>
    <xf numFmtId="172" fontId="19" fillId="0" borderId="6" xfId="0" applyNumberFormat="1" applyFont="1" applyBorder="1" applyAlignment="1" applyProtection="1">
      <alignment horizontal="center" wrapText="1"/>
    </xf>
    <xf numFmtId="172" fontId="19" fillId="0" borderId="10" xfId="0" applyNumberFormat="1" applyFont="1" applyBorder="1" applyAlignment="1" applyProtection="1">
      <alignment horizontal="center" wrapText="1"/>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168" fontId="21" fillId="0" borderId="0" xfId="544" applyNumberFormat="1" applyFont="1" applyBorder="1" applyAlignment="1" applyProtection="1">
      <alignment horizontal="right" vertical="center" wrapText="1"/>
    </xf>
    <xf numFmtId="175" fontId="21" fillId="0" borderId="0" xfId="544" applyNumberFormat="1" applyFont="1" applyBorder="1" applyAlignment="1" applyProtection="1">
      <alignment horizontal="center" vertical="center" wrapText="1"/>
    </xf>
    <xf numFmtId="168" fontId="12" fillId="11" borderId="3" xfId="543" applyNumberFormat="1" applyFont="1" applyFill="1" applyBorder="1" applyAlignment="1" applyProtection="1">
      <alignment horizontal="center"/>
    </xf>
    <xf numFmtId="168" fontId="12" fillId="11" borderId="4" xfId="543" applyNumberFormat="1" applyFont="1" applyFill="1" applyBorder="1" applyAlignment="1" applyProtection="1">
      <alignment horizontal="center"/>
    </xf>
    <xf numFmtId="168" fontId="12" fillId="11" borderId="5" xfId="543" applyNumberFormat="1" applyFont="1" applyFill="1" applyBorder="1" applyAlignment="1" applyProtection="1">
      <alignment horizontal="center"/>
    </xf>
    <xf numFmtId="0" fontId="19"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40" fillId="11" borderId="6" xfId="543"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171" fontId="12" fillId="0" borderId="0" xfId="543" applyNumberFormat="1" applyFont="1" applyAlignment="1" applyProtection="1">
      <alignment horizontal="center"/>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0" fontId="45"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0" fontId="0" fillId="5" borderId="3" xfId="0" quotePrefix="1" applyNumberFormat="1" applyFill="1" applyBorder="1" applyAlignment="1" applyProtection="1">
      <alignment horizontal="right"/>
      <protection locked="0"/>
    </xf>
    <xf numFmtId="0" fontId="12" fillId="0" borderId="1" xfId="0" applyFont="1" applyFill="1" applyBorder="1" applyAlignment="1" applyProtection="1">
      <alignment horizontal="center" vertical="top" wrapText="1"/>
    </xf>
    <xf numFmtId="0" fontId="12" fillId="5" borderId="3" xfId="0" applyFont="1" applyFill="1" applyBorder="1" applyAlignment="1" applyProtection="1">
      <protection locked="0"/>
    </xf>
    <xf numFmtId="0" fontId="21" fillId="0" borderId="4" xfId="0" applyFont="1" applyBorder="1" applyAlignment="1" applyProtection="1">
      <protection locked="0"/>
    </xf>
    <xf numFmtId="0" fontId="21"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18" fillId="3" borderId="0" xfId="0" applyFont="1" applyFill="1" applyBorder="1" applyAlignment="1" applyProtection="1">
      <alignment horizontal="center" vertical="center"/>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11" borderId="3" xfId="543" applyFont="1" applyFill="1" applyBorder="1" applyAlignment="1" applyProtection="1">
      <alignment horizontal="center"/>
    </xf>
    <xf numFmtId="0" fontId="19" fillId="11" borderId="4" xfId="543" applyFont="1" applyFill="1" applyBorder="1" applyAlignment="1" applyProtection="1">
      <alignment horizontal="center"/>
    </xf>
    <xf numFmtId="0" fontId="19" fillId="11"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168" fontId="12" fillId="5" borderId="1" xfId="543" applyNumberFormat="1" applyFont="1" applyFill="1" applyBorder="1" applyAlignment="1" applyProtection="1">
      <alignment horizontal="center" vertical="center"/>
      <protection locked="0"/>
    </xf>
    <xf numFmtId="168" fontId="12" fillId="5" borderId="2" xfId="543" applyNumberFormat="1" applyFont="1" applyFill="1" applyBorder="1" applyAlignment="1" applyProtection="1">
      <alignment horizontal="center" vertical="center"/>
      <protection locked="0"/>
    </xf>
    <xf numFmtId="168" fontId="12" fillId="5" borderId="7" xfId="543" applyNumberFormat="1" applyFont="1" applyFill="1" applyBorder="1" applyAlignment="1" applyProtection="1">
      <alignment horizontal="center" vertical="center"/>
      <protection locked="0"/>
    </xf>
    <xf numFmtId="168" fontId="12" fillId="5" borderId="8" xfId="543" applyNumberFormat="1" applyFont="1" applyFill="1" applyBorder="1" applyAlignment="1" applyProtection="1">
      <alignment horizontal="center" vertical="center"/>
      <protection locked="0"/>
    </xf>
    <xf numFmtId="168" fontId="12" fillId="5" borderId="0" xfId="543" applyNumberFormat="1" applyFont="1" applyFill="1" applyBorder="1" applyAlignment="1" applyProtection="1">
      <alignment horizontal="center" vertical="center"/>
      <protection locked="0"/>
    </xf>
    <xf numFmtId="168" fontId="12" fillId="5" borderId="12" xfId="543" applyNumberFormat="1" applyFont="1" applyFill="1" applyBorder="1" applyAlignment="1" applyProtection="1">
      <alignment horizontal="center" vertical="center"/>
      <protection locked="0"/>
    </xf>
    <xf numFmtId="168" fontId="12" fillId="5" borderId="9" xfId="543" applyNumberFormat="1" applyFont="1" applyFill="1" applyBorder="1" applyAlignment="1" applyProtection="1">
      <alignment horizontal="center" vertical="center"/>
      <protection locked="0"/>
    </xf>
    <xf numFmtId="168" fontId="12" fillId="5" borderId="6" xfId="543" applyNumberFormat="1" applyFont="1" applyFill="1" applyBorder="1" applyAlignment="1" applyProtection="1">
      <alignment horizontal="center" vertical="center"/>
      <protection locked="0"/>
    </xf>
    <xf numFmtId="168" fontId="12" fillId="5" borderId="10" xfId="543" applyNumberFormat="1" applyFont="1" applyFill="1" applyBorder="1" applyAlignment="1" applyProtection="1">
      <alignment horizontal="center" vertical="center"/>
      <protection locked="0"/>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21" fillId="5" borderId="5" xfId="0" applyFont="1" applyFill="1" applyBorder="1" applyAlignment="1" applyProtection="1">
      <alignment horizontal="left"/>
      <protection locked="0"/>
    </xf>
    <xf numFmtId="0" fontId="19" fillId="0" borderId="8" xfId="0" applyFont="1" applyBorder="1" applyAlignment="1" applyProtection="1">
      <alignment horizontal="center"/>
    </xf>
    <xf numFmtId="0" fontId="19" fillId="0" borderId="12" xfId="0" applyFont="1" applyBorder="1" applyAlignment="1" applyProtection="1">
      <alignment horizontal="center"/>
    </xf>
    <xf numFmtId="0" fontId="19" fillId="0" borderId="9" xfId="0" applyFont="1" applyBorder="1" applyAlignment="1" applyProtection="1">
      <alignment horizontal="center"/>
    </xf>
    <xf numFmtId="0" fontId="21" fillId="0" borderId="11" xfId="0" applyFont="1" applyBorder="1" applyAlignment="1" applyProtection="1">
      <alignment horizontal="center"/>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50" fillId="0" borderId="0" xfId="570" applyFont="1" applyFill="1" applyBorder="1" applyAlignment="1" applyProtection="1">
      <alignment vertical="top" wrapText="1"/>
    </xf>
    <xf numFmtId="0" fontId="12" fillId="0" borderId="0" xfId="570" applyFill="1" applyBorder="1" applyAlignment="1">
      <alignment vertical="top" wrapText="1"/>
    </xf>
    <xf numFmtId="0" fontId="12" fillId="0" borderId="0" xfId="570" applyFont="1" applyFill="1" applyBorder="1" applyAlignment="1" applyProtection="1">
      <alignment horizontal="right" vertical="top" wrapText="1"/>
    </xf>
    <xf numFmtId="0" fontId="12" fillId="0" borderId="0" xfId="570" applyFont="1" applyFill="1" applyBorder="1" applyAlignment="1">
      <alignment vertical="top" wrapText="1"/>
    </xf>
    <xf numFmtId="0" fontId="12" fillId="0" borderId="0" xfId="570" applyFont="1" applyFill="1" applyBorder="1" applyAlignment="1" applyProtection="1">
      <alignment horizontal="left" vertical="top" wrapText="1"/>
    </xf>
    <xf numFmtId="0" fontId="12" fillId="0" borderId="0" xfId="570"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2" fillId="52" borderId="68" xfId="4501" applyFont="1" applyFill="1" applyBorder="1" applyAlignment="1" applyProtection="1">
      <alignment horizontal="center"/>
    </xf>
    <xf numFmtId="0" fontId="82" fillId="52" borderId="69" xfId="4501" applyFont="1" applyFill="1" applyBorder="1" applyAlignment="1" applyProtection="1">
      <alignment horizontal="center"/>
    </xf>
    <xf numFmtId="0" fontId="82" fillId="52" borderId="70" xfId="4501" applyFont="1" applyFill="1" applyBorder="1" applyAlignment="1" applyProtection="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14" fontId="153" fillId="48" borderId="73" xfId="4501" applyNumberFormat="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98" fillId="45" borderId="68" xfId="4501" applyFont="1" applyFill="1" applyBorder="1" applyAlignment="1">
      <alignment horizontal="center"/>
    </xf>
    <xf numFmtId="0" fontId="98" fillId="45" borderId="69" xfId="4501" applyFont="1" applyFill="1" applyBorder="1" applyAlignment="1">
      <alignment horizontal="center"/>
    </xf>
    <xf numFmtId="0" fontId="98" fillId="45" borderId="70" xfId="4501" applyFont="1" applyFill="1" applyBorder="1" applyAlignment="1">
      <alignment horizontal="center"/>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5" fillId="52" borderId="68" xfId="4501" applyNumberFormat="1" applyFill="1" applyBorder="1" applyAlignment="1">
      <alignment horizontal="center"/>
    </xf>
    <xf numFmtId="0" fontId="5" fillId="52" borderId="69" xfId="4501" applyFill="1" applyBorder="1" applyAlignment="1">
      <alignment horizontal="center"/>
    </xf>
    <xf numFmtId="0" fontId="5" fillId="52" borderId="70" xfId="4501" applyFill="1" applyBorder="1" applyAlignment="1">
      <alignment horizontal="center"/>
    </xf>
    <xf numFmtId="0" fontId="153" fillId="48" borderId="68" xfId="4501" applyFont="1" applyFill="1" applyBorder="1" applyAlignment="1" applyProtection="1">
      <alignment horizontal="center"/>
      <protection locked="0"/>
    </xf>
    <xf numFmtId="0" fontId="98" fillId="0" borderId="0" xfId="4501" applyFont="1" applyAlignment="1">
      <alignment horizontal="center"/>
    </xf>
    <xf numFmtId="0" fontId="98" fillId="0" borderId="41" xfId="4501" applyFont="1" applyBorder="1" applyAlignment="1">
      <alignment horizontal="center"/>
    </xf>
    <xf numFmtId="0" fontId="5" fillId="52" borderId="72" xfId="4501" applyFill="1" applyBorder="1" applyAlignment="1">
      <alignment horizontal="center"/>
    </xf>
    <xf numFmtId="0" fontId="5" fillId="52" borderId="76" xfId="4501" applyFill="1" applyBorder="1" applyAlignment="1">
      <alignment horizontal="center"/>
    </xf>
    <xf numFmtId="0" fontId="5" fillId="52" borderId="68" xfId="4501" applyFill="1" applyBorder="1" applyAlignment="1" applyProtection="1">
      <alignment horizontal="left"/>
    </xf>
    <xf numFmtId="0" fontId="5" fillId="52" borderId="69" xfId="4501" applyFill="1" applyBorder="1" applyAlignment="1" applyProtection="1">
      <alignment horizontal="left"/>
    </xf>
    <xf numFmtId="0" fontId="5" fillId="52" borderId="70" xfId="4501" applyFill="1" applyBorder="1" applyAlignment="1" applyProtection="1">
      <alignment horizontal="left"/>
    </xf>
    <xf numFmtId="0" fontId="5" fillId="53" borderId="68" xfId="4501" applyFill="1" applyBorder="1" applyAlignment="1">
      <alignment horizontal="center"/>
    </xf>
    <xf numFmtId="0" fontId="5" fillId="53" borderId="69" xfId="4501" applyFill="1" applyBorder="1" applyAlignment="1">
      <alignment horizontal="center"/>
    </xf>
    <xf numFmtId="0" fontId="5"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79"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45" borderId="81"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61" fillId="45" borderId="68" xfId="4501" applyFont="1" applyFill="1" applyBorder="1" applyAlignment="1">
      <alignment horizontal="center"/>
    </xf>
    <xf numFmtId="0" fontId="61" fillId="45" borderId="69" xfId="4501" applyFont="1" applyFill="1" applyBorder="1" applyAlignment="1">
      <alignment horizontal="center"/>
    </xf>
    <xf numFmtId="0" fontId="61"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50" fillId="45" borderId="68" xfId="4501" applyFont="1" applyFill="1" applyBorder="1" applyAlignment="1">
      <alignment horizontal="center"/>
    </xf>
    <xf numFmtId="0" fontId="50" fillId="45" borderId="69" xfId="4501" applyFont="1" applyFill="1" applyBorder="1" applyAlignment="1">
      <alignment horizontal="center"/>
    </xf>
    <xf numFmtId="0" fontId="50" fillId="45" borderId="70" xfId="4501" applyFont="1" applyFill="1" applyBorder="1" applyAlignment="1">
      <alignment horizontal="center"/>
    </xf>
    <xf numFmtId="0" fontId="50"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9" fontId="5" fillId="48" borderId="68" xfId="4501" applyNumberFormat="1" applyFill="1" applyBorder="1" applyAlignment="1" applyProtection="1">
      <alignment horizontal="center"/>
      <protection locked="0"/>
    </xf>
    <xf numFmtId="9" fontId="5" fillId="48" borderId="69" xfId="4501" applyNumberFormat="1" applyFill="1" applyBorder="1" applyAlignment="1" applyProtection="1">
      <alignment horizontal="center"/>
      <protection locked="0"/>
    </xf>
    <xf numFmtId="9" fontId="5" fillId="48" borderId="70" xfId="4501" applyNumberFormat="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1" fontId="5" fillId="48" borderId="11"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50" fillId="48" borderId="71" xfId="4501" applyFont="1" applyFill="1" applyBorder="1" applyAlignment="1" applyProtection="1">
      <alignment horizontal="right"/>
      <protection locked="0"/>
    </xf>
    <xf numFmtId="0" fontId="50" fillId="48" borderId="72" xfId="4501" applyFont="1" applyFill="1" applyBorder="1" applyAlignment="1" applyProtection="1">
      <alignment horizontal="right"/>
      <protection locked="0"/>
    </xf>
    <xf numFmtId="0" fontId="50"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1" fontId="5" fillId="48" borderId="13" xfId="4501" applyNumberFormat="1" applyFill="1" applyBorder="1" applyAlignment="1" applyProtection="1">
      <alignment horizontal="center"/>
      <protection locked="0"/>
    </xf>
    <xf numFmtId="0" fontId="5" fillId="48" borderId="5" xfId="4501" applyFill="1" applyBorder="1" applyAlignment="1" applyProtection="1">
      <alignment horizontal="center"/>
      <protection locked="0"/>
    </xf>
    <xf numFmtId="0" fontId="5" fillId="48" borderId="11" xfId="4501" applyFill="1" applyBorder="1" applyAlignment="1" applyProtection="1">
      <alignment horizontal="center"/>
      <protection locked="0"/>
    </xf>
    <xf numFmtId="0" fontId="5" fillId="48" borderId="93" xfId="4501" applyFill="1" applyBorder="1" applyAlignment="1" applyProtection="1">
      <alignment horizontal="center"/>
      <protection locked="0"/>
    </xf>
    <xf numFmtId="0" fontId="5" fillId="48" borderId="82" xfId="4501" applyFill="1" applyBorder="1" applyAlignment="1" applyProtection="1">
      <alignment horizontal="center"/>
      <protection locked="0"/>
    </xf>
    <xf numFmtId="0" fontId="5" fillId="48" borderId="3" xfId="4501" applyFill="1" applyBorder="1" applyAlignment="1" applyProtection="1">
      <alignment horizontal="center"/>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5" fillId="48" borderId="85" xfId="4501" applyFill="1" applyBorder="1" applyAlignment="1" applyProtection="1">
      <alignment horizontal="center"/>
      <protection locked="0"/>
    </xf>
    <xf numFmtId="0" fontId="5" fillId="48" borderId="75" xfId="4501" applyFill="1" applyBorder="1" applyAlignment="1" applyProtection="1">
      <alignment horizontal="center"/>
      <protection locked="0"/>
    </xf>
    <xf numFmtId="0" fontId="5" fillId="48" borderId="95" xfId="4501" applyFill="1" applyBorder="1" applyAlignment="1" applyProtection="1">
      <alignment horizontal="center"/>
      <protection locked="0"/>
    </xf>
    <xf numFmtId="0" fontId="5" fillId="48" borderId="74" xfId="4501" applyFill="1" applyBorder="1" applyAlignment="1" applyProtection="1">
      <alignment horizontal="center"/>
      <protection locked="0"/>
    </xf>
    <xf numFmtId="0" fontId="5" fillId="48" borderId="86" xfId="450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50" fillId="0" borderId="66" xfId="4501" applyFont="1" applyBorder="1" applyAlignment="1">
      <alignment horizontal="center" vertical="center" wrapText="1"/>
    </xf>
    <xf numFmtId="0" fontId="50" fillId="0" borderId="29" xfId="4501" applyFont="1" applyBorder="1" applyAlignment="1">
      <alignment horizontal="center" vertical="center" wrapText="1"/>
    </xf>
    <xf numFmtId="0" fontId="50" fillId="0" borderId="31" xfId="4501" applyFont="1" applyBorder="1" applyAlignment="1">
      <alignment horizontal="center" vertical="center" wrapText="1"/>
    </xf>
    <xf numFmtId="0" fontId="28" fillId="0" borderId="66" xfId="4501" applyFont="1" applyBorder="1" applyAlignment="1">
      <alignment horizontal="center" vertical="center" wrapText="1"/>
    </xf>
    <xf numFmtId="0" fontId="28" fillId="0" borderId="29" xfId="4501" applyFont="1" applyBorder="1" applyAlignment="1">
      <alignment horizontal="center" vertical="center" wrapText="1"/>
    </xf>
    <xf numFmtId="0" fontId="28" fillId="0" borderId="31" xfId="4501" applyFont="1" applyBorder="1" applyAlignment="1">
      <alignment horizontal="center" vertical="center" wrapText="1"/>
    </xf>
    <xf numFmtId="0" fontId="159" fillId="48" borderId="82"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50" fillId="0" borderId="66" xfId="4501" applyFont="1" applyBorder="1" applyAlignment="1">
      <alignment horizontal="center"/>
    </xf>
    <xf numFmtId="0" fontId="50" fillId="0" borderId="29" xfId="4501" applyFont="1" applyBorder="1" applyAlignment="1">
      <alignment horizontal="center"/>
    </xf>
    <xf numFmtId="0" fontId="50" fillId="0" borderId="31" xfId="4501" applyFont="1" applyBorder="1" applyAlignment="1">
      <alignment horizontal="center"/>
    </xf>
    <xf numFmtId="0" fontId="50" fillId="0" borderId="78" xfId="4501" applyFont="1" applyBorder="1" applyAlignment="1">
      <alignment horizontal="center"/>
    </xf>
    <xf numFmtId="0" fontId="50" fillId="0" borderId="79" xfId="4501" applyFont="1" applyBorder="1" applyAlignment="1">
      <alignment horizontal="center"/>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74"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48" fillId="45" borderId="3"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0" fontId="98" fillId="45" borderId="74" xfId="4501" applyFont="1" applyFill="1" applyBorder="1" applyAlignment="1">
      <alignment horizontal="center"/>
    </xf>
    <xf numFmtId="0" fontId="98" fillId="45" borderId="75" xfId="4501" applyFont="1" applyFill="1" applyBorder="1" applyAlignment="1">
      <alignment horizontal="center"/>
    </xf>
    <xf numFmtId="14" fontId="153" fillId="48" borderId="75" xfId="4501" applyNumberFormat="1"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0" fontId="153" fillId="48" borderId="95"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99" fillId="48" borderId="82" xfId="4501" applyFont="1" applyFill="1" applyBorder="1" applyAlignment="1" applyProtection="1">
      <alignment horizontal="center"/>
      <protection locked="0"/>
    </xf>
    <xf numFmtId="0" fontId="99" fillId="48" borderId="11" xfId="4501" applyFont="1" applyFill="1" applyBorder="1" applyAlignment="1" applyProtection="1">
      <alignment horizontal="center"/>
      <protection locked="0"/>
    </xf>
    <xf numFmtId="44" fontId="99" fillId="48" borderId="11" xfId="4502" applyFont="1" applyFill="1" applyBorder="1" applyAlignment="1" applyProtection="1">
      <alignment horizontal="center"/>
      <protection locked="0"/>
    </xf>
    <xf numFmtId="44" fontId="99" fillId="48" borderId="93" xfId="4502"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5" fillId="48" borderId="13" xfId="4501" applyFill="1" applyBorder="1" applyAlignment="1" applyProtection="1">
      <alignment horizontal="center"/>
      <protection locked="0"/>
    </xf>
    <xf numFmtId="0" fontId="5" fillId="48" borderId="98" xfId="450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8" fillId="45" borderId="71" xfId="4501" applyFont="1" applyFill="1" applyBorder="1" applyAlignment="1">
      <alignment horizontal="center"/>
    </xf>
    <xf numFmtId="0" fontId="98" fillId="45" borderId="72" xfId="4501" applyFont="1" applyFill="1" applyBorder="1" applyAlignment="1">
      <alignment horizontal="center"/>
    </xf>
    <xf numFmtId="0" fontId="5" fillId="0" borderId="69" xfId="4501" applyBorder="1" applyAlignment="1"/>
    <xf numFmtId="0" fontId="5" fillId="0" borderId="70" xfId="4501" applyBorder="1" applyAlignment="1"/>
    <xf numFmtId="0" fontId="98" fillId="45" borderId="102" xfId="4501" applyFont="1" applyFill="1" applyBorder="1" applyAlignment="1">
      <alignment horizontal="center"/>
    </xf>
    <xf numFmtId="0" fontId="98" fillId="45" borderId="103" xfId="4501" applyFont="1" applyFill="1" applyBorder="1" applyAlignment="1">
      <alignment horizontal="center"/>
    </xf>
    <xf numFmtId="0" fontId="98" fillId="45" borderId="104" xfId="4501" applyFont="1" applyFill="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44" fontId="99" fillId="48" borderId="99" xfId="4502" applyFont="1" applyFill="1" applyBorder="1" applyAlignment="1" applyProtection="1">
      <alignment horizontal="center"/>
      <protection locked="0"/>
    </xf>
    <xf numFmtId="44" fontId="99"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8" fillId="45" borderId="66" xfId="4501" applyFont="1" applyFill="1" applyBorder="1" applyAlignment="1">
      <alignment horizontal="center"/>
    </xf>
    <xf numFmtId="0" fontId="98" fillId="45" borderId="29" xfId="4501" applyFont="1" applyFill="1" applyBorder="1" applyAlignment="1">
      <alignment horizontal="center"/>
    </xf>
    <xf numFmtId="0" fontId="98" fillId="45" borderId="31" xfId="4501" applyFont="1" applyFill="1" applyBorder="1" applyAlignment="1">
      <alignment horizontal="center"/>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8" fillId="48" borderId="10" xfId="4501" applyFont="1" applyFill="1" applyBorder="1" applyAlignment="1" applyProtection="1">
      <alignment horizontal="center"/>
      <protection locked="0"/>
    </xf>
    <xf numFmtId="0" fontId="98" fillId="48" borderId="13" xfId="4501" applyFont="1" applyFill="1" applyBorder="1" applyAlignment="1" applyProtection="1">
      <alignment horizontal="center"/>
      <protection locked="0"/>
    </xf>
    <xf numFmtId="0" fontId="98" fillId="48" borderId="98" xfId="4501" applyFont="1" applyFill="1" applyBorder="1" applyAlignment="1" applyProtection="1">
      <alignment horizontal="center"/>
      <protection locked="0"/>
    </xf>
    <xf numFmtId="0" fontId="98" fillId="48" borderId="85" xfId="4501" applyFont="1" applyFill="1" applyBorder="1" applyAlignment="1" applyProtection="1">
      <alignment horizontal="center"/>
      <protection locked="0"/>
    </xf>
    <xf numFmtId="0" fontId="98" fillId="48" borderId="75" xfId="4501" applyFont="1" applyFill="1" applyBorder="1" applyAlignment="1" applyProtection="1">
      <alignment horizontal="center"/>
      <protection locked="0"/>
    </xf>
    <xf numFmtId="0" fontId="98" fillId="48" borderId="95" xfId="4501" applyFont="1" applyFill="1" applyBorder="1" applyAlignment="1" applyProtection="1">
      <alignment horizontal="center"/>
      <protection locked="0"/>
    </xf>
    <xf numFmtId="0" fontId="98" fillId="48" borderId="9" xfId="4501" applyFont="1" applyFill="1" applyBorder="1" applyAlignment="1" applyProtection="1">
      <alignment horizontal="center"/>
      <protection locked="0"/>
    </xf>
    <xf numFmtId="0" fontId="98" fillId="48" borderId="86" xfId="4501" applyFont="1" applyFill="1" applyBorder="1" applyAlignment="1" applyProtection="1">
      <alignment horizontal="center"/>
      <protection locked="0"/>
    </xf>
    <xf numFmtId="0" fontId="98" fillId="48" borderId="3" xfId="4501" applyFont="1" applyFill="1" applyBorder="1" applyAlignment="1" applyProtection="1">
      <alignment horizontal="center"/>
      <protection locked="0"/>
    </xf>
    <xf numFmtId="0" fontId="98" fillId="48" borderId="4" xfId="4501" applyFont="1" applyFill="1" applyBorder="1" applyAlignment="1" applyProtection="1">
      <alignment horizontal="center"/>
      <protection locked="0"/>
    </xf>
    <xf numFmtId="0" fontId="98" fillId="48" borderId="5" xfId="4501" applyFont="1" applyFill="1" applyBorder="1" applyAlignment="1" applyProtection="1">
      <alignment horizontal="center"/>
      <protection locked="0"/>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148" fillId="45" borderId="91" xfId="4501" applyFont="1" applyFill="1" applyBorder="1" applyAlignment="1">
      <alignment horizontal="center"/>
    </xf>
    <xf numFmtId="0" fontId="98" fillId="45" borderId="94" xfId="4501" applyFont="1" applyFill="1" applyBorder="1" applyAlignment="1">
      <alignment horizontal="center"/>
    </xf>
    <xf numFmtId="0" fontId="98" fillId="45" borderId="4" xfId="4501" applyFont="1" applyFill="1" applyBorder="1" applyAlignment="1">
      <alignment horizontal="center"/>
    </xf>
    <xf numFmtId="0" fontId="98" fillId="45" borderId="5" xfId="4501" applyFont="1" applyFill="1" applyBorder="1" applyAlignment="1">
      <alignment horizontal="center"/>
    </xf>
    <xf numFmtId="0" fontId="148" fillId="45" borderId="5" xfId="4501" applyFont="1" applyFill="1" applyBorder="1" applyAlignment="1">
      <alignment horizontal="center"/>
    </xf>
    <xf numFmtId="0" fontId="98" fillId="45" borderId="82" xfId="4501" applyFont="1" applyFill="1" applyBorder="1" applyAlignment="1">
      <alignment horizontal="center"/>
    </xf>
    <xf numFmtId="0" fontId="98" fillId="45" borderId="11" xfId="4501" applyFont="1" applyFill="1" applyBorder="1" applyAlignment="1">
      <alignment horizontal="center"/>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8" fillId="0" borderId="94" xfId="4501" applyFont="1" applyBorder="1" applyAlignment="1">
      <alignment horizontal="center"/>
    </xf>
    <xf numFmtId="0" fontId="98" fillId="0" borderId="4" xfId="4501" applyFont="1" applyBorder="1" applyAlignment="1">
      <alignment horizontal="center"/>
    </xf>
    <xf numFmtId="0" fontId="98" fillId="0" borderId="5" xfId="4501" applyFont="1" applyBorder="1" applyAlignment="1">
      <alignment horizontal="center"/>
    </xf>
    <xf numFmtId="0" fontId="98"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8" fillId="0" borderId="86" xfId="4501" applyFont="1" applyBorder="1" applyAlignment="1">
      <alignment horizontal="center"/>
    </xf>
    <xf numFmtId="0" fontId="98" fillId="0" borderId="84" xfId="4501" applyFont="1" applyBorder="1" applyAlignment="1">
      <alignment horizontal="center"/>
    </xf>
    <xf numFmtId="0" fontId="98"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5" xfId="4501"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5" fillId="50" borderId="3" xfId="4501" applyFill="1" applyBorder="1" applyAlignment="1">
      <alignment horizontal="center"/>
    </xf>
    <xf numFmtId="0" fontId="5" fillId="50" borderId="4" xfId="4501" applyFill="1" applyBorder="1" applyAlignment="1">
      <alignment horizontal="center"/>
    </xf>
    <xf numFmtId="0" fontId="5" fillId="50" borderId="5" xfId="4501" applyFill="1" applyBorder="1" applyAlignment="1">
      <alignment horizontal="center"/>
    </xf>
    <xf numFmtId="14" fontId="5" fillId="48" borderId="3" xfId="4501" applyNumberFormat="1" applyFill="1" applyBorder="1" applyAlignment="1" applyProtection="1">
      <alignment horizontal="center"/>
      <protection locked="0"/>
    </xf>
    <xf numFmtId="14" fontId="5" fillId="48" borderId="4" xfId="4501" applyNumberFormat="1" applyFill="1" applyBorder="1" applyAlignment="1" applyProtection="1">
      <alignment horizontal="center"/>
      <protection locked="0"/>
    </xf>
    <xf numFmtId="14" fontId="5" fillId="52" borderId="3" xfId="4501" applyNumberFormat="1" applyFill="1" applyBorder="1" applyAlignment="1">
      <alignment horizontal="center"/>
    </xf>
    <xf numFmtId="14" fontId="5" fillId="52" borderId="4" xfId="4501" applyNumberFormat="1" applyFill="1" applyBorder="1" applyAlignment="1">
      <alignment horizontal="center"/>
    </xf>
    <xf numFmtId="0" fontId="5" fillId="52" borderId="3" xfId="4501" applyFill="1" applyBorder="1" applyAlignment="1">
      <alignment horizontal="center"/>
    </xf>
    <xf numFmtId="0" fontId="5" fillId="52" borderId="4" xfId="4501" applyFill="1" applyBorder="1" applyAlignment="1">
      <alignment horizontal="center"/>
    </xf>
    <xf numFmtId="0" fontId="5" fillId="52" borderId="5" xfId="4501" applyFill="1" applyBorder="1" applyAlignment="1">
      <alignment horizontal="center"/>
    </xf>
    <xf numFmtId="14" fontId="5"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50" fillId="48" borderId="11" xfId="4501" applyFont="1" applyFill="1" applyBorder="1" applyAlignment="1" applyProtection="1">
      <alignment horizontal="center"/>
      <protection locked="0"/>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50" fillId="48" borderId="75" xfId="450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14" fontId="5" fillId="48" borderId="11" xfId="4501" applyNumberFormat="1" applyFill="1" applyBorder="1" applyAlignment="1" applyProtection="1">
      <alignment horizontal="center"/>
      <protection locked="0"/>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5" fillId="48" borderId="82" xfId="4501" applyFill="1" applyBorder="1" applyAlignment="1" applyProtection="1">
      <alignment horizontal="left" vertical="top"/>
      <protection locked="0"/>
    </xf>
    <xf numFmtId="0" fontId="5" fillId="48" borderId="11" xfId="4501" applyFill="1" applyBorder="1" applyAlignment="1" applyProtection="1">
      <alignment horizontal="left" vertical="top"/>
      <protection locked="0"/>
    </xf>
    <xf numFmtId="0" fontId="5" fillId="48" borderId="93" xfId="4501" applyFill="1" applyBorder="1" applyAlignment="1" applyProtection="1">
      <alignment horizontal="left" vertical="top"/>
      <protection locked="0"/>
    </xf>
    <xf numFmtId="0" fontId="5" fillId="48" borderId="74" xfId="4501" applyFill="1" applyBorder="1" applyAlignment="1" applyProtection="1">
      <alignment horizontal="left" vertical="top"/>
      <protection locked="0"/>
    </xf>
    <xf numFmtId="0" fontId="5" fillId="48" borderId="75" xfId="4501" applyFill="1" applyBorder="1" applyAlignment="1" applyProtection="1">
      <alignment horizontal="left" vertical="top"/>
      <protection locked="0"/>
    </xf>
    <xf numFmtId="0" fontId="5" fillId="48" borderId="95" xfId="4501" applyFill="1" applyBorder="1" applyAlignment="1" applyProtection="1">
      <alignment horizontal="left" vertical="top"/>
      <protection locked="0"/>
    </xf>
    <xf numFmtId="164" fontId="49" fillId="48" borderId="11" xfId="4502" applyNumberFormat="1" applyFont="1" applyFill="1" applyBorder="1" applyAlignment="1" applyProtection="1">
      <alignment horizontal="center"/>
      <protection locked="0"/>
    </xf>
    <xf numFmtId="44" fontId="49" fillId="48" borderId="11" xfId="4502" applyFont="1" applyFill="1" applyBorder="1" applyAlignment="1" applyProtection="1">
      <alignment horizontal="center"/>
      <protection locked="0"/>
    </xf>
    <xf numFmtId="0" fontId="98"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5" fillId="0" borderId="77" xfId="4501" applyBorder="1" applyAlignment="1">
      <alignment horizontal="center"/>
    </xf>
    <xf numFmtId="0" fontId="5" fillId="0" borderId="78" xfId="4501" applyBorder="1" applyAlignment="1">
      <alignment horizontal="center"/>
    </xf>
    <xf numFmtId="0" fontId="5"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50" fillId="0" borderId="77" xfId="4501" applyFont="1" applyBorder="1" applyAlignment="1">
      <alignment horizontal="center"/>
    </xf>
    <xf numFmtId="0" fontId="149" fillId="45" borderId="81" xfId="4501" applyFont="1" applyFill="1" applyBorder="1" applyAlignment="1">
      <alignment horizontal="center"/>
    </xf>
    <xf numFmtId="164" fontId="5" fillId="52" borderId="4" xfId="4501" applyNumberFormat="1" applyFill="1" applyBorder="1" applyAlignment="1">
      <alignment horizontal="center"/>
    </xf>
    <xf numFmtId="164" fontId="5" fillId="52" borderId="81" xfId="4501" applyNumberFormat="1" applyFill="1" applyBorder="1" applyAlignment="1">
      <alignment horizontal="center"/>
    </xf>
    <xf numFmtId="0" fontId="5" fillId="48" borderId="94" xfId="4501" applyFill="1" applyBorder="1" applyAlignment="1" applyProtection="1">
      <alignment horizontal="center"/>
      <protection locked="0"/>
    </xf>
    <xf numFmtId="0" fontId="5" fillId="48" borderId="4" xfId="4501" applyFill="1" applyBorder="1" applyAlignment="1" applyProtection="1">
      <alignment horizontal="center"/>
      <protection locked="0"/>
    </xf>
    <xf numFmtId="0" fontId="5" fillId="48" borderId="81" xfId="4501" applyFill="1" applyBorder="1" applyAlignment="1" applyProtection="1">
      <alignment horizontal="center"/>
      <protection locked="0"/>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148" fillId="45" borderId="94"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8" borderId="81" xfId="4501" applyFont="1" applyFill="1" applyBorder="1" applyAlignment="1" applyProtection="1">
      <alignment horizontal="center"/>
      <protection locked="0"/>
    </xf>
    <xf numFmtId="0" fontId="50" fillId="48" borderId="94" xfId="4501" applyFont="1" applyFill="1" applyBorder="1" applyAlignment="1" applyProtection="1">
      <alignment horizontal="center"/>
      <protection locked="0"/>
    </xf>
    <xf numFmtId="0" fontId="50" fillId="48" borderId="4" xfId="4501" applyFont="1" applyFill="1" applyBorder="1" applyAlignment="1" applyProtection="1">
      <alignment horizontal="center"/>
      <protection locked="0"/>
    </xf>
    <xf numFmtId="0" fontId="50" fillId="48" borderId="93" xfId="4501" applyFont="1" applyFill="1" applyBorder="1" applyAlignment="1" applyProtection="1">
      <alignment horizontal="center"/>
      <protection locked="0"/>
    </xf>
    <xf numFmtId="164" fontId="5" fillId="48" borderId="4" xfId="4501" applyNumberFormat="1" applyFill="1" applyBorder="1" applyAlignment="1" applyProtection="1">
      <alignment horizontal="center"/>
    </xf>
    <xf numFmtId="164" fontId="5" fillId="48" borderId="81" xfId="4501" applyNumberFormat="1" applyFill="1" applyBorder="1" applyAlignment="1" applyProtection="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60" fillId="51" borderId="66" xfId="4501" applyFont="1" applyFill="1" applyBorder="1" applyAlignment="1">
      <alignment horizontal="center"/>
    </xf>
    <xf numFmtId="0" fontId="60" fillId="51" borderId="29" xfId="4501" applyFont="1" applyFill="1" applyBorder="1" applyAlignment="1">
      <alignment horizontal="center"/>
    </xf>
    <xf numFmtId="0" fontId="60" fillId="51" borderId="31" xfId="4501" applyFont="1" applyFill="1" applyBorder="1" applyAlignment="1">
      <alignment horizontal="center"/>
    </xf>
    <xf numFmtId="0" fontId="5" fillId="51" borderId="67" xfId="4501" applyFill="1" applyBorder="1" applyAlignment="1">
      <alignment horizontal="center"/>
    </xf>
    <xf numFmtId="0" fontId="5" fillId="51" borderId="0" xfId="4501" applyFill="1" applyBorder="1" applyAlignment="1">
      <alignment horizontal="center"/>
    </xf>
    <xf numFmtId="0" fontId="5" fillId="51" borderId="41" xfId="4501" applyFill="1" applyBorder="1" applyAlignment="1">
      <alignment horizontal="center"/>
    </xf>
    <xf numFmtId="0" fontId="19" fillId="51" borderId="67" xfId="4501" applyFont="1" applyFill="1" applyBorder="1" applyAlignment="1">
      <alignment horizontal="center"/>
    </xf>
    <xf numFmtId="0" fontId="19" fillId="51" borderId="0" xfId="4501" applyFont="1" applyFill="1" applyBorder="1" applyAlignment="1">
      <alignment horizontal="center"/>
    </xf>
    <xf numFmtId="0" fontId="19"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50" fillId="48" borderId="95" xfId="4501" applyFont="1" applyFill="1" applyBorder="1" applyAlignment="1" applyProtection="1">
      <alignment horizontal="center"/>
      <protection locked="0"/>
    </xf>
    <xf numFmtId="164" fontId="5" fillId="48" borderId="84" xfId="4501" applyNumberFormat="1" applyFill="1" applyBorder="1" applyAlignment="1" applyProtection="1">
      <alignment horizontal="center"/>
      <protection locked="0"/>
    </xf>
    <xf numFmtId="164" fontId="5" fillId="48" borderId="87" xfId="4501" applyNumberFormat="1" applyFill="1" applyBorder="1" applyAlignment="1" applyProtection="1">
      <alignment horizontal="center"/>
      <protection locked="0"/>
    </xf>
    <xf numFmtId="0" fontId="5" fillId="48" borderId="83" xfId="4501" applyFill="1" applyBorder="1" applyAlignment="1" applyProtection="1">
      <alignment horizontal="center"/>
      <protection locked="0"/>
    </xf>
    <xf numFmtId="0" fontId="5" fillId="48" borderId="84" xfId="4501" applyFill="1" applyBorder="1" applyAlignment="1" applyProtection="1">
      <alignment horizontal="center"/>
      <protection locked="0"/>
    </xf>
    <xf numFmtId="0" fontId="5"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98" fillId="45" borderId="0" xfId="4504" applyFont="1" applyFill="1" applyBorder="1" applyAlignment="1">
      <alignment horizontal="left" vertical="top"/>
    </xf>
    <xf numFmtId="0" fontId="5" fillId="48" borderId="68" xfId="4501" applyFill="1" applyBorder="1" applyAlignment="1" applyProtection="1">
      <alignment horizontal="center"/>
      <protection locked="0"/>
    </xf>
    <xf numFmtId="0" fontId="5" fillId="48" borderId="69" xfId="4501" applyFill="1" applyBorder="1" applyAlignment="1" applyProtection="1">
      <alignment horizontal="center"/>
      <protection locked="0"/>
    </xf>
    <xf numFmtId="0" fontId="5" fillId="48" borderId="70" xfId="4501" applyFill="1" applyBorder="1" applyAlignment="1" applyProtection="1">
      <alignment horizontal="center"/>
      <protection locked="0"/>
    </xf>
    <xf numFmtId="0" fontId="98" fillId="45" borderId="0" xfId="4501" applyFont="1" applyFill="1" applyBorder="1" applyAlignment="1">
      <alignment horizontal="left"/>
    </xf>
    <xf numFmtId="0" fontId="19" fillId="45" borderId="0" xfId="4501" applyFont="1" applyFill="1" applyBorder="1" applyAlignment="1">
      <alignment horizontal="left" vertical="top"/>
    </xf>
    <xf numFmtId="0" fontId="98" fillId="51" borderId="67" xfId="4501" applyFont="1" applyFill="1" applyBorder="1" applyAlignment="1">
      <alignment horizontal="center"/>
    </xf>
    <xf numFmtId="0" fontId="98" fillId="51" borderId="0" xfId="4501" applyFont="1" applyFill="1" applyBorder="1" applyAlignment="1">
      <alignment horizontal="center"/>
    </xf>
    <xf numFmtId="0" fontId="98" fillId="51" borderId="41" xfId="4501" applyFont="1" applyFill="1" applyBorder="1" applyAlignment="1">
      <alignment horizontal="center"/>
    </xf>
    <xf numFmtId="0" fontId="98" fillId="51" borderId="0" xfId="4501" applyFont="1" applyFill="1" applyBorder="1" applyAlignment="1">
      <alignment horizontal="left"/>
    </xf>
    <xf numFmtId="0" fontId="98" fillId="51" borderId="0" xfId="4501" applyFont="1" applyFill="1" applyBorder="1" applyAlignment="1">
      <alignment horizontal="left" vertical="top" wrapText="1"/>
    </xf>
    <xf numFmtId="0" fontId="98" fillId="51" borderId="42" xfId="4501" applyFont="1" applyFill="1" applyBorder="1" applyAlignment="1">
      <alignment horizontal="center"/>
    </xf>
    <xf numFmtId="4" fontId="20" fillId="0" borderId="3" xfId="4496" applyNumberFormat="1" applyFont="1" applyBorder="1" applyAlignment="1" applyProtection="1">
      <alignment horizontal="center"/>
    </xf>
    <xf numFmtId="4" fontId="20" fillId="0" borderId="4" xfId="4496" applyNumberFormat="1" applyFont="1" applyBorder="1" applyAlignment="1" applyProtection="1">
      <alignment horizontal="center"/>
    </xf>
    <xf numFmtId="4" fontId="20"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2" fillId="44" borderId="6" xfId="1193" applyNumberFormat="1" applyFont="1" applyFill="1" applyBorder="1" applyAlignment="1" applyProtection="1">
      <alignment horizontal="right"/>
      <protection locked="0"/>
    </xf>
    <xf numFmtId="168" fontId="12" fillId="0" borderId="0" xfId="1193" applyNumberFormat="1" applyFont="1" applyBorder="1" applyAlignment="1" applyProtection="1">
      <alignment horizontal="right"/>
    </xf>
    <xf numFmtId="0" fontId="144" fillId="0" borderId="0" xfId="1193" applyFont="1" applyBorder="1" applyAlignment="1" applyProtection="1">
      <alignment horizontal="center"/>
    </xf>
    <xf numFmtId="168" fontId="12" fillId="44" borderId="6" xfId="543" applyNumberFormat="1" applyFont="1" applyFill="1" applyBorder="1" applyAlignment="1" applyProtection="1">
      <alignment horizontal="center"/>
      <protection locked="0"/>
    </xf>
    <xf numFmtId="168" fontId="12" fillId="5" borderId="4" xfId="1193" applyNumberFormat="1" applyFont="1" applyFill="1" applyBorder="1" applyAlignment="1" applyProtection="1">
      <alignment horizontal="center"/>
      <protection locked="0"/>
    </xf>
    <xf numFmtId="4" fontId="20" fillId="0" borderId="0" xfId="4496" applyNumberFormat="1" applyFont="1" applyAlignment="1" applyProtection="1">
      <alignment horizontal="center"/>
    </xf>
    <xf numFmtId="4" fontId="20" fillId="0" borderId="6" xfId="4496" applyNumberFormat="1" applyFont="1" applyBorder="1" applyAlignment="1" applyProtection="1">
      <alignment horizontal="center"/>
    </xf>
    <xf numFmtId="1" fontId="12" fillId="5" borderId="2" xfId="1193" applyNumberFormat="1" applyFont="1" applyFill="1" applyBorder="1" applyAlignment="1" applyProtection="1">
      <alignment horizontal="center"/>
      <protection locked="0"/>
    </xf>
    <xf numFmtId="168" fontId="12" fillId="0" borderId="0" xfId="1193" applyNumberFormat="1" applyFont="1" applyAlignment="1" applyProtection="1">
      <alignment horizontal="right"/>
    </xf>
    <xf numFmtId="168" fontId="12" fillId="0" borderId="6" xfId="1193" applyNumberFormat="1" applyFont="1" applyBorder="1" applyAlignment="1" applyProtection="1">
      <alignment horizontal="right"/>
    </xf>
    <xf numFmtId="168" fontId="12" fillId="0" borderId="4" xfId="1193" applyNumberFormat="1" applyFont="1" applyFill="1" applyBorder="1" applyAlignment="1" applyProtection="1">
      <alignment horizontal="right"/>
    </xf>
    <xf numFmtId="10" fontId="20" fillId="0" borderId="2" xfId="4496" applyNumberFormat="1" applyFont="1" applyBorder="1" applyAlignment="1" applyProtection="1">
      <alignment horizontal="center"/>
    </xf>
    <xf numFmtId="0" fontId="20" fillId="0" borderId="0" xfId="4496" applyFont="1" applyAlignment="1" applyProtection="1">
      <alignment horizontal="center"/>
    </xf>
    <xf numFmtId="9" fontId="20"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8" fillId="0" borderId="2" xfId="4496" applyFont="1" applyFill="1" applyBorder="1" applyAlignment="1">
      <alignment horizontal="center"/>
    </xf>
    <xf numFmtId="0" fontId="28" fillId="0" borderId="6" xfId="4496" applyFont="1" applyFill="1" applyBorder="1" applyAlignment="1">
      <alignment horizontal="center"/>
    </xf>
    <xf numFmtId="0" fontId="19" fillId="0" borderId="11" xfId="4496" applyFont="1" applyBorder="1" applyAlignment="1" applyProtection="1">
      <alignment horizontal="center"/>
    </xf>
    <xf numFmtId="0" fontId="20" fillId="0" borderId="51" xfId="4496" applyFont="1" applyBorder="1" applyAlignment="1">
      <alignment horizontal="left" vertical="top" wrapText="1"/>
    </xf>
    <xf numFmtId="0" fontId="20" fillId="0" borderId="0" xfId="4496" applyFont="1" applyBorder="1" applyAlignment="1">
      <alignment horizontal="left" vertical="top" wrapText="1"/>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9" fillId="0" borderId="0" xfId="4496" applyFont="1" applyBorder="1" applyAlignment="1" applyProtection="1">
      <alignment horizontal="center"/>
    </xf>
    <xf numFmtId="0" fontId="19" fillId="0" borderId="54" xfId="4496" applyFont="1" applyBorder="1" applyAlignment="1" applyProtection="1">
      <alignment horizontal="center"/>
    </xf>
    <xf numFmtId="0" fontId="12" fillId="5" borderId="6" xfId="4496" applyFont="1" applyFill="1" applyBorder="1" applyAlignment="1" applyProtection="1">
      <alignment horizontal="center" vertical="center" wrapText="1" shrinkToFit="1"/>
      <protection locked="0"/>
    </xf>
    <xf numFmtId="0" fontId="12" fillId="0" borderId="3" xfId="4496" applyFont="1" applyFill="1" applyBorder="1" applyAlignment="1" applyProtection="1">
      <alignment horizontal="center"/>
    </xf>
    <xf numFmtId="0" fontId="12" fillId="0" borderId="5" xfId="4496" applyFont="1" applyFill="1" applyBorder="1" applyAlignment="1" applyProtection="1">
      <alignment horizontal="center"/>
    </xf>
    <xf numFmtId="0" fontId="12" fillId="0" borderId="0" xfId="4496" applyFont="1" applyFill="1" applyBorder="1" applyAlignment="1" applyProtection="1">
      <alignment horizontal="left" vertical="top" wrapText="1"/>
    </xf>
    <xf numFmtId="0" fontId="12" fillId="5" borderId="6" xfId="1193" applyFont="1" applyFill="1" applyBorder="1" applyAlignment="1" applyProtection="1">
      <alignment horizontal="left"/>
      <protection locked="0"/>
    </xf>
    <xf numFmtId="168" fontId="12"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44" fillId="0" borderId="6" xfId="1193" applyFont="1" applyBorder="1" applyAlignment="1" applyProtection="1">
      <alignment horizontal="center"/>
    </xf>
    <xf numFmtId="0" fontId="12" fillId="0" borderId="6" xfId="1193" applyFont="1" applyFill="1" applyBorder="1" applyAlignment="1" applyProtection="1">
      <alignment horizontal="left"/>
    </xf>
    <xf numFmtId="9" fontId="12" fillId="5" borderId="4" xfId="1193" applyNumberFormat="1" applyFont="1" applyFill="1" applyBorder="1" applyAlignment="1" applyProtection="1">
      <alignment horizontal="left"/>
      <protection locked="0"/>
    </xf>
    <xf numFmtId="0" fontId="12" fillId="0" borderId="6" xfId="1193" applyFont="1" applyBorder="1" applyAlignment="1" applyProtection="1">
      <alignment horizontal="right"/>
    </xf>
    <xf numFmtId="0" fontId="19" fillId="0" borderId="4" xfId="4496" applyFont="1" applyFill="1" applyBorder="1" applyAlignment="1" applyProtection="1">
      <alignment horizontal="left"/>
    </xf>
    <xf numFmtId="0" fontId="19" fillId="0" borderId="5" xfId="4496" applyFont="1" applyFill="1" applyBorder="1" applyAlignment="1" applyProtection="1">
      <alignment horizontal="left"/>
    </xf>
    <xf numFmtId="1" fontId="19" fillId="0" borderId="11" xfId="4496" applyNumberFormat="1" applyFont="1" applyFill="1" applyBorder="1" applyAlignment="1" applyProtection="1">
      <alignment horizontal="center"/>
    </xf>
    <xf numFmtId="0" fontId="19" fillId="0" borderId="3" xfId="4496" applyFont="1" applyFill="1" applyBorder="1" applyAlignment="1" applyProtection="1">
      <alignment horizontal="center" wrapText="1"/>
    </xf>
    <xf numFmtId="0" fontId="19" fillId="0" borderId="4" xfId="4496" applyFont="1" applyFill="1" applyBorder="1" applyAlignment="1" applyProtection="1">
      <alignment horizontal="center" wrapText="1"/>
    </xf>
    <xf numFmtId="0" fontId="19" fillId="0" borderId="5" xfId="4496" applyFont="1" applyFill="1" applyBorder="1" applyAlignment="1" applyProtection="1">
      <alignment horizontal="center" wrapText="1"/>
    </xf>
    <xf numFmtId="0" fontId="19" fillId="0" borderId="11" xfId="4496" applyFont="1" applyFill="1" applyBorder="1" applyAlignment="1" applyProtection="1">
      <alignment horizontal="center"/>
    </xf>
    <xf numFmtId="0" fontId="12" fillId="0" borderId="4" xfId="4496" applyFont="1" applyFill="1" applyBorder="1" applyAlignment="1" applyProtection="1">
      <alignment horizontal="left"/>
    </xf>
    <xf numFmtId="0" fontId="12" fillId="0" borderId="5" xfId="4496" applyFont="1" applyFill="1" applyBorder="1" applyAlignment="1" applyProtection="1">
      <alignment horizontal="left"/>
    </xf>
    <xf numFmtId="1" fontId="12" fillId="0" borderId="11" xfId="4496" applyNumberFormat="1" applyFont="1" applyFill="1" applyBorder="1" applyAlignment="1" applyProtection="1">
      <alignment horizontal="center"/>
    </xf>
    <xf numFmtId="0" fontId="12" fillId="0" borderId="11" xfId="4496" applyFont="1" applyFill="1" applyBorder="1" applyAlignment="1" applyProtection="1">
      <alignment horizontal="center"/>
    </xf>
    <xf numFmtId="1" fontId="12" fillId="47" borderId="11" xfId="4496" applyNumberFormat="1" applyFont="1" applyFill="1" applyBorder="1" applyAlignment="1" applyProtection="1">
      <alignment horizontal="center"/>
    </xf>
    <xf numFmtId="0" fontId="12" fillId="0" borderId="4" xfId="4496" applyFont="1" applyFill="1" applyBorder="1" applyAlignment="1" applyProtection="1">
      <alignment horizontal="center"/>
    </xf>
    <xf numFmtId="0" fontId="19" fillId="0" borderId="3" xfId="4496" applyFont="1" applyFill="1" applyBorder="1" applyAlignment="1" applyProtection="1">
      <alignment horizontal="center"/>
    </xf>
    <xf numFmtId="0" fontId="19" fillId="0" borderId="4" xfId="4496" applyFont="1" applyFill="1" applyBorder="1" applyAlignment="1" applyProtection="1">
      <alignment horizontal="center"/>
    </xf>
    <xf numFmtId="0" fontId="19" fillId="0" borderId="5" xfId="4496" applyFont="1" applyFill="1" applyBorder="1" applyAlignment="1" applyProtection="1">
      <alignment horizontal="center"/>
    </xf>
    <xf numFmtId="0" fontId="19" fillId="0" borderId="4" xfId="4496" applyFont="1" applyBorder="1"/>
    <xf numFmtId="0" fontId="19" fillId="0" borderId="5" xfId="4496" applyFont="1" applyBorder="1"/>
    <xf numFmtId="0" fontId="19" fillId="0" borderId="3" xfId="4496" applyFont="1" applyFill="1" applyBorder="1" applyAlignment="1" applyProtection="1">
      <alignment horizontal="left"/>
    </xf>
    <xf numFmtId="0" fontId="12" fillId="5" borderId="11" xfId="4496" applyFont="1" applyFill="1" applyBorder="1" applyAlignment="1" applyProtection="1">
      <alignment horizontal="center"/>
      <protection locked="0"/>
    </xf>
    <xf numFmtId="164" fontId="60" fillId="0" borderId="1" xfId="4496" applyNumberFormat="1" applyFont="1" applyFill="1" applyBorder="1" applyAlignment="1" applyProtection="1">
      <alignment horizontal="right" vertical="center"/>
    </xf>
    <xf numFmtId="164" fontId="60" fillId="0" borderId="2" xfId="4496" applyNumberFormat="1" applyFont="1" applyFill="1" applyBorder="1" applyAlignment="1" applyProtection="1">
      <alignment horizontal="right" vertical="center"/>
    </xf>
    <xf numFmtId="164" fontId="60" fillId="0" borderId="7" xfId="4496" applyNumberFormat="1" applyFont="1" applyFill="1" applyBorder="1" applyAlignment="1" applyProtection="1">
      <alignment horizontal="right" vertical="center"/>
    </xf>
    <xf numFmtId="164" fontId="60" fillId="0" borderId="9" xfId="4496" applyNumberFormat="1" applyFont="1" applyFill="1" applyBorder="1" applyAlignment="1" applyProtection="1">
      <alignment horizontal="right" vertical="center"/>
    </xf>
    <xf numFmtId="164" fontId="60" fillId="0" borderId="6" xfId="4496" applyNumberFormat="1" applyFont="1" applyFill="1" applyBorder="1" applyAlignment="1" applyProtection="1">
      <alignment horizontal="right" vertical="center"/>
    </xf>
    <xf numFmtId="164" fontId="60" fillId="0" borderId="10" xfId="4496" applyNumberFormat="1" applyFont="1" applyFill="1" applyBorder="1" applyAlignment="1" applyProtection="1">
      <alignment horizontal="right" vertical="center"/>
    </xf>
    <xf numFmtId="180" fontId="60" fillId="0" borderId="1" xfId="4496" applyNumberFormat="1" applyFont="1" applyFill="1" applyBorder="1" applyAlignment="1" applyProtection="1">
      <alignment horizontal="center" vertical="center"/>
    </xf>
    <xf numFmtId="180" fontId="60" fillId="0" borderId="2" xfId="4496" applyNumberFormat="1" applyFont="1" applyFill="1" applyBorder="1" applyAlignment="1" applyProtection="1">
      <alignment horizontal="center" vertical="center"/>
    </xf>
    <xf numFmtId="180" fontId="60" fillId="0" borderId="7" xfId="4496" applyNumberFormat="1" applyFont="1" applyFill="1" applyBorder="1" applyAlignment="1" applyProtection="1">
      <alignment horizontal="center" vertical="center"/>
    </xf>
    <xf numFmtId="180" fontId="60" fillId="0" borderId="9" xfId="4496" applyNumberFormat="1" applyFont="1" applyFill="1" applyBorder="1" applyAlignment="1" applyProtection="1">
      <alignment horizontal="center" vertical="center"/>
    </xf>
    <xf numFmtId="180" fontId="60" fillId="0" borderId="6" xfId="4496" applyNumberFormat="1" applyFont="1" applyFill="1" applyBorder="1" applyAlignment="1" applyProtection="1">
      <alignment horizontal="center" vertical="center"/>
    </xf>
    <xf numFmtId="180" fontId="60" fillId="0" borderId="10" xfId="4496" applyNumberFormat="1" applyFont="1" applyFill="1" applyBorder="1" applyAlignment="1" applyProtection="1">
      <alignment horizontal="center" vertical="center"/>
    </xf>
    <xf numFmtId="1" fontId="19" fillId="0" borderId="4" xfId="4496" applyNumberFormat="1" applyFont="1" applyFill="1" applyBorder="1" applyAlignment="1" applyProtection="1">
      <alignment horizontal="center" wrapText="1"/>
    </xf>
    <xf numFmtId="0" fontId="12" fillId="0" borderId="50" xfId="4497" applyFont="1" applyBorder="1" applyAlignment="1" applyProtection="1">
      <alignment horizontal="left" wrapText="1"/>
    </xf>
    <xf numFmtId="0" fontId="12" fillId="0" borderId="51" xfId="4497" applyFont="1" applyBorder="1" applyAlignment="1" applyProtection="1">
      <alignment horizontal="left" wrapText="1"/>
    </xf>
    <xf numFmtId="0" fontId="12" fillId="0" borderId="52" xfId="4497" applyFont="1" applyBorder="1" applyAlignment="1" applyProtection="1">
      <alignment horizontal="left" wrapText="1"/>
    </xf>
    <xf numFmtId="0" fontId="12" fillId="0" borderId="53" xfId="4497" applyFont="1" applyBorder="1" applyAlignment="1" applyProtection="1">
      <alignment horizontal="left" wrapText="1"/>
    </xf>
    <xf numFmtId="0" fontId="12" fillId="0" borderId="0" xfId="4497" applyFont="1" applyBorder="1" applyAlignment="1" applyProtection="1">
      <alignment horizontal="left" wrapText="1"/>
    </xf>
    <xf numFmtId="0" fontId="12" fillId="0" borderId="54" xfId="4497" applyFont="1" applyBorder="1" applyAlignment="1" applyProtection="1">
      <alignment horizontal="left" wrapText="1"/>
    </xf>
    <xf numFmtId="0" fontId="12" fillId="0" borderId="57" xfId="4497" applyFont="1" applyBorder="1" applyAlignment="1" applyProtection="1">
      <alignment horizontal="left" wrapText="1"/>
    </xf>
    <xf numFmtId="0" fontId="12" fillId="0" borderId="58" xfId="4497" applyFont="1" applyBorder="1" applyAlignment="1" applyProtection="1">
      <alignment horizontal="left" wrapText="1"/>
    </xf>
    <xf numFmtId="0" fontId="12" fillId="0" borderId="59" xfId="4497" applyFont="1" applyBorder="1" applyAlignment="1" applyProtection="1">
      <alignment horizontal="left" wrapText="1"/>
    </xf>
    <xf numFmtId="1" fontId="12" fillId="0" borderId="4" xfId="4497" applyNumberFormat="1" applyFont="1" applyFill="1" applyBorder="1" applyAlignment="1" applyProtection="1">
      <alignment horizontal="center"/>
    </xf>
    <xf numFmtId="1" fontId="12" fillId="0" borderId="5" xfId="4497" applyNumberFormat="1" applyFont="1" applyFill="1" applyBorder="1" applyAlignment="1" applyProtection="1">
      <alignment horizontal="center"/>
    </xf>
    <xf numFmtId="49" fontId="18" fillId="3" borderId="2" xfId="4496" applyNumberFormat="1" applyFont="1" applyFill="1" applyBorder="1" applyAlignment="1" applyProtection="1">
      <alignment horizontal="center" vertical="center" wrapText="1"/>
    </xf>
    <xf numFmtId="49" fontId="18" fillId="3" borderId="2" xfId="4496" applyNumberFormat="1" applyFont="1" applyFill="1" applyBorder="1" applyAlignment="1" applyProtection="1">
      <alignment horizontal="center" vertical="center"/>
    </xf>
    <xf numFmtId="49" fontId="18" fillId="3" borderId="0" xfId="4496" applyNumberFormat="1" applyFont="1" applyFill="1" applyBorder="1" applyAlignment="1" applyProtection="1">
      <alignment horizontal="center" vertical="center"/>
    </xf>
    <xf numFmtId="0" fontId="19" fillId="0" borderId="0" xfId="4496" applyFont="1" applyFill="1" applyBorder="1" applyAlignment="1" applyProtection="1">
      <alignment horizontal="center"/>
    </xf>
    <xf numFmtId="0" fontId="19" fillId="0" borderId="1" xfId="4496" applyFont="1" applyFill="1" applyBorder="1" applyAlignment="1" applyProtection="1">
      <alignment horizontal="center" wrapText="1"/>
    </xf>
    <xf numFmtId="0" fontId="19" fillId="0" borderId="2" xfId="4496" applyFont="1" applyFill="1" applyBorder="1" applyAlignment="1" applyProtection="1">
      <alignment horizontal="center" wrapText="1"/>
    </xf>
    <xf numFmtId="0" fontId="19" fillId="0" borderId="7" xfId="4496" applyFont="1" applyFill="1" applyBorder="1" applyAlignment="1" applyProtection="1">
      <alignment horizontal="center" wrapText="1"/>
    </xf>
    <xf numFmtId="0" fontId="19" fillId="0" borderId="9" xfId="4496" applyFont="1" applyFill="1" applyBorder="1" applyAlignment="1" applyProtection="1">
      <alignment horizontal="center" wrapText="1"/>
    </xf>
    <xf numFmtId="0" fontId="19" fillId="0" borderId="6" xfId="4496" applyFont="1" applyFill="1" applyBorder="1" applyAlignment="1" applyProtection="1">
      <alignment horizontal="center" wrapText="1"/>
    </xf>
    <xf numFmtId="0" fontId="19" fillId="0" borderId="10" xfId="4496" applyFont="1" applyFill="1" applyBorder="1" applyAlignment="1" applyProtection="1">
      <alignment horizontal="center" wrapText="1"/>
    </xf>
    <xf numFmtId="0" fontId="12" fillId="0" borderId="53" xfId="4496" applyNumberFormat="1" applyFont="1" applyBorder="1" applyAlignment="1">
      <alignment horizontal="left" vertical="top" wrapText="1"/>
    </xf>
    <xf numFmtId="0" fontId="12" fillId="0" borderId="0" xfId="4496" applyNumberFormat="1" applyFont="1" applyBorder="1" applyAlignment="1">
      <alignment horizontal="left" vertical="top" wrapText="1"/>
    </xf>
    <xf numFmtId="0" fontId="12" fillId="0" borderId="54" xfId="4496" applyNumberFormat="1" applyFont="1" applyBorder="1" applyAlignment="1">
      <alignment horizontal="left" vertical="top" wrapText="1"/>
    </xf>
    <xf numFmtId="0" fontId="12" fillId="0" borderId="57" xfId="4496" applyNumberFormat="1" applyFont="1" applyBorder="1" applyAlignment="1">
      <alignment horizontal="left" vertical="top" wrapText="1"/>
    </xf>
    <xf numFmtId="0" fontId="12" fillId="0" borderId="58" xfId="4496" applyNumberFormat="1" applyFont="1" applyBorder="1" applyAlignment="1">
      <alignment horizontal="left" vertical="top" wrapText="1"/>
    </xf>
    <xf numFmtId="168" fontId="12" fillId="0" borderId="6" xfId="4497" applyNumberFormat="1" applyFont="1" applyFill="1" applyBorder="1" applyAlignment="1" applyProtection="1">
      <alignment horizontal="center"/>
    </xf>
    <xf numFmtId="168" fontId="12" fillId="0" borderId="4" xfId="4497" applyNumberFormat="1" applyFont="1" applyFill="1" applyBorder="1" applyAlignment="1" applyProtection="1">
      <alignment horizontal="center"/>
    </xf>
    <xf numFmtId="9" fontId="12" fillId="0" borderId="4" xfId="4497" applyNumberFormat="1" applyFont="1" applyFill="1" applyBorder="1" applyAlignment="1" applyProtection="1">
      <alignment horizontal="center"/>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20" fillId="5" borderId="0" xfId="4496" applyFont="1" applyFill="1" applyBorder="1" applyAlignment="1" applyProtection="1">
      <alignment horizontal="left" vertical="top" wrapText="1"/>
    </xf>
    <xf numFmtId="0" fontId="20" fillId="5" borderId="58" xfId="4496" applyFont="1" applyFill="1" applyBorder="1" applyAlignment="1" applyProtection="1">
      <alignment horizontal="left" vertical="top" wrapText="1"/>
    </xf>
    <xf numFmtId="0" fontId="19"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20"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20" fillId="0" borderId="58" xfId="4496" applyFont="1" applyFill="1" applyBorder="1" applyAlignment="1" applyProtection="1">
      <alignment horizontal="left" vertical="top" wrapText="1"/>
    </xf>
    <xf numFmtId="0" fontId="49" fillId="0" borderId="51" xfId="4496" applyFont="1" applyBorder="1" applyAlignment="1" applyProtection="1">
      <alignment horizontal="left" wrapText="1"/>
    </xf>
    <xf numFmtId="0" fontId="49" fillId="0" borderId="0" xfId="4496" applyFont="1" applyBorder="1" applyAlignment="1" applyProtection="1">
      <alignment horizontal="left" wrapText="1"/>
    </xf>
    <xf numFmtId="0" fontId="20" fillId="5" borderId="58" xfId="4496" applyFont="1" applyFill="1" applyBorder="1" applyAlignment="1" applyProtection="1">
      <alignment horizontal="left"/>
    </xf>
    <xf numFmtId="0" fontId="49" fillId="0" borderId="51" xfId="4496" applyFont="1" applyFill="1" applyBorder="1" applyAlignment="1" applyProtection="1">
      <alignment horizontal="left" vertical="top" wrapText="1"/>
    </xf>
    <xf numFmtId="0" fontId="49" fillId="0" borderId="0" xfId="4496" applyFont="1" applyFill="1" applyBorder="1" applyAlignment="1" applyProtection="1">
      <alignment horizontal="left" vertical="top" wrapText="1"/>
    </xf>
    <xf numFmtId="9" fontId="20" fillId="5" borderId="58" xfId="4496" applyNumberFormat="1" applyFont="1" applyFill="1" applyBorder="1" applyAlignment="1" applyProtection="1">
      <alignment horizontal="left"/>
    </xf>
    <xf numFmtId="0" fontId="20"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20" fillId="0" borderId="58" xfId="4496" applyFont="1" applyBorder="1" applyAlignment="1">
      <alignment horizontal="left" vertical="top" wrapText="1"/>
    </xf>
    <xf numFmtId="0" fontId="19" fillId="0" borderId="51" xfId="4496" applyFont="1" applyBorder="1" applyAlignment="1" applyProtection="1">
      <alignment horizontal="center" vertical="top"/>
    </xf>
    <xf numFmtId="0" fontId="19" fillId="0" borderId="52" xfId="4496" applyFont="1" applyBorder="1" applyAlignment="1" applyProtection="1">
      <alignment horizontal="center" vertical="top"/>
    </xf>
    <xf numFmtId="0" fontId="20" fillId="0" borderId="51" xfId="4496" applyNumberFormat="1" applyFont="1" applyBorder="1" applyAlignment="1">
      <alignment horizontal="left" vertical="top" wrapText="1"/>
    </xf>
    <xf numFmtId="0" fontId="20" fillId="0" borderId="0" xfId="4496" applyNumberFormat="1" applyFont="1" applyBorder="1" applyAlignment="1">
      <alignment horizontal="left" vertical="top" wrapText="1"/>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 fillId="46" borderId="11" xfId="4496" applyFont="1" applyFill="1" applyBorder="1" applyAlignment="1" applyProtection="1">
      <alignment horizontal="center"/>
    </xf>
    <xf numFmtId="0" fontId="125" fillId="0" borderId="0" xfId="4496" applyFont="1" applyAlignment="1">
      <alignment horizontal="left" vertical="center" wrapText="1"/>
    </xf>
    <xf numFmtId="0" fontId="19" fillId="0" borderId="0" xfId="4496" applyFont="1" applyFill="1" applyBorder="1" applyAlignment="1" applyProtection="1">
      <alignment horizontal="center" vertical="top"/>
    </xf>
    <xf numFmtId="0" fontId="19" fillId="0" borderId="0" xfId="4496" applyFont="1" applyFill="1" applyBorder="1" applyAlignment="1" applyProtection="1">
      <alignment horizontal="left" vertical="top" wrapText="1"/>
    </xf>
    <xf numFmtId="0" fontId="12" fillId="0" borderId="0" xfId="4496" applyFont="1" applyFill="1" applyBorder="1" applyAlignment="1" applyProtection="1">
      <alignment horizontal="left" vertical="top" wrapText="1" shrinkToFit="1"/>
    </xf>
    <xf numFmtId="44" fontId="12" fillId="0" borderId="0" xfId="708" applyFont="1" applyFill="1" applyBorder="1" applyAlignment="1" applyProtection="1">
      <alignment horizontal="left" vertical="top" wrapText="1"/>
    </xf>
    <xf numFmtId="0" fontId="20" fillId="0" borderId="0" xfId="4496" applyFont="1" applyFill="1" applyBorder="1" applyAlignment="1" applyProtection="1">
      <alignment horizontal="center"/>
    </xf>
    <xf numFmtId="0" fontId="12" fillId="5" borderId="6" xfId="4496" applyFont="1" applyFill="1" applyBorder="1" applyAlignment="1" applyProtection="1">
      <alignment horizontal="center"/>
      <protection locked="0"/>
    </xf>
    <xf numFmtId="0" fontId="12" fillId="0" borderId="0" xfId="4496" applyFont="1" applyFill="1" applyBorder="1" applyAlignment="1" applyProtection="1">
      <alignment horizontal="left" vertical="center" wrapText="1" shrinkToFit="1"/>
    </xf>
    <xf numFmtId="0" fontId="12" fillId="5" borderId="6" xfId="4496" applyFont="1" applyFill="1" applyBorder="1" applyAlignment="1" applyProtection="1">
      <alignment horizontal="left" wrapText="1" shrinkToFit="1"/>
      <protection locked="0"/>
    </xf>
    <xf numFmtId="0" fontId="12" fillId="44" borderId="6" xfId="1193" applyFont="1" applyFill="1" applyBorder="1" applyAlignment="1" applyProtection="1">
      <alignment horizontal="left" vertical="top"/>
      <protection locked="0"/>
    </xf>
    <xf numFmtId="0" fontId="12" fillId="0" borderId="0" xfId="543" applyFont="1" applyAlignment="1" applyProtection="1">
      <alignment horizontal="center"/>
    </xf>
    <xf numFmtId="0" fontId="12" fillId="0" borderId="50" xfId="4496" applyFont="1" applyFill="1" applyBorder="1" applyAlignment="1" applyProtection="1">
      <alignment horizontal="left" vertical="center" wrapText="1"/>
    </xf>
    <xf numFmtId="0" fontId="12" fillId="0" borderId="51" xfId="4496" applyFont="1" applyFill="1" applyBorder="1" applyAlignment="1" applyProtection="1">
      <alignment horizontal="left" vertical="center" wrapText="1"/>
    </xf>
    <xf numFmtId="0" fontId="12" fillId="0" borderId="52" xfId="4496" applyFont="1" applyFill="1" applyBorder="1" applyAlignment="1" applyProtection="1">
      <alignment horizontal="left" vertical="center" wrapText="1"/>
    </xf>
    <xf numFmtId="0" fontId="12" fillId="0" borderId="53" xfId="4496" applyFont="1" applyFill="1" applyBorder="1" applyAlignment="1" applyProtection="1">
      <alignment horizontal="left" vertical="center" wrapText="1"/>
    </xf>
    <xf numFmtId="0" fontId="12" fillId="0" borderId="0" xfId="4496" applyFont="1" applyFill="1" applyBorder="1" applyAlignment="1" applyProtection="1">
      <alignment horizontal="left" vertical="center" wrapText="1"/>
    </xf>
    <xf numFmtId="0" fontId="12" fillId="0" borderId="54" xfId="4496" applyFont="1" applyFill="1" applyBorder="1" applyAlignment="1" applyProtection="1">
      <alignment horizontal="left" vertical="center" wrapText="1"/>
    </xf>
    <xf numFmtId="0" fontId="12" fillId="44" borderId="53" xfId="4496" applyFont="1" applyFill="1" applyBorder="1" applyAlignment="1" applyProtection="1">
      <alignment vertical="top" wrapText="1"/>
      <protection locked="0"/>
    </xf>
    <xf numFmtId="0" fontId="12" fillId="44" borderId="0" xfId="4496" applyFont="1" applyFill="1" applyBorder="1" applyAlignment="1" applyProtection="1">
      <alignment vertical="top" wrapText="1"/>
      <protection locked="0"/>
    </xf>
    <xf numFmtId="0" fontId="12" fillId="44" borderId="54" xfId="4496" applyFont="1" applyFill="1" applyBorder="1" applyAlignment="1" applyProtection="1">
      <alignment vertical="top" wrapText="1"/>
      <protection locked="0"/>
    </xf>
    <xf numFmtId="0" fontId="12" fillId="44" borderId="55" xfId="4496" applyFont="1" applyFill="1" applyBorder="1" applyAlignment="1" applyProtection="1">
      <alignment vertical="top" wrapText="1"/>
      <protection locked="0"/>
    </xf>
    <xf numFmtId="0" fontId="12" fillId="44" borderId="6" xfId="4496" applyFont="1" applyFill="1" applyBorder="1" applyAlignment="1" applyProtection="1">
      <alignment vertical="top" wrapText="1"/>
      <protection locked="0"/>
    </xf>
    <xf numFmtId="0" fontId="12" fillId="44" borderId="56" xfId="4496" applyFont="1" applyFill="1" applyBorder="1" applyAlignment="1" applyProtection="1">
      <alignment vertical="top" wrapText="1"/>
      <protection locked="0"/>
    </xf>
    <xf numFmtId="0" fontId="12" fillId="44" borderId="0" xfId="4496" applyFont="1" applyFill="1" applyBorder="1" applyAlignment="1" applyProtection="1">
      <alignment horizontal="left" vertical="center" wrapText="1"/>
      <protection locked="0"/>
    </xf>
    <xf numFmtId="0" fontId="12" fillId="44" borderId="54" xfId="4496" applyFont="1" applyFill="1" applyBorder="1" applyAlignment="1" applyProtection="1">
      <alignment horizontal="left" vertical="center" wrapText="1"/>
      <protection locked="0"/>
    </xf>
    <xf numFmtId="0" fontId="12" fillId="44" borderId="6" xfId="4496" applyFont="1" applyFill="1" applyBorder="1" applyAlignment="1" applyProtection="1">
      <alignment horizontal="left" vertical="center" wrapText="1"/>
      <protection locked="0"/>
    </xf>
    <xf numFmtId="0" fontId="12" fillId="44" borderId="56" xfId="4496" applyFont="1" applyFill="1" applyBorder="1" applyAlignment="1" applyProtection="1">
      <alignment horizontal="left" vertical="center" wrapText="1"/>
      <protection locked="0"/>
    </xf>
    <xf numFmtId="0" fontId="12" fillId="0" borderId="53" xfId="4496" applyFont="1" applyFill="1" applyBorder="1" applyAlignment="1" applyProtection="1">
      <alignment horizontal="left" vertical="top" wrapText="1"/>
    </xf>
    <xf numFmtId="0" fontId="12" fillId="0" borderId="54" xfId="4496" applyFont="1" applyFill="1" applyBorder="1" applyAlignment="1" applyProtection="1">
      <alignment horizontal="left" vertical="top" wrapText="1"/>
    </xf>
    <xf numFmtId="0" fontId="12" fillId="0" borderId="57" xfId="4496" applyFont="1" applyFill="1" applyBorder="1" applyAlignment="1" applyProtection="1">
      <alignment horizontal="left" vertical="top" wrapText="1"/>
    </xf>
    <xf numFmtId="0" fontId="12" fillId="0" borderId="58" xfId="4496" applyFont="1" applyFill="1" applyBorder="1" applyAlignment="1" applyProtection="1">
      <alignment horizontal="left" vertical="top" wrapText="1"/>
    </xf>
    <xf numFmtId="0" fontId="12" fillId="0" borderId="59" xfId="4496" applyFont="1" applyFill="1" applyBorder="1" applyAlignment="1" applyProtection="1">
      <alignment horizontal="left" vertical="top" wrapText="1"/>
    </xf>
    <xf numFmtId="0" fontId="12" fillId="0" borderId="50" xfId="4496" applyFont="1" applyFill="1" applyBorder="1" applyAlignment="1" applyProtection="1">
      <alignment horizontal="left" vertical="top" wrapText="1"/>
    </xf>
    <xf numFmtId="0" fontId="12" fillId="0" borderId="51" xfId="4496" applyFont="1" applyFill="1" applyBorder="1" applyAlignment="1" applyProtection="1">
      <alignment horizontal="left" vertical="top" wrapText="1"/>
    </xf>
    <xf numFmtId="0" fontId="12" fillId="0" borderId="52" xfId="4496" applyFont="1" applyFill="1" applyBorder="1" applyAlignment="1" applyProtection="1">
      <alignment horizontal="left" vertical="top" wrapText="1"/>
    </xf>
    <xf numFmtId="164" fontId="12" fillId="0" borderId="50" xfId="4496" applyNumberFormat="1" applyFont="1" applyFill="1" applyBorder="1" applyAlignment="1" applyProtection="1">
      <alignment horizontal="left" vertical="top" wrapText="1"/>
    </xf>
    <xf numFmtId="164" fontId="12" fillId="0" borderId="51" xfId="4496" applyNumberFormat="1" applyFont="1" applyFill="1" applyBorder="1" applyAlignment="1" applyProtection="1">
      <alignment horizontal="left" vertical="top" wrapText="1"/>
    </xf>
    <xf numFmtId="164" fontId="12" fillId="0" borderId="52" xfId="4496" applyNumberFormat="1" applyFont="1" applyFill="1" applyBorder="1" applyAlignment="1" applyProtection="1">
      <alignment horizontal="left" vertical="top" wrapText="1"/>
    </xf>
    <xf numFmtId="164" fontId="12" fillId="0" borderId="57" xfId="4496" applyNumberFormat="1" applyFont="1" applyFill="1" applyBorder="1" applyAlignment="1" applyProtection="1">
      <alignment horizontal="left" vertical="top" wrapText="1"/>
    </xf>
    <xf numFmtId="164" fontId="12" fillId="0" borderId="58" xfId="4496" applyNumberFormat="1" applyFont="1" applyFill="1" applyBorder="1" applyAlignment="1" applyProtection="1">
      <alignment horizontal="left" vertical="top" wrapText="1"/>
    </xf>
    <xf numFmtId="164" fontId="12" fillId="0" borderId="59" xfId="4496" applyNumberFormat="1" applyFont="1" applyFill="1" applyBorder="1" applyAlignment="1" applyProtection="1">
      <alignment horizontal="left" vertical="top" wrapText="1"/>
    </xf>
    <xf numFmtId="0" fontId="19" fillId="0" borderId="0" xfId="4496" applyFont="1" applyFill="1" applyBorder="1" applyAlignment="1" applyProtection="1">
      <alignment horizontal="left" vertical="top"/>
    </xf>
    <xf numFmtId="9" fontId="12" fillId="0" borderId="4" xfId="543" applyNumberFormat="1" applyFont="1" applyBorder="1" applyAlignment="1" applyProtection="1">
      <alignment horizontal="center"/>
    </xf>
    <xf numFmtId="0" fontId="12" fillId="0" borderId="4" xfId="4497" applyFont="1" applyFill="1" applyBorder="1" applyAlignment="1" applyProtection="1">
      <alignment horizontal="center"/>
    </xf>
    <xf numFmtId="0" fontId="12" fillId="0" borderId="5" xfId="4497" applyFont="1" applyFill="1" applyBorder="1" applyAlignment="1" applyProtection="1">
      <alignment horizontal="center"/>
    </xf>
    <xf numFmtId="168" fontId="12"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2" fillId="44" borderId="6" xfId="4496" applyNumberFormat="1" applyFont="1" applyFill="1" applyBorder="1" applyAlignment="1" applyProtection="1">
      <alignment horizontal="right"/>
      <protection locked="0"/>
    </xf>
    <xf numFmtId="6" fontId="12" fillId="0" borderId="3" xfId="1193" applyNumberFormat="1" applyFont="1" applyBorder="1" applyAlignment="1" applyProtection="1">
      <alignment horizontal="right"/>
    </xf>
    <xf numFmtId="6" fontId="12" fillId="0" borderId="4" xfId="1193" applyNumberFormat="1" applyFont="1" applyBorder="1" applyAlignment="1" applyProtection="1">
      <alignment horizontal="right"/>
    </xf>
    <xf numFmtId="6" fontId="12" fillId="0" borderId="5" xfId="1193" applyNumberFormat="1" applyFont="1" applyBorder="1" applyAlignment="1" applyProtection="1">
      <alignment horizontal="right"/>
    </xf>
    <xf numFmtId="168" fontId="12" fillId="0" borderId="4" xfId="4496" applyNumberFormat="1" applyFont="1" applyFill="1" applyBorder="1" applyAlignment="1" applyProtection="1">
      <alignment horizontal="right"/>
    </xf>
    <xf numFmtId="165" fontId="12" fillId="44" borderId="3" xfId="4496" applyNumberFormat="1" applyFont="1" applyFill="1" applyBorder="1" applyAlignment="1" applyProtection="1">
      <alignment horizontal="center"/>
      <protection locked="0"/>
    </xf>
    <xf numFmtId="165" fontId="12" fillId="44" borderId="4" xfId="4496" applyNumberFormat="1" applyFont="1" applyFill="1" applyBorder="1" applyAlignment="1" applyProtection="1">
      <alignment horizontal="center"/>
      <protection locked="0"/>
    </xf>
    <xf numFmtId="165" fontId="12" fillId="44" borderId="5" xfId="4496" applyNumberFormat="1" applyFont="1" applyFill="1" applyBorder="1" applyAlignment="1" applyProtection="1">
      <alignment horizontal="center"/>
      <protection locked="0"/>
    </xf>
    <xf numFmtId="165" fontId="12" fillId="0" borderId="6" xfId="1193" applyNumberFormat="1" applyFont="1" applyBorder="1" applyAlignment="1" applyProtection="1">
      <alignment horizontal="right"/>
    </xf>
    <xf numFmtId="168" fontId="12" fillId="0" borderId="2" xfId="1193" applyNumberFormat="1" applyFont="1" applyBorder="1" applyAlignment="1" applyProtection="1">
      <alignment horizontal="right"/>
    </xf>
    <xf numFmtId="165" fontId="12" fillId="0" borderId="0" xfId="1193" applyNumberFormat="1" applyFont="1" applyFill="1" applyAlignment="1" applyProtection="1">
      <alignment horizontal="right"/>
    </xf>
    <xf numFmtId="2" fontId="12" fillId="0" borderId="0" xfId="1193" applyNumberFormat="1" applyFont="1" applyAlignment="1" applyProtection="1">
      <alignment horizontal="right"/>
    </xf>
    <xf numFmtId="168" fontId="12" fillId="44" borderId="6" xfId="1193" applyNumberFormat="1" applyFont="1" applyFill="1" applyBorder="1" applyAlignment="1" applyProtection="1">
      <alignment horizontal="right"/>
      <protection locked="0"/>
    </xf>
    <xf numFmtId="1" fontId="12" fillId="0" borderId="3" xfId="4496" applyNumberFormat="1" applyFont="1" applyFill="1" applyBorder="1" applyAlignment="1" applyProtection="1">
      <alignment horizontal="center"/>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0" fontId="20" fillId="5" borderId="6" xfId="4496" applyFont="1" applyFill="1" applyBorder="1" applyAlignment="1" applyProtection="1">
      <alignment horizontal="left"/>
      <protection locked="0"/>
    </xf>
    <xf numFmtId="0" fontId="12" fillId="0" borderId="0" xfId="4496" applyFont="1" applyBorder="1" applyAlignment="1" applyProtection="1">
      <alignment horizontal="left"/>
    </xf>
    <xf numFmtId="0" fontId="12" fillId="5" borderId="6" xfId="4496" applyFont="1" applyFill="1" applyBorder="1" applyAlignment="1" applyProtection="1">
      <alignment horizontal="left"/>
      <protection locked="0"/>
    </xf>
    <xf numFmtId="0" fontId="49" fillId="5" borderId="6" xfId="4496" applyFont="1" applyFill="1" applyBorder="1" applyAlignment="1" applyProtection="1">
      <alignment horizontal="left"/>
      <protection locked="0"/>
    </xf>
    <xf numFmtId="0" fontId="12" fillId="0" borderId="0" xfId="1193" applyFont="1" applyBorder="1" applyAlignment="1" applyProtection="1">
      <alignment horizontal="right"/>
    </xf>
    <xf numFmtId="0" fontId="12" fillId="0" borderId="0" xfId="1193" applyFont="1" applyAlignment="1" applyProtection="1">
      <alignment horizontal="right"/>
    </xf>
    <xf numFmtId="9" fontId="12" fillId="0" borderId="6" xfId="1193" applyNumberFormat="1" applyFont="1" applyFill="1" applyBorder="1" applyAlignment="1" applyProtection="1">
      <alignment horizontal="center"/>
    </xf>
    <xf numFmtId="9" fontId="12" fillId="0" borderId="6" xfId="1193" quotePrefix="1" applyNumberFormat="1" applyFont="1" applyFill="1" applyBorder="1" applyAlignment="1" applyProtection="1">
      <alignment horizontal="center"/>
    </xf>
    <xf numFmtId="9" fontId="12" fillId="0" borderId="0" xfId="1193" quotePrefix="1" applyNumberFormat="1" applyFont="1" applyFill="1" applyBorder="1" applyAlignment="1" applyProtection="1">
      <alignment horizontal="center"/>
    </xf>
    <xf numFmtId="1" fontId="12"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2" fillId="0" borderId="11" xfId="4496" applyNumberFormat="1" applyFont="1" applyFill="1" applyBorder="1" applyAlignment="1" applyProtection="1">
      <alignment horizontal="center"/>
    </xf>
    <xf numFmtId="0" fontId="19"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2" fillId="0" borderId="57" xfId="4496" applyFont="1" applyFill="1" applyBorder="1" applyAlignment="1" applyProtection="1">
      <alignment horizontal="left" vertical="center" wrapText="1"/>
    </xf>
    <xf numFmtId="0" fontId="12" fillId="0" borderId="58" xfId="4496" applyFont="1" applyFill="1" applyBorder="1" applyAlignment="1" applyProtection="1">
      <alignment horizontal="left" vertical="center" wrapText="1"/>
    </xf>
    <xf numFmtId="0" fontId="12"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8" fillId="3" borderId="2" xfId="4496" applyFont="1" applyFill="1" applyBorder="1" applyAlignment="1" applyProtection="1">
      <alignment horizontal="center" vertical="center"/>
    </xf>
    <xf numFmtId="0" fontId="18" fillId="3" borderId="16" xfId="4496" applyFont="1" applyFill="1" applyBorder="1" applyAlignment="1" applyProtection="1">
      <alignment horizontal="center" vertical="center"/>
    </xf>
    <xf numFmtId="0" fontId="19" fillId="0" borderId="48" xfId="4496" applyFont="1" applyFill="1" applyBorder="1" applyAlignment="1" applyProtection="1">
      <alignment horizontal="left" vertical="top"/>
    </xf>
    <xf numFmtId="0" fontId="19"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2" fillId="0" borderId="50" xfId="4496" applyFont="1" applyFill="1" applyBorder="1" applyAlignment="1" applyProtection="1">
      <alignment vertical="center" wrapText="1"/>
    </xf>
    <xf numFmtId="0" fontId="12" fillId="0" borderId="51" xfId="4496" applyFont="1" applyFill="1" applyBorder="1" applyAlignment="1" applyProtection="1">
      <alignment vertical="center" wrapText="1"/>
    </xf>
    <xf numFmtId="0" fontId="12" fillId="0" borderId="52" xfId="4496" applyFont="1" applyFill="1" applyBorder="1" applyAlignment="1" applyProtection="1">
      <alignment vertical="center" wrapText="1"/>
    </xf>
    <xf numFmtId="0" fontId="12" fillId="0" borderId="57" xfId="4496" applyFont="1" applyFill="1" applyBorder="1" applyAlignment="1" applyProtection="1">
      <alignment vertical="center" wrapText="1"/>
    </xf>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4" fillId="0" borderId="0" xfId="4497" applyFont="1" applyFill="1" applyAlignment="1">
      <alignment horizontal="center" vertical="center"/>
    </xf>
    <xf numFmtId="0" fontId="94" fillId="0" borderId="0" xfId="4497" applyFont="1" applyFill="1" applyAlignment="1">
      <alignment horizontal="left" vertical="top" wrapText="1"/>
    </xf>
    <xf numFmtId="168" fontId="12" fillId="2" borderId="3" xfId="570" applyNumberFormat="1" applyFill="1" applyBorder="1" applyAlignment="1" applyProtection="1">
      <alignment horizontal="center"/>
    </xf>
    <xf numFmtId="168" fontId="12" fillId="2" borderId="4" xfId="570" applyNumberFormat="1" applyFill="1" applyBorder="1" applyAlignment="1" applyProtection="1">
      <alignment horizontal="center"/>
    </xf>
    <xf numFmtId="168" fontId="12" fillId="2" borderId="5" xfId="570" applyNumberFormat="1" applyFill="1" applyBorder="1" applyAlignment="1" applyProtection="1">
      <alignment horizontal="center"/>
    </xf>
    <xf numFmtId="168" fontId="12" fillId="5" borderId="5" xfId="570" applyNumberFormat="1" applyFill="1" applyBorder="1" applyAlignment="1" applyProtection="1">
      <alignment horizontal="center"/>
      <protection locked="0"/>
    </xf>
    <xf numFmtId="168" fontId="12" fillId="5" borderId="11" xfId="570" applyNumberFormat="1" applyFill="1" applyBorder="1" applyAlignment="1" applyProtection="1">
      <alignment horizontal="center"/>
      <protection locked="0"/>
    </xf>
    <xf numFmtId="168" fontId="12" fillId="0" borderId="5" xfId="570" applyNumberFormat="1" applyFill="1" applyBorder="1" applyAlignment="1">
      <alignment horizontal="center"/>
    </xf>
    <xf numFmtId="168" fontId="12" fillId="0" borderId="11" xfId="570" applyNumberFormat="1" applyFill="1" applyBorder="1" applyAlignment="1">
      <alignment horizontal="center"/>
    </xf>
    <xf numFmtId="168" fontId="12" fillId="0" borderId="3" xfId="570" applyNumberFormat="1" applyFill="1" applyBorder="1" applyAlignment="1">
      <alignment horizontal="center"/>
    </xf>
    <xf numFmtId="168" fontId="12" fillId="0" borderId="4" xfId="570" applyNumberFormat="1" applyFill="1" applyBorder="1" applyAlignment="1">
      <alignment horizontal="center"/>
    </xf>
    <xf numFmtId="179" fontId="19" fillId="0" borderId="0" xfId="570" applyNumberFormat="1" applyFont="1" applyFill="1" applyBorder="1" applyAlignment="1" applyProtection="1">
      <alignment horizontal="center" wrapText="1"/>
    </xf>
    <xf numFmtId="0" fontId="19" fillId="0" borderId="16" xfId="271" applyFont="1" applyFill="1" applyBorder="1" applyAlignment="1" applyProtection="1">
      <alignment horizontal="center"/>
    </xf>
    <xf numFmtId="164" fontId="19" fillId="0" borderId="0" xfId="570" applyNumberFormat="1" applyFont="1" applyFill="1" applyBorder="1" applyAlignment="1" applyProtection="1">
      <alignment horizontal="center" wrapText="1"/>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0" fontId="19" fillId="0" borderId="3" xfId="570" applyFont="1" applyFill="1" applyBorder="1" applyAlignment="1">
      <alignment horizontal="right"/>
    </xf>
    <xf numFmtId="0" fontId="19" fillId="0" borderId="4" xfId="570" applyFont="1" applyFill="1" applyBorder="1" applyAlignment="1">
      <alignment horizontal="right"/>
    </xf>
    <xf numFmtId="0" fontId="19" fillId="0" borderId="5" xfId="570" applyFont="1" applyFill="1" applyBorder="1" applyAlignment="1">
      <alignment horizontal="right"/>
    </xf>
    <xf numFmtId="0" fontId="49" fillId="0" borderId="0" xfId="570" applyFont="1" applyBorder="1" applyAlignment="1">
      <alignment horizontal="left"/>
    </xf>
    <xf numFmtId="0" fontId="12" fillId="0" borderId="3" xfId="570" applyFont="1" applyBorder="1" applyAlignment="1">
      <alignment horizontal="right"/>
    </xf>
    <xf numFmtId="0" fontId="12" fillId="0" borderId="4" xfId="570" applyFont="1" applyBorder="1" applyAlignment="1">
      <alignment horizontal="right"/>
    </xf>
    <xf numFmtId="0" fontId="12" fillId="0" borderId="5" xfId="570" applyFont="1" applyBorder="1" applyAlignment="1">
      <alignment horizontal="right"/>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168" fontId="12" fillId="0" borderId="5" xfId="570" applyNumberFormat="1" applyFont="1" applyFill="1" applyBorder="1" applyAlignment="1" applyProtection="1">
      <alignment horizontal="center"/>
    </xf>
    <xf numFmtId="168" fontId="12" fillId="0" borderId="11" xfId="570" applyNumberFormat="1" applyFont="1" applyFill="1" applyBorder="1" applyAlignment="1" applyProtection="1">
      <alignment horizontal="center"/>
    </xf>
    <xf numFmtId="168" fontId="12" fillId="0" borderId="3" xfId="570" applyNumberFormat="1" applyBorder="1" applyAlignment="1">
      <alignment horizontal="center"/>
    </xf>
    <xf numFmtId="168" fontId="12" fillId="0" borderId="4" xfId="570" applyNumberFormat="1" applyBorder="1" applyAlignment="1">
      <alignment horizontal="center"/>
    </xf>
    <xf numFmtId="168" fontId="12" fillId="0" borderId="5" xfId="570" applyNumberFormat="1" applyBorder="1" applyAlignment="1">
      <alignment horizontal="center"/>
    </xf>
    <xf numFmtId="168" fontId="12" fillId="0" borderId="3" xfId="570" applyNumberFormat="1" applyFill="1" applyBorder="1" applyAlignment="1">
      <alignment horizontal="right"/>
    </xf>
    <xf numFmtId="168" fontId="12" fillId="0" borderId="4" xfId="570" applyNumberFormat="1" applyFill="1" applyBorder="1" applyAlignment="1">
      <alignment horizontal="right"/>
    </xf>
    <xf numFmtId="168" fontId="12" fillId="0" borderId="5" xfId="570" applyNumberFormat="1" applyFill="1" applyBorder="1" applyAlignment="1">
      <alignment horizontal="right"/>
    </xf>
    <xf numFmtId="9" fontId="12" fillId="0" borderId="5" xfId="570" applyNumberFormat="1" applyFill="1" applyBorder="1" applyAlignment="1" applyProtection="1">
      <alignment horizontal="center"/>
    </xf>
    <xf numFmtId="9" fontId="12" fillId="0" borderId="11" xfId="570" applyNumberFormat="1" applyFill="1" applyBorder="1" applyAlignment="1" applyProtection="1">
      <alignment horizontal="center"/>
    </xf>
    <xf numFmtId="0" fontId="20" fillId="5" borderId="4" xfId="570" applyFont="1" applyFill="1" applyBorder="1" applyAlignment="1" applyProtection="1">
      <alignment horizontal="left"/>
      <protection locked="0"/>
    </xf>
    <xf numFmtId="0" fontId="20" fillId="5" borderId="5" xfId="570" applyFont="1" applyFill="1" applyBorder="1" applyAlignment="1" applyProtection="1">
      <alignment horizontal="left"/>
      <protection locked="0"/>
    </xf>
    <xf numFmtId="0" fontId="19" fillId="0" borderId="3" xfId="570" applyFont="1" applyFill="1" applyBorder="1" applyAlignment="1">
      <alignment horizontal="left"/>
    </xf>
    <xf numFmtId="0" fontId="19" fillId="0" borderId="4" xfId="570" applyFont="1" applyFill="1" applyBorder="1" applyAlignment="1">
      <alignment horizontal="left"/>
    </xf>
    <xf numFmtId="0" fontId="19" fillId="0" borderId="5" xfId="570" applyFont="1" applyFill="1" applyBorder="1" applyAlignment="1">
      <alignment horizontal="left"/>
    </xf>
    <xf numFmtId="0" fontId="20" fillId="0" borderId="4" xfId="570" applyFont="1" applyBorder="1" applyAlignment="1">
      <alignment horizontal="left"/>
    </xf>
    <xf numFmtId="0" fontId="20" fillId="0" borderId="5" xfId="570" applyFont="1" applyBorder="1" applyAlignment="1">
      <alignment horizontal="left"/>
    </xf>
    <xf numFmtId="0" fontId="18" fillId="3" borderId="2" xfId="570" applyFont="1" applyFill="1" applyBorder="1" applyAlignment="1">
      <alignment horizontal="center" vertical="center"/>
    </xf>
    <xf numFmtId="0" fontId="18" fillId="3" borderId="16" xfId="570" applyFont="1" applyFill="1" applyBorder="1" applyAlignment="1">
      <alignment horizontal="center" vertical="center"/>
    </xf>
    <xf numFmtId="0" fontId="19" fillId="0" borderId="11" xfId="570" applyFont="1" applyBorder="1" applyAlignment="1">
      <alignment horizontal="center" wrapText="1"/>
    </xf>
    <xf numFmtId="168" fontId="12" fillId="0" borderId="7" xfId="570" applyNumberFormat="1" applyFill="1" applyBorder="1" applyAlignment="1">
      <alignment horizontal="center"/>
    </xf>
    <xf numFmtId="168" fontId="12" fillId="0" borderId="15" xfId="570" applyNumberFormat="1" applyFill="1" applyBorder="1" applyAlignment="1">
      <alignment horizontal="center"/>
    </xf>
    <xf numFmtId="168" fontId="12" fillId="5" borderId="10" xfId="570" applyNumberFormat="1" applyFill="1" applyBorder="1" applyAlignment="1" applyProtection="1">
      <alignment horizontal="center"/>
      <protection locked="0"/>
    </xf>
    <xf numFmtId="168" fontId="12" fillId="5" borderId="13" xfId="570" applyNumberFormat="1" applyFill="1" applyBorder="1" applyAlignment="1" applyProtection="1">
      <alignment horizontal="center"/>
      <protection locked="0"/>
    </xf>
    <xf numFmtId="5" fontId="12" fillId="0" borderId="5" xfId="570" applyNumberFormat="1" applyFill="1" applyBorder="1" applyAlignment="1">
      <alignment horizontal="center"/>
    </xf>
    <xf numFmtId="5" fontId="12" fillId="0" borderId="11" xfId="570" applyNumberFormat="1" applyFill="1" applyBorder="1" applyAlignment="1">
      <alignment horizontal="center"/>
    </xf>
    <xf numFmtId="5" fontId="12" fillId="0" borderId="3" xfId="570" applyNumberFormat="1" applyFill="1" applyBorder="1" applyAlignment="1">
      <alignment horizontal="center"/>
    </xf>
    <xf numFmtId="5" fontId="12" fillId="0" borderId="4" xfId="570" applyNumberFormat="1" applyFill="1" applyBorder="1" applyAlignment="1">
      <alignment horizontal="center"/>
    </xf>
    <xf numFmtId="9" fontId="12" fillId="0" borderId="9" xfId="570" applyNumberFormat="1" applyFill="1" applyBorder="1" applyAlignment="1">
      <alignment horizontal="center" vertical="center"/>
    </xf>
    <xf numFmtId="9" fontId="12" fillId="0" borderId="6" xfId="570" applyNumberFormat="1" applyFill="1" applyBorder="1" applyAlignment="1">
      <alignment horizontal="center" vertical="center"/>
    </xf>
    <xf numFmtId="9" fontId="12" fillId="0" borderId="10" xfId="570" applyNumberFormat="1" applyFill="1" applyBorder="1" applyAlignment="1">
      <alignment horizontal="center" vertical="center"/>
    </xf>
    <xf numFmtId="168" fontId="12" fillId="0" borderId="5" xfId="570" applyNumberFormat="1" applyFont="1" applyFill="1" applyBorder="1" applyAlignment="1">
      <alignment horizontal="center"/>
    </xf>
    <xf numFmtId="168" fontId="12" fillId="0" borderId="11" xfId="570" applyNumberFormat="1" applyFont="1" applyFill="1" applyBorder="1" applyAlignment="1">
      <alignment horizontal="center"/>
    </xf>
    <xf numFmtId="168" fontId="12" fillId="0" borderId="11" xfId="570" applyNumberFormat="1" applyFill="1" applyBorder="1" applyAlignment="1">
      <alignment horizontal="right"/>
    </xf>
    <xf numFmtId="0" fontId="19" fillId="0" borderId="6" xfId="570" applyFont="1" applyBorder="1" applyAlignment="1">
      <alignment horizontal="center"/>
    </xf>
    <xf numFmtId="168" fontId="12" fillId="0" borderId="3" xfId="570" applyNumberFormat="1" applyFill="1" applyBorder="1" applyAlignment="1" applyProtection="1">
      <alignment horizontal="center"/>
    </xf>
    <xf numFmtId="0" fontId="12" fillId="0" borderId="4" xfId="570" applyBorder="1" applyAlignment="1">
      <alignment horizontal="center"/>
    </xf>
    <xf numFmtId="0" fontId="12" fillId="0" borderId="5" xfId="570" applyBorder="1" applyAlignment="1">
      <alignment horizontal="center"/>
    </xf>
    <xf numFmtId="176" fontId="12" fillId="5" borderId="3" xfId="570" applyNumberFormat="1" applyFill="1" applyBorder="1" applyAlignment="1" applyProtection="1">
      <alignment horizontal="right"/>
      <protection locked="0"/>
    </xf>
    <xf numFmtId="176" fontId="12" fillId="5" borderId="4" xfId="570" applyNumberFormat="1" applyFill="1" applyBorder="1" applyAlignment="1" applyProtection="1">
      <alignment horizontal="right"/>
      <protection locked="0"/>
    </xf>
    <xf numFmtId="176" fontId="12"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2" fillId="0" borderId="3" xfId="570" applyNumberFormat="1" applyBorder="1" applyAlignment="1" applyProtection="1">
      <alignment horizontal="right"/>
      <protection locked="0"/>
    </xf>
    <xf numFmtId="168" fontId="12" fillId="0" borderId="4" xfId="570" applyNumberFormat="1" applyBorder="1" applyAlignment="1" applyProtection="1">
      <alignment horizontal="right"/>
      <protection locked="0"/>
    </xf>
    <xf numFmtId="168" fontId="12" fillId="0" borderId="5" xfId="570" applyNumberFormat="1" applyBorder="1" applyAlignment="1" applyProtection="1">
      <alignment horizontal="right"/>
      <protection locked="0"/>
    </xf>
    <xf numFmtId="0" fontId="19" fillId="0" borderId="11" xfId="570" applyFont="1" applyBorder="1" applyAlignment="1">
      <alignment horizontal="center"/>
    </xf>
    <xf numFmtId="165" fontId="12" fillId="0" borderId="11" xfId="570" applyNumberFormat="1" applyFill="1" applyBorder="1" applyAlignment="1" applyProtection="1">
      <alignment horizontal="center"/>
      <protection locked="0"/>
    </xf>
    <xf numFmtId="168" fontId="12" fillId="0" borderId="11" xfId="570" applyNumberFormat="1" applyFill="1" applyBorder="1" applyAlignment="1"/>
    <xf numFmtId="168" fontId="12" fillId="0" borderId="3" xfId="570" applyNumberFormat="1" applyFill="1" applyBorder="1" applyAlignment="1"/>
    <xf numFmtId="168" fontId="12" fillId="0" borderId="4" xfId="570" applyNumberFormat="1" applyFill="1" applyBorder="1" applyAlignment="1"/>
    <xf numFmtId="168" fontId="12" fillId="0" borderId="5" xfId="570" applyNumberFormat="1" applyFill="1" applyBorder="1" applyAlignment="1"/>
    <xf numFmtId="168" fontId="12" fillId="0" borderId="11" xfId="570" applyNumberFormat="1" applyFill="1" applyBorder="1" applyAlignment="1">
      <alignment wrapText="1"/>
    </xf>
    <xf numFmtId="9" fontId="12" fillId="0" borderId="15" xfId="570" applyNumberFormat="1" applyFill="1" applyBorder="1" applyAlignment="1" applyProtection="1">
      <alignment horizontal="center"/>
    </xf>
    <xf numFmtId="168" fontId="12" fillId="0" borderId="11" xfId="570" applyNumberFormat="1" applyFill="1" applyBorder="1" applyAlignment="1" applyProtection="1">
      <alignment horizontal="center"/>
    </xf>
    <xf numFmtId="0" fontId="12" fillId="0" borderId="11" xfId="570" applyBorder="1" applyAlignment="1">
      <alignment horizontal="center"/>
    </xf>
    <xf numFmtId="0" fontId="102" fillId="0" borderId="0" xfId="0" applyFont="1" applyFill="1" applyBorder="1" applyAlignment="1">
      <alignment horizontal="left" vertical="top" wrapText="1"/>
    </xf>
    <xf numFmtId="0" fontId="61" fillId="0" borderId="15" xfId="570" applyFont="1" applyBorder="1" applyAlignment="1">
      <alignment horizontal="center" vertical="center" wrapText="1"/>
    </xf>
    <xf numFmtId="0" fontId="61"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7" fillId="0" borderId="0" xfId="570" applyFont="1" applyBorder="1" applyAlignment="1">
      <alignment horizontal="left" vertical="center" wrapText="1"/>
    </xf>
    <xf numFmtId="0" fontId="17" fillId="0" borderId="6" xfId="570" applyFont="1" applyBorder="1" applyAlignment="1">
      <alignment horizontal="left" vertical="center" wrapText="1"/>
    </xf>
    <xf numFmtId="0" fontId="17" fillId="0" borderId="4" xfId="570" applyFont="1" applyBorder="1" applyAlignment="1">
      <alignment horizontal="left" vertical="center" wrapText="1"/>
    </xf>
    <xf numFmtId="0" fontId="17" fillId="0" borderId="4" xfId="570" applyFont="1" applyBorder="1" applyAlignment="1">
      <alignment horizontal="left" wrapText="1"/>
    </xf>
    <xf numFmtId="0" fontId="61" fillId="0" borderId="1" xfId="570" applyFont="1" applyBorder="1" applyAlignment="1">
      <alignment horizontal="center" vertical="center"/>
    </xf>
    <xf numFmtId="0" fontId="12" fillId="0" borderId="2" xfId="570" applyBorder="1" applyAlignment="1"/>
    <xf numFmtId="0" fontId="12" fillId="0" borderId="7" xfId="570" applyBorder="1" applyAlignment="1"/>
    <xf numFmtId="0" fontId="12" fillId="0" borderId="9" xfId="570" applyBorder="1" applyAlignment="1"/>
    <xf numFmtId="0" fontId="12" fillId="0" borderId="6" xfId="570" applyBorder="1" applyAlignment="1"/>
    <xf numFmtId="0" fontId="12" fillId="0" borderId="10" xfId="570" applyBorder="1" applyAlignment="1"/>
    <xf numFmtId="0" fontId="61" fillId="0" borderId="15" xfId="1193" applyFont="1" applyBorder="1" applyAlignment="1">
      <alignment horizontal="center" vertical="center" wrapText="1"/>
    </xf>
    <xf numFmtId="0" fontId="61" fillId="0" borderId="13" xfId="1193" applyFont="1" applyBorder="1" applyAlignment="1">
      <alignment horizontal="center" vertical="center" wrapText="1"/>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4" borderId="0" xfId="0" applyFont="1" applyFill="1" applyAlignment="1">
      <alignment horizontal="left"/>
    </xf>
    <xf numFmtId="0" fontId="17" fillId="0" borderId="6" xfId="271" applyFont="1" applyBorder="1" applyAlignment="1" applyProtection="1">
      <alignment horizontal="center"/>
    </xf>
  </cellXfs>
  <cellStyles count="17140">
    <cellStyle name="20% - Accent1" xfId="1" builtinId="30" customBuiltin="1"/>
    <cellStyle name="20% - Accent1 10" xfId="4507" xr:uid="{00000000-0005-0000-0000-000001000000}"/>
    <cellStyle name="20% - Accent1 11" xfId="8718" xr:uid="{D51A8A5E-D8E5-4087-80E6-EFDB19D44F74}"/>
    <cellStyle name="20% - Accent1 12" xfId="12929" xr:uid="{A7A4FC74-3BE3-45AC-AD76-ED3B0EA8762D}"/>
    <cellStyle name="20% - Accent1 2" xfId="2" xr:uid="{00000000-0005-0000-0000-000002000000}"/>
    <cellStyle name="20% - Accent1 2 10" xfId="8719" xr:uid="{C448BD96-A0EF-4A80-AD9D-F16D3FF9C11B}"/>
    <cellStyle name="20% - Accent1 2 11" xfId="12930" xr:uid="{2286360E-610D-42D1-8693-82953E290F34}"/>
    <cellStyle name="20% - Accent1 2 2" xfId="3" xr:uid="{00000000-0005-0000-0000-000003000000}"/>
    <cellStyle name="20% - Accent1 2 2 10" xfId="12931" xr:uid="{643EA8CA-8F74-4D0C-A0B0-D5D5ABCE528F}"/>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2 3" xfId="11280" xr:uid="{0E7DE994-4932-4C08-83ED-1BE9F455239A}"/>
    <cellStyle name="20% - Accent1 2 2 2 2 2 4" xfId="15491" xr:uid="{C3F2BE97-203F-4FE5-BEC5-01FED3E5FEEC}"/>
    <cellStyle name="20% - Accent1 2 2 2 2 3" xfId="4924" xr:uid="{00000000-0005-0000-0000-000008000000}"/>
    <cellStyle name="20% - Accent1 2 2 2 2 4" xfId="9135" xr:uid="{AFA189D4-F0E4-40CF-B824-CAECE962B661}"/>
    <cellStyle name="20% - Accent1 2 2 2 2 5" xfId="13346" xr:uid="{6269FF16-91F6-4E16-82A8-6518431EFD1B}"/>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2 3" xfId="11693" xr:uid="{C1FAFEC2-5519-45BB-BFB4-639CD26243ED}"/>
    <cellStyle name="20% - Accent1 2 2 2 3 2 4" xfId="15904" xr:uid="{798A7DD8-16AC-49E7-9C6C-708A821D9714}"/>
    <cellStyle name="20% - Accent1 2 2 2 3 3" xfId="5337" xr:uid="{00000000-0005-0000-0000-00000C000000}"/>
    <cellStyle name="20% - Accent1 2 2 2 3 4" xfId="9548" xr:uid="{5FA6FAD8-495B-4E19-A1B5-8F6FF2445B7C}"/>
    <cellStyle name="20% - Accent1 2 2 2 3 5" xfId="13759" xr:uid="{20B903EA-0012-4A88-9ACA-7099B0C7ECF2}"/>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2 3" xfId="12106" xr:uid="{C4DE8E37-37CD-45E7-930C-739E0B595738}"/>
    <cellStyle name="20% - Accent1 2 2 2 4 2 4" xfId="16317" xr:uid="{D7503250-4295-45AA-A049-CBAEDC4CDAA0}"/>
    <cellStyle name="20% - Accent1 2 2 2 4 3" xfId="5750" xr:uid="{00000000-0005-0000-0000-000010000000}"/>
    <cellStyle name="20% - Accent1 2 2 2 4 4" xfId="9961" xr:uid="{6471D47C-52C1-48AB-A916-1CAE4ABB2C02}"/>
    <cellStyle name="20% - Accent1 2 2 2 4 5" xfId="14172" xr:uid="{45F1D8D1-1760-4E3B-B194-F5CA006DCA5D}"/>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2 3" xfId="12519" xr:uid="{676EF5AF-7AD8-4AFD-B52E-A4168F33C4A2}"/>
    <cellStyle name="20% - Accent1 2 2 2 5 2 4" xfId="16730" xr:uid="{6E8D7FC3-FC35-4289-8F2C-C00871B31ACD}"/>
    <cellStyle name="20% - Accent1 2 2 2 5 3" xfId="6163" xr:uid="{00000000-0005-0000-0000-000014000000}"/>
    <cellStyle name="20% - Accent1 2 2 2 5 4" xfId="10374" xr:uid="{9654115E-79C8-4071-A239-537F4E71F4F9}"/>
    <cellStyle name="20% - Accent1 2 2 2 5 5" xfId="14585" xr:uid="{D782E5C2-F162-4AC8-B84C-580B4461155F}"/>
    <cellStyle name="20% - Accent1 2 2 2 6" xfId="2268" xr:uid="{00000000-0005-0000-0000-000015000000}"/>
    <cellStyle name="20% - Accent1 2 2 2 6 2" xfId="6576" xr:uid="{00000000-0005-0000-0000-000016000000}"/>
    <cellStyle name="20% - Accent1 2 2 2 6 3" xfId="10787" xr:uid="{7BDC6E12-A1F2-47C7-A2FE-D678D57AA9DB}"/>
    <cellStyle name="20% - Accent1 2 2 2 6 4" xfId="14998" xr:uid="{DEB4588E-09ED-4F70-849A-6A3F8255D5EA}"/>
    <cellStyle name="20% - Accent1 2 2 2 7" xfId="4510" xr:uid="{00000000-0005-0000-0000-000017000000}"/>
    <cellStyle name="20% - Accent1 2 2 2 8" xfId="8721" xr:uid="{219B8CBD-C635-4812-BD22-5675470193D5}"/>
    <cellStyle name="20% - Accent1 2 2 2 9" xfId="12932" xr:uid="{5F9B7F13-7E20-44A7-B4BC-A0589F17F84C}"/>
    <cellStyle name="20% - Accent1 2 2 3" xfId="573" xr:uid="{00000000-0005-0000-0000-000018000000}"/>
    <cellStyle name="20% - Accent1 2 2 3 2" xfId="2844" xr:uid="{00000000-0005-0000-0000-000019000000}"/>
    <cellStyle name="20% - Accent1 2 2 3 2 2" xfId="7068" xr:uid="{00000000-0005-0000-0000-00001A000000}"/>
    <cellStyle name="20% - Accent1 2 2 3 2 3" xfId="11279" xr:uid="{CEF8AAB9-A072-4743-9B90-6B6044ED94A4}"/>
    <cellStyle name="20% - Accent1 2 2 3 2 4" xfId="15490" xr:uid="{AAF1882D-65E1-4D72-AE7E-57AC45BECD42}"/>
    <cellStyle name="20% - Accent1 2 2 3 3" xfId="4923" xr:uid="{00000000-0005-0000-0000-00001B000000}"/>
    <cellStyle name="20% - Accent1 2 2 3 4" xfId="9134" xr:uid="{701BE1E8-BA7A-4B58-9BEF-C6459937CE35}"/>
    <cellStyle name="20% - Accent1 2 2 3 5" xfId="13345" xr:uid="{00101224-77A4-41E6-8551-56203C05B095}"/>
    <cellStyle name="20% - Accent1 2 2 4" xfId="1026" xr:uid="{00000000-0005-0000-0000-00001C000000}"/>
    <cellStyle name="20% - Accent1 2 2 4 2" xfId="3257" xr:uid="{00000000-0005-0000-0000-00001D000000}"/>
    <cellStyle name="20% - Accent1 2 2 4 2 2" xfId="7481" xr:uid="{00000000-0005-0000-0000-00001E000000}"/>
    <cellStyle name="20% - Accent1 2 2 4 2 3" xfId="11692" xr:uid="{53233F44-1796-43F0-A6DA-FD950A6DC9FE}"/>
    <cellStyle name="20% - Accent1 2 2 4 2 4" xfId="15903" xr:uid="{AD57DCB5-7B0B-4EFF-929C-0A1DB2006016}"/>
    <cellStyle name="20% - Accent1 2 2 4 3" xfId="5336" xr:uid="{00000000-0005-0000-0000-00001F000000}"/>
    <cellStyle name="20% - Accent1 2 2 4 4" xfId="9547" xr:uid="{6D031D66-BEBE-4236-93C4-6A34CAB3A2A9}"/>
    <cellStyle name="20% - Accent1 2 2 4 5" xfId="13758" xr:uid="{9F9D1FD6-91E5-4F27-ADFE-37E01C2B0D12}"/>
    <cellStyle name="20% - Accent1 2 2 5" xfId="1440" xr:uid="{00000000-0005-0000-0000-000020000000}"/>
    <cellStyle name="20% - Accent1 2 2 5 2" xfId="3670" xr:uid="{00000000-0005-0000-0000-000021000000}"/>
    <cellStyle name="20% - Accent1 2 2 5 2 2" xfId="7894" xr:uid="{00000000-0005-0000-0000-000022000000}"/>
    <cellStyle name="20% - Accent1 2 2 5 2 3" xfId="12105" xr:uid="{D121A852-2BEB-44F3-988D-C7F9F4E114E2}"/>
    <cellStyle name="20% - Accent1 2 2 5 2 4" xfId="16316" xr:uid="{1D3E292C-A0F7-4214-98A8-A027F083307B}"/>
    <cellStyle name="20% - Accent1 2 2 5 3" xfId="5749" xr:uid="{00000000-0005-0000-0000-000023000000}"/>
    <cellStyle name="20% - Accent1 2 2 5 4" xfId="9960" xr:uid="{C41F4BDB-310D-4CCF-B124-280F8A319EB8}"/>
    <cellStyle name="20% - Accent1 2 2 5 5" xfId="14171" xr:uid="{9A583CCD-0D42-4C81-85CF-CB0DF3A20BDB}"/>
    <cellStyle name="20% - Accent1 2 2 6" xfId="1854" xr:uid="{00000000-0005-0000-0000-000024000000}"/>
    <cellStyle name="20% - Accent1 2 2 6 2" xfId="4083" xr:uid="{00000000-0005-0000-0000-000025000000}"/>
    <cellStyle name="20% - Accent1 2 2 6 2 2" xfId="8307" xr:uid="{00000000-0005-0000-0000-000026000000}"/>
    <cellStyle name="20% - Accent1 2 2 6 2 3" xfId="12518" xr:uid="{82CC12AA-CFC4-4248-837F-D147AFABDE34}"/>
    <cellStyle name="20% - Accent1 2 2 6 2 4" xfId="16729" xr:uid="{5E092EDD-7A38-4F26-B0EF-080E3D9B4B51}"/>
    <cellStyle name="20% - Accent1 2 2 6 3" xfId="6162" xr:uid="{00000000-0005-0000-0000-000027000000}"/>
    <cellStyle name="20% - Accent1 2 2 6 4" xfId="10373" xr:uid="{33E0D909-C997-44D7-9846-D3BCF8046384}"/>
    <cellStyle name="20% - Accent1 2 2 6 5" xfId="14584" xr:uid="{0C443C54-9B50-441D-A454-D3E6095C9EF5}"/>
    <cellStyle name="20% - Accent1 2 2 7" xfId="2267" xr:uid="{00000000-0005-0000-0000-000028000000}"/>
    <cellStyle name="20% - Accent1 2 2 7 2" xfId="6575" xr:uid="{00000000-0005-0000-0000-000029000000}"/>
    <cellStyle name="20% - Accent1 2 2 7 3" xfId="10786" xr:uid="{1F4479CC-6C44-4DAE-9D03-21EC0AD55C69}"/>
    <cellStyle name="20% - Accent1 2 2 7 4" xfId="14997" xr:uid="{05B284A3-4552-4F36-9936-058EF643118E}"/>
    <cellStyle name="20% - Accent1 2 2 8" xfId="4509" xr:uid="{00000000-0005-0000-0000-00002A000000}"/>
    <cellStyle name="20% - Accent1 2 2 9" xfId="8720" xr:uid="{6BCE4FAA-1E58-450E-92BE-347EE9DC4DE1}"/>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2 3" xfId="11281" xr:uid="{7DF6C2FE-0F0D-4546-9BDB-F2D8F846F89C}"/>
    <cellStyle name="20% - Accent1 2 3 2 2 4" xfId="15492" xr:uid="{936B50B0-6697-4B96-8FDE-4775EB127991}"/>
    <cellStyle name="20% - Accent1 2 3 2 3" xfId="4925" xr:uid="{00000000-0005-0000-0000-00002F000000}"/>
    <cellStyle name="20% - Accent1 2 3 2 4" xfId="9136" xr:uid="{14689015-5976-4820-9226-5BC2D2CA5854}"/>
    <cellStyle name="20% - Accent1 2 3 2 5" xfId="13347" xr:uid="{71359B60-713A-487A-8D84-0F9326BBA3FC}"/>
    <cellStyle name="20% - Accent1 2 3 3" xfId="1028" xr:uid="{00000000-0005-0000-0000-000030000000}"/>
    <cellStyle name="20% - Accent1 2 3 3 2" xfId="3259" xr:uid="{00000000-0005-0000-0000-000031000000}"/>
    <cellStyle name="20% - Accent1 2 3 3 2 2" xfId="7483" xr:uid="{00000000-0005-0000-0000-000032000000}"/>
    <cellStyle name="20% - Accent1 2 3 3 2 3" xfId="11694" xr:uid="{BEEA62B8-08FB-4753-9B65-0D055CFB1490}"/>
    <cellStyle name="20% - Accent1 2 3 3 2 4" xfId="15905" xr:uid="{04826350-03D7-45BF-8325-F3A0BA4559BF}"/>
    <cellStyle name="20% - Accent1 2 3 3 3" xfId="5338" xr:uid="{00000000-0005-0000-0000-000033000000}"/>
    <cellStyle name="20% - Accent1 2 3 3 4" xfId="9549" xr:uid="{3B50EEAC-529C-4D1D-BE70-4A3E18BDD3E6}"/>
    <cellStyle name="20% - Accent1 2 3 3 5" xfId="13760" xr:uid="{15ADFD86-4CF8-4EBB-9886-065A09D98C33}"/>
    <cellStyle name="20% - Accent1 2 3 4" xfId="1442" xr:uid="{00000000-0005-0000-0000-000034000000}"/>
    <cellStyle name="20% - Accent1 2 3 4 2" xfId="3672" xr:uid="{00000000-0005-0000-0000-000035000000}"/>
    <cellStyle name="20% - Accent1 2 3 4 2 2" xfId="7896" xr:uid="{00000000-0005-0000-0000-000036000000}"/>
    <cellStyle name="20% - Accent1 2 3 4 2 3" xfId="12107" xr:uid="{E2F87E56-C35D-45FB-9895-6AA2295B342D}"/>
    <cellStyle name="20% - Accent1 2 3 4 2 4" xfId="16318" xr:uid="{6DDCDFF9-FFF5-4AE8-AA61-2153CBF5AC9F}"/>
    <cellStyle name="20% - Accent1 2 3 4 3" xfId="5751" xr:uid="{00000000-0005-0000-0000-000037000000}"/>
    <cellStyle name="20% - Accent1 2 3 4 4" xfId="9962" xr:uid="{392F9F74-BF55-4A8A-9845-3836262A20F2}"/>
    <cellStyle name="20% - Accent1 2 3 4 5" xfId="14173" xr:uid="{4DC90FDB-ED81-4E66-8452-76A36E185593}"/>
    <cellStyle name="20% - Accent1 2 3 5" xfId="1856" xr:uid="{00000000-0005-0000-0000-000038000000}"/>
    <cellStyle name="20% - Accent1 2 3 5 2" xfId="4085" xr:uid="{00000000-0005-0000-0000-000039000000}"/>
    <cellStyle name="20% - Accent1 2 3 5 2 2" xfId="8309" xr:uid="{00000000-0005-0000-0000-00003A000000}"/>
    <cellStyle name="20% - Accent1 2 3 5 2 3" xfId="12520" xr:uid="{30EBE27C-F68F-440F-ACB4-AB6E4E0EE65C}"/>
    <cellStyle name="20% - Accent1 2 3 5 2 4" xfId="16731" xr:uid="{9CD26F24-3DC1-4BF6-B622-9849B38E5561}"/>
    <cellStyle name="20% - Accent1 2 3 5 3" xfId="6164" xr:uid="{00000000-0005-0000-0000-00003B000000}"/>
    <cellStyle name="20% - Accent1 2 3 5 4" xfId="10375" xr:uid="{7A5EBC74-FA39-4ACE-95FD-DEA8A95F9503}"/>
    <cellStyle name="20% - Accent1 2 3 5 5" xfId="14586" xr:uid="{261DEC98-55C4-4CED-9984-19AAA8C05E35}"/>
    <cellStyle name="20% - Accent1 2 3 6" xfId="2269" xr:uid="{00000000-0005-0000-0000-00003C000000}"/>
    <cellStyle name="20% - Accent1 2 3 6 2" xfId="6577" xr:uid="{00000000-0005-0000-0000-00003D000000}"/>
    <cellStyle name="20% - Accent1 2 3 6 3" xfId="10788" xr:uid="{CC1349FB-F435-4FAA-B1C6-76A3B0486129}"/>
    <cellStyle name="20% - Accent1 2 3 6 4" xfId="14999" xr:uid="{ECE34D43-31DE-45EA-BAC3-5440D989A43A}"/>
    <cellStyle name="20% - Accent1 2 3 7" xfId="4511" xr:uid="{00000000-0005-0000-0000-00003E000000}"/>
    <cellStyle name="20% - Accent1 2 3 8" xfId="8722" xr:uid="{27E931B4-2AF0-4BD2-915B-9C9CA5E47A0C}"/>
    <cellStyle name="20% - Accent1 2 3 9" xfId="12933" xr:uid="{5DBE096D-B780-47DB-8A36-AA17B78C53E8}"/>
    <cellStyle name="20% - Accent1 2 4" xfId="572" xr:uid="{00000000-0005-0000-0000-00003F000000}"/>
    <cellStyle name="20% - Accent1 2 4 2" xfId="2843" xr:uid="{00000000-0005-0000-0000-000040000000}"/>
    <cellStyle name="20% - Accent1 2 4 2 2" xfId="7067" xr:uid="{00000000-0005-0000-0000-000041000000}"/>
    <cellStyle name="20% - Accent1 2 4 2 3" xfId="11278" xr:uid="{4C28E8E9-1262-410D-9C23-1B342DE6C824}"/>
    <cellStyle name="20% - Accent1 2 4 2 4" xfId="15489" xr:uid="{2ECD3297-A72B-46E4-8279-46EAA3EB39AB}"/>
    <cellStyle name="20% - Accent1 2 4 3" xfId="4922" xr:uid="{00000000-0005-0000-0000-000042000000}"/>
    <cellStyle name="20% - Accent1 2 4 4" xfId="9133" xr:uid="{01DF6838-9AEC-4FE7-A85B-492808D732B6}"/>
    <cellStyle name="20% - Accent1 2 4 5" xfId="13344" xr:uid="{36ED0BB5-51D0-416F-9973-4B1D362D8F55}"/>
    <cellStyle name="20% - Accent1 2 5" xfId="1025" xr:uid="{00000000-0005-0000-0000-000043000000}"/>
    <cellStyle name="20% - Accent1 2 5 2" xfId="3256" xr:uid="{00000000-0005-0000-0000-000044000000}"/>
    <cellStyle name="20% - Accent1 2 5 2 2" xfId="7480" xr:uid="{00000000-0005-0000-0000-000045000000}"/>
    <cellStyle name="20% - Accent1 2 5 2 3" xfId="11691" xr:uid="{C962F3F3-6A38-4457-AC84-C7DD9019F52E}"/>
    <cellStyle name="20% - Accent1 2 5 2 4" xfId="15902" xr:uid="{72AB729D-1499-40B8-A812-D88B3D340F9C}"/>
    <cellStyle name="20% - Accent1 2 5 3" xfId="5335" xr:uid="{00000000-0005-0000-0000-000046000000}"/>
    <cellStyle name="20% - Accent1 2 5 4" xfId="9546" xr:uid="{26247F2B-4941-43BE-8583-082451F26805}"/>
    <cellStyle name="20% - Accent1 2 5 5" xfId="13757" xr:uid="{5C9D8D16-E06E-4D62-A88D-BE15760A32A4}"/>
    <cellStyle name="20% - Accent1 2 6" xfId="1439" xr:uid="{00000000-0005-0000-0000-000047000000}"/>
    <cellStyle name="20% - Accent1 2 6 2" xfId="3669" xr:uid="{00000000-0005-0000-0000-000048000000}"/>
    <cellStyle name="20% - Accent1 2 6 2 2" xfId="7893" xr:uid="{00000000-0005-0000-0000-000049000000}"/>
    <cellStyle name="20% - Accent1 2 6 2 3" xfId="12104" xr:uid="{B89CDC07-E1B8-494A-8DB2-5F9182208BC7}"/>
    <cellStyle name="20% - Accent1 2 6 2 4" xfId="16315" xr:uid="{B4646BD5-A7A6-40A9-A825-8403E945F77F}"/>
    <cellStyle name="20% - Accent1 2 6 3" xfId="5748" xr:uid="{00000000-0005-0000-0000-00004A000000}"/>
    <cellStyle name="20% - Accent1 2 6 4" xfId="9959" xr:uid="{A997510B-DFBC-4C42-AAAD-CFFD6FDB6074}"/>
    <cellStyle name="20% - Accent1 2 6 5" xfId="14170" xr:uid="{CA4A0BCA-7060-46B9-8CF1-792D3C99813B}"/>
    <cellStyle name="20% - Accent1 2 7" xfId="1853" xr:uid="{00000000-0005-0000-0000-00004B000000}"/>
    <cellStyle name="20% - Accent1 2 7 2" xfId="4082" xr:uid="{00000000-0005-0000-0000-00004C000000}"/>
    <cellStyle name="20% - Accent1 2 7 2 2" xfId="8306" xr:uid="{00000000-0005-0000-0000-00004D000000}"/>
    <cellStyle name="20% - Accent1 2 7 2 3" xfId="12517" xr:uid="{F8AB50FA-95A7-472F-B380-81873A851698}"/>
    <cellStyle name="20% - Accent1 2 7 2 4" xfId="16728" xr:uid="{1ECA4AD8-82E9-4204-BAA7-B2A676C499DE}"/>
    <cellStyle name="20% - Accent1 2 7 3" xfId="6161" xr:uid="{00000000-0005-0000-0000-00004E000000}"/>
    <cellStyle name="20% - Accent1 2 7 4" xfId="10372" xr:uid="{41312D6B-4E6B-4808-84A7-DB59EB21D3DC}"/>
    <cellStyle name="20% - Accent1 2 7 5" xfId="14583" xr:uid="{C2413BEB-E626-473D-BD22-CE38341848F7}"/>
    <cellStyle name="20% - Accent1 2 8" xfId="2266" xr:uid="{00000000-0005-0000-0000-00004F000000}"/>
    <cellStyle name="20% - Accent1 2 8 2" xfId="6574" xr:uid="{00000000-0005-0000-0000-000050000000}"/>
    <cellStyle name="20% - Accent1 2 8 3" xfId="10785" xr:uid="{7024D83A-FC16-48DA-B68F-C8DF8D15E62B}"/>
    <cellStyle name="20% - Accent1 2 8 4" xfId="14996" xr:uid="{3D98E464-F988-436C-9F7A-16E6BDBBEADA}"/>
    <cellStyle name="20% - Accent1 2 9" xfId="4508" xr:uid="{00000000-0005-0000-0000-000051000000}"/>
    <cellStyle name="20% - Accent1 3" xfId="6" xr:uid="{00000000-0005-0000-0000-000052000000}"/>
    <cellStyle name="20% - Accent1 3 10" xfId="12934" xr:uid="{2526F957-6764-4C97-8DC7-413E3F8F11D8}"/>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2 3" xfId="11283" xr:uid="{4B1872F8-AA1B-4115-8CCE-99C161838EB3}"/>
    <cellStyle name="20% - Accent1 3 2 2 2 4" xfId="15494" xr:uid="{B8197717-D864-47A3-82E8-A5A952F10DB1}"/>
    <cellStyle name="20% - Accent1 3 2 2 3" xfId="4927" xr:uid="{00000000-0005-0000-0000-000057000000}"/>
    <cellStyle name="20% - Accent1 3 2 2 4" xfId="9138" xr:uid="{89B0F264-AF84-4DA7-8A22-C6F188276543}"/>
    <cellStyle name="20% - Accent1 3 2 2 5" xfId="13349" xr:uid="{60242ABA-11A7-4F00-BE73-52E4016DE67D}"/>
    <cellStyle name="20% - Accent1 3 2 3" xfId="1030" xr:uid="{00000000-0005-0000-0000-000058000000}"/>
    <cellStyle name="20% - Accent1 3 2 3 2" xfId="3261" xr:uid="{00000000-0005-0000-0000-000059000000}"/>
    <cellStyle name="20% - Accent1 3 2 3 2 2" xfId="7485" xr:uid="{00000000-0005-0000-0000-00005A000000}"/>
    <cellStyle name="20% - Accent1 3 2 3 2 3" xfId="11696" xr:uid="{1555BE9B-7324-410F-BCF7-AF2E530E2111}"/>
    <cellStyle name="20% - Accent1 3 2 3 2 4" xfId="15907" xr:uid="{6194424D-D5FB-4E5F-991C-63D65A11DA97}"/>
    <cellStyle name="20% - Accent1 3 2 3 3" xfId="5340" xr:uid="{00000000-0005-0000-0000-00005B000000}"/>
    <cellStyle name="20% - Accent1 3 2 3 4" xfId="9551" xr:uid="{53DC0B19-7CBB-45BB-BF81-D3A5CA7839CE}"/>
    <cellStyle name="20% - Accent1 3 2 3 5" xfId="13762" xr:uid="{073D4B09-C684-4A48-943E-330E339F7A4E}"/>
    <cellStyle name="20% - Accent1 3 2 4" xfId="1444" xr:uid="{00000000-0005-0000-0000-00005C000000}"/>
    <cellStyle name="20% - Accent1 3 2 4 2" xfId="3674" xr:uid="{00000000-0005-0000-0000-00005D000000}"/>
    <cellStyle name="20% - Accent1 3 2 4 2 2" xfId="7898" xr:uid="{00000000-0005-0000-0000-00005E000000}"/>
    <cellStyle name="20% - Accent1 3 2 4 2 3" xfId="12109" xr:uid="{1104323E-F52B-4BB1-83AC-4A7C23293BD5}"/>
    <cellStyle name="20% - Accent1 3 2 4 2 4" xfId="16320" xr:uid="{4F8AD8D0-FEAC-41A7-AF53-86ADA787FD95}"/>
    <cellStyle name="20% - Accent1 3 2 4 3" xfId="5753" xr:uid="{00000000-0005-0000-0000-00005F000000}"/>
    <cellStyle name="20% - Accent1 3 2 4 4" xfId="9964" xr:uid="{1A5A2A99-C8C8-4B49-9043-8A432EDA65ED}"/>
    <cellStyle name="20% - Accent1 3 2 4 5" xfId="14175" xr:uid="{60693502-B62C-466B-B9D4-FA6363D1681A}"/>
    <cellStyle name="20% - Accent1 3 2 5" xfId="1858" xr:uid="{00000000-0005-0000-0000-000060000000}"/>
    <cellStyle name="20% - Accent1 3 2 5 2" xfId="4087" xr:uid="{00000000-0005-0000-0000-000061000000}"/>
    <cellStyle name="20% - Accent1 3 2 5 2 2" xfId="8311" xr:uid="{00000000-0005-0000-0000-000062000000}"/>
    <cellStyle name="20% - Accent1 3 2 5 2 3" xfId="12522" xr:uid="{1BFFAF29-2B74-4F25-9F91-69E8A00708CD}"/>
    <cellStyle name="20% - Accent1 3 2 5 2 4" xfId="16733" xr:uid="{FA7F04A7-AE9A-415C-813D-90CFB8408F78}"/>
    <cellStyle name="20% - Accent1 3 2 5 3" xfId="6166" xr:uid="{00000000-0005-0000-0000-000063000000}"/>
    <cellStyle name="20% - Accent1 3 2 5 4" xfId="10377" xr:uid="{4361474C-2443-4D79-B262-1CCA93DFE3B5}"/>
    <cellStyle name="20% - Accent1 3 2 5 5" xfId="14588" xr:uid="{4A2D9A2E-01E5-4D6E-8F44-0E18A8D9BFAF}"/>
    <cellStyle name="20% - Accent1 3 2 6" xfId="2271" xr:uid="{00000000-0005-0000-0000-000064000000}"/>
    <cellStyle name="20% - Accent1 3 2 6 2" xfId="6579" xr:uid="{00000000-0005-0000-0000-000065000000}"/>
    <cellStyle name="20% - Accent1 3 2 6 3" xfId="10790" xr:uid="{067FDE0B-4EF6-46C7-8A4C-35AF25F2CFC9}"/>
    <cellStyle name="20% - Accent1 3 2 6 4" xfId="15001" xr:uid="{D906742F-3F1D-4452-AA4E-442CB462D992}"/>
    <cellStyle name="20% - Accent1 3 2 7" xfId="4513" xr:uid="{00000000-0005-0000-0000-000066000000}"/>
    <cellStyle name="20% - Accent1 3 2 8" xfId="8724" xr:uid="{90862619-1717-4059-B77A-157497429CF2}"/>
    <cellStyle name="20% - Accent1 3 2 9" xfId="12935" xr:uid="{87518981-E2A9-4849-827B-202B2B12CE69}"/>
    <cellStyle name="20% - Accent1 3 3" xfId="576" xr:uid="{00000000-0005-0000-0000-000067000000}"/>
    <cellStyle name="20% - Accent1 3 3 2" xfId="2847" xr:uid="{00000000-0005-0000-0000-000068000000}"/>
    <cellStyle name="20% - Accent1 3 3 2 2" xfId="7071" xr:uid="{00000000-0005-0000-0000-000069000000}"/>
    <cellStyle name="20% - Accent1 3 3 2 3" xfId="11282" xr:uid="{EE7F96E1-B49E-475E-B9DF-55A4C07950A6}"/>
    <cellStyle name="20% - Accent1 3 3 2 4" xfId="15493" xr:uid="{54EEA9FA-93C0-4468-AA9A-98F3ECFE297E}"/>
    <cellStyle name="20% - Accent1 3 3 3" xfId="4926" xr:uid="{00000000-0005-0000-0000-00006A000000}"/>
    <cellStyle name="20% - Accent1 3 3 4" xfId="9137" xr:uid="{3809A881-F67C-4C2D-AE50-C485F2679266}"/>
    <cellStyle name="20% - Accent1 3 3 5" xfId="13348" xr:uid="{93F823AC-F757-47E1-B311-BF4612DD0EFD}"/>
    <cellStyle name="20% - Accent1 3 4" xfId="1029" xr:uid="{00000000-0005-0000-0000-00006B000000}"/>
    <cellStyle name="20% - Accent1 3 4 2" xfId="3260" xr:uid="{00000000-0005-0000-0000-00006C000000}"/>
    <cellStyle name="20% - Accent1 3 4 2 2" xfId="7484" xr:uid="{00000000-0005-0000-0000-00006D000000}"/>
    <cellStyle name="20% - Accent1 3 4 2 3" xfId="11695" xr:uid="{BBE7512D-AC42-4491-ADFC-307A169FC273}"/>
    <cellStyle name="20% - Accent1 3 4 2 4" xfId="15906" xr:uid="{C755473F-F97D-4807-BA0B-036C5446DEF1}"/>
    <cellStyle name="20% - Accent1 3 4 3" xfId="5339" xr:uid="{00000000-0005-0000-0000-00006E000000}"/>
    <cellStyle name="20% - Accent1 3 4 4" xfId="9550" xr:uid="{E8F9846D-25B7-4737-81AE-53800C3EF7DE}"/>
    <cellStyle name="20% - Accent1 3 4 5" xfId="13761" xr:uid="{4522345D-E0B3-4381-82D5-17CF8E1AE143}"/>
    <cellStyle name="20% - Accent1 3 5" xfId="1443" xr:uid="{00000000-0005-0000-0000-00006F000000}"/>
    <cellStyle name="20% - Accent1 3 5 2" xfId="3673" xr:uid="{00000000-0005-0000-0000-000070000000}"/>
    <cellStyle name="20% - Accent1 3 5 2 2" xfId="7897" xr:uid="{00000000-0005-0000-0000-000071000000}"/>
    <cellStyle name="20% - Accent1 3 5 2 3" xfId="12108" xr:uid="{01555E2C-E1C4-4C45-8FF5-13EB6E379913}"/>
    <cellStyle name="20% - Accent1 3 5 2 4" xfId="16319" xr:uid="{EF832521-EBEB-409F-BB47-84378256C898}"/>
    <cellStyle name="20% - Accent1 3 5 3" xfId="5752" xr:uid="{00000000-0005-0000-0000-000072000000}"/>
    <cellStyle name="20% - Accent1 3 5 4" xfId="9963" xr:uid="{ECAB4225-63A4-4CF2-9FC7-B277FFCBE185}"/>
    <cellStyle name="20% - Accent1 3 5 5" xfId="14174" xr:uid="{F94FBC3E-CA67-441A-AECE-336BA83BC87B}"/>
    <cellStyle name="20% - Accent1 3 6" xfId="1857" xr:uid="{00000000-0005-0000-0000-000073000000}"/>
    <cellStyle name="20% - Accent1 3 6 2" xfId="4086" xr:uid="{00000000-0005-0000-0000-000074000000}"/>
    <cellStyle name="20% - Accent1 3 6 2 2" xfId="8310" xr:uid="{00000000-0005-0000-0000-000075000000}"/>
    <cellStyle name="20% - Accent1 3 6 2 3" xfId="12521" xr:uid="{BF2DDEAD-ACBF-4017-A524-BBE25C2C28B2}"/>
    <cellStyle name="20% - Accent1 3 6 2 4" xfId="16732" xr:uid="{D4992F53-BCAE-4038-8B07-FAAB61995B31}"/>
    <cellStyle name="20% - Accent1 3 6 3" xfId="6165" xr:uid="{00000000-0005-0000-0000-000076000000}"/>
    <cellStyle name="20% - Accent1 3 6 4" xfId="10376" xr:uid="{AF871303-17B2-4A6C-83F2-4B4B8A2F2994}"/>
    <cellStyle name="20% - Accent1 3 6 5" xfId="14587" xr:uid="{2692E5A7-9519-4ABD-9979-DCFB5D478494}"/>
    <cellStyle name="20% - Accent1 3 7" xfId="2270" xr:uid="{00000000-0005-0000-0000-000077000000}"/>
    <cellStyle name="20% - Accent1 3 7 2" xfId="6578" xr:uid="{00000000-0005-0000-0000-000078000000}"/>
    <cellStyle name="20% - Accent1 3 7 3" xfId="10789" xr:uid="{47A275E5-35EE-4733-8C67-AD7510E6D0D5}"/>
    <cellStyle name="20% - Accent1 3 7 4" xfId="15000" xr:uid="{34A22212-F3B4-4B4B-B603-F8706CF2D796}"/>
    <cellStyle name="20% - Accent1 3 8" xfId="4512" xr:uid="{00000000-0005-0000-0000-000079000000}"/>
    <cellStyle name="20% - Accent1 3 9" xfId="8723" xr:uid="{7A9C263D-1CF8-4BB6-8E96-38207FD8FA89}"/>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2 3" xfId="11284" xr:uid="{BAB34A55-04D1-4E6F-AC23-FEEF1E387FB3}"/>
    <cellStyle name="20% - Accent1 4 2 2 4" xfId="15495" xr:uid="{9271140D-E13B-45B5-91D6-03A3147DB478}"/>
    <cellStyle name="20% - Accent1 4 2 3" xfId="4928" xr:uid="{00000000-0005-0000-0000-00007E000000}"/>
    <cellStyle name="20% - Accent1 4 2 4" xfId="9139" xr:uid="{745271CA-B052-402C-A283-D2717C805153}"/>
    <cellStyle name="20% - Accent1 4 2 5" xfId="13350" xr:uid="{9D707271-D27E-402B-B9D0-0AA8BB42E850}"/>
    <cellStyle name="20% - Accent1 4 3" xfId="1031" xr:uid="{00000000-0005-0000-0000-00007F000000}"/>
    <cellStyle name="20% - Accent1 4 3 2" xfId="3262" xr:uid="{00000000-0005-0000-0000-000080000000}"/>
    <cellStyle name="20% - Accent1 4 3 2 2" xfId="7486" xr:uid="{00000000-0005-0000-0000-000081000000}"/>
    <cellStyle name="20% - Accent1 4 3 2 3" xfId="11697" xr:uid="{C40DBA82-5202-49F3-9E17-FA40D647F574}"/>
    <cellStyle name="20% - Accent1 4 3 2 4" xfId="15908" xr:uid="{D6EC4B9F-5990-49B9-AE66-98092C6A7BBA}"/>
    <cellStyle name="20% - Accent1 4 3 3" xfId="5341" xr:uid="{00000000-0005-0000-0000-000082000000}"/>
    <cellStyle name="20% - Accent1 4 3 4" xfId="9552" xr:uid="{569CAE21-F4AA-4EBD-B2EB-4949508C982B}"/>
    <cellStyle name="20% - Accent1 4 3 5" xfId="13763" xr:uid="{33EAFDFD-BD93-4BE3-8A45-0D3D80545EAC}"/>
    <cellStyle name="20% - Accent1 4 4" xfId="1445" xr:uid="{00000000-0005-0000-0000-000083000000}"/>
    <cellStyle name="20% - Accent1 4 4 2" xfId="3675" xr:uid="{00000000-0005-0000-0000-000084000000}"/>
    <cellStyle name="20% - Accent1 4 4 2 2" xfId="7899" xr:uid="{00000000-0005-0000-0000-000085000000}"/>
    <cellStyle name="20% - Accent1 4 4 2 3" xfId="12110" xr:uid="{3FB1DF2D-D276-4276-87E5-602A26CAC5C5}"/>
    <cellStyle name="20% - Accent1 4 4 2 4" xfId="16321" xr:uid="{99F0DA48-206F-4630-84B5-37AB60D1E028}"/>
    <cellStyle name="20% - Accent1 4 4 3" xfId="5754" xr:uid="{00000000-0005-0000-0000-000086000000}"/>
    <cellStyle name="20% - Accent1 4 4 4" xfId="9965" xr:uid="{3E069E92-7FDA-4154-AE26-14EFBD4F3EA3}"/>
    <cellStyle name="20% - Accent1 4 4 5" xfId="14176" xr:uid="{3374696F-B205-4BBE-B8B9-46D321DE405B}"/>
    <cellStyle name="20% - Accent1 4 5" xfId="1859" xr:uid="{00000000-0005-0000-0000-000087000000}"/>
    <cellStyle name="20% - Accent1 4 5 2" xfId="4088" xr:uid="{00000000-0005-0000-0000-000088000000}"/>
    <cellStyle name="20% - Accent1 4 5 2 2" xfId="8312" xr:uid="{00000000-0005-0000-0000-000089000000}"/>
    <cellStyle name="20% - Accent1 4 5 2 3" xfId="12523" xr:uid="{9B165B8B-932C-447A-9580-0F76218F085A}"/>
    <cellStyle name="20% - Accent1 4 5 2 4" xfId="16734" xr:uid="{319806A9-36E7-410A-9AB9-5E5FD9518FBC}"/>
    <cellStyle name="20% - Accent1 4 5 3" xfId="6167" xr:uid="{00000000-0005-0000-0000-00008A000000}"/>
    <cellStyle name="20% - Accent1 4 5 4" xfId="10378" xr:uid="{892E54C5-7CBD-4E29-841A-B50FB5E92E58}"/>
    <cellStyle name="20% - Accent1 4 5 5" xfId="14589" xr:uid="{0457E6D2-CD54-4FC0-BBCF-754A360B3975}"/>
    <cellStyle name="20% - Accent1 4 6" xfId="2272" xr:uid="{00000000-0005-0000-0000-00008B000000}"/>
    <cellStyle name="20% - Accent1 4 6 2" xfId="6580" xr:uid="{00000000-0005-0000-0000-00008C000000}"/>
    <cellStyle name="20% - Accent1 4 6 3" xfId="10791" xr:uid="{0612365E-DF18-4FB7-A1DE-2309B274E6A1}"/>
    <cellStyle name="20% - Accent1 4 6 4" xfId="15002" xr:uid="{89C28646-E834-42B9-A39C-F323978B89D8}"/>
    <cellStyle name="20% - Accent1 4 7" xfId="4514" xr:uid="{00000000-0005-0000-0000-00008D000000}"/>
    <cellStyle name="20% - Accent1 4 8" xfId="8725" xr:uid="{7C7B8C20-41AF-4F17-BFD4-37A0EBFC3ADB}"/>
    <cellStyle name="20% - Accent1 4 9" xfId="12936" xr:uid="{30CDA368-C765-48D2-B94D-03ECB4EF33D5}"/>
    <cellStyle name="20% - Accent1 5" xfId="571" xr:uid="{00000000-0005-0000-0000-00008E000000}"/>
    <cellStyle name="20% - Accent1 5 2" xfId="2842" xr:uid="{00000000-0005-0000-0000-00008F000000}"/>
    <cellStyle name="20% - Accent1 5 2 2" xfId="7066" xr:uid="{00000000-0005-0000-0000-000090000000}"/>
    <cellStyle name="20% - Accent1 5 2 3" xfId="11277" xr:uid="{737ABE23-B304-4AB1-BBBA-C27C4AD18749}"/>
    <cellStyle name="20% - Accent1 5 2 4" xfId="15488" xr:uid="{E3F5005B-8111-4C2C-9127-52CA05F6ADEE}"/>
    <cellStyle name="20% - Accent1 5 3" xfId="4921" xr:uid="{00000000-0005-0000-0000-000091000000}"/>
    <cellStyle name="20% - Accent1 5 4" xfId="9132" xr:uid="{E2EA9387-1F90-47E7-A464-0EECD61CD71B}"/>
    <cellStyle name="20% - Accent1 5 5" xfId="13343" xr:uid="{E3723958-D8D5-469A-BD52-2A3094CEEC1A}"/>
    <cellStyle name="20% - Accent1 6" xfId="1024" xr:uid="{00000000-0005-0000-0000-000092000000}"/>
    <cellStyle name="20% - Accent1 6 2" xfId="3255" xr:uid="{00000000-0005-0000-0000-000093000000}"/>
    <cellStyle name="20% - Accent1 6 2 2" xfId="7479" xr:uid="{00000000-0005-0000-0000-000094000000}"/>
    <cellStyle name="20% - Accent1 6 2 3" xfId="11690" xr:uid="{494600CD-C3B4-455A-9190-AAB74C323DD5}"/>
    <cellStyle name="20% - Accent1 6 2 4" xfId="15901" xr:uid="{C269D963-726D-4FC4-B11D-4B6C257EA4A4}"/>
    <cellStyle name="20% - Accent1 6 3" xfId="5334" xr:uid="{00000000-0005-0000-0000-000095000000}"/>
    <cellStyle name="20% - Accent1 6 4" xfId="9545" xr:uid="{2536B558-B319-4B20-B0C0-45EAEC778947}"/>
    <cellStyle name="20% - Accent1 6 5" xfId="13756" xr:uid="{2416696D-F304-4473-A39F-3D71F8EE4A84}"/>
    <cellStyle name="20% - Accent1 7" xfId="1438" xr:uid="{00000000-0005-0000-0000-000096000000}"/>
    <cellStyle name="20% - Accent1 7 2" xfId="3668" xr:uid="{00000000-0005-0000-0000-000097000000}"/>
    <cellStyle name="20% - Accent1 7 2 2" xfId="7892" xr:uid="{00000000-0005-0000-0000-000098000000}"/>
    <cellStyle name="20% - Accent1 7 2 3" xfId="12103" xr:uid="{F2A44029-69E4-4A9F-A935-F13D3B09D330}"/>
    <cellStyle name="20% - Accent1 7 2 4" xfId="16314" xr:uid="{36B7B541-F9D0-4DB2-B777-AFBC9D4165FC}"/>
    <cellStyle name="20% - Accent1 7 3" xfId="5747" xr:uid="{00000000-0005-0000-0000-000099000000}"/>
    <cellStyle name="20% - Accent1 7 4" xfId="9958" xr:uid="{03D69BC3-ECD0-4F7B-AA63-3BDEDDA716E0}"/>
    <cellStyle name="20% - Accent1 7 5" xfId="14169" xr:uid="{D84A7717-4553-4501-AA3A-65E3147784F7}"/>
    <cellStyle name="20% - Accent1 8" xfId="1852" xr:uid="{00000000-0005-0000-0000-00009A000000}"/>
    <cellStyle name="20% - Accent1 8 2" xfId="4081" xr:uid="{00000000-0005-0000-0000-00009B000000}"/>
    <cellStyle name="20% - Accent1 8 2 2" xfId="8305" xr:uid="{00000000-0005-0000-0000-00009C000000}"/>
    <cellStyle name="20% - Accent1 8 2 3" xfId="12516" xr:uid="{4B9F8E8A-63BD-40E7-9D03-857858C1BABA}"/>
    <cellStyle name="20% - Accent1 8 2 4" xfId="16727" xr:uid="{BB90427D-7A7F-4C87-AFAE-709D86D70ACF}"/>
    <cellStyle name="20% - Accent1 8 3" xfId="6160" xr:uid="{00000000-0005-0000-0000-00009D000000}"/>
    <cellStyle name="20% - Accent1 8 4" xfId="10371" xr:uid="{50C5FADD-3868-4DA3-A83B-43D160D58579}"/>
    <cellStyle name="20% - Accent1 8 5" xfId="14582" xr:uid="{2BB58403-2FDD-4A96-9452-8630BD44827F}"/>
    <cellStyle name="20% - Accent1 9" xfId="2265" xr:uid="{00000000-0005-0000-0000-00009E000000}"/>
    <cellStyle name="20% - Accent1 9 2" xfId="6573" xr:uid="{00000000-0005-0000-0000-00009F000000}"/>
    <cellStyle name="20% - Accent1 9 3" xfId="10784" xr:uid="{6C0EAB82-B5D8-4FA4-B905-4DD1F442941D}"/>
    <cellStyle name="20% - Accent1 9 4" xfId="14995" xr:uid="{E17EEB03-328B-4713-98BE-FF48D478EF87}"/>
    <cellStyle name="20% - Accent2" xfId="9" builtinId="34" customBuiltin="1"/>
    <cellStyle name="20% - Accent2 10" xfId="4515" xr:uid="{00000000-0005-0000-0000-0000A1000000}"/>
    <cellStyle name="20% - Accent2 11" xfId="8726" xr:uid="{716EB912-797E-49C1-BE30-E59A18366EAD}"/>
    <cellStyle name="20% - Accent2 12" xfId="12937" xr:uid="{24DD25FD-5783-49D3-80F6-310D0F11D3EA}"/>
    <cellStyle name="20% - Accent2 2" xfId="10" xr:uid="{00000000-0005-0000-0000-0000A2000000}"/>
    <cellStyle name="20% - Accent2 2 10" xfId="8727" xr:uid="{E55212B9-A07F-4F58-B78C-6B6CE008316F}"/>
    <cellStyle name="20% - Accent2 2 11" xfId="12938" xr:uid="{86257644-B7BC-41B0-9415-4680E3EB7A95}"/>
    <cellStyle name="20% - Accent2 2 2" xfId="11" xr:uid="{00000000-0005-0000-0000-0000A3000000}"/>
    <cellStyle name="20% - Accent2 2 2 10" xfId="12939" xr:uid="{EF293FA2-6641-4E3C-939F-93832CF46BC9}"/>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2 3" xfId="11288" xr:uid="{63218BBC-CF2B-4F39-996C-EF7363C014E5}"/>
    <cellStyle name="20% - Accent2 2 2 2 2 2 4" xfId="15499" xr:uid="{315223F6-4800-409A-AF52-CB9FC2666610}"/>
    <cellStyle name="20% - Accent2 2 2 2 2 3" xfId="4932" xr:uid="{00000000-0005-0000-0000-0000A8000000}"/>
    <cellStyle name="20% - Accent2 2 2 2 2 4" xfId="9143" xr:uid="{4ADC82A4-4895-4A33-AA07-8E9D12E3C755}"/>
    <cellStyle name="20% - Accent2 2 2 2 2 5" xfId="13354" xr:uid="{4A452093-C018-4279-A5C3-E36E0ACBDDF8}"/>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2 3" xfId="11701" xr:uid="{822EB302-5348-4E04-BAA4-AFDE09563549}"/>
    <cellStyle name="20% - Accent2 2 2 2 3 2 4" xfId="15912" xr:uid="{2923368D-24FA-40FF-A58E-648CE2A04C2C}"/>
    <cellStyle name="20% - Accent2 2 2 2 3 3" xfId="5345" xr:uid="{00000000-0005-0000-0000-0000AC000000}"/>
    <cellStyle name="20% - Accent2 2 2 2 3 4" xfId="9556" xr:uid="{C46CF976-4191-44F2-B6BA-EDD5824A94F1}"/>
    <cellStyle name="20% - Accent2 2 2 2 3 5" xfId="13767" xr:uid="{2B47B309-200E-4046-A04A-8E86CBC44249}"/>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2 3" xfId="12114" xr:uid="{8FAE876F-706C-404B-AB6A-1C962C56E06F}"/>
    <cellStyle name="20% - Accent2 2 2 2 4 2 4" xfId="16325" xr:uid="{8DC5A600-FF91-4E5A-B1BF-D89A7547EDED}"/>
    <cellStyle name="20% - Accent2 2 2 2 4 3" xfId="5758" xr:uid="{00000000-0005-0000-0000-0000B0000000}"/>
    <cellStyle name="20% - Accent2 2 2 2 4 4" xfId="9969" xr:uid="{56CC6B85-FB53-489F-A62B-C284C7669D96}"/>
    <cellStyle name="20% - Accent2 2 2 2 4 5" xfId="14180" xr:uid="{5442E4A1-2FE5-4C30-8CEB-3F13C1107168}"/>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2 3" xfId="12527" xr:uid="{989B2477-55DF-45E1-9D40-0CB619E781B1}"/>
    <cellStyle name="20% - Accent2 2 2 2 5 2 4" xfId="16738" xr:uid="{24085D05-DCC5-49F9-9EAC-892BC0636064}"/>
    <cellStyle name="20% - Accent2 2 2 2 5 3" xfId="6171" xr:uid="{00000000-0005-0000-0000-0000B4000000}"/>
    <cellStyle name="20% - Accent2 2 2 2 5 4" xfId="10382" xr:uid="{31E94ADA-A6AA-49E4-A771-BDE6DEBBCA7E}"/>
    <cellStyle name="20% - Accent2 2 2 2 5 5" xfId="14593" xr:uid="{561BCD73-D52D-408F-85E4-0506D1A56288}"/>
    <cellStyle name="20% - Accent2 2 2 2 6" xfId="2276" xr:uid="{00000000-0005-0000-0000-0000B5000000}"/>
    <cellStyle name="20% - Accent2 2 2 2 6 2" xfId="6584" xr:uid="{00000000-0005-0000-0000-0000B6000000}"/>
    <cellStyle name="20% - Accent2 2 2 2 6 3" xfId="10795" xr:uid="{88786359-2DD2-4A6D-A4D3-2621B27668C1}"/>
    <cellStyle name="20% - Accent2 2 2 2 6 4" xfId="15006" xr:uid="{6B9CB37F-709D-4870-ABD7-8C77F175F39C}"/>
    <cellStyle name="20% - Accent2 2 2 2 7" xfId="4518" xr:uid="{00000000-0005-0000-0000-0000B7000000}"/>
    <cellStyle name="20% - Accent2 2 2 2 8" xfId="8729" xr:uid="{8FBF5F3C-5E7F-4594-8ACB-2406C39F244F}"/>
    <cellStyle name="20% - Accent2 2 2 2 9" xfId="12940" xr:uid="{E7F99059-02E5-4A47-8C82-3E02D81B2634}"/>
    <cellStyle name="20% - Accent2 2 2 3" xfId="581" xr:uid="{00000000-0005-0000-0000-0000B8000000}"/>
    <cellStyle name="20% - Accent2 2 2 3 2" xfId="2852" xr:uid="{00000000-0005-0000-0000-0000B9000000}"/>
    <cellStyle name="20% - Accent2 2 2 3 2 2" xfId="7076" xr:uid="{00000000-0005-0000-0000-0000BA000000}"/>
    <cellStyle name="20% - Accent2 2 2 3 2 3" xfId="11287" xr:uid="{CEC9B11A-3C10-4349-B2DA-0460D1CBB484}"/>
    <cellStyle name="20% - Accent2 2 2 3 2 4" xfId="15498" xr:uid="{07FDE4CD-7495-4FAB-A0D7-99C19518B898}"/>
    <cellStyle name="20% - Accent2 2 2 3 3" xfId="4931" xr:uid="{00000000-0005-0000-0000-0000BB000000}"/>
    <cellStyle name="20% - Accent2 2 2 3 4" xfId="9142" xr:uid="{062E9DB9-835B-433D-991B-270DCC42139A}"/>
    <cellStyle name="20% - Accent2 2 2 3 5" xfId="13353" xr:uid="{D9E8E789-AB7A-4DA5-860D-8A6EE59D5429}"/>
    <cellStyle name="20% - Accent2 2 2 4" xfId="1034" xr:uid="{00000000-0005-0000-0000-0000BC000000}"/>
    <cellStyle name="20% - Accent2 2 2 4 2" xfId="3265" xr:uid="{00000000-0005-0000-0000-0000BD000000}"/>
    <cellStyle name="20% - Accent2 2 2 4 2 2" xfId="7489" xr:uid="{00000000-0005-0000-0000-0000BE000000}"/>
    <cellStyle name="20% - Accent2 2 2 4 2 3" xfId="11700" xr:uid="{281990BF-5048-4537-A7A1-6B5928635177}"/>
    <cellStyle name="20% - Accent2 2 2 4 2 4" xfId="15911" xr:uid="{C2DF6ADB-A4E5-4D78-B965-01E7D9ACDF5C}"/>
    <cellStyle name="20% - Accent2 2 2 4 3" xfId="5344" xr:uid="{00000000-0005-0000-0000-0000BF000000}"/>
    <cellStyle name="20% - Accent2 2 2 4 4" xfId="9555" xr:uid="{4DE7381A-7EAC-4D0A-B5C5-01F23314A723}"/>
    <cellStyle name="20% - Accent2 2 2 4 5" xfId="13766" xr:uid="{264B098F-7811-4725-BEC5-8323F1F9454C}"/>
    <cellStyle name="20% - Accent2 2 2 5" xfId="1448" xr:uid="{00000000-0005-0000-0000-0000C0000000}"/>
    <cellStyle name="20% - Accent2 2 2 5 2" xfId="3678" xr:uid="{00000000-0005-0000-0000-0000C1000000}"/>
    <cellStyle name="20% - Accent2 2 2 5 2 2" xfId="7902" xr:uid="{00000000-0005-0000-0000-0000C2000000}"/>
    <cellStyle name="20% - Accent2 2 2 5 2 3" xfId="12113" xr:uid="{841E2DCF-B900-41D6-A850-9E18397A81E4}"/>
    <cellStyle name="20% - Accent2 2 2 5 2 4" xfId="16324" xr:uid="{9E1807A9-55CC-463F-8F6D-91564F36E854}"/>
    <cellStyle name="20% - Accent2 2 2 5 3" xfId="5757" xr:uid="{00000000-0005-0000-0000-0000C3000000}"/>
    <cellStyle name="20% - Accent2 2 2 5 4" xfId="9968" xr:uid="{3AB60239-1F52-4DDB-BDA2-6F92065BFE54}"/>
    <cellStyle name="20% - Accent2 2 2 5 5" xfId="14179" xr:uid="{1348A9F9-9B2E-4B05-9575-7D41C2256F65}"/>
    <cellStyle name="20% - Accent2 2 2 6" xfId="1862" xr:uid="{00000000-0005-0000-0000-0000C4000000}"/>
    <cellStyle name="20% - Accent2 2 2 6 2" xfId="4091" xr:uid="{00000000-0005-0000-0000-0000C5000000}"/>
    <cellStyle name="20% - Accent2 2 2 6 2 2" xfId="8315" xr:uid="{00000000-0005-0000-0000-0000C6000000}"/>
    <cellStyle name="20% - Accent2 2 2 6 2 3" xfId="12526" xr:uid="{A262A9A3-AA81-4602-BB27-EDED7D26D752}"/>
    <cellStyle name="20% - Accent2 2 2 6 2 4" xfId="16737" xr:uid="{3E59EF3B-EC55-49B8-99DD-950EF7FB5834}"/>
    <cellStyle name="20% - Accent2 2 2 6 3" xfId="6170" xr:uid="{00000000-0005-0000-0000-0000C7000000}"/>
    <cellStyle name="20% - Accent2 2 2 6 4" xfId="10381" xr:uid="{4DDAE8F2-F578-480B-B334-4549F921F037}"/>
    <cellStyle name="20% - Accent2 2 2 6 5" xfId="14592" xr:uid="{5A713716-65C3-4C35-8E84-3125860D5A33}"/>
    <cellStyle name="20% - Accent2 2 2 7" xfId="2275" xr:uid="{00000000-0005-0000-0000-0000C8000000}"/>
    <cellStyle name="20% - Accent2 2 2 7 2" xfId="6583" xr:uid="{00000000-0005-0000-0000-0000C9000000}"/>
    <cellStyle name="20% - Accent2 2 2 7 3" xfId="10794" xr:uid="{5548FC7E-E944-42AE-954B-523C9E7C66BA}"/>
    <cellStyle name="20% - Accent2 2 2 7 4" xfId="15005" xr:uid="{D24B3AEC-B776-4C74-85BD-214289B74899}"/>
    <cellStyle name="20% - Accent2 2 2 8" xfId="4517" xr:uid="{00000000-0005-0000-0000-0000CA000000}"/>
    <cellStyle name="20% - Accent2 2 2 9" xfId="8728" xr:uid="{1B5F926E-8296-4029-B840-4EAF6AE2C6B2}"/>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2 3" xfId="11289" xr:uid="{63D50E1E-D3F1-4EDA-B411-495400013DFE}"/>
    <cellStyle name="20% - Accent2 2 3 2 2 4" xfId="15500" xr:uid="{5D5687B8-467A-4093-96DD-36799E2F6A3E}"/>
    <cellStyle name="20% - Accent2 2 3 2 3" xfId="4933" xr:uid="{00000000-0005-0000-0000-0000CF000000}"/>
    <cellStyle name="20% - Accent2 2 3 2 4" xfId="9144" xr:uid="{16A7141F-95B7-4A76-BD41-8690CD6FCE43}"/>
    <cellStyle name="20% - Accent2 2 3 2 5" xfId="13355" xr:uid="{3CAF6FBC-7033-4684-A467-6F81D8B20B31}"/>
    <cellStyle name="20% - Accent2 2 3 3" xfId="1036" xr:uid="{00000000-0005-0000-0000-0000D0000000}"/>
    <cellStyle name="20% - Accent2 2 3 3 2" xfId="3267" xr:uid="{00000000-0005-0000-0000-0000D1000000}"/>
    <cellStyle name="20% - Accent2 2 3 3 2 2" xfId="7491" xr:uid="{00000000-0005-0000-0000-0000D2000000}"/>
    <cellStyle name="20% - Accent2 2 3 3 2 3" xfId="11702" xr:uid="{C058E934-AFF0-4379-B545-00C40EDF4A8D}"/>
    <cellStyle name="20% - Accent2 2 3 3 2 4" xfId="15913" xr:uid="{40957072-9CE7-4A04-92A5-208EAF700FFF}"/>
    <cellStyle name="20% - Accent2 2 3 3 3" xfId="5346" xr:uid="{00000000-0005-0000-0000-0000D3000000}"/>
    <cellStyle name="20% - Accent2 2 3 3 4" xfId="9557" xr:uid="{8CDA2D95-D0AA-4944-A941-A1778EA7C224}"/>
    <cellStyle name="20% - Accent2 2 3 3 5" xfId="13768" xr:uid="{33AC6F7D-6CC0-43B2-B7F3-C571E3047375}"/>
    <cellStyle name="20% - Accent2 2 3 4" xfId="1450" xr:uid="{00000000-0005-0000-0000-0000D4000000}"/>
    <cellStyle name="20% - Accent2 2 3 4 2" xfId="3680" xr:uid="{00000000-0005-0000-0000-0000D5000000}"/>
    <cellStyle name="20% - Accent2 2 3 4 2 2" xfId="7904" xr:uid="{00000000-0005-0000-0000-0000D6000000}"/>
    <cellStyle name="20% - Accent2 2 3 4 2 3" xfId="12115" xr:uid="{C9714A2A-79EC-4253-AEF3-2118E1081002}"/>
    <cellStyle name="20% - Accent2 2 3 4 2 4" xfId="16326" xr:uid="{7748BE24-E21A-4E70-A9E8-C566ACA06D59}"/>
    <cellStyle name="20% - Accent2 2 3 4 3" xfId="5759" xr:uid="{00000000-0005-0000-0000-0000D7000000}"/>
    <cellStyle name="20% - Accent2 2 3 4 4" xfId="9970" xr:uid="{F9F754B1-D0E5-471F-897E-4A30FFFAA9E9}"/>
    <cellStyle name="20% - Accent2 2 3 4 5" xfId="14181" xr:uid="{D21B654A-A6A6-412B-9DA4-B42A4D7C14AB}"/>
    <cellStyle name="20% - Accent2 2 3 5" xfId="1864" xr:uid="{00000000-0005-0000-0000-0000D8000000}"/>
    <cellStyle name="20% - Accent2 2 3 5 2" xfId="4093" xr:uid="{00000000-0005-0000-0000-0000D9000000}"/>
    <cellStyle name="20% - Accent2 2 3 5 2 2" xfId="8317" xr:uid="{00000000-0005-0000-0000-0000DA000000}"/>
    <cellStyle name="20% - Accent2 2 3 5 2 3" xfId="12528" xr:uid="{D11BF5FF-9901-4F8A-B024-2CBB40A772E4}"/>
    <cellStyle name="20% - Accent2 2 3 5 2 4" xfId="16739" xr:uid="{96F30437-6C0D-4317-87AE-CEBF2B13F67E}"/>
    <cellStyle name="20% - Accent2 2 3 5 3" xfId="6172" xr:uid="{00000000-0005-0000-0000-0000DB000000}"/>
    <cellStyle name="20% - Accent2 2 3 5 4" xfId="10383" xr:uid="{C6713EB6-B2C4-42A1-BC90-367C99D9C604}"/>
    <cellStyle name="20% - Accent2 2 3 5 5" xfId="14594" xr:uid="{E1DEE50C-D1EB-478E-9C1E-97ADF033A60E}"/>
    <cellStyle name="20% - Accent2 2 3 6" xfId="2277" xr:uid="{00000000-0005-0000-0000-0000DC000000}"/>
    <cellStyle name="20% - Accent2 2 3 6 2" xfId="6585" xr:uid="{00000000-0005-0000-0000-0000DD000000}"/>
    <cellStyle name="20% - Accent2 2 3 6 3" xfId="10796" xr:uid="{C1E63E79-E9CE-42BC-8CB3-6A5ADEBA379C}"/>
    <cellStyle name="20% - Accent2 2 3 6 4" xfId="15007" xr:uid="{09EE9DB5-3199-4D63-9A61-E3137AC9CE5F}"/>
    <cellStyle name="20% - Accent2 2 3 7" xfId="4519" xr:uid="{00000000-0005-0000-0000-0000DE000000}"/>
    <cellStyle name="20% - Accent2 2 3 8" xfId="8730" xr:uid="{3A41E8C7-14D0-485F-88AF-CACBFA23D3BD}"/>
    <cellStyle name="20% - Accent2 2 3 9" xfId="12941" xr:uid="{A8802854-FDE6-4EC9-BAFB-4C0CB509630F}"/>
    <cellStyle name="20% - Accent2 2 4" xfId="580" xr:uid="{00000000-0005-0000-0000-0000DF000000}"/>
    <cellStyle name="20% - Accent2 2 4 2" xfId="2851" xr:uid="{00000000-0005-0000-0000-0000E0000000}"/>
    <cellStyle name="20% - Accent2 2 4 2 2" xfId="7075" xr:uid="{00000000-0005-0000-0000-0000E1000000}"/>
    <cellStyle name="20% - Accent2 2 4 2 3" xfId="11286" xr:uid="{90C62381-C6ED-41BC-A513-AE4C205C8371}"/>
    <cellStyle name="20% - Accent2 2 4 2 4" xfId="15497" xr:uid="{22E8783B-9BD3-4CAB-8370-7C5F3B892D38}"/>
    <cellStyle name="20% - Accent2 2 4 3" xfId="4930" xr:uid="{00000000-0005-0000-0000-0000E2000000}"/>
    <cellStyle name="20% - Accent2 2 4 4" xfId="9141" xr:uid="{018AD0F6-DC2D-419F-B6E7-877950445B3B}"/>
    <cellStyle name="20% - Accent2 2 4 5" xfId="13352" xr:uid="{218F768E-7380-43CA-A722-E96841C8E6B9}"/>
    <cellStyle name="20% - Accent2 2 5" xfId="1033" xr:uid="{00000000-0005-0000-0000-0000E3000000}"/>
    <cellStyle name="20% - Accent2 2 5 2" xfId="3264" xr:uid="{00000000-0005-0000-0000-0000E4000000}"/>
    <cellStyle name="20% - Accent2 2 5 2 2" xfId="7488" xr:uid="{00000000-0005-0000-0000-0000E5000000}"/>
    <cellStyle name="20% - Accent2 2 5 2 3" xfId="11699" xr:uid="{363641C8-2A0E-436B-9523-81DEA43C3550}"/>
    <cellStyle name="20% - Accent2 2 5 2 4" xfId="15910" xr:uid="{D4B75DF8-BB8F-4B52-BF56-0C01BC694F75}"/>
    <cellStyle name="20% - Accent2 2 5 3" xfId="5343" xr:uid="{00000000-0005-0000-0000-0000E6000000}"/>
    <cellStyle name="20% - Accent2 2 5 4" xfId="9554" xr:uid="{F0943B86-464A-48EB-95DF-BFE06FB4046C}"/>
    <cellStyle name="20% - Accent2 2 5 5" xfId="13765" xr:uid="{C7B1C1C3-C86D-4B7F-9481-A7E2A2161C5B}"/>
    <cellStyle name="20% - Accent2 2 6" xfId="1447" xr:uid="{00000000-0005-0000-0000-0000E7000000}"/>
    <cellStyle name="20% - Accent2 2 6 2" xfId="3677" xr:uid="{00000000-0005-0000-0000-0000E8000000}"/>
    <cellStyle name="20% - Accent2 2 6 2 2" xfId="7901" xr:uid="{00000000-0005-0000-0000-0000E9000000}"/>
    <cellStyle name="20% - Accent2 2 6 2 3" xfId="12112" xr:uid="{336C06EF-45B2-4E23-901B-C5E80D0777F4}"/>
    <cellStyle name="20% - Accent2 2 6 2 4" xfId="16323" xr:uid="{3B97D998-CC24-4DA2-8F37-D08E967C9C10}"/>
    <cellStyle name="20% - Accent2 2 6 3" xfId="5756" xr:uid="{00000000-0005-0000-0000-0000EA000000}"/>
    <cellStyle name="20% - Accent2 2 6 4" xfId="9967" xr:uid="{056A48FB-BF5A-4F1B-8AF5-1094A4A7AD53}"/>
    <cellStyle name="20% - Accent2 2 6 5" xfId="14178" xr:uid="{E09A15B7-D511-46AC-9450-8650B00FA687}"/>
    <cellStyle name="20% - Accent2 2 7" xfId="1861" xr:uid="{00000000-0005-0000-0000-0000EB000000}"/>
    <cellStyle name="20% - Accent2 2 7 2" xfId="4090" xr:uid="{00000000-0005-0000-0000-0000EC000000}"/>
    <cellStyle name="20% - Accent2 2 7 2 2" xfId="8314" xr:uid="{00000000-0005-0000-0000-0000ED000000}"/>
    <cellStyle name="20% - Accent2 2 7 2 3" xfId="12525" xr:uid="{FDFB9A40-FD10-46A8-B2E4-86267320F181}"/>
    <cellStyle name="20% - Accent2 2 7 2 4" xfId="16736" xr:uid="{4B466AB1-CD22-485A-B645-960006F74FE0}"/>
    <cellStyle name="20% - Accent2 2 7 3" xfId="6169" xr:uid="{00000000-0005-0000-0000-0000EE000000}"/>
    <cellStyle name="20% - Accent2 2 7 4" xfId="10380" xr:uid="{8287EACE-E086-43E4-8B36-CEFA8DE12EE2}"/>
    <cellStyle name="20% - Accent2 2 7 5" xfId="14591" xr:uid="{4BFE21BE-0A01-49D4-9B2C-490A0C169F7B}"/>
    <cellStyle name="20% - Accent2 2 8" xfId="2274" xr:uid="{00000000-0005-0000-0000-0000EF000000}"/>
    <cellStyle name="20% - Accent2 2 8 2" xfId="6582" xr:uid="{00000000-0005-0000-0000-0000F0000000}"/>
    <cellStyle name="20% - Accent2 2 8 3" xfId="10793" xr:uid="{67D5571A-40A5-4310-8196-2E88D28A8DD6}"/>
    <cellStyle name="20% - Accent2 2 8 4" xfId="15004" xr:uid="{37F2BC48-5575-42EE-B639-27DDB9CF811C}"/>
    <cellStyle name="20% - Accent2 2 9" xfId="4516" xr:uid="{00000000-0005-0000-0000-0000F1000000}"/>
    <cellStyle name="20% - Accent2 3" xfId="14" xr:uid="{00000000-0005-0000-0000-0000F2000000}"/>
    <cellStyle name="20% - Accent2 3 10" xfId="12942" xr:uid="{3F85CCD5-93D2-46D3-910F-AEBAB146FBD6}"/>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2 3" xfId="11291" xr:uid="{F969B491-1B64-47DF-835D-3176C9D65311}"/>
    <cellStyle name="20% - Accent2 3 2 2 2 4" xfId="15502" xr:uid="{4104D168-E66A-488A-AC9F-51CA305F9324}"/>
    <cellStyle name="20% - Accent2 3 2 2 3" xfId="4935" xr:uid="{00000000-0005-0000-0000-0000F7000000}"/>
    <cellStyle name="20% - Accent2 3 2 2 4" xfId="9146" xr:uid="{6587E4F5-5C4F-4E40-887F-F81B5DF0149A}"/>
    <cellStyle name="20% - Accent2 3 2 2 5" xfId="13357" xr:uid="{AB9C45DD-2F50-4284-B1B8-0A6AAA30658C}"/>
    <cellStyle name="20% - Accent2 3 2 3" xfId="1038" xr:uid="{00000000-0005-0000-0000-0000F8000000}"/>
    <cellStyle name="20% - Accent2 3 2 3 2" xfId="3269" xr:uid="{00000000-0005-0000-0000-0000F9000000}"/>
    <cellStyle name="20% - Accent2 3 2 3 2 2" xfId="7493" xr:uid="{00000000-0005-0000-0000-0000FA000000}"/>
    <cellStyle name="20% - Accent2 3 2 3 2 3" xfId="11704" xr:uid="{C44D7D7C-8EE3-48FE-BDD5-4BB2F7C8BCE4}"/>
    <cellStyle name="20% - Accent2 3 2 3 2 4" xfId="15915" xr:uid="{0184BCDF-3F51-41E4-82CB-8535A9FFAA3C}"/>
    <cellStyle name="20% - Accent2 3 2 3 3" xfId="5348" xr:uid="{00000000-0005-0000-0000-0000FB000000}"/>
    <cellStyle name="20% - Accent2 3 2 3 4" xfId="9559" xr:uid="{63B63C90-FFB7-4524-8483-3D31F7754BB6}"/>
    <cellStyle name="20% - Accent2 3 2 3 5" xfId="13770" xr:uid="{24CA992A-1BCB-4F06-8D90-E01D0FF93F96}"/>
    <cellStyle name="20% - Accent2 3 2 4" xfId="1452" xr:uid="{00000000-0005-0000-0000-0000FC000000}"/>
    <cellStyle name="20% - Accent2 3 2 4 2" xfId="3682" xr:uid="{00000000-0005-0000-0000-0000FD000000}"/>
    <cellStyle name="20% - Accent2 3 2 4 2 2" xfId="7906" xr:uid="{00000000-0005-0000-0000-0000FE000000}"/>
    <cellStyle name="20% - Accent2 3 2 4 2 3" xfId="12117" xr:uid="{F40960D9-A99C-4C24-9888-DE542EEB222D}"/>
    <cellStyle name="20% - Accent2 3 2 4 2 4" xfId="16328" xr:uid="{29FC2642-463D-4196-A571-3BA8D9668C7A}"/>
    <cellStyle name="20% - Accent2 3 2 4 3" xfId="5761" xr:uid="{00000000-0005-0000-0000-0000FF000000}"/>
    <cellStyle name="20% - Accent2 3 2 4 4" xfId="9972" xr:uid="{2963D491-746E-4181-89C4-B03D8B68E27D}"/>
    <cellStyle name="20% - Accent2 3 2 4 5" xfId="14183" xr:uid="{2048A6E3-C579-4F3A-909B-F10CAF319A8C}"/>
    <cellStyle name="20% - Accent2 3 2 5" xfId="1866" xr:uid="{00000000-0005-0000-0000-000000010000}"/>
    <cellStyle name="20% - Accent2 3 2 5 2" xfId="4095" xr:uid="{00000000-0005-0000-0000-000001010000}"/>
    <cellStyle name="20% - Accent2 3 2 5 2 2" xfId="8319" xr:uid="{00000000-0005-0000-0000-000002010000}"/>
    <cellStyle name="20% - Accent2 3 2 5 2 3" xfId="12530" xr:uid="{B59AE4C0-064A-46C9-99A6-6D1046B26F80}"/>
    <cellStyle name="20% - Accent2 3 2 5 2 4" xfId="16741" xr:uid="{2033817E-03F4-44F0-8431-176F0DE31E5A}"/>
    <cellStyle name="20% - Accent2 3 2 5 3" xfId="6174" xr:uid="{00000000-0005-0000-0000-000003010000}"/>
    <cellStyle name="20% - Accent2 3 2 5 4" xfId="10385" xr:uid="{7DF719BE-2359-4E58-8A0B-98610F1C26D3}"/>
    <cellStyle name="20% - Accent2 3 2 5 5" xfId="14596" xr:uid="{BB33A3F0-4D95-4B90-BF28-4273C476576D}"/>
    <cellStyle name="20% - Accent2 3 2 6" xfId="2279" xr:uid="{00000000-0005-0000-0000-000004010000}"/>
    <cellStyle name="20% - Accent2 3 2 6 2" xfId="6587" xr:uid="{00000000-0005-0000-0000-000005010000}"/>
    <cellStyle name="20% - Accent2 3 2 6 3" xfId="10798" xr:uid="{175DBC1F-9B5D-42EA-A850-FABBA0C812E1}"/>
    <cellStyle name="20% - Accent2 3 2 6 4" xfId="15009" xr:uid="{EF7653FA-97F0-4416-90CD-CC7023B3CC6A}"/>
    <cellStyle name="20% - Accent2 3 2 7" xfId="4521" xr:uid="{00000000-0005-0000-0000-000006010000}"/>
    <cellStyle name="20% - Accent2 3 2 8" xfId="8732" xr:uid="{E820F2D0-1D5A-4EE2-A11D-68EC92DBA1DA}"/>
    <cellStyle name="20% - Accent2 3 2 9" xfId="12943" xr:uid="{39C5A876-FE96-4A91-AF32-F26ECEC04A0D}"/>
    <cellStyle name="20% - Accent2 3 3" xfId="584" xr:uid="{00000000-0005-0000-0000-000007010000}"/>
    <cellStyle name="20% - Accent2 3 3 2" xfId="2855" xr:uid="{00000000-0005-0000-0000-000008010000}"/>
    <cellStyle name="20% - Accent2 3 3 2 2" xfId="7079" xr:uid="{00000000-0005-0000-0000-000009010000}"/>
    <cellStyle name="20% - Accent2 3 3 2 3" xfId="11290" xr:uid="{F5A9C497-4447-4C9C-8BEB-C3AA83B7674A}"/>
    <cellStyle name="20% - Accent2 3 3 2 4" xfId="15501" xr:uid="{9D629C6E-C861-49D2-AD12-09AE3BB1D528}"/>
    <cellStyle name="20% - Accent2 3 3 3" xfId="4934" xr:uid="{00000000-0005-0000-0000-00000A010000}"/>
    <cellStyle name="20% - Accent2 3 3 4" xfId="9145" xr:uid="{C632C49A-F6FE-47E6-B3C3-4E8F925032AA}"/>
    <cellStyle name="20% - Accent2 3 3 5" xfId="13356" xr:uid="{D4AB837F-ED83-44F1-8241-05782391005D}"/>
    <cellStyle name="20% - Accent2 3 4" xfId="1037" xr:uid="{00000000-0005-0000-0000-00000B010000}"/>
    <cellStyle name="20% - Accent2 3 4 2" xfId="3268" xr:uid="{00000000-0005-0000-0000-00000C010000}"/>
    <cellStyle name="20% - Accent2 3 4 2 2" xfId="7492" xr:uid="{00000000-0005-0000-0000-00000D010000}"/>
    <cellStyle name="20% - Accent2 3 4 2 3" xfId="11703" xr:uid="{AB26F69E-926F-4468-B10D-B368CE8DD418}"/>
    <cellStyle name="20% - Accent2 3 4 2 4" xfId="15914" xr:uid="{D8A47DA4-2E4D-4413-BDB1-869207D55330}"/>
    <cellStyle name="20% - Accent2 3 4 3" xfId="5347" xr:uid="{00000000-0005-0000-0000-00000E010000}"/>
    <cellStyle name="20% - Accent2 3 4 4" xfId="9558" xr:uid="{E8C05458-10E8-4B7D-80CC-659C72BF0AF6}"/>
    <cellStyle name="20% - Accent2 3 4 5" xfId="13769" xr:uid="{A7F59C38-0FFD-4D04-82F1-452A1DDFE471}"/>
    <cellStyle name="20% - Accent2 3 5" xfId="1451" xr:uid="{00000000-0005-0000-0000-00000F010000}"/>
    <cellStyle name="20% - Accent2 3 5 2" xfId="3681" xr:uid="{00000000-0005-0000-0000-000010010000}"/>
    <cellStyle name="20% - Accent2 3 5 2 2" xfId="7905" xr:uid="{00000000-0005-0000-0000-000011010000}"/>
    <cellStyle name="20% - Accent2 3 5 2 3" xfId="12116" xr:uid="{6096214C-D66C-4CAC-8538-AE4B92300A55}"/>
    <cellStyle name="20% - Accent2 3 5 2 4" xfId="16327" xr:uid="{31CEFF7B-498F-48D2-B1B6-6F59A6ACC6B3}"/>
    <cellStyle name="20% - Accent2 3 5 3" xfId="5760" xr:uid="{00000000-0005-0000-0000-000012010000}"/>
    <cellStyle name="20% - Accent2 3 5 4" xfId="9971" xr:uid="{12F90F9E-B23A-432F-9197-091574BC5299}"/>
    <cellStyle name="20% - Accent2 3 5 5" xfId="14182" xr:uid="{4D4721E5-8FA2-4745-A40F-8435D8192F31}"/>
    <cellStyle name="20% - Accent2 3 6" xfId="1865" xr:uid="{00000000-0005-0000-0000-000013010000}"/>
    <cellStyle name="20% - Accent2 3 6 2" xfId="4094" xr:uid="{00000000-0005-0000-0000-000014010000}"/>
    <cellStyle name="20% - Accent2 3 6 2 2" xfId="8318" xr:uid="{00000000-0005-0000-0000-000015010000}"/>
    <cellStyle name="20% - Accent2 3 6 2 3" xfId="12529" xr:uid="{F303927C-BA13-45BF-9CB2-20E4404A8AF8}"/>
    <cellStyle name="20% - Accent2 3 6 2 4" xfId="16740" xr:uid="{0922ED6C-D24E-427C-ACB9-BE3389391422}"/>
    <cellStyle name="20% - Accent2 3 6 3" xfId="6173" xr:uid="{00000000-0005-0000-0000-000016010000}"/>
    <cellStyle name="20% - Accent2 3 6 4" xfId="10384" xr:uid="{F6F41B05-C76C-4322-814B-305FF461E17A}"/>
    <cellStyle name="20% - Accent2 3 6 5" xfId="14595" xr:uid="{952BB9E2-5538-470E-8755-E8A4E4897637}"/>
    <cellStyle name="20% - Accent2 3 7" xfId="2278" xr:uid="{00000000-0005-0000-0000-000017010000}"/>
    <cellStyle name="20% - Accent2 3 7 2" xfId="6586" xr:uid="{00000000-0005-0000-0000-000018010000}"/>
    <cellStyle name="20% - Accent2 3 7 3" xfId="10797" xr:uid="{81DDE1D9-0F48-4D32-9B4D-31062053DA56}"/>
    <cellStyle name="20% - Accent2 3 7 4" xfId="15008" xr:uid="{DA35BBEF-35AC-409A-B85B-C29F4093F49E}"/>
    <cellStyle name="20% - Accent2 3 8" xfId="4520" xr:uid="{00000000-0005-0000-0000-000019010000}"/>
    <cellStyle name="20% - Accent2 3 9" xfId="8731" xr:uid="{DF101215-0C6D-404B-8B78-F1F489F3B8EC}"/>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2 3" xfId="11292" xr:uid="{424F0D4C-9CB6-4788-8D2C-2B8A1BBF1428}"/>
    <cellStyle name="20% - Accent2 4 2 2 4" xfId="15503" xr:uid="{2592B0E4-B5C0-40C8-B5DB-96E7DF539F0B}"/>
    <cellStyle name="20% - Accent2 4 2 3" xfId="4936" xr:uid="{00000000-0005-0000-0000-00001E010000}"/>
    <cellStyle name="20% - Accent2 4 2 4" xfId="9147" xr:uid="{46431D30-FB44-48B3-B8F1-D7DCFBAC04A0}"/>
    <cellStyle name="20% - Accent2 4 2 5" xfId="13358" xr:uid="{B39CCECC-EEF3-46E7-8120-36DEADE1F50F}"/>
    <cellStyle name="20% - Accent2 4 3" xfId="1039" xr:uid="{00000000-0005-0000-0000-00001F010000}"/>
    <cellStyle name="20% - Accent2 4 3 2" xfId="3270" xr:uid="{00000000-0005-0000-0000-000020010000}"/>
    <cellStyle name="20% - Accent2 4 3 2 2" xfId="7494" xr:uid="{00000000-0005-0000-0000-000021010000}"/>
    <cellStyle name="20% - Accent2 4 3 2 3" xfId="11705" xr:uid="{41E64FE1-D312-4C9C-B2E0-4DB724EB6C08}"/>
    <cellStyle name="20% - Accent2 4 3 2 4" xfId="15916" xr:uid="{1A7190E6-2FB8-4CC2-9170-F7DFAB5194A8}"/>
    <cellStyle name="20% - Accent2 4 3 3" xfId="5349" xr:uid="{00000000-0005-0000-0000-000022010000}"/>
    <cellStyle name="20% - Accent2 4 3 4" xfId="9560" xr:uid="{C9EBBD3F-F045-4339-83B8-3E491800FD86}"/>
    <cellStyle name="20% - Accent2 4 3 5" xfId="13771" xr:uid="{153C358A-62AB-48B8-BDB3-839B26319C26}"/>
    <cellStyle name="20% - Accent2 4 4" xfId="1453" xr:uid="{00000000-0005-0000-0000-000023010000}"/>
    <cellStyle name="20% - Accent2 4 4 2" xfId="3683" xr:uid="{00000000-0005-0000-0000-000024010000}"/>
    <cellStyle name="20% - Accent2 4 4 2 2" xfId="7907" xr:uid="{00000000-0005-0000-0000-000025010000}"/>
    <cellStyle name="20% - Accent2 4 4 2 3" xfId="12118" xr:uid="{36A86715-6CA3-4CC2-829B-AC20FF1B08CC}"/>
    <cellStyle name="20% - Accent2 4 4 2 4" xfId="16329" xr:uid="{222C0E1A-E539-4795-AEDE-6B062C2BB673}"/>
    <cellStyle name="20% - Accent2 4 4 3" xfId="5762" xr:uid="{00000000-0005-0000-0000-000026010000}"/>
    <cellStyle name="20% - Accent2 4 4 4" xfId="9973" xr:uid="{F43A0938-A168-49F9-B605-8344667BD234}"/>
    <cellStyle name="20% - Accent2 4 4 5" xfId="14184" xr:uid="{5693B4F3-60CD-49B7-B473-B818E00BFCA9}"/>
    <cellStyle name="20% - Accent2 4 5" xfId="1867" xr:uid="{00000000-0005-0000-0000-000027010000}"/>
    <cellStyle name="20% - Accent2 4 5 2" xfId="4096" xr:uid="{00000000-0005-0000-0000-000028010000}"/>
    <cellStyle name="20% - Accent2 4 5 2 2" xfId="8320" xr:uid="{00000000-0005-0000-0000-000029010000}"/>
    <cellStyle name="20% - Accent2 4 5 2 3" xfId="12531" xr:uid="{7B361AE3-6073-4C4D-9F49-ADC5025849EA}"/>
    <cellStyle name="20% - Accent2 4 5 2 4" xfId="16742" xr:uid="{103D999F-BE2A-4527-AE90-F0AF52B08B1C}"/>
    <cellStyle name="20% - Accent2 4 5 3" xfId="6175" xr:uid="{00000000-0005-0000-0000-00002A010000}"/>
    <cellStyle name="20% - Accent2 4 5 4" xfId="10386" xr:uid="{A5D62D02-8DD6-45B2-86F7-B60C0C072506}"/>
    <cellStyle name="20% - Accent2 4 5 5" xfId="14597" xr:uid="{F2EE9585-8D95-440F-9179-B08504975052}"/>
    <cellStyle name="20% - Accent2 4 6" xfId="2280" xr:uid="{00000000-0005-0000-0000-00002B010000}"/>
    <cellStyle name="20% - Accent2 4 6 2" xfId="6588" xr:uid="{00000000-0005-0000-0000-00002C010000}"/>
    <cellStyle name="20% - Accent2 4 6 3" xfId="10799" xr:uid="{70BFC209-F759-49D7-A445-096706DC427C}"/>
    <cellStyle name="20% - Accent2 4 6 4" xfId="15010" xr:uid="{5ADEEC5D-A3AD-4E5E-8AFC-A10DF3C1EE04}"/>
    <cellStyle name="20% - Accent2 4 7" xfId="4522" xr:uid="{00000000-0005-0000-0000-00002D010000}"/>
    <cellStyle name="20% - Accent2 4 8" xfId="8733" xr:uid="{56184B56-5738-4A8A-9D5B-3985494A0B06}"/>
    <cellStyle name="20% - Accent2 4 9" xfId="12944" xr:uid="{46650048-0228-4618-97E8-A506636F3796}"/>
    <cellStyle name="20% - Accent2 5" xfId="579" xr:uid="{00000000-0005-0000-0000-00002E010000}"/>
    <cellStyle name="20% - Accent2 5 2" xfId="2850" xr:uid="{00000000-0005-0000-0000-00002F010000}"/>
    <cellStyle name="20% - Accent2 5 2 2" xfId="7074" xr:uid="{00000000-0005-0000-0000-000030010000}"/>
    <cellStyle name="20% - Accent2 5 2 3" xfId="11285" xr:uid="{DA28DC5D-7ABF-4273-88B6-684015D378B0}"/>
    <cellStyle name="20% - Accent2 5 2 4" xfId="15496" xr:uid="{F8BA10BD-9804-4826-AA43-B531676032C2}"/>
    <cellStyle name="20% - Accent2 5 3" xfId="4929" xr:uid="{00000000-0005-0000-0000-000031010000}"/>
    <cellStyle name="20% - Accent2 5 4" xfId="9140" xr:uid="{7ACCA507-E788-41CF-921E-9EFCCC8F3D96}"/>
    <cellStyle name="20% - Accent2 5 5" xfId="13351" xr:uid="{764280DC-F080-476F-B27D-AA2AF8DC744C}"/>
    <cellStyle name="20% - Accent2 6" xfId="1032" xr:uid="{00000000-0005-0000-0000-000032010000}"/>
    <cellStyle name="20% - Accent2 6 2" xfId="3263" xr:uid="{00000000-0005-0000-0000-000033010000}"/>
    <cellStyle name="20% - Accent2 6 2 2" xfId="7487" xr:uid="{00000000-0005-0000-0000-000034010000}"/>
    <cellStyle name="20% - Accent2 6 2 3" xfId="11698" xr:uid="{EDF9A577-DEA8-4925-87F3-E16E77FBA09F}"/>
    <cellStyle name="20% - Accent2 6 2 4" xfId="15909" xr:uid="{C18B8ADD-4236-42A5-A7B6-E3B0BE4B61E8}"/>
    <cellStyle name="20% - Accent2 6 3" xfId="5342" xr:uid="{00000000-0005-0000-0000-000035010000}"/>
    <cellStyle name="20% - Accent2 6 4" xfId="9553" xr:uid="{3A09B536-58F5-46D7-8478-8A4F2C43F2E3}"/>
    <cellStyle name="20% - Accent2 6 5" xfId="13764" xr:uid="{75EEDF77-DA16-4551-B670-29C8448F514E}"/>
    <cellStyle name="20% - Accent2 7" xfId="1446" xr:uid="{00000000-0005-0000-0000-000036010000}"/>
    <cellStyle name="20% - Accent2 7 2" xfId="3676" xr:uid="{00000000-0005-0000-0000-000037010000}"/>
    <cellStyle name="20% - Accent2 7 2 2" xfId="7900" xr:uid="{00000000-0005-0000-0000-000038010000}"/>
    <cellStyle name="20% - Accent2 7 2 3" xfId="12111" xr:uid="{39A029BC-A2D3-4106-9023-9470E5DC98FE}"/>
    <cellStyle name="20% - Accent2 7 2 4" xfId="16322" xr:uid="{AE9D83CA-751A-4265-B3D9-E29A8A072843}"/>
    <cellStyle name="20% - Accent2 7 3" xfId="5755" xr:uid="{00000000-0005-0000-0000-000039010000}"/>
    <cellStyle name="20% - Accent2 7 4" xfId="9966" xr:uid="{F8FD1525-6877-43C5-A7D1-6335A08D5651}"/>
    <cellStyle name="20% - Accent2 7 5" xfId="14177" xr:uid="{E6E67C34-D0DD-4361-AE1B-2263B5371399}"/>
    <cellStyle name="20% - Accent2 8" xfId="1860" xr:uid="{00000000-0005-0000-0000-00003A010000}"/>
    <cellStyle name="20% - Accent2 8 2" xfId="4089" xr:uid="{00000000-0005-0000-0000-00003B010000}"/>
    <cellStyle name="20% - Accent2 8 2 2" xfId="8313" xr:uid="{00000000-0005-0000-0000-00003C010000}"/>
    <cellStyle name="20% - Accent2 8 2 3" xfId="12524" xr:uid="{8B423C79-59BC-4243-B0FD-9CD90DEB95BE}"/>
    <cellStyle name="20% - Accent2 8 2 4" xfId="16735" xr:uid="{FCF702DF-C17B-4E5B-9513-8ECD0678E1DE}"/>
    <cellStyle name="20% - Accent2 8 3" xfId="6168" xr:uid="{00000000-0005-0000-0000-00003D010000}"/>
    <cellStyle name="20% - Accent2 8 4" xfId="10379" xr:uid="{72ABD842-13BB-4785-ADB5-8DD830BD4C83}"/>
    <cellStyle name="20% - Accent2 8 5" xfId="14590" xr:uid="{79B785B3-4029-4282-A5C4-4525A879D820}"/>
    <cellStyle name="20% - Accent2 9" xfId="2273" xr:uid="{00000000-0005-0000-0000-00003E010000}"/>
    <cellStyle name="20% - Accent2 9 2" xfId="6581" xr:uid="{00000000-0005-0000-0000-00003F010000}"/>
    <cellStyle name="20% - Accent2 9 3" xfId="10792" xr:uid="{8C6AC129-CB04-4CA6-AAB3-32536717B63A}"/>
    <cellStyle name="20% - Accent2 9 4" xfId="15003" xr:uid="{75AD6CFA-C98D-4915-AE74-C7251BBA8421}"/>
    <cellStyle name="20% - Accent3" xfId="17" builtinId="38" customBuiltin="1"/>
    <cellStyle name="20% - Accent3 10" xfId="4523" xr:uid="{00000000-0005-0000-0000-000041010000}"/>
    <cellStyle name="20% - Accent3 11" xfId="8734" xr:uid="{33EE4CCB-A9FA-4149-88EC-AD33F711D000}"/>
    <cellStyle name="20% - Accent3 12" xfId="12945" xr:uid="{11ED5A9A-2AD4-41BC-A59B-48C8A00E2BE5}"/>
    <cellStyle name="20% - Accent3 2" xfId="18" xr:uid="{00000000-0005-0000-0000-000042010000}"/>
    <cellStyle name="20% - Accent3 2 10" xfId="8735" xr:uid="{5A55F87A-2A85-41E9-B806-1EAE8D932420}"/>
    <cellStyle name="20% - Accent3 2 11" xfId="12946" xr:uid="{4BAB2B56-2949-438F-B37D-CE61B25F2C6F}"/>
    <cellStyle name="20% - Accent3 2 2" xfId="19" xr:uid="{00000000-0005-0000-0000-000043010000}"/>
    <cellStyle name="20% - Accent3 2 2 10" xfId="12947" xr:uid="{D743EEF6-C184-4ED2-A73D-4626BD189CCE}"/>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2 3" xfId="11296" xr:uid="{B26B81C3-1E79-4F2F-8BB5-924950F432AF}"/>
    <cellStyle name="20% - Accent3 2 2 2 2 2 4" xfId="15507" xr:uid="{BA77CB76-157B-4AAC-9A7F-1903C879E9A6}"/>
    <cellStyle name="20% - Accent3 2 2 2 2 3" xfId="4940" xr:uid="{00000000-0005-0000-0000-000048010000}"/>
    <cellStyle name="20% - Accent3 2 2 2 2 4" xfId="9151" xr:uid="{68A458C8-2218-4825-BAD3-0F5B3C9B57F8}"/>
    <cellStyle name="20% - Accent3 2 2 2 2 5" xfId="13362" xr:uid="{2AB0B533-70E8-4045-B481-2F6B7471A67F}"/>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2 3" xfId="11709" xr:uid="{CC262E75-44FB-4955-BF0A-7097CED977C3}"/>
    <cellStyle name="20% - Accent3 2 2 2 3 2 4" xfId="15920" xr:uid="{524EA60D-33BD-487B-8683-8D02DDE95B8D}"/>
    <cellStyle name="20% - Accent3 2 2 2 3 3" xfId="5353" xr:uid="{00000000-0005-0000-0000-00004C010000}"/>
    <cellStyle name="20% - Accent3 2 2 2 3 4" xfId="9564" xr:uid="{D73F5A07-87F7-4141-8647-D517CE89E881}"/>
    <cellStyle name="20% - Accent3 2 2 2 3 5" xfId="13775" xr:uid="{C88C59BC-B526-4960-92F2-712C2446849C}"/>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2 3" xfId="12122" xr:uid="{E42150C6-523C-4340-91F5-5D1BF7852C8B}"/>
    <cellStyle name="20% - Accent3 2 2 2 4 2 4" xfId="16333" xr:uid="{3FDCA87B-4072-4322-A622-D2E256E7FB54}"/>
    <cellStyle name="20% - Accent3 2 2 2 4 3" xfId="5766" xr:uid="{00000000-0005-0000-0000-000050010000}"/>
    <cellStyle name="20% - Accent3 2 2 2 4 4" xfId="9977" xr:uid="{2A0112F3-2279-40A9-99CC-3E0D8A7E99CB}"/>
    <cellStyle name="20% - Accent3 2 2 2 4 5" xfId="14188" xr:uid="{524FF13E-05E2-431C-B6C2-1803F99DFF26}"/>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2 3" xfId="12535" xr:uid="{F878EEF2-A124-4ABB-8E32-70BF55A1722F}"/>
    <cellStyle name="20% - Accent3 2 2 2 5 2 4" xfId="16746" xr:uid="{F92DD540-EFFC-45B6-964C-FE9905FAF83C}"/>
    <cellStyle name="20% - Accent3 2 2 2 5 3" xfId="6179" xr:uid="{00000000-0005-0000-0000-000054010000}"/>
    <cellStyle name="20% - Accent3 2 2 2 5 4" xfId="10390" xr:uid="{4DCB903C-F135-4F5B-B985-CA6C13E2A8A8}"/>
    <cellStyle name="20% - Accent3 2 2 2 5 5" xfId="14601" xr:uid="{3F2308A8-23A4-4BEC-A000-F1C6517C27D8}"/>
    <cellStyle name="20% - Accent3 2 2 2 6" xfId="2284" xr:uid="{00000000-0005-0000-0000-000055010000}"/>
    <cellStyle name="20% - Accent3 2 2 2 6 2" xfId="6592" xr:uid="{00000000-0005-0000-0000-000056010000}"/>
    <cellStyle name="20% - Accent3 2 2 2 6 3" xfId="10803" xr:uid="{7A98C198-7E58-4E26-A005-4C3ADFA604BC}"/>
    <cellStyle name="20% - Accent3 2 2 2 6 4" xfId="15014" xr:uid="{2B8DD623-8E66-433A-9C95-43BF9B733376}"/>
    <cellStyle name="20% - Accent3 2 2 2 7" xfId="4526" xr:uid="{00000000-0005-0000-0000-000057010000}"/>
    <cellStyle name="20% - Accent3 2 2 2 8" xfId="8737" xr:uid="{52E3037A-F26F-4356-AE57-20BD5841C540}"/>
    <cellStyle name="20% - Accent3 2 2 2 9" xfId="12948" xr:uid="{72FC4234-BEEE-4992-8A5A-18C0F45EEDDD}"/>
    <cellStyle name="20% - Accent3 2 2 3" xfId="589" xr:uid="{00000000-0005-0000-0000-000058010000}"/>
    <cellStyle name="20% - Accent3 2 2 3 2" xfId="2860" xr:uid="{00000000-0005-0000-0000-000059010000}"/>
    <cellStyle name="20% - Accent3 2 2 3 2 2" xfId="7084" xr:uid="{00000000-0005-0000-0000-00005A010000}"/>
    <cellStyle name="20% - Accent3 2 2 3 2 3" xfId="11295" xr:uid="{4D502589-BE2B-4211-8910-2016E2E04521}"/>
    <cellStyle name="20% - Accent3 2 2 3 2 4" xfId="15506" xr:uid="{28D89317-3CE5-4460-8766-A03BAEB4B71D}"/>
    <cellStyle name="20% - Accent3 2 2 3 3" xfId="4939" xr:uid="{00000000-0005-0000-0000-00005B010000}"/>
    <cellStyle name="20% - Accent3 2 2 3 4" xfId="9150" xr:uid="{77C87EC8-4A07-410C-B733-DF1217B496C9}"/>
    <cellStyle name="20% - Accent3 2 2 3 5" xfId="13361" xr:uid="{C93866BA-45D9-4CA9-BE5D-BF8B9C4C6E10}"/>
    <cellStyle name="20% - Accent3 2 2 4" xfId="1042" xr:uid="{00000000-0005-0000-0000-00005C010000}"/>
    <cellStyle name="20% - Accent3 2 2 4 2" xfId="3273" xr:uid="{00000000-0005-0000-0000-00005D010000}"/>
    <cellStyle name="20% - Accent3 2 2 4 2 2" xfId="7497" xr:uid="{00000000-0005-0000-0000-00005E010000}"/>
    <cellStyle name="20% - Accent3 2 2 4 2 3" xfId="11708" xr:uid="{D71C509C-DA2F-435E-B047-ADFD93C6745C}"/>
    <cellStyle name="20% - Accent3 2 2 4 2 4" xfId="15919" xr:uid="{596FC997-0776-43DE-9CF8-8B4551C3A717}"/>
    <cellStyle name="20% - Accent3 2 2 4 3" xfId="5352" xr:uid="{00000000-0005-0000-0000-00005F010000}"/>
    <cellStyle name="20% - Accent3 2 2 4 4" xfId="9563" xr:uid="{252454BD-4626-4CA5-9952-CE8F14A826FE}"/>
    <cellStyle name="20% - Accent3 2 2 4 5" xfId="13774" xr:uid="{4994205A-5C85-4E2E-A3AB-D31FFCCA8D6E}"/>
    <cellStyle name="20% - Accent3 2 2 5" xfId="1456" xr:uid="{00000000-0005-0000-0000-000060010000}"/>
    <cellStyle name="20% - Accent3 2 2 5 2" xfId="3686" xr:uid="{00000000-0005-0000-0000-000061010000}"/>
    <cellStyle name="20% - Accent3 2 2 5 2 2" xfId="7910" xr:uid="{00000000-0005-0000-0000-000062010000}"/>
    <cellStyle name="20% - Accent3 2 2 5 2 3" xfId="12121" xr:uid="{B556826F-6420-4D2C-9AD8-5FFD034F2301}"/>
    <cellStyle name="20% - Accent3 2 2 5 2 4" xfId="16332" xr:uid="{D2BBED89-53F3-4740-B148-4BDF6E0EAC5D}"/>
    <cellStyle name="20% - Accent3 2 2 5 3" xfId="5765" xr:uid="{00000000-0005-0000-0000-000063010000}"/>
    <cellStyle name="20% - Accent3 2 2 5 4" xfId="9976" xr:uid="{F6482DB4-0FE5-4F60-9F9C-E43262BFC0F7}"/>
    <cellStyle name="20% - Accent3 2 2 5 5" xfId="14187" xr:uid="{DD0529E8-E28B-4BF8-A908-7A8252F80AAD}"/>
    <cellStyle name="20% - Accent3 2 2 6" xfId="1870" xr:uid="{00000000-0005-0000-0000-000064010000}"/>
    <cellStyle name="20% - Accent3 2 2 6 2" xfId="4099" xr:uid="{00000000-0005-0000-0000-000065010000}"/>
    <cellStyle name="20% - Accent3 2 2 6 2 2" xfId="8323" xr:uid="{00000000-0005-0000-0000-000066010000}"/>
    <cellStyle name="20% - Accent3 2 2 6 2 3" xfId="12534" xr:uid="{B4331EE5-F59E-4F41-9467-0E3A92A7F39C}"/>
    <cellStyle name="20% - Accent3 2 2 6 2 4" xfId="16745" xr:uid="{0E0D8E20-49EB-4970-82D1-FDDE38A8DD11}"/>
    <cellStyle name="20% - Accent3 2 2 6 3" xfId="6178" xr:uid="{00000000-0005-0000-0000-000067010000}"/>
    <cellStyle name="20% - Accent3 2 2 6 4" xfId="10389" xr:uid="{A0A57831-4395-4C1C-8715-6B846C73E7EC}"/>
    <cellStyle name="20% - Accent3 2 2 6 5" xfId="14600" xr:uid="{3334D8FE-9E57-4C3C-B024-B95639829C9A}"/>
    <cellStyle name="20% - Accent3 2 2 7" xfId="2283" xr:uid="{00000000-0005-0000-0000-000068010000}"/>
    <cellStyle name="20% - Accent3 2 2 7 2" xfId="6591" xr:uid="{00000000-0005-0000-0000-000069010000}"/>
    <cellStyle name="20% - Accent3 2 2 7 3" xfId="10802" xr:uid="{9B055B47-A5AC-4791-A2B3-B78BB38791CC}"/>
    <cellStyle name="20% - Accent3 2 2 7 4" xfId="15013" xr:uid="{6162E2CB-A92C-477C-A391-91ED9A5667B6}"/>
    <cellStyle name="20% - Accent3 2 2 8" xfId="4525" xr:uid="{00000000-0005-0000-0000-00006A010000}"/>
    <cellStyle name="20% - Accent3 2 2 9" xfId="8736" xr:uid="{0E4E893B-94D1-4AD3-AEEC-0D9AB3BD2455}"/>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2 3" xfId="11297" xr:uid="{4FE33A80-21C2-48EE-A852-8B4679AF3DF7}"/>
    <cellStyle name="20% - Accent3 2 3 2 2 4" xfId="15508" xr:uid="{5ED16E3F-0C3B-4D8B-99A3-F8895EB67E62}"/>
    <cellStyle name="20% - Accent3 2 3 2 3" xfId="4941" xr:uid="{00000000-0005-0000-0000-00006F010000}"/>
    <cellStyle name="20% - Accent3 2 3 2 4" xfId="9152" xr:uid="{E23F0065-4CAF-4A3A-BDD5-986EDBB2FDE5}"/>
    <cellStyle name="20% - Accent3 2 3 2 5" xfId="13363" xr:uid="{E0E6A683-0ED2-40DE-BE3D-595FEDEEC22A}"/>
    <cellStyle name="20% - Accent3 2 3 3" xfId="1044" xr:uid="{00000000-0005-0000-0000-000070010000}"/>
    <cellStyle name="20% - Accent3 2 3 3 2" xfId="3275" xr:uid="{00000000-0005-0000-0000-000071010000}"/>
    <cellStyle name="20% - Accent3 2 3 3 2 2" xfId="7499" xr:uid="{00000000-0005-0000-0000-000072010000}"/>
    <cellStyle name="20% - Accent3 2 3 3 2 3" xfId="11710" xr:uid="{ED915AC3-0FAB-43A2-9E40-7D4C46B037A8}"/>
    <cellStyle name="20% - Accent3 2 3 3 2 4" xfId="15921" xr:uid="{47822B7B-4382-47C3-B7E2-B92675CA124E}"/>
    <cellStyle name="20% - Accent3 2 3 3 3" xfId="5354" xr:uid="{00000000-0005-0000-0000-000073010000}"/>
    <cellStyle name="20% - Accent3 2 3 3 4" xfId="9565" xr:uid="{FEFB6BF2-6D4A-4228-8D43-620215154D7F}"/>
    <cellStyle name="20% - Accent3 2 3 3 5" xfId="13776" xr:uid="{DF5DA5B6-F075-47E1-B6BF-0939CF2E2933}"/>
    <cellStyle name="20% - Accent3 2 3 4" xfId="1458" xr:uid="{00000000-0005-0000-0000-000074010000}"/>
    <cellStyle name="20% - Accent3 2 3 4 2" xfId="3688" xr:uid="{00000000-0005-0000-0000-000075010000}"/>
    <cellStyle name="20% - Accent3 2 3 4 2 2" xfId="7912" xr:uid="{00000000-0005-0000-0000-000076010000}"/>
    <cellStyle name="20% - Accent3 2 3 4 2 3" xfId="12123" xr:uid="{C701B7D4-FA67-4D99-B5BD-904D7D6E66AF}"/>
    <cellStyle name="20% - Accent3 2 3 4 2 4" xfId="16334" xr:uid="{A47E29C8-7AA9-486B-85AB-6208C3594226}"/>
    <cellStyle name="20% - Accent3 2 3 4 3" xfId="5767" xr:uid="{00000000-0005-0000-0000-000077010000}"/>
    <cellStyle name="20% - Accent3 2 3 4 4" xfId="9978" xr:uid="{D827A258-E943-4B1D-AF2F-E86AC7A66095}"/>
    <cellStyle name="20% - Accent3 2 3 4 5" xfId="14189" xr:uid="{13AD31F1-1514-4D26-9CED-0AC456D656C0}"/>
    <cellStyle name="20% - Accent3 2 3 5" xfId="1872" xr:uid="{00000000-0005-0000-0000-000078010000}"/>
    <cellStyle name="20% - Accent3 2 3 5 2" xfId="4101" xr:uid="{00000000-0005-0000-0000-000079010000}"/>
    <cellStyle name="20% - Accent3 2 3 5 2 2" xfId="8325" xr:uid="{00000000-0005-0000-0000-00007A010000}"/>
    <cellStyle name="20% - Accent3 2 3 5 2 3" xfId="12536" xr:uid="{D54D9745-EBDA-4B53-9CB9-82A48448000D}"/>
    <cellStyle name="20% - Accent3 2 3 5 2 4" xfId="16747" xr:uid="{AE752741-F498-427E-8336-4271464F11FD}"/>
    <cellStyle name="20% - Accent3 2 3 5 3" xfId="6180" xr:uid="{00000000-0005-0000-0000-00007B010000}"/>
    <cellStyle name="20% - Accent3 2 3 5 4" xfId="10391" xr:uid="{0BF5D978-12BD-47C3-A32D-59378AB5CCB8}"/>
    <cellStyle name="20% - Accent3 2 3 5 5" xfId="14602" xr:uid="{130DD8E2-5403-488E-A401-8A2593513C3C}"/>
    <cellStyle name="20% - Accent3 2 3 6" xfId="2285" xr:uid="{00000000-0005-0000-0000-00007C010000}"/>
    <cellStyle name="20% - Accent3 2 3 6 2" xfId="6593" xr:uid="{00000000-0005-0000-0000-00007D010000}"/>
    <cellStyle name="20% - Accent3 2 3 6 3" xfId="10804" xr:uid="{3AF0FC91-BF3E-474A-9992-936796755F48}"/>
    <cellStyle name="20% - Accent3 2 3 6 4" xfId="15015" xr:uid="{F5AD4707-D8FF-4198-9CFB-61A207622C1D}"/>
    <cellStyle name="20% - Accent3 2 3 7" xfId="4527" xr:uid="{00000000-0005-0000-0000-00007E010000}"/>
    <cellStyle name="20% - Accent3 2 3 8" xfId="8738" xr:uid="{C14B2B63-733A-44B0-AAD3-ACF769429DA7}"/>
    <cellStyle name="20% - Accent3 2 3 9" xfId="12949" xr:uid="{68326DD2-AB38-4024-A4D4-08AF0504F43D}"/>
    <cellStyle name="20% - Accent3 2 4" xfId="588" xr:uid="{00000000-0005-0000-0000-00007F010000}"/>
    <cellStyle name="20% - Accent3 2 4 2" xfId="2859" xr:uid="{00000000-0005-0000-0000-000080010000}"/>
    <cellStyle name="20% - Accent3 2 4 2 2" xfId="7083" xr:uid="{00000000-0005-0000-0000-000081010000}"/>
    <cellStyle name="20% - Accent3 2 4 2 3" xfId="11294" xr:uid="{A05AD9FB-1020-4ACA-9FC3-2855F84B2014}"/>
    <cellStyle name="20% - Accent3 2 4 2 4" xfId="15505" xr:uid="{EEA5A4FE-7088-41BB-A7BC-7AE8AA7C4921}"/>
    <cellStyle name="20% - Accent3 2 4 3" xfId="4938" xr:uid="{00000000-0005-0000-0000-000082010000}"/>
    <cellStyle name="20% - Accent3 2 4 4" xfId="9149" xr:uid="{FF3C1F83-C20C-4C9E-A6FC-4085A6915BF3}"/>
    <cellStyle name="20% - Accent3 2 4 5" xfId="13360" xr:uid="{93FF90DB-8768-486C-8DC6-6391467C4E44}"/>
    <cellStyle name="20% - Accent3 2 5" xfId="1041" xr:uid="{00000000-0005-0000-0000-000083010000}"/>
    <cellStyle name="20% - Accent3 2 5 2" xfId="3272" xr:uid="{00000000-0005-0000-0000-000084010000}"/>
    <cellStyle name="20% - Accent3 2 5 2 2" xfId="7496" xr:uid="{00000000-0005-0000-0000-000085010000}"/>
    <cellStyle name="20% - Accent3 2 5 2 3" xfId="11707" xr:uid="{E320ECA8-F593-4C90-AFB9-B8E42CF4F1A1}"/>
    <cellStyle name="20% - Accent3 2 5 2 4" xfId="15918" xr:uid="{6C352DDA-B9C3-45EC-839F-F5B491635A3A}"/>
    <cellStyle name="20% - Accent3 2 5 3" xfId="5351" xr:uid="{00000000-0005-0000-0000-000086010000}"/>
    <cellStyle name="20% - Accent3 2 5 4" xfId="9562" xr:uid="{4CB429D9-F182-4F62-A753-5C8FCA9ADE92}"/>
    <cellStyle name="20% - Accent3 2 5 5" xfId="13773" xr:uid="{3AABB6D8-66A7-4213-991B-DC69BBDB0066}"/>
    <cellStyle name="20% - Accent3 2 6" xfId="1455" xr:uid="{00000000-0005-0000-0000-000087010000}"/>
    <cellStyle name="20% - Accent3 2 6 2" xfId="3685" xr:uid="{00000000-0005-0000-0000-000088010000}"/>
    <cellStyle name="20% - Accent3 2 6 2 2" xfId="7909" xr:uid="{00000000-0005-0000-0000-000089010000}"/>
    <cellStyle name="20% - Accent3 2 6 2 3" xfId="12120" xr:uid="{FCC4F4ED-2CFD-4402-9357-88E5AB48B496}"/>
    <cellStyle name="20% - Accent3 2 6 2 4" xfId="16331" xr:uid="{500F252D-5B22-49CE-A3CE-55D509110117}"/>
    <cellStyle name="20% - Accent3 2 6 3" xfId="5764" xr:uid="{00000000-0005-0000-0000-00008A010000}"/>
    <cellStyle name="20% - Accent3 2 6 4" xfId="9975" xr:uid="{4519CF27-C312-4883-BA25-B799E1325BCE}"/>
    <cellStyle name="20% - Accent3 2 6 5" xfId="14186" xr:uid="{7EC7BA02-EBAE-41BA-846F-D24F181D27E3}"/>
    <cellStyle name="20% - Accent3 2 7" xfId="1869" xr:uid="{00000000-0005-0000-0000-00008B010000}"/>
    <cellStyle name="20% - Accent3 2 7 2" xfId="4098" xr:uid="{00000000-0005-0000-0000-00008C010000}"/>
    <cellStyle name="20% - Accent3 2 7 2 2" xfId="8322" xr:uid="{00000000-0005-0000-0000-00008D010000}"/>
    <cellStyle name="20% - Accent3 2 7 2 3" xfId="12533" xr:uid="{80788A91-27A6-489D-916F-C286FC4C41BC}"/>
    <cellStyle name="20% - Accent3 2 7 2 4" xfId="16744" xr:uid="{4AAC9C64-7449-4BA5-A952-6472DBD098A1}"/>
    <cellStyle name="20% - Accent3 2 7 3" xfId="6177" xr:uid="{00000000-0005-0000-0000-00008E010000}"/>
    <cellStyle name="20% - Accent3 2 7 4" xfId="10388" xr:uid="{186EE188-4160-4EE1-8C10-134785D21DD7}"/>
    <cellStyle name="20% - Accent3 2 7 5" xfId="14599" xr:uid="{85A3E413-825C-4F35-9BD8-E55CE5E91C97}"/>
    <cellStyle name="20% - Accent3 2 8" xfId="2282" xr:uid="{00000000-0005-0000-0000-00008F010000}"/>
    <cellStyle name="20% - Accent3 2 8 2" xfId="6590" xr:uid="{00000000-0005-0000-0000-000090010000}"/>
    <cellStyle name="20% - Accent3 2 8 3" xfId="10801" xr:uid="{98F53D98-204C-4E1B-9E0D-06E03D2879C2}"/>
    <cellStyle name="20% - Accent3 2 8 4" xfId="15012" xr:uid="{9F0A1E8E-485E-4CDE-9425-ABA930666B4E}"/>
    <cellStyle name="20% - Accent3 2 9" xfId="4524" xr:uid="{00000000-0005-0000-0000-000091010000}"/>
    <cellStyle name="20% - Accent3 3" xfId="22" xr:uid="{00000000-0005-0000-0000-000092010000}"/>
    <cellStyle name="20% - Accent3 3 10" xfId="12950" xr:uid="{85A6800F-15EF-4DC3-AF1D-0219133F4752}"/>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2 3" xfId="11299" xr:uid="{35D5CD67-ED30-421F-9173-F347DE3D6689}"/>
    <cellStyle name="20% - Accent3 3 2 2 2 4" xfId="15510" xr:uid="{EAA35AF3-F781-4A71-B4A9-DE648B38031D}"/>
    <cellStyle name="20% - Accent3 3 2 2 3" xfId="4943" xr:uid="{00000000-0005-0000-0000-000097010000}"/>
    <cellStyle name="20% - Accent3 3 2 2 4" xfId="9154" xr:uid="{48A6F90B-C8A1-4D32-8C75-7E6B529122DD}"/>
    <cellStyle name="20% - Accent3 3 2 2 5" xfId="13365" xr:uid="{3C7EB371-8DB4-482A-8045-6C3126B3A6C0}"/>
    <cellStyle name="20% - Accent3 3 2 3" xfId="1046" xr:uid="{00000000-0005-0000-0000-000098010000}"/>
    <cellStyle name="20% - Accent3 3 2 3 2" xfId="3277" xr:uid="{00000000-0005-0000-0000-000099010000}"/>
    <cellStyle name="20% - Accent3 3 2 3 2 2" xfId="7501" xr:uid="{00000000-0005-0000-0000-00009A010000}"/>
    <cellStyle name="20% - Accent3 3 2 3 2 3" xfId="11712" xr:uid="{1568F738-D343-4013-AF59-9DB926B91E7A}"/>
    <cellStyle name="20% - Accent3 3 2 3 2 4" xfId="15923" xr:uid="{D8D641D8-EC19-434D-BC27-5180DACE30B1}"/>
    <cellStyle name="20% - Accent3 3 2 3 3" xfId="5356" xr:uid="{00000000-0005-0000-0000-00009B010000}"/>
    <cellStyle name="20% - Accent3 3 2 3 4" xfId="9567" xr:uid="{1D3E6068-12DB-4005-8DE5-577298BF5E62}"/>
    <cellStyle name="20% - Accent3 3 2 3 5" xfId="13778" xr:uid="{417946D8-F156-4DCE-B9BA-044A2793A5B0}"/>
    <cellStyle name="20% - Accent3 3 2 4" xfId="1460" xr:uid="{00000000-0005-0000-0000-00009C010000}"/>
    <cellStyle name="20% - Accent3 3 2 4 2" xfId="3690" xr:uid="{00000000-0005-0000-0000-00009D010000}"/>
    <cellStyle name="20% - Accent3 3 2 4 2 2" xfId="7914" xr:uid="{00000000-0005-0000-0000-00009E010000}"/>
    <cellStyle name="20% - Accent3 3 2 4 2 3" xfId="12125" xr:uid="{206B7A65-B91A-4A56-ACEC-868C10D280F0}"/>
    <cellStyle name="20% - Accent3 3 2 4 2 4" xfId="16336" xr:uid="{DD44752E-A476-4F00-8A4E-16322D374367}"/>
    <cellStyle name="20% - Accent3 3 2 4 3" xfId="5769" xr:uid="{00000000-0005-0000-0000-00009F010000}"/>
    <cellStyle name="20% - Accent3 3 2 4 4" xfId="9980" xr:uid="{AF4C4D40-91EF-473A-81B9-4E60A28C00A8}"/>
    <cellStyle name="20% - Accent3 3 2 4 5" xfId="14191" xr:uid="{39A2BC1E-985C-4996-9AF4-F46749B204C8}"/>
    <cellStyle name="20% - Accent3 3 2 5" xfId="1874" xr:uid="{00000000-0005-0000-0000-0000A0010000}"/>
    <cellStyle name="20% - Accent3 3 2 5 2" xfId="4103" xr:uid="{00000000-0005-0000-0000-0000A1010000}"/>
    <cellStyle name="20% - Accent3 3 2 5 2 2" xfId="8327" xr:uid="{00000000-0005-0000-0000-0000A2010000}"/>
    <cellStyle name="20% - Accent3 3 2 5 2 3" xfId="12538" xr:uid="{6AB6E38D-A0ED-42BA-A079-12715971D32C}"/>
    <cellStyle name="20% - Accent3 3 2 5 2 4" xfId="16749" xr:uid="{74636F2A-DD87-45EE-9A84-531A23AB1C53}"/>
    <cellStyle name="20% - Accent3 3 2 5 3" xfId="6182" xr:uid="{00000000-0005-0000-0000-0000A3010000}"/>
    <cellStyle name="20% - Accent3 3 2 5 4" xfId="10393" xr:uid="{9D777990-3E1E-47A3-A10E-07381FFCE805}"/>
    <cellStyle name="20% - Accent3 3 2 5 5" xfId="14604" xr:uid="{EC3B147C-42AE-4E08-98ED-19C2021B7B70}"/>
    <cellStyle name="20% - Accent3 3 2 6" xfId="2287" xr:uid="{00000000-0005-0000-0000-0000A4010000}"/>
    <cellStyle name="20% - Accent3 3 2 6 2" xfId="6595" xr:uid="{00000000-0005-0000-0000-0000A5010000}"/>
    <cellStyle name="20% - Accent3 3 2 6 3" xfId="10806" xr:uid="{13C62A3E-5260-47C4-AB39-154FFE76AAD3}"/>
    <cellStyle name="20% - Accent3 3 2 6 4" xfId="15017" xr:uid="{09889D1D-D109-48E5-BB50-9B2DBA4C0B9B}"/>
    <cellStyle name="20% - Accent3 3 2 7" xfId="4529" xr:uid="{00000000-0005-0000-0000-0000A6010000}"/>
    <cellStyle name="20% - Accent3 3 2 8" xfId="8740" xr:uid="{CE432B80-60BC-4C35-991B-6AD017C390C4}"/>
    <cellStyle name="20% - Accent3 3 2 9" xfId="12951" xr:uid="{DBC07425-A609-4217-B131-1DCED94639D8}"/>
    <cellStyle name="20% - Accent3 3 3" xfId="592" xr:uid="{00000000-0005-0000-0000-0000A7010000}"/>
    <cellStyle name="20% - Accent3 3 3 2" xfId="2863" xr:uid="{00000000-0005-0000-0000-0000A8010000}"/>
    <cellStyle name="20% - Accent3 3 3 2 2" xfId="7087" xr:uid="{00000000-0005-0000-0000-0000A9010000}"/>
    <cellStyle name="20% - Accent3 3 3 2 3" xfId="11298" xr:uid="{DEFC4037-1A05-4637-9EE1-E4CD3BCC56EC}"/>
    <cellStyle name="20% - Accent3 3 3 2 4" xfId="15509" xr:uid="{747AE036-F923-4496-B1B0-7E816A3FDDAE}"/>
    <cellStyle name="20% - Accent3 3 3 3" xfId="4942" xr:uid="{00000000-0005-0000-0000-0000AA010000}"/>
    <cellStyle name="20% - Accent3 3 3 4" xfId="9153" xr:uid="{C140B2AB-6C9E-4C8E-B871-1022E2D2DD72}"/>
    <cellStyle name="20% - Accent3 3 3 5" xfId="13364" xr:uid="{B312455A-AD54-4BBB-906F-6479CAFFB27D}"/>
    <cellStyle name="20% - Accent3 3 4" xfId="1045" xr:uid="{00000000-0005-0000-0000-0000AB010000}"/>
    <cellStyle name="20% - Accent3 3 4 2" xfId="3276" xr:uid="{00000000-0005-0000-0000-0000AC010000}"/>
    <cellStyle name="20% - Accent3 3 4 2 2" xfId="7500" xr:uid="{00000000-0005-0000-0000-0000AD010000}"/>
    <cellStyle name="20% - Accent3 3 4 2 3" xfId="11711" xr:uid="{58059587-0600-4482-914A-2F107B0D40EA}"/>
    <cellStyle name="20% - Accent3 3 4 2 4" xfId="15922" xr:uid="{3C44C3DE-213B-488B-B71A-C6E089FBEBBC}"/>
    <cellStyle name="20% - Accent3 3 4 3" xfId="5355" xr:uid="{00000000-0005-0000-0000-0000AE010000}"/>
    <cellStyle name="20% - Accent3 3 4 4" xfId="9566" xr:uid="{8A98BDF3-576D-4753-A6D9-45D204CDA017}"/>
    <cellStyle name="20% - Accent3 3 4 5" xfId="13777" xr:uid="{9E75B5D8-A78F-4221-B85F-4057DDC79EB5}"/>
    <cellStyle name="20% - Accent3 3 5" xfId="1459" xr:uid="{00000000-0005-0000-0000-0000AF010000}"/>
    <cellStyle name="20% - Accent3 3 5 2" xfId="3689" xr:uid="{00000000-0005-0000-0000-0000B0010000}"/>
    <cellStyle name="20% - Accent3 3 5 2 2" xfId="7913" xr:uid="{00000000-0005-0000-0000-0000B1010000}"/>
    <cellStyle name="20% - Accent3 3 5 2 3" xfId="12124" xr:uid="{69F59078-6667-4303-90B2-16F69226EEA0}"/>
    <cellStyle name="20% - Accent3 3 5 2 4" xfId="16335" xr:uid="{AD333C0B-5E9D-4518-8AE7-74F32958AF8D}"/>
    <cellStyle name="20% - Accent3 3 5 3" xfId="5768" xr:uid="{00000000-0005-0000-0000-0000B2010000}"/>
    <cellStyle name="20% - Accent3 3 5 4" xfId="9979" xr:uid="{064C0734-84BE-4A8A-8EF6-B72EE83E448E}"/>
    <cellStyle name="20% - Accent3 3 5 5" xfId="14190" xr:uid="{5F9CBD48-D687-4AC0-8A0D-1C539B1022C0}"/>
    <cellStyle name="20% - Accent3 3 6" xfId="1873" xr:uid="{00000000-0005-0000-0000-0000B3010000}"/>
    <cellStyle name="20% - Accent3 3 6 2" xfId="4102" xr:uid="{00000000-0005-0000-0000-0000B4010000}"/>
    <cellStyle name="20% - Accent3 3 6 2 2" xfId="8326" xr:uid="{00000000-0005-0000-0000-0000B5010000}"/>
    <cellStyle name="20% - Accent3 3 6 2 3" xfId="12537" xr:uid="{D4574FCC-74BD-48D4-8EA2-19767A06CE46}"/>
    <cellStyle name="20% - Accent3 3 6 2 4" xfId="16748" xr:uid="{2D1EB0B6-CED9-4FBC-B278-F4D7D0E47FF9}"/>
    <cellStyle name="20% - Accent3 3 6 3" xfId="6181" xr:uid="{00000000-0005-0000-0000-0000B6010000}"/>
    <cellStyle name="20% - Accent3 3 6 4" xfId="10392" xr:uid="{077864B9-E081-4752-A343-F1628AD279FA}"/>
    <cellStyle name="20% - Accent3 3 6 5" xfId="14603" xr:uid="{3BB3A2B3-F459-4879-91A2-63D109399F71}"/>
    <cellStyle name="20% - Accent3 3 7" xfId="2286" xr:uid="{00000000-0005-0000-0000-0000B7010000}"/>
    <cellStyle name="20% - Accent3 3 7 2" xfId="6594" xr:uid="{00000000-0005-0000-0000-0000B8010000}"/>
    <cellStyle name="20% - Accent3 3 7 3" xfId="10805" xr:uid="{ABA09D89-320A-4995-8B53-E23F1144D056}"/>
    <cellStyle name="20% - Accent3 3 7 4" xfId="15016" xr:uid="{06AD3770-47F2-4B72-93A6-9E7CF7DE4B5C}"/>
    <cellStyle name="20% - Accent3 3 8" xfId="4528" xr:uid="{00000000-0005-0000-0000-0000B9010000}"/>
    <cellStyle name="20% - Accent3 3 9" xfId="8739" xr:uid="{D8B0D078-1974-48FF-B5F2-C97F37F0D85A}"/>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2 3" xfId="11300" xr:uid="{2D7B5A92-4289-4437-8B25-8E36D531AAC3}"/>
    <cellStyle name="20% - Accent3 4 2 2 4" xfId="15511" xr:uid="{60EF4853-88CF-45EB-BEA8-FF91ED17D5F1}"/>
    <cellStyle name="20% - Accent3 4 2 3" xfId="4944" xr:uid="{00000000-0005-0000-0000-0000BE010000}"/>
    <cellStyle name="20% - Accent3 4 2 4" xfId="9155" xr:uid="{503A5BD2-F757-4871-A1CC-0764107EC57C}"/>
    <cellStyle name="20% - Accent3 4 2 5" xfId="13366" xr:uid="{FC866D54-F755-4A81-BB4E-B4F7895D1418}"/>
    <cellStyle name="20% - Accent3 4 3" xfId="1047" xr:uid="{00000000-0005-0000-0000-0000BF010000}"/>
    <cellStyle name="20% - Accent3 4 3 2" xfId="3278" xr:uid="{00000000-0005-0000-0000-0000C0010000}"/>
    <cellStyle name="20% - Accent3 4 3 2 2" xfId="7502" xr:uid="{00000000-0005-0000-0000-0000C1010000}"/>
    <cellStyle name="20% - Accent3 4 3 2 3" xfId="11713" xr:uid="{303FE152-9E75-425A-969A-22BC4B8666FD}"/>
    <cellStyle name="20% - Accent3 4 3 2 4" xfId="15924" xr:uid="{34EB54F3-1718-4553-81EF-E08F19E320EF}"/>
    <cellStyle name="20% - Accent3 4 3 3" xfId="5357" xr:uid="{00000000-0005-0000-0000-0000C2010000}"/>
    <cellStyle name="20% - Accent3 4 3 4" xfId="9568" xr:uid="{DA9740F9-8798-4B6B-BD9E-821E237FD7B4}"/>
    <cellStyle name="20% - Accent3 4 3 5" xfId="13779" xr:uid="{C09D2FF1-4F55-4DBA-9387-EA4A99270C0D}"/>
    <cellStyle name="20% - Accent3 4 4" xfId="1461" xr:uid="{00000000-0005-0000-0000-0000C3010000}"/>
    <cellStyle name="20% - Accent3 4 4 2" xfId="3691" xr:uid="{00000000-0005-0000-0000-0000C4010000}"/>
    <cellStyle name="20% - Accent3 4 4 2 2" xfId="7915" xr:uid="{00000000-0005-0000-0000-0000C5010000}"/>
    <cellStyle name="20% - Accent3 4 4 2 3" xfId="12126" xr:uid="{8B9AE2A4-F3AC-42DA-A057-05030CEF5829}"/>
    <cellStyle name="20% - Accent3 4 4 2 4" xfId="16337" xr:uid="{34E8EF82-D2F4-46FC-B22A-CD64A4406B73}"/>
    <cellStyle name="20% - Accent3 4 4 3" xfId="5770" xr:uid="{00000000-0005-0000-0000-0000C6010000}"/>
    <cellStyle name="20% - Accent3 4 4 4" xfId="9981" xr:uid="{5828FC09-A09D-4476-9E8E-AE58596E5579}"/>
    <cellStyle name="20% - Accent3 4 4 5" xfId="14192" xr:uid="{1FE1D1F1-116C-4CF2-BAAD-1FF69655C059}"/>
    <cellStyle name="20% - Accent3 4 5" xfId="1875" xr:uid="{00000000-0005-0000-0000-0000C7010000}"/>
    <cellStyle name="20% - Accent3 4 5 2" xfId="4104" xr:uid="{00000000-0005-0000-0000-0000C8010000}"/>
    <cellStyle name="20% - Accent3 4 5 2 2" xfId="8328" xr:uid="{00000000-0005-0000-0000-0000C9010000}"/>
    <cellStyle name="20% - Accent3 4 5 2 3" xfId="12539" xr:uid="{14C24D5F-360E-425A-ACED-21E5559B33FF}"/>
    <cellStyle name="20% - Accent3 4 5 2 4" xfId="16750" xr:uid="{B716A838-CD93-4622-BDA8-D9276F15FE6E}"/>
    <cellStyle name="20% - Accent3 4 5 3" xfId="6183" xr:uid="{00000000-0005-0000-0000-0000CA010000}"/>
    <cellStyle name="20% - Accent3 4 5 4" xfId="10394" xr:uid="{EFA64985-9B05-41A9-A38E-0B1A22253A69}"/>
    <cellStyle name="20% - Accent3 4 5 5" xfId="14605" xr:uid="{E7395276-AD1F-415D-9061-D39E6C8097DC}"/>
    <cellStyle name="20% - Accent3 4 6" xfId="2288" xr:uid="{00000000-0005-0000-0000-0000CB010000}"/>
    <cellStyle name="20% - Accent3 4 6 2" xfId="6596" xr:uid="{00000000-0005-0000-0000-0000CC010000}"/>
    <cellStyle name="20% - Accent3 4 6 3" xfId="10807" xr:uid="{65E7F411-ED8B-438B-A66A-0C3CF9679C32}"/>
    <cellStyle name="20% - Accent3 4 6 4" xfId="15018" xr:uid="{DCDF1B5E-A1C1-49BF-B1D4-9362784A1FF9}"/>
    <cellStyle name="20% - Accent3 4 7" xfId="4530" xr:uid="{00000000-0005-0000-0000-0000CD010000}"/>
    <cellStyle name="20% - Accent3 4 8" xfId="8741" xr:uid="{6FAC1248-2BD1-47D3-B2B5-2924221FE0E6}"/>
    <cellStyle name="20% - Accent3 4 9" xfId="12952" xr:uid="{488FDA99-EA1A-402A-A067-A4CC47DFBBA6}"/>
    <cellStyle name="20% - Accent3 5" xfId="587" xr:uid="{00000000-0005-0000-0000-0000CE010000}"/>
    <cellStyle name="20% - Accent3 5 2" xfId="2858" xr:uid="{00000000-0005-0000-0000-0000CF010000}"/>
    <cellStyle name="20% - Accent3 5 2 2" xfId="7082" xr:uid="{00000000-0005-0000-0000-0000D0010000}"/>
    <cellStyle name="20% - Accent3 5 2 3" xfId="11293" xr:uid="{FD6D483C-C6D1-41EF-81A9-7D008D3421F1}"/>
    <cellStyle name="20% - Accent3 5 2 4" xfId="15504" xr:uid="{CBBB8D4B-FDA9-4DA2-91BE-2EC9DB7EF115}"/>
    <cellStyle name="20% - Accent3 5 3" xfId="4937" xr:uid="{00000000-0005-0000-0000-0000D1010000}"/>
    <cellStyle name="20% - Accent3 5 4" xfId="9148" xr:uid="{B4E463DE-65CD-4433-AC94-E5DD08419594}"/>
    <cellStyle name="20% - Accent3 5 5" xfId="13359" xr:uid="{CB075E20-2D52-4936-846F-075B890112A0}"/>
    <cellStyle name="20% - Accent3 6" xfId="1040" xr:uid="{00000000-0005-0000-0000-0000D2010000}"/>
    <cellStyle name="20% - Accent3 6 2" xfId="3271" xr:uid="{00000000-0005-0000-0000-0000D3010000}"/>
    <cellStyle name="20% - Accent3 6 2 2" xfId="7495" xr:uid="{00000000-0005-0000-0000-0000D4010000}"/>
    <cellStyle name="20% - Accent3 6 2 3" xfId="11706" xr:uid="{3C3B574F-BC01-43AA-BF22-DF4DB6968F86}"/>
    <cellStyle name="20% - Accent3 6 2 4" xfId="15917" xr:uid="{48C179E9-372F-4B79-820B-B86CB6DD78C7}"/>
    <cellStyle name="20% - Accent3 6 3" xfId="5350" xr:uid="{00000000-0005-0000-0000-0000D5010000}"/>
    <cellStyle name="20% - Accent3 6 4" xfId="9561" xr:uid="{C4818E99-19B5-495B-AD18-960BFC080335}"/>
    <cellStyle name="20% - Accent3 6 5" xfId="13772" xr:uid="{B1D824E7-8218-43D3-AEFE-C5FD76BC0BED}"/>
    <cellStyle name="20% - Accent3 7" xfId="1454" xr:uid="{00000000-0005-0000-0000-0000D6010000}"/>
    <cellStyle name="20% - Accent3 7 2" xfId="3684" xr:uid="{00000000-0005-0000-0000-0000D7010000}"/>
    <cellStyle name="20% - Accent3 7 2 2" xfId="7908" xr:uid="{00000000-0005-0000-0000-0000D8010000}"/>
    <cellStyle name="20% - Accent3 7 2 3" xfId="12119" xr:uid="{9AC10D1E-BABC-4045-9C70-01FCA25F6982}"/>
    <cellStyle name="20% - Accent3 7 2 4" xfId="16330" xr:uid="{801672E9-EEC7-4A82-943A-1AAF21A411E6}"/>
    <cellStyle name="20% - Accent3 7 3" xfId="5763" xr:uid="{00000000-0005-0000-0000-0000D9010000}"/>
    <cellStyle name="20% - Accent3 7 4" xfId="9974" xr:uid="{C042D243-7C98-4008-825C-F273E1B54011}"/>
    <cellStyle name="20% - Accent3 7 5" xfId="14185" xr:uid="{3CC16BE9-F15F-49C7-B00D-E9082A08DEC3}"/>
    <cellStyle name="20% - Accent3 8" xfId="1868" xr:uid="{00000000-0005-0000-0000-0000DA010000}"/>
    <cellStyle name="20% - Accent3 8 2" xfId="4097" xr:uid="{00000000-0005-0000-0000-0000DB010000}"/>
    <cellStyle name="20% - Accent3 8 2 2" xfId="8321" xr:uid="{00000000-0005-0000-0000-0000DC010000}"/>
    <cellStyle name="20% - Accent3 8 2 3" xfId="12532" xr:uid="{1EC2F2EE-D9F3-4A91-BD4F-5DF18DD1C9C6}"/>
    <cellStyle name="20% - Accent3 8 2 4" xfId="16743" xr:uid="{BB6C4F1B-EC96-459E-B2BD-43FD6A29500E}"/>
    <cellStyle name="20% - Accent3 8 3" xfId="6176" xr:uid="{00000000-0005-0000-0000-0000DD010000}"/>
    <cellStyle name="20% - Accent3 8 4" xfId="10387" xr:uid="{1F5A40FF-BDA5-4F30-847A-ADB931EF2B78}"/>
    <cellStyle name="20% - Accent3 8 5" xfId="14598" xr:uid="{2238DCA5-F0E9-4136-8C78-58CD04F72BEF}"/>
    <cellStyle name="20% - Accent3 9" xfId="2281" xr:uid="{00000000-0005-0000-0000-0000DE010000}"/>
    <cellStyle name="20% - Accent3 9 2" xfId="6589" xr:uid="{00000000-0005-0000-0000-0000DF010000}"/>
    <cellStyle name="20% - Accent3 9 3" xfId="10800" xr:uid="{7BB447BC-7BBA-4CFE-BC77-131B0C62E985}"/>
    <cellStyle name="20% - Accent3 9 4" xfId="15011" xr:uid="{569017E6-B6FE-4D20-8ADB-1F092746A0B7}"/>
    <cellStyle name="20% - Accent4" xfId="25" builtinId="42" customBuiltin="1"/>
    <cellStyle name="20% - Accent4 10" xfId="4531" xr:uid="{00000000-0005-0000-0000-0000E1010000}"/>
    <cellStyle name="20% - Accent4 11" xfId="8742" xr:uid="{FD833639-549E-443B-93AB-65CF4FA74B42}"/>
    <cellStyle name="20% - Accent4 12" xfId="12953" xr:uid="{78157F67-B266-4750-9133-438DB9B8737B}"/>
    <cellStyle name="20% - Accent4 2" xfId="26" xr:uid="{00000000-0005-0000-0000-0000E2010000}"/>
    <cellStyle name="20% - Accent4 2 10" xfId="8743" xr:uid="{ED80AAAE-64A2-4E80-A5E2-13FF699A4AFC}"/>
    <cellStyle name="20% - Accent4 2 11" xfId="12954" xr:uid="{406282AE-1B7F-40BB-BAC4-FDEED6183315}"/>
    <cellStyle name="20% - Accent4 2 2" xfId="27" xr:uid="{00000000-0005-0000-0000-0000E3010000}"/>
    <cellStyle name="20% - Accent4 2 2 10" xfId="12955" xr:uid="{A9580D55-8F89-4374-9B38-430286D8E2C7}"/>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2 3" xfId="11304" xr:uid="{40DFB95E-0631-4FF2-BCB9-55952C6127E5}"/>
    <cellStyle name="20% - Accent4 2 2 2 2 2 4" xfId="15515" xr:uid="{BB45F850-3FBB-4F33-90D1-BD5C657049DD}"/>
    <cellStyle name="20% - Accent4 2 2 2 2 3" xfId="4948" xr:uid="{00000000-0005-0000-0000-0000E8010000}"/>
    <cellStyle name="20% - Accent4 2 2 2 2 4" xfId="9159" xr:uid="{0030A16D-2E9B-4CE4-AA78-7A380BF64F0D}"/>
    <cellStyle name="20% - Accent4 2 2 2 2 5" xfId="13370" xr:uid="{41204BC9-EB68-4091-88B9-7FB08625ADA1}"/>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2 3" xfId="11717" xr:uid="{267AA90D-4D7B-437E-9871-36174B221DE7}"/>
    <cellStyle name="20% - Accent4 2 2 2 3 2 4" xfId="15928" xr:uid="{EEB02D4B-8ACF-4DC6-9D85-27A1BC117B80}"/>
    <cellStyle name="20% - Accent4 2 2 2 3 3" xfId="5361" xr:uid="{00000000-0005-0000-0000-0000EC010000}"/>
    <cellStyle name="20% - Accent4 2 2 2 3 4" xfId="9572" xr:uid="{B1F43F09-1357-4E1D-8925-3C53A612095E}"/>
    <cellStyle name="20% - Accent4 2 2 2 3 5" xfId="13783" xr:uid="{0EB1E5B3-8D1F-4AA8-9962-21667BA2F3B7}"/>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2 3" xfId="12130" xr:uid="{FD42A1CD-DCD8-4FC8-8E22-20736F449F24}"/>
    <cellStyle name="20% - Accent4 2 2 2 4 2 4" xfId="16341" xr:uid="{D138EFAC-6085-4610-9B82-361B1FE18809}"/>
    <cellStyle name="20% - Accent4 2 2 2 4 3" xfId="5774" xr:uid="{00000000-0005-0000-0000-0000F0010000}"/>
    <cellStyle name="20% - Accent4 2 2 2 4 4" xfId="9985" xr:uid="{46FA8557-CDC6-4B4F-A295-9B97BDA05AB8}"/>
    <cellStyle name="20% - Accent4 2 2 2 4 5" xfId="14196" xr:uid="{6D6298E1-FA5D-4AEA-8F20-3B8E8939F83A}"/>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2 3" xfId="12543" xr:uid="{F3CE59CE-D6C5-4DD2-8F45-88A63143B0DC}"/>
    <cellStyle name="20% - Accent4 2 2 2 5 2 4" xfId="16754" xr:uid="{7392A3FF-DBE3-4663-AD04-D7F0DA09579A}"/>
    <cellStyle name="20% - Accent4 2 2 2 5 3" xfId="6187" xr:uid="{00000000-0005-0000-0000-0000F4010000}"/>
    <cellStyle name="20% - Accent4 2 2 2 5 4" xfId="10398" xr:uid="{984BCAFC-C08A-4A7B-A8D5-B3559BF3E9DC}"/>
    <cellStyle name="20% - Accent4 2 2 2 5 5" xfId="14609" xr:uid="{2390A2D1-EF76-4B52-9B85-D6A9BA281A5B}"/>
    <cellStyle name="20% - Accent4 2 2 2 6" xfId="2292" xr:uid="{00000000-0005-0000-0000-0000F5010000}"/>
    <cellStyle name="20% - Accent4 2 2 2 6 2" xfId="6600" xr:uid="{00000000-0005-0000-0000-0000F6010000}"/>
    <cellStyle name="20% - Accent4 2 2 2 6 3" xfId="10811" xr:uid="{72E309E7-FD3D-49C8-80D8-2B7275DFBC57}"/>
    <cellStyle name="20% - Accent4 2 2 2 6 4" xfId="15022" xr:uid="{5D5A8CB1-8C53-4B7E-86AD-76DF396D9682}"/>
    <cellStyle name="20% - Accent4 2 2 2 7" xfId="4534" xr:uid="{00000000-0005-0000-0000-0000F7010000}"/>
    <cellStyle name="20% - Accent4 2 2 2 8" xfId="8745" xr:uid="{18421D9C-0DD8-48B6-933C-A6E816423E3A}"/>
    <cellStyle name="20% - Accent4 2 2 2 9" xfId="12956" xr:uid="{6E14EEC1-AB56-4B89-8365-8154A790D2CB}"/>
    <cellStyle name="20% - Accent4 2 2 3" xfId="597" xr:uid="{00000000-0005-0000-0000-0000F8010000}"/>
    <cellStyle name="20% - Accent4 2 2 3 2" xfId="2868" xr:uid="{00000000-0005-0000-0000-0000F9010000}"/>
    <cellStyle name="20% - Accent4 2 2 3 2 2" xfId="7092" xr:uid="{00000000-0005-0000-0000-0000FA010000}"/>
    <cellStyle name="20% - Accent4 2 2 3 2 3" xfId="11303" xr:uid="{EC4FEDC6-07E3-4B15-A5E5-F4F9FF4A8FD3}"/>
    <cellStyle name="20% - Accent4 2 2 3 2 4" xfId="15514" xr:uid="{8822F69D-6E45-40B5-9EBE-C30075124CDC}"/>
    <cellStyle name="20% - Accent4 2 2 3 3" xfId="4947" xr:uid="{00000000-0005-0000-0000-0000FB010000}"/>
    <cellStyle name="20% - Accent4 2 2 3 4" xfId="9158" xr:uid="{60229666-A907-4FB0-9B8F-4B1231A92563}"/>
    <cellStyle name="20% - Accent4 2 2 3 5" xfId="13369" xr:uid="{AD575BC3-BBE2-4D4F-BB50-398CEFCB7448}"/>
    <cellStyle name="20% - Accent4 2 2 4" xfId="1050" xr:uid="{00000000-0005-0000-0000-0000FC010000}"/>
    <cellStyle name="20% - Accent4 2 2 4 2" xfId="3281" xr:uid="{00000000-0005-0000-0000-0000FD010000}"/>
    <cellStyle name="20% - Accent4 2 2 4 2 2" xfId="7505" xr:uid="{00000000-0005-0000-0000-0000FE010000}"/>
    <cellStyle name="20% - Accent4 2 2 4 2 3" xfId="11716" xr:uid="{80981F34-3839-49B0-ADDA-700792D955F1}"/>
    <cellStyle name="20% - Accent4 2 2 4 2 4" xfId="15927" xr:uid="{00D2C805-07B0-4C60-9C38-8EF16973025C}"/>
    <cellStyle name="20% - Accent4 2 2 4 3" xfId="5360" xr:uid="{00000000-0005-0000-0000-0000FF010000}"/>
    <cellStyle name="20% - Accent4 2 2 4 4" xfId="9571" xr:uid="{F0580AA6-46AC-4158-BE76-A2A3B25FA8C8}"/>
    <cellStyle name="20% - Accent4 2 2 4 5" xfId="13782" xr:uid="{920D2CBD-1D48-4E09-A0C8-5332BB152187}"/>
    <cellStyle name="20% - Accent4 2 2 5" xfId="1464" xr:uid="{00000000-0005-0000-0000-000000020000}"/>
    <cellStyle name="20% - Accent4 2 2 5 2" xfId="3694" xr:uid="{00000000-0005-0000-0000-000001020000}"/>
    <cellStyle name="20% - Accent4 2 2 5 2 2" xfId="7918" xr:uid="{00000000-0005-0000-0000-000002020000}"/>
    <cellStyle name="20% - Accent4 2 2 5 2 3" xfId="12129" xr:uid="{E0148290-EB77-44B6-9491-859A34C49221}"/>
    <cellStyle name="20% - Accent4 2 2 5 2 4" xfId="16340" xr:uid="{EE1C4335-0026-47B0-8DB7-CC6E9AA1121E}"/>
    <cellStyle name="20% - Accent4 2 2 5 3" xfId="5773" xr:uid="{00000000-0005-0000-0000-000003020000}"/>
    <cellStyle name="20% - Accent4 2 2 5 4" xfId="9984" xr:uid="{4B8E0433-66D6-41A8-B4E3-E9B8CFD7B543}"/>
    <cellStyle name="20% - Accent4 2 2 5 5" xfId="14195" xr:uid="{0D540C86-4873-4CFE-B7CE-F780E2F4F4DE}"/>
    <cellStyle name="20% - Accent4 2 2 6" xfId="1878" xr:uid="{00000000-0005-0000-0000-000004020000}"/>
    <cellStyle name="20% - Accent4 2 2 6 2" xfId="4107" xr:uid="{00000000-0005-0000-0000-000005020000}"/>
    <cellStyle name="20% - Accent4 2 2 6 2 2" xfId="8331" xr:uid="{00000000-0005-0000-0000-000006020000}"/>
    <cellStyle name="20% - Accent4 2 2 6 2 3" xfId="12542" xr:uid="{A830FB38-4367-433A-A79E-3D685CD3DE8B}"/>
    <cellStyle name="20% - Accent4 2 2 6 2 4" xfId="16753" xr:uid="{3376A574-A543-4B22-B9F5-E5505008A976}"/>
    <cellStyle name="20% - Accent4 2 2 6 3" xfId="6186" xr:uid="{00000000-0005-0000-0000-000007020000}"/>
    <cellStyle name="20% - Accent4 2 2 6 4" xfId="10397" xr:uid="{7C62D423-0CAA-461C-A84D-BB036F96284B}"/>
    <cellStyle name="20% - Accent4 2 2 6 5" xfId="14608" xr:uid="{92141BE2-6F98-4565-B7D4-D9E25AA2D81D}"/>
    <cellStyle name="20% - Accent4 2 2 7" xfId="2291" xr:uid="{00000000-0005-0000-0000-000008020000}"/>
    <cellStyle name="20% - Accent4 2 2 7 2" xfId="6599" xr:uid="{00000000-0005-0000-0000-000009020000}"/>
    <cellStyle name="20% - Accent4 2 2 7 3" xfId="10810" xr:uid="{667E5019-1766-4CC1-9160-5AA858F36B4E}"/>
    <cellStyle name="20% - Accent4 2 2 7 4" xfId="15021" xr:uid="{05CEA140-859C-4811-B0D9-325968F2B9C0}"/>
    <cellStyle name="20% - Accent4 2 2 8" xfId="4533" xr:uid="{00000000-0005-0000-0000-00000A020000}"/>
    <cellStyle name="20% - Accent4 2 2 9" xfId="8744" xr:uid="{420CF2D4-EB27-41E2-9584-C7E46805A285}"/>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2 3" xfId="11305" xr:uid="{3BD2AE1F-048D-4ABC-B47E-1CF713BF05B9}"/>
    <cellStyle name="20% - Accent4 2 3 2 2 4" xfId="15516" xr:uid="{C2BB85A3-66C9-4815-85C9-0C4BC76CD728}"/>
    <cellStyle name="20% - Accent4 2 3 2 3" xfId="4949" xr:uid="{00000000-0005-0000-0000-00000F020000}"/>
    <cellStyle name="20% - Accent4 2 3 2 4" xfId="9160" xr:uid="{D57FD2A2-E5B9-4DDD-B656-F82CD2554123}"/>
    <cellStyle name="20% - Accent4 2 3 2 5" xfId="13371" xr:uid="{89F649B9-A9DC-4A17-BAB3-FA5FE120CACC}"/>
    <cellStyle name="20% - Accent4 2 3 3" xfId="1052" xr:uid="{00000000-0005-0000-0000-000010020000}"/>
    <cellStyle name="20% - Accent4 2 3 3 2" xfId="3283" xr:uid="{00000000-0005-0000-0000-000011020000}"/>
    <cellStyle name="20% - Accent4 2 3 3 2 2" xfId="7507" xr:uid="{00000000-0005-0000-0000-000012020000}"/>
    <cellStyle name="20% - Accent4 2 3 3 2 3" xfId="11718" xr:uid="{BB92CDA0-D1F7-4252-AA0D-B29DBE822F2B}"/>
    <cellStyle name="20% - Accent4 2 3 3 2 4" xfId="15929" xr:uid="{A2178DD3-B6E4-4DDD-BAA8-03A6ADB6CD5A}"/>
    <cellStyle name="20% - Accent4 2 3 3 3" xfId="5362" xr:uid="{00000000-0005-0000-0000-000013020000}"/>
    <cellStyle name="20% - Accent4 2 3 3 4" xfId="9573" xr:uid="{19111E71-B45C-49FA-9FC0-5DC016E88D59}"/>
    <cellStyle name="20% - Accent4 2 3 3 5" xfId="13784" xr:uid="{7AB6666A-C00C-4AD4-AABB-769D4E83D96C}"/>
    <cellStyle name="20% - Accent4 2 3 4" xfId="1466" xr:uid="{00000000-0005-0000-0000-000014020000}"/>
    <cellStyle name="20% - Accent4 2 3 4 2" xfId="3696" xr:uid="{00000000-0005-0000-0000-000015020000}"/>
    <cellStyle name="20% - Accent4 2 3 4 2 2" xfId="7920" xr:uid="{00000000-0005-0000-0000-000016020000}"/>
    <cellStyle name="20% - Accent4 2 3 4 2 3" xfId="12131" xr:uid="{E10DC059-9740-46E6-8BF0-9DE5B7273E1B}"/>
    <cellStyle name="20% - Accent4 2 3 4 2 4" xfId="16342" xr:uid="{FE6C9636-04C6-4514-BB3C-AA4E578FDB62}"/>
    <cellStyle name="20% - Accent4 2 3 4 3" xfId="5775" xr:uid="{00000000-0005-0000-0000-000017020000}"/>
    <cellStyle name="20% - Accent4 2 3 4 4" xfId="9986" xr:uid="{09407CFF-1781-4002-8C07-C48F7145AF60}"/>
    <cellStyle name="20% - Accent4 2 3 4 5" xfId="14197" xr:uid="{BA8D4217-45B0-4F7F-ABF2-E88B908A552D}"/>
    <cellStyle name="20% - Accent4 2 3 5" xfId="1880" xr:uid="{00000000-0005-0000-0000-000018020000}"/>
    <cellStyle name="20% - Accent4 2 3 5 2" xfId="4109" xr:uid="{00000000-0005-0000-0000-000019020000}"/>
    <cellStyle name="20% - Accent4 2 3 5 2 2" xfId="8333" xr:uid="{00000000-0005-0000-0000-00001A020000}"/>
    <cellStyle name="20% - Accent4 2 3 5 2 3" xfId="12544" xr:uid="{1DC6EE61-58C6-4C02-B502-6D3E0DECD04E}"/>
    <cellStyle name="20% - Accent4 2 3 5 2 4" xfId="16755" xr:uid="{701CF949-147D-456B-A58A-BD051F591C1A}"/>
    <cellStyle name="20% - Accent4 2 3 5 3" xfId="6188" xr:uid="{00000000-0005-0000-0000-00001B020000}"/>
    <cellStyle name="20% - Accent4 2 3 5 4" xfId="10399" xr:uid="{767A2780-ACAB-4A8E-AD24-9D14C4A4362A}"/>
    <cellStyle name="20% - Accent4 2 3 5 5" xfId="14610" xr:uid="{0694875C-A098-4DBD-BF01-ED3B9E3F79D4}"/>
    <cellStyle name="20% - Accent4 2 3 6" xfId="2293" xr:uid="{00000000-0005-0000-0000-00001C020000}"/>
    <cellStyle name="20% - Accent4 2 3 6 2" xfId="6601" xr:uid="{00000000-0005-0000-0000-00001D020000}"/>
    <cellStyle name="20% - Accent4 2 3 6 3" xfId="10812" xr:uid="{9312CD3B-1D5F-4C21-8BD0-1A7B1C4DA3C6}"/>
    <cellStyle name="20% - Accent4 2 3 6 4" xfId="15023" xr:uid="{60258BCC-AD5D-4FBF-9A9F-E313EDAEBBCF}"/>
    <cellStyle name="20% - Accent4 2 3 7" xfId="4535" xr:uid="{00000000-0005-0000-0000-00001E020000}"/>
    <cellStyle name="20% - Accent4 2 3 8" xfId="8746" xr:uid="{67332F95-5299-40BE-A2D2-7779D84543A1}"/>
    <cellStyle name="20% - Accent4 2 3 9" xfId="12957" xr:uid="{2C9DFE8E-D38C-44A1-881B-3D839BBE47FD}"/>
    <cellStyle name="20% - Accent4 2 4" xfId="596" xr:uid="{00000000-0005-0000-0000-00001F020000}"/>
    <cellStyle name="20% - Accent4 2 4 2" xfId="2867" xr:uid="{00000000-0005-0000-0000-000020020000}"/>
    <cellStyle name="20% - Accent4 2 4 2 2" xfId="7091" xr:uid="{00000000-0005-0000-0000-000021020000}"/>
    <cellStyle name="20% - Accent4 2 4 2 3" xfId="11302" xr:uid="{44630A6B-EC2A-438F-86B8-6F784A7FF1BA}"/>
    <cellStyle name="20% - Accent4 2 4 2 4" xfId="15513" xr:uid="{D28DA29D-642E-479C-98C1-5AFE4D6D17B0}"/>
    <cellStyle name="20% - Accent4 2 4 3" xfId="4946" xr:uid="{00000000-0005-0000-0000-000022020000}"/>
    <cellStyle name="20% - Accent4 2 4 4" xfId="9157" xr:uid="{E5434DEB-E3F7-4D0C-AC13-87C7193176F3}"/>
    <cellStyle name="20% - Accent4 2 4 5" xfId="13368" xr:uid="{D0F2AB13-D698-4993-9EF2-3DAE6B74F31F}"/>
    <cellStyle name="20% - Accent4 2 5" xfId="1049" xr:uid="{00000000-0005-0000-0000-000023020000}"/>
    <cellStyle name="20% - Accent4 2 5 2" xfId="3280" xr:uid="{00000000-0005-0000-0000-000024020000}"/>
    <cellStyle name="20% - Accent4 2 5 2 2" xfId="7504" xr:uid="{00000000-0005-0000-0000-000025020000}"/>
    <cellStyle name="20% - Accent4 2 5 2 3" xfId="11715" xr:uid="{2BC5C8CB-31B1-4473-A694-0074BC54A42B}"/>
    <cellStyle name="20% - Accent4 2 5 2 4" xfId="15926" xr:uid="{22E6D54C-7395-450D-97E8-CFCC768E627D}"/>
    <cellStyle name="20% - Accent4 2 5 3" xfId="5359" xr:uid="{00000000-0005-0000-0000-000026020000}"/>
    <cellStyle name="20% - Accent4 2 5 4" xfId="9570" xr:uid="{55D47C33-E9D0-4D25-8377-6F2AC50D9274}"/>
    <cellStyle name="20% - Accent4 2 5 5" xfId="13781" xr:uid="{5C407913-E46F-42DE-87F6-6452A00784EF}"/>
    <cellStyle name="20% - Accent4 2 6" xfId="1463" xr:uid="{00000000-0005-0000-0000-000027020000}"/>
    <cellStyle name="20% - Accent4 2 6 2" xfId="3693" xr:uid="{00000000-0005-0000-0000-000028020000}"/>
    <cellStyle name="20% - Accent4 2 6 2 2" xfId="7917" xr:uid="{00000000-0005-0000-0000-000029020000}"/>
    <cellStyle name="20% - Accent4 2 6 2 3" xfId="12128" xr:uid="{8B0A4F93-1E2E-4978-8E7B-EB8BF671978B}"/>
    <cellStyle name="20% - Accent4 2 6 2 4" xfId="16339" xr:uid="{AF248E42-B688-4334-A803-8D59843725CC}"/>
    <cellStyle name="20% - Accent4 2 6 3" xfId="5772" xr:uid="{00000000-0005-0000-0000-00002A020000}"/>
    <cellStyle name="20% - Accent4 2 6 4" xfId="9983" xr:uid="{AE823E3D-1695-4F2B-9A90-38D3BD5DF8C9}"/>
    <cellStyle name="20% - Accent4 2 6 5" xfId="14194" xr:uid="{30230E4E-6A4E-4B19-9296-7F3C9C1C5992}"/>
    <cellStyle name="20% - Accent4 2 7" xfId="1877" xr:uid="{00000000-0005-0000-0000-00002B020000}"/>
    <cellStyle name="20% - Accent4 2 7 2" xfId="4106" xr:uid="{00000000-0005-0000-0000-00002C020000}"/>
    <cellStyle name="20% - Accent4 2 7 2 2" xfId="8330" xr:uid="{00000000-0005-0000-0000-00002D020000}"/>
    <cellStyle name="20% - Accent4 2 7 2 3" xfId="12541" xr:uid="{80F9E790-BDD9-456C-ACF1-38A6A7E34705}"/>
    <cellStyle name="20% - Accent4 2 7 2 4" xfId="16752" xr:uid="{2AB35821-8252-4E04-B1DF-033BD73B74D4}"/>
    <cellStyle name="20% - Accent4 2 7 3" xfId="6185" xr:uid="{00000000-0005-0000-0000-00002E020000}"/>
    <cellStyle name="20% - Accent4 2 7 4" xfId="10396" xr:uid="{3A1FE3FD-671B-4E6E-A51B-2AEC384347DF}"/>
    <cellStyle name="20% - Accent4 2 7 5" xfId="14607" xr:uid="{0D6B0740-80F9-4A15-B411-C6BF280C8C83}"/>
    <cellStyle name="20% - Accent4 2 8" xfId="2290" xr:uid="{00000000-0005-0000-0000-00002F020000}"/>
    <cellStyle name="20% - Accent4 2 8 2" xfId="6598" xr:uid="{00000000-0005-0000-0000-000030020000}"/>
    <cellStyle name="20% - Accent4 2 8 3" xfId="10809" xr:uid="{829B9135-4C86-4BBA-A828-66EDFA557656}"/>
    <cellStyle name="20% - Accent4 2 8 4" xfId="15020" xr:uid="{1BCDB449-0A7E-4076-9F3D-449BCAB4786F}"/>
    <cellStyle name="20% - Accent4 2 9" xfId="4532" xr:uid="{00000000-0005-0000-0000-000031020000}"/>
    <cellStyle name="20% - Accent4 3" xfId="30" xr:uid="{00000000-0005-0000-0000-000032020000}"/>
    <cellStyle name="20% - Accent4 3 10" xfId="12958" xr:uid="{F1F6E8FC-C657-4107-97C7-D0E25A02DDCB}"/>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2 3" xfId="11307" xr:uid="{44B1CBF2-830F-40D8-B5DA-D83D1C0D527E}"/>
    <cellStyle name="20% - Accent4 3 2 2 2 4" xfId="15518" xr:uid="{C000740F-0361-4A9D-83D2-A7BFCF43797D}"/>
    <cellStyle name="20% - Accent4 3 2 2 3" xfId="4951" xr:uid="{00000000-0005-0000-0000-000037020000}"/>
    <cellStyle name="20% - Accent4 3 2 2 4" xfId="9162" xr:uid="{CB2F75D7-D0A6-4DDA-B57A-1BCEB81EAAC3}"/>
    <cellStyle name="20% - Accent4 3 2 2 5" xfId="13373" xr:uid="{4BBDABEA-2432-4E81-98F2-B5A91242C5E9}"/>
    <cellStyle name="20% - Accent4 3 2 3" xfId="1054" xr:uid="{00000000-0005-0000-0000-000038020000}"/>
    <cellStyle name="20% - Accent4 3 2 3 2" xfId="3285" xr:uid="{00000000-0005-0000-0000-000039020000}"/>
    <cellStyle name="20% - Accent4 3 2 3 2 2" xfId="7509" xr:uid="{00000000-0005-0000-0000-00003A020000}"/>
    <cellStyle name="20% - Accent4 3 2 3 2 3" xfId="11720" xr:uid="{1481EA12-6ECF-484D-8E05-4EE941858871}"/>
    <cellStyle name="20% - Accent4 3 2 3 2 4" xfId="15931" xr:uid="{152832D2-6962-4D71-88B4-5376FAEE8002}"/>
    <cellStyle name="20% - Accent4 3 2 3 3" xfId="5364" xr:uid="{00000000-0005-0000-0000-00003B020000}"/>
    <cellStyle name="20% - Accent4 3 2 3 4" xfId="9575" xr:uid="{F5127CFB-4BFC-4BE5-8D82-FA1BC5042B20}"/>
    <cellStyle name="20% - Accent4 3 2 3 5" xfId="13786" xr:uid="{53F69202-1FE0-4022-AEFB-C9D49C4F762B}"/>
    <cellStyle name="20% - Accent4 3 2 4" xfId="1468" xr:uid="{00000000-0005-0000-0000-00003C020000}"/>
    <cellStyle name="20% - Accent4 3 2 4 2" xfId="3698" xr:uid="{00000000-0005-0000-0000-00003D020000}"/>
    <cellStyle name="20% - Accent4 3 2 4 2 2" xfId="7922" xr:uid="{00000000-0005-0000-0000-00003E020000}"/>
    <cellStyle name="20% - Accent4 3 2 4 2 3" xfId="12133" xr:uid="{B0577FB8-770B-41AD-AF37-FEF9A8797C1B}"/>
    <cellStyle name="20% - Accent4 3 2 4 2 4" xfId="16344" xr:uid="{B13329F0-84AD-4CD3-B81B-270AB9CF5606}"/>
    <cellStyle name="20% - Accent4 3 2 4 3" xfId="5777" xr:uid="{00000000-0005-0000-0000-00003F020000}"/>
    <cellStyle name="20% - Accent4 3 2 4 4" xfId="9988" xr:uid="{EAFF2A19-AB72-4D08-9C9B-7FC53CA08493}"/>
    <cellStyle name="20% - Accent4 3 2 4 5" xfId="14199" xr:uid="{54DA03D0-16E3-4E78-9651-62730289D9B8}"/>
    <cellStyle name="20% - Accent4 3 2 5" xfId="1882" xr:uid="{00000000-0005-0000-0000-000040020000}"/>
    <cellStyle name="20% - Accent4 3 2 5 2" xfId="4111" xr:uid="{00000000-0005-0000-0000-000041020000}"/>
    <cellStyle name="20% - Accent4 3 2 5 2 2" xfId="8335" xr:uid="{00000000-0005-0000-0000-000042020000}"/>
    <cellStyle name="20% - Accent4 3 2 5 2 3" xfId="12546" xr:uid="{CAC78A70-B389-48F4-AE9C-6ACEB6CB364E}"/>
    <cellStyle name="20% - Accent4 3 2 5 2 4" xfId="16757" xr:uid="{DF408531-09EB-4A6C-9573-B020063A8E50}"/>
    <cellStyle name="20% - Accent4 3 2 5 3" xfId="6190" xr:uid="{00000000-0005-0000-0000-000043020000}"/>
    <cellStyle name="20% - Accent4 3 2 5 4" xfId="10401" xr:uid="{C2CB6CA5-06CD-4799-82E9-5026C5312ECF}"/>
    <cellStyle name="20% - Accent4 3 2 5 5" xfId="14612" xr:uid="{E901F91B-4A0B-4C07-A3E8-EF1A7AA2251C}"/>
    <cellStyle name="20% - Accent4 3 2 6" xfId="2295" xr:uid="{00000000-0005-0000-0000-000044020000}"/>
    <cellStyle name="20% - Accent4 3 2 6 2" xfId="6603" xr:uid="{00000000-0005-0000-0000-000045020000}"/>
    <cellStyle name="20% - Accent4 3 2 6 3" xfId="10814" xr:uid="{747048C3-AC43-4805-B947-A0C8BD4F7FDF}"/>
    <cellStyle name="20% - Accent4 3 2 6 4" xfId="15025" xr:uid="{7C9B804F-6F10-4155-A5EE-1F88E10CB61B}"/>
    <cellStyle name="20% - Accent4 3 2 7" xfId="4537" xr:uid="{00000000-0005-0000-0000-000046020000}"/>
    <cellStyle name="20% - Accent4 3 2 8" xfId="8748" xr:uid="{136D4350-8D1A-4048-9BBD-C2BC80B108BB}"/>
    <cellStyle name="20% - Accent4 3 2 9" xfId="12959" xr:uid="{8FE7AD42-AC5F-4DB6-9F3F-C4DBCB8B0ADA}"/>
    <cellStyle name="20% - Accent4 3 3" xfId="600" xr:uid="{00000000-0005-0000-0000-000047020000}"/>
    <cellStyle name="20% - Accent4 3 3 2" xfId="2871" xr:uid="{00000000-0005-0000-0000-000048020000}"/>
    <cellStyle name="20% - Accent4 3 3 2 2" xfId="7095" xr:uid="{00000000-0005-0000-0000-000049020000}"/>
    <cellStyle name="20% - Accent4 3 3 2 3" xfId="11306" xr:uid="{3F5CA2DB-3216-41DE-83E4-036225618AC6}"/>
    <cellStyle name="20% - Accent4 3 3 2 4" xfId="15517" xr:uid="{5E5CEBB5-201F-45AE-B659-7A424246D9B5}"/>
    <cellStyle name="20% - Accent4 3 3 3" xfId="4950" xr:uid="{00000000-0005-0000-0000-00004A020000}"/>
    <cellStyle name="20% - Accent4 3 3 4" xfId="9161" xr:uid="{F2029676-A945-47D3-9610-7661F728D797}"/>
    <cellStyle name="20% - Accent4 3 3 5" xfId="13372" xr:uid="{27448C33-789D-40F3-8488-35D43011450B}"/>
    <cellStyle name="20% - Accent4 3 4" xfId="1053" xr:uid="{00000000-0005-0000-0000-00004B020000}"/>
    <cellStyle name="20% - Accent4 3 4 2" xfId="3284" xr:uid="{00000000-0005-0000-0000-00004C020000}"/>
    <cellStyle name="20% - Accent4 3 4 2 2" xfId="7508" xr:uid="{00000000-0005-0000-0000-00004D020000}"/>
    <cellStyle name="20% - Accent4 3 4 2 3" xfId="11719" xr:uid="{A45AFD24-C885-47D8-9DAF-4F1D71CB4510}"/>
    <cellStyle name="20% - Accent4 3 4 2 4" xfId="15930" xr:uid="{CA8B7AB2-F979-4277-9B35-6D0002473D24}"/>
    <cellStyle name="20% - Accent4 3 4 3" xfId="5363" xr:uid="{00000000-0005-0000-0000-00004E020000}"/>
    <cellStyle name="20% - Accent4 3 4 4" xfId="9574" xr:uid="{5FB5B1D4-B1D9-4779-ADD8-C6446C9F02A9}"/>
    <cellStyle name="20% - Accent4 3 4 5" xfId="13785" xr:uid="{68D76308-EC41-477F-BE3B-E38DD49CFBD6}"/>
    <cellStyle name="20% - Accent4 3 5" xfId="1467" xr:uid="{00000000-0005-0000-0000-00004F020000}"/>
    <cellStyle name="20% - Accent4 3 5 2" xfId="3697" xr:uid="{00000000-0005-0000-0000-000050020000}"/>
    <cellStyle name="20% - Accent4 3 5 2 2" xfId="7921" xr:uid="{00000000-0005-0000-0000-000051020000}"/>
    <cellStyle name="20% - Accent4 3 5 2 3" xfId="12132" xr:uid="{48C76D2E-4CCB-45BB-ACAE-2ECE379CA553}"/>
    <cellStyle name="20% - Accent4 3 5 2 4" xfId="16343" xr:uid="{9813FA98-38A2-44CB-B6CB-D5D604CA06BA}"/>
    <cellStyle name="20% - Accent4 3 5 3" xfId="5776" xr:uid="{00000000-0005-0000-0000-000052020000}"/>
    <cellStyle name="20% - Accent4 3 5 4" xfId="9987" xr:uid="{1D64A47A-888D-4064-BBB0-38EAF882AB4A}"/>
    <cellStyle name="20% - Accent4 3 5 5" xfId="14198" xr:uid="{781D2CF7-D899-4F32-9788-DBEC76AD233B}"/>
    <cellStyle name="20% - Accent4 3 6" xfId="1881" xr:uid="{00000000-0005-0000-0000-000053020000}"/>
    <cellStyle name="20% - Accent4 3 6 2" xfId="4110" xr:uid="{00000000-0005-0000-0000-000054020000}"/>
    <cellStyle name="20% - Accent4 3 6 2 2" xfId="8334" xr:uid="{00000000-0005-0000-0000-000055020000}"/>
    <cellStyle name="20% - Accent4 3 6 2 3" xfId="12545" xr:uid="{0FE9EFB2-CAA2-4A00-87A0-768B806DDCE3}"/>
    <cellStyle name="20% - Accent4 3 6 2 4" xfId="16756" xr:uid="{43E756B8-12CC-4246-9A4A-15FBF109412D}"/>
    <cellStyle name="20% - Accent4 3 6 3" xfId="6189" xr:uid="{00000000-0005-0000-0000-000056020000}"/>
    <cellStyle name="20% - Accent4 3 6 4" xfId="10400" xr:uid="{E3641926-AE3D-46D5-B4F8-BF4AF1E8FB0D}"/>
    <cellStyle name="20% - Accent4 3 6 5" xfId="14611" xr:uid="{EF264E7B-488D-422A-B853-8B26F3527CBE}"/>
    <cellStyle name="20% - Accent4 3 7" xfId="2294" xr:uid="{00000000-0005-0000-0000-000057020000}"/>
    <cellStyle name="20% - Accent4 3 7 2" xfId="6602" xr:uid="{00000000-0005-0000-0000-000058020000}"/>
    <cellStyle name="20% - Accent4 3 7 3" xfId="10813" xr:uid="{03273207-4DC6-4930-86BE-DA52AE77D419}"/>
    <cellStyle name="20% - Accent4 3 7 4" xfId="15024" xr:uid="{B845B55A-8DE8-48F4-9D40-D1E6BD3A534C}"/>
    <cellStyle name="20% - Accent4 3 8" xfId="4536" xr:uid="{00000000-0005-0000-0000-000059020000}"/>
    <cellStyle name="20% - Accent4 3 9" xfId="8747" xr:uid="{C425D29B-95AC-40CF-8E24-1BCD8C0F14DA}"/>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2 3" xfId="11308" xr:uid="{D8F545F2-157A-47EF-AABA-FF78DD738241}"/>
    <cellStyle name="20% - Accent4 4 2 2 4" xfId="15519" xr:uid="{3B651230-A76A-481F-B025-62A5823FE5C0}"/>
    <cellStyle name="20% - Accent4 4 2 3" xfId="4952" xr:uid="{00000000-0005-0000-0000-00005E020000}"/>
    <cellStyle name="20% - Accent4 4 2 4" xfId="9163" xr:uid="{E70E4335-00F1-479F-BD56-2259251D147B}"/>
    <cellStyle name="20% - Accent4 4 2 5" xfId="13374" xr:uid="{112D0871-8D59-4DA1-9380-A05E095F22BA}"/>
    <cellStyle name="20% - Accent4 4 3" xfId="1055" xr:uid="{00000000-0005-0000-0000-00005F020000}"/>
    <cellStyle name="20% - Accent4 4 3 2" xfId="3286" xr:uid="{00000000-0005-0000-0000-000060020000}"/>
    <cellStyle name="20% - Accent4 4 3 2 2" xfId="7510" xr:uid="{00000000-0005-0000-0000-000061020000}"/>
    <cellStyle name="20% - Accent4 4 3 2 3" xfId="11721" xr:uid="{85380345-004C-449E-8C9C-665A12802CC8}"/>
    <cellStyle name="20% - Accent4 4 3 2 4" xfId="15932" xr:uid="{2DD41993-8E02-470E-89A1-A11A168BDCA7}"/>
    <cellStyle name="20% - Accent4 4 3 3" xfId="5365" xr:uid="{00000000-0005-0000-0000-000062020000}"/>
    <cellStyle name="20% - Accent4 4 3 4" xfId="9576" xr:uid="{58A86A60-D294-4A4D-A1C4-7CFD68B887F2}"/>
    <cellStyle name="20% - Accent4 4 3 5" xfId="13787" xr:uid="{CF7E7DEB-FC55-4BF5-A91F-9C505B5C6C0A}"/>
    <cellStyle name="20% - Accent4 4 4" xfId="1469" xr:uid="{00000000-0005-0000-0000-000063020000}"/>
    <cellStyle name="20% - Accent4 4 4 2" xfId="3699" xr:uid="{00000000-0005-0000-0000-000064020000}"/>
    <cellStyle name="20% - Accent4 4 4 2 2" xfId="7923" xr:uid="{00000000-0005-0000-0000-000065020000}"/>
    <cellStyle name="20% - Accent4 4 4 2 3" xfId="12134" xr:uid="{112F7A21-BA09-4146-909A-ED5E9AC8AEE4}"/>
    <cellStyle name="20% - Accent4 4 4 2 4" xfId="16345" xr:uid="{B6E9BA3E-092B-4F0E-9A3D-8757A201951C}"/>
    <cellStyle name="20% - Accent4 4 4 3" xfId="5778" xr:uid="{00000000-0005-0000-0000-000066020000}"/>
    <cellStyle name="20% - Accent4 4 4 4" xfId="9989" xr:uid="{C8512171-73CF-46CE-A5C6-1A9C513AEDF5}"/>
    <cellStyle name="20% - Accent4 4 4 5" xfId="14200" xr:uid="{EC7C9C32-AC9F-4662-B3F3-EAAA57E2E020}"/>
    <cellStyle name="20% - Accent4 4 5" xfId="1883" xr:uid="{00000000-0005-0000-0000-000067020000}"/>
    <cellStyle name="20% - Accent4 4 5 2" xfId="4112" xr:uid="{00000000-0005-0000-0000-000068020000}"/>
    <cellStyle name="20% - Accent4 4 5 2 2" xfId="8336" xr:uid="{00000000-0005-0000-0000-000069020000}"/>
    <cellStyle name="20% - Accent4 4 5 2 3" xfId="12547" xr:uid="{A4709322-1E69-4505-A891-3EE21C4707D1}"/>
    <cellStyle name="20% - Accent4 4 5 2 4" xfId="16758" xr:uid="{35153CB5-BB2D-445E-994A-2C261B954E5F}"/>
    <cellStyle name="20% - Accent4 4 5 3" xfId="6191" xr:uid="{00000000-0005-0000-0000-00006A020000}"/>
    <cellStyle name="20% - Accent4 4 5 4" xfId="10402" xr:uid="{3E7D72AC-4CBB-4DD9-BDB7-CDCFD80373F4}"/>
    <cellStyle name="20% - Accent4 4 5 5" xfId="14613" xr:uid="{05D367AB-C468-49F1-B263-0C02C8DEE059}"/>
    <cellStyle name="20% - Accent4 4 6" xfId="2296" xr:uid="{00000000-0005-0000-0000-00006B020000}"/>
    <cellStyle name="20% - Accent4 4 6 2" xfId="6604" xr:uid="{00000000-0005-0000-0000-00006C020000}"/>
    <cellStyle name="20% - Accent4 4 6 3" xfId="10815" xr:uid="{80E6BDF8-EB8E-44CE-B6EB-BE140E2F0070}"/>
    <cellStyle name="20% - Accent4 4 6 4" xfId="15026" xr:uid="{528EB90F-B194-4E77-965F-7485AF997079}"/>
    <cellStyle name="20% - Accent4 4 7" xfId="4538" xr:uid="{00000000-0005-0000-0000-00006D020000}"/>
    <cellStyle name="20% - Accent4 4 8" xfId="8749" xr:uid="{8B2BB16D-5BC7-4D88-A144-7DCD36451D52}"/>
    <cellStyle name="20% - Accent4 4 9" xfId="12960" xr:uid="{0CB90A09-D46F-456D-85F6-F9871DB1C6E1}"/>
    <cellStyle name="20% - Accent4 5" xfId="595" xr:uid="{00000000-0005-0000-0000-00006E020000}"/>
    <cellStyle name="20% - Accent4 5 2" xfId="2866" xr:uid="{00000000-0005-0000-0000-00006F020000}"/>
    <cellStyle name="20% - Accent4 5 2 2" xfId="7090" xr:uid="{00000000-0005-0000-0000-000070020000}"/>
    <cellStyle name="20% - Accent4 5 2 3" xfId="11301" xr:uid="{0842AE60-7D84-485B-B718-9E0F2D29BC8B}"/>
    <cellStyle name="20% - Accent4 5 2 4" xfId="15512" xr:uid="{02D09345-5346-48E0-AF60-C6908CBAB7D7}"/>
    <cellStyle name="20% - Accent4 5 3" xfId="4945" xr:uid="{00000000-0005-0000-0000-000071020000}"/>
    <cellStyle name="20% - Accent4 5 4" xfId="9156" xr:uid="{324F7786-CAAE-4F34-B879-4839DF8808ED}"/>
    <cellStyle name="20% - Accent4 5 5" xfId="13367" xr:uid="{7E0881AA-CF81-446E-880B-D83220178D82}"/>
    <cellStyle name="20% - Accent4 6" xfId="1048" xr:uid="{00000000-0005-0000-0000-000072020000}"/>
    <cellStyle name="20% - Accent4 6 2" xfId="3279" xr:uid="{00000000-0005-0000-0000-000073020000}"/>
    <cellStyle name="20% - Accent4 6 2 2" xfId="7503" xr:uid="{00000000-0005-0000-0000-000074020000}"/>
    <cellStyle name="20% - Accent4 6 2 3" xfId="11714" xr:uid="{AA9DBC06-543F-45EE-8ABC-4AC747390CF9}"/>
    <cellStyle name="20% - Accent4 6 2 4" xfId="15925" xr:uid="{693BE18A-77FE-4CB1-851B-D28CFADD5404}"/>
    <cellStyle name="20% - Accent4 6 3" xfId="5358" xr:uid="{00000000-0005-0000-0000-000075020000}"/>
    <cellStyle name="20% - Accent4 6 4" xfId="9569" xr:uid="{A71F9B6E-6B12-427A-BD69-58A3F5D289D4}"/>
    <cellStyle name="20% - Accent4 6 5" xfId="13780" xr:uid="{E105CF00-C8C3-4272-B942-D5212BF19D48}"/>
    <cellStyle name="20% - Accent4 7" xfId="1462" xr:uid="{00000000-0005-0000-0000-000076020000}"/>
    <cellStyle name="20% - Accent4 7 2" xfId="3692" xr:uid="{00000000-0005-0000-0000-000077020000}"/>
    <cellStyle name="20% - Accent4 7 2 2" xfId="7916" xr:uid="{00000000-0005-0000-0000-000078020000}"/>
    <cellStyle name="20% - Accent4 7 2 3" xfId="12127" xr:uid="{D3234421-DBEE-4E28-9729-CA924F2F28EC}"/>
    <cellStyle name="20% - Accent4 7 2 4" xfId="16338" xr:uid="{BB767BEF-502F-484E-A36C-14A70C0C8C20}"/>
    <cellStyle name="20% - Accent4 7 3" xfId="5771" xr:uid="{00000000-0005-0000-0000-000079020000}"/>
    <cellStyle name="20% - Accent4 7 4" xfId="9982" xr:uid="{43F20BF9-0676-46AC-92BC-EEB966E17CB3}"/>
    <cellStyle name="20% - Accent4 7 5" xfId="14193" xr:uid="{7A05E269-096A-4737-B6CE-8C10CD8E0DBB}"/>
    <cellStyle name="20% - Accent4 8" xfId="1876" xr:uid="{00000000-0005-0000-0000-00007A020000}"/>
    <cellStyle name="20% - Accent4 8 2" xfId="4105" xr:uid="{00000000-0005-0000-0000-00007B020000}"/>
    <cellStyle name="20% - Accent4 8 2 2" xfId="8329" xr:uid="{00000000-0005-0000-0000-00007C020000}"/>
    <cellStyle name="20% - Accent4 8 2 3" xfId="12540" xr:uid="{96B31FBE-3D6A-432F-BF80-9B217D204AD8}"/>
    <cellStyle name="20% - Accent4 8 2 4" xfId="16751" xr:uid="{605F28F0-AE70-4B05-A052-587DD9ADFDEC}"/>
    <cellStyle name="20% - Accent4 8 3" xfId="6184" xr:uid="{00000000-0005-0000-0000-00007D020000}"/>
    <cellStyle name="20% - Accent4 8 4" xfId="10395" xr:uid="{295B2AC3-7B4B-4400-95B9-BAD872C40D37}"/>
    <cellStyle name="20% - Accent4 8 5" xfId="14606" xr:uid="{292CC5CE-C30F-41EC-9E55-59AF7729305C}"/>
    <cellStyle name="20% - Accent4 9" xfId="2289" xr:uid="{00000000-0005-0000-0000-00007E020000}"/>
    <cellStyle name="20% - Accent4 9 2" xfId="6597" xr:uid="{00000000-0005-0000-0000-00007F020000}"/>
    <cellStyle name="20% - Accent4 9 3" xfId="10808" xr:uid="{41753FBE-CDC4-40E6-BC95-71165CE528E0}"/>
    <cellStyle name="20% - Accent4 9 4" xfId="15019" xr:uid="{8DA28174-1463-4FEB-A336-0E6A0FFB1DBC}"/>
    <cellStyle name="20% - Accent5" xfId="33" builtinId="46" customBuiltin="1"/>
    <cellStyle name="20% - Accent5 10" xfId="4539" xr:uid="{00000000-0005-0000-0000-000081020000}"/>
    <cellStyle name="20% - Accent5 11" xfId="8750" xr:uid="{25C14C1E-6A33-4AAD-A9B4-9F54CCA213C3}"/>
    <cellStyle name="20% - Accent5 12" xfId="12961" xr:uid="{4BFB208B-194F-4C54-8A73-889A6CFA4960}"/>
    <cellStyle name="20% - Accent5 2" xfId="34" xr:uid="{00000000-0005-0000-0000-000082020000}"/>
    <cellStyle name="20% - Accent5 2 10" xfId="8751" xr:uid="{86F0FE32-C897-4548-A901-D12E4CE5917A}"/>
    <cellStyle name="20% - Accent5 2 11" xfId="12962" xr:uid="{62B66C2B-E62A-4A75-9DCF-21BE40F69AF7}"/>
    <cellStyle name="20% - Accent5 2 2" xfId="35" xr:uid="{00000000-0005-0000-0000-000083020000}"/>
    <cellStyle name="20% - Accent5 2 2 10" xfId="12963" xr:uid="{4568927F-71A8-4134-9C3D-76D561929A2B}"/>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2 3" xfId="11312" xr:uid="{568DA047-D1F2-4992-B929-C212CA859350}"/>
    <cellStyle name="20% - Accent5 2 2 2 2 2 4" xfId="15523" xr:uid="{3B7E16FC-90FD-42A5-A0DF-E2D8CB16F8EF}"/>
    <cellStyle name="20% - Accent5 2 2 2 2 3" xfId="4956" xr:uid="{00000000-0005-0000-0000-000088020000}"/>
    <cellStyle name="20% - Accent5 2 2 2 2 4" xfId="9167" xr:uid="{323E39C6-364A-4ED8-A862-5C30D4D85BAC}"/>
    <cellStyle name="20% - Accent5 2 2 2 2 5" xfId="13378" xr:uid="{32682508-3868-4AB7-A449-5F87DC97859D}"/>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2 3" xfId="11725" xr:uid="{1E671790-BA15-4E52-AA22-75C63B07828C}"/>
    <cellStyle name="20% - Accent5 2 2 2 3 2 4" xfId="15936" xr:uid="{E626DB4A-786E-4D15-A24A-A37BD0C119BE}"/>
    <cellStyle name="20% - Accent5 2 2 2 3 3" xfId="5369" xr:uid="{00000000-0005-0000-0000-00008C020000}"/>
    <cellStyle name="20% - Accent5 2 2 2 3 4" xfId="9580" xr:uid="{D71CB443-6A57-4160-9D0C-F272D0E12D5B}"/>
    <cellStyle name="20% - Accent5 2 2 2 3 5" xfId="13791" xr:uid="{4D48547D-F973-4322-B3E6-C5F4670398BC}"/>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2 3" xfId="12138" xr:uid="{F7D1DE4F-57B7-4E99-9F08-C5482E09FFAE}"/>
    <cellStyle name="20% - Accent5 2 2 2 4 2 4" xfId="16349" xr:uid="{D21259A9-0A2A-43ED-A73F-7D1A5D7940F6}"/>
    <cellStyle name="20% - Accent5 2 2 2 4 3" xfId="5782" xr:uid="{00000000-0005-0000-0000-000090020000}"/>
    <cellStyle name="20% - Accent5 2 2 2 4 4" xfId="9993" xr:uid="{D0564641-18F3-4ED0-A37E-15F61802AA80}"/>
    <cellStyle name="20% - Accent5 2 2 2 4 5" xfId="14204" xr:uid="{6F0BFFD3-B67F-44B6-AF8E-BE6DAFA441F3}"/>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2 3" xfId="12551" xr:uid="{94A6C954-B6D3-4153-9DAC-FF89E7A3E3CC}"/>
    <cellStyle name="20% - Accent5 2 2 2 5 2 4" xfId="16762" xr:uid="{B7FEAD0D-CA8E-44B6-B894-E4FF716CDFA1}"/>
    <cellStyle name="20% - Accent5 2 2 2 5 3" xfId="6195" xr:uid="{00000000-0005-0000-0000-000094020000}"/>
    <cellStyle name="20% - Accent5 2 2 2 5 4" xfId="10406" xr:uid="{5A435462-07F6-4D56-9C41-8864F93BC86A}"/>
    <cellStyle name="20% - Accent5 2 2 2 5 5" xfId="14617" xr:uid="{ECDC5EC6-D63D-45CF-9582-B187B09EB7DA}"/>
    <cellStyle name="20% - Accent5 2 2 2 6" xfId="2300" xr:uid="{00000000-0005-0000-0000-000095020000}"/>
    <cellStyle name="20% - Accent5 2 2 2 6 2" xfId="6608" xr:uid="{00000000-0005-0000-0000-000096020000}"/>
    <cellStyle name="20% - Accent5 2 2 2 6 3" xfId="10819" xr:uid="{8CCCBE1E-58CC-4E39-ACAB-3831C6F219CE}"/>
    <cellStyle name="20% - Accent5 2 2 2 6 4" xfId="15030" xr:uid="{CA9771F3-306B-441D-97DE-668DD2A08EF7}"/>
    <cellStyle name="20% - Accent5 2 2 2 7" xfId="4542" xr:uid="{00000000-0005-0000-0000-000097020000}"/>
    <cellStyle name="20% - Accent5 2 2 2 8" xfId="8753" xr:uid="{644E4069-AFC9-4314-BE6E-9B5D093BC3FA}"/>
    <cellStyle name="20% - Accent5 2 2 2 9" xfId="12964" xr:uid="{47E1673B-8CD7-4D0B-9E31-F33599DB2313}"/>
    <cellStyle name="20% - Accent5 2 2 3" xfId="605" xr:uid="{00000000-0005-0000-0000-000098020000}"/>
    <cellStyle name="20% - Accent5 2 2 3 2" xfId="2876" xr:uid="{00000000-0005-0000-0000-000099020000}"/>
    <cellStyle name="20% - Accent5 2 2 3 2 2" xfId="7100" xr:uid="{00000000-0005-0000-0000-00009A020000}"/>
    <cellStyle name="20% - Accent5 2 2 3 2 3" xfId="11311" xr:uid="{39C0F1D0-F202-4D85-8EA2-D9EC876088C3}"/>
    <cellStyle name="20% - Accent5 2 2 3 2 4" xfId="15522" xr:uid="{4E38AC39-4802-422E-9652-BCEEF5891B21}"/>
    <cellStyle name="20% - Accent5 2 2 3 3" xfId="4955" xr:uid="{00000000-0005-0000-0000-00009B020000}"/>
    <cellStyle name="20% - Accent5 2 2 3 4" xfId="9166" xr:uid="{4080FDDE-BA8D-4980-96C1-5F9E46879577}"/>
    <cellStyle name="20% - Accent5 2 2 3 5" xfId="13377" xr:uid="{F1B1464D-6347-4E94-AD6D-FF8A3161081F}"/>
    <cellStyle name="20% - Accent5 2 2 4" xfId="1058" xr:uid="{00000000-0005-0000-0000-00009C020000}"/>
    <cellStyle name="20% - Accent5 2 2 4 2" xfId="3289" xr:uid="{00000000-0005-0000-0000-00009D020000}"/>
    <cellStyle name="20% - Accent5 2 2 4 2 2" xfId="7513" xr:uid="{00000000-0005-0000-0000-00009E020000}"/>
    <cellStyle name="20% - Accent5 2 2 4 2 3" xfId="11724" xr:uid="{27B05F3B-66EA-42A9-BB03-75E92ABBEE12}"/>
    <cellStyle name="20% - Accent5 2 2 4 2 4" xfId="15935" xr:uid="{9C08D145-31EB-4F19-8A40-9A30918CF52E}"/>
    <cellStyle name="20% - Accent5 2 2 4 3" xfId="5368" xr:uid="{00000000-0005-0000-0000-00009F020000}"/>
    <cellStyle name="20% - Accent5 2 2 4 4" xfId="9579" xr:uid="{C8103B0D-A98B-4267-AA7B-EDD50A58CB6D}"/>
    <cellStyle name="20% - Accent5 2 2 4 5" xfId="13790" xr:uid="{27F33196-2B83-47C5-8D06-00A4AF5519E6}"/>
    <cellStyle name="20% - Accent5 2 2 5" xfId="1472" xr:uid="{00000000-0005-0000-0000-0000A0020000}"/>
    <cellStyle name="20% - Accent5 2 2 5 2" xfId="3702" xr:uid="{00000000-0005-0000-0000-0000A1020000}"/>
    <cellStyle name="20% - Accent5 2 2 5 2 2" xfId="7926" xr:uid="{00000000-0005-0000-0000-0000A2020000}"/>
    <cellStyle name="20% - Accent5 2 2 5 2 3" xfId="12137" xr:uid="{E368D514-2DA3-413E-B0EE-94A27CEEFA11}"/>
    <cellStyle name="20% - Accent5 2 2 5 2 4" xfId="16348" xr:uid="{02C18105-4B89-40A5-81E7-D5DC5EDE546F}"/>
    <cellStyle name="20% - Accent5 2 2 5 3" xfId="5781" xr:uid="{00000000-0005-0000-0000-0000A3020000}"/>
    <cellStyle name="20% - Accent5 2 2 5 4" xfId="9992" xr:uid="{D8277715-D6ED-43A9-B72C-3903999C0FF3}"/>
    <cellStyle name="20% - Accent5 2 2 5 5" xfId="14203" xr:uid="{F2934C16-56FB-46BC-B0A8-A4F715D40E7A}"/>
    <cellStyle name="20% - Accent5 2 2 6" xfId="1886" xr:uid="{00000000-0005-0000-0000-0000A4020000}"/>
    <cellStyle name="20% - Accent5 2 2 6 2" xfId="4115" xr:uid="{00000000-0005-0000-0000-0000A5020000}"/>
    <cellStyle name="20% - Accent5 2 2 6 2 2" xfId="8339" xr:uid="{00000000-0005-0000-0000-0000A6020000}"/>
    <cellStyle name="20% - Accent5 2 2 6 2 3" xfId="12550" xr:uid="{D1BB0457-37FF-4D97-A1CB-3BAE95793F7A}"/>
    <cellStyle name="20% - Accent5 2 2 6 2 4" xfId="16761" xr:uid="{A7CE3A84-8EDF-4B21-BFE5-737466EB30DA}"/>
    <cellStyle name="20% - Accent5 2 2 6 3" xfId="6194" xr:uid="{00000000-0005-0000-0000-0000A7020000}"/>
    <cellStyle name="20% - Accent5 2 2 6 4" xfId="10405" xr:uid="{3A51D6CE-A335-424C-AED2-1BD4222F7A9A}"/>
    <cellStyle name="20% - Accent5 2 2 6 5" xfId="14616" xr:uid="{E95259F5-13B8-442B-B7EE-B1A1E4668EB2}"/>
    <cellStyle name="20% - Accent5 2 2 7" xfId="2299" xr:uid="{00000000-0005-0000-0000-0000A8020000}"/>
    <cellStyle name="20% - Accent5 2 2 7 2" xfId="6607" xr:uid="{00000000-0005-0000-0000-0000A9020000}"/>
    <cellStyle name="20% - Accent5 2 2 7 3" xfId="10818" xr:uid="{5DF96B2C-BCF3-4224-85E5-13370FD3BB3F}"/>
    <cellStyle name="20% - Accent5 2 2 7 4" xfId="15029" xr:uid="{820F1AFA-A481-4A6A-BEF8-8DB6C0434FB0}"/>
    <cellStyle name="20% - Accent5 2 2 8" xfId="4541" xr:uid="{00000000-0005-0000-0000-0000AA020000}"/>
    <cellStyle name="20% - Accent5 2 2 9" xfId="8752" xr:uid="{8FE38534-F088-492E-A53C-721D7C879FE5}"/>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2 3" xfId="11313" xr:uid="{FA54DA83-1007-46B8-BFD6-D1AEF31B6D5A}"/>
    <cellStyle name="20% - Accent5 2 3 2 2 4" xfId="15524" xr:uid="{B04B0A2D-EBD3-408D-9BF9-27143CE36E67}"/>
    <cellStyle name="20% - Accent5 2 3 2 3" xfId="4957" xr:uid="{00000000-0005-0000-0000-0000AF020000}"/>
    <cellStyle name="20% - Accent5 2 3 2 4" xfId="9168" xr:uid="{DBDDF2B7-D7AD-4563-9B6C-23AB8535EC50}"/>
    <cellStyle name="20% - Accent5 2 3 2 5" xfId="13379" xr:uid="{2149E60F-378F-4E28-BDE1-ECA508EDCD4D}"/>
    <cellStyle name="20% - Accent5 2 3 3" xfId="1060" xr:uid="{00000000-0005-0000-0000-0000B0020000}"/>
    <cellStyle name="20% - Accent5 2 3 3 2" xfId="3291" xr:uid="{00000000-0005-0000-0000-0000B1020000}"/>
    <cellStyle name="20% - Accent5 2 3 3 2 2" xfId="7515" xr:uid="{00000000-0005-0000-0000-0000B2020000}"/>
    <cellStyle name="20% - Accent5 2 3 3 2 3" xfId="11726" xr:uid="{35A8A457-CEB5-4024-A86C-EA8517C6859C}"/>
    <cellStyle name="20% - Accent5 2 3 3 2 4" xfId="15937" xr:uid="{8C85DA4B-F870-41DF-953F-289D4A7E339B}"/>
    <cellStyle name="20% - Accent5 2 3 3 3" xfId="5370" xr:uid="{00000000-0005-0000-0000-0000B3020000}"/>
    <cellStyle name="20% - Accent5 2 3 3 4" xfId="9581" xr:uid="{002EA210-ACA8-4933-8DE0-6ED834553ED1}"/>
    <cellStyle name="20% - Accent5 2 3 3 5" xfId="13792" xr:uid="{275D8501-F591-4F88-980A-FB5DAEA50292}"/>
    <cellStyle name="20% - Accent5 2 3 4" xfId="1474" xr:uid="{00000000-0005-0000-0000-0000B4020000}"/>
    <cellStyle name="20% - Accent5 2 3 4 2" xfId="3704" xr:uid="{00000000-0005-0000-0000-0000B5020000}"/>
    <cellStyle name="20% - Accent5 2 3 4 2 2" xfId="7928" xr:uid="{00000000-0005-0000-0000-0000B6020000}"/>
    <cellStyle name="20% - Accent5 2 3 4 2 3" xfId="12139" xr:uid="{6F62AC4F-DD63-426B-A7C5-B7F191316846}"/>
    <cellStyle name="20% - Accent5 2 3 4 2 4" xfId="16350" xr:uid="{EB3C44F4-DB98-4FF5-BA61-996460170E86}"/>
    <cellStyle name="20% - Accent5 2 3 4 3" xfId="5783" xr:uid="{00000000-0005-0000-0000-0000B7020000}"/>
    <cellStyle name="20% - Accent5 2 3 4 4" xfId="9994" xr:uid="{EFF57557-520E-4189-A1A4-92E0E49B56E2}"/>
    <cellStyle name="20% - Accent5 2 3 4 5" xfId="14205" xr:uid="{2573C57A-043D-498D-A45B-760F28BC265D}"/>
    <cellStyle name="20% - Accent5 2 3 5" xfId="1888" xr:uid="{00000000-0005-0000-0000-0000B8020000}"/>
    <cellStyle name="20% - Accent5 2 3 5 2" xfId="4117" xr:uid="{00000000-0005-0000-0000-0000B9020000}"/>
    <cellStyle name="20% - Accent5 2 3 5 2 2" xfId="8341" xr:uid="{00000000-0005-0000-0000-0000BA020000}"/>
    <cellStyle name="20% - Accent5 2 3 5 2 3" xfId="12552" xr:uid="{CB834311-ED08-4528-8637-5AA022D34E95}"/>
    <cellStyle name="20% - Accent5 2 3 5 2 4" xfId="16763" xr:uid="{94763A0A-79B0-46C9-B590-A5993D1B43C2}"/>
    <cellStyle name="20% - Accent5 2 3 5 3" xfId="6196" xr:uid="{00000000-0005-0000-0000-0000BB020000}"/>
    <cellStyle name="20% - Accent5 2 3 5 4" xfId="10407" xr:uid="{250E7EBF-A38B-4D66-BB2E-699053913284}"/>
    <cellStyle name="20% - Accent5 2 3 5 5" xfId="14618" xr:uid="{96F9F722-D0FB-44D0-AE76-0D59E82E7212}"/>
    <cellStyle name="20% - Accent5 2 3 6" xfId="2301" xr:uid="{00000000-0005-0000-0000-0000BC020000}"/>
    <cellStyle name="20% - Accent5 2 3 6 2" xfId="6609" xr:uid="{00000000-0005-0000-0000-0000BD020000}"/>
    <cellStyle name="20% - Accent5 2 3 6 3" xfId="10820" xr:uid="{A6794F83-6B7B-492F-8425-373623C4A5D4}"/>
    <cellStyle name="20% - Accent5 2 3 6 4" xfId="15031" xr:uid="{9A076693-9D3A-4DC1-887F-E4ABEE66A3D3}"/>
    <cellStyle name="20% - Accent5 2 3 7" xfId="4543" xr:uid="{00000000-0005-0000-0000-0000BE020000}"/>
    <cellStyle name="20% - Accent5 2 3 8" xfId="8754" xr:uid="{044CD66E-AEA8-4215-A2C7-D9007B5E224D}"/>
    <cellStyle name="20% - Accent5 2 3 9" xfId="12965" xr:uid="{0FC832F0-2D9C-47A0-B858-4F65B68CF241}"/>
    <cellStyle name="20% - Accent5 2 4" xfId="604" xr:uid="{00000000-0005-0000-0000-0000BF020000}"/>
    <cellStyle name="20% - Accent5 2 4 2" xfId="2875" xr:uid="{00000000-0005-0000-0000-0000C0020000}"/>
    <cellStyle name="20% - Accent5 2 4 2 2" xfId="7099" xr:uid="{00000000-0005-0000-0000-0000C1020000}"/>
    <cellStyle name="20% - Accent5 2 4 2 3" xfId="11310" xr:uid="{D93D8089-5CEC-4C60-A517-BE09501C7629}"/>
    <cellStyle name="20% - Accent5 2 4 2 4" xfId="15521" xr:uid="{CA57C037-9121-4335-81E2-528898DA9931}"/>
    <cellStyle name="20% - Accent5 2 4 3" xfId="4954" xr:uid="{00000000-0005-0000-0000-0000C2020000}"/>
    <cellStyle name="20% - Accent5 2 4 4" xfId="9165" xr:uid="{3A06F4E4-80F6-47A1-9975-430829B13BED}"/>
    <cellStyle name="20% - Accent5 2 4 5" xfId="13376" xr:uid="{1975D9C4-6EA2-4F30-9571-9CD54CE63E0E}"/>
    <cellStyle name="20% - Accent5 2 5" xfId="1057" xr:uid="{00000000-0005-0000-0000-0000C3020000}"/>
    <cellStyle name="20% - Accent5 2 5 2" xfId="3288" xr:uid="{00000000-0005-0000-0000-0000C4020000}"/>
    <cellStyle name="20% - Accent5 2 5 2 2" xfId="7512" xr:uid="{00000000-0005-0000-0000-0000C5020000}"/>
    <cellStyle name="20% - Accent5 2 5 2 3" xfId="11723" xr:uid="{125422DC-6941-4653-95B4-B0905D4E5392}"/>
    <cellStyle name="20% - Accent5 2 5 2 4" xfId="15934" xr:uid="{EEAE607C-220A-4837-90B7-78BC31C8DBD7}"/>
    <cellStyle name="20% - Accent5 2 5 3" xfId="5367" xr:uid="{00000000-0005-0000-0000-0000C6020000}"/>
    <cellStyle name="20% - Accent5 2 5 4" xfId="9578" xr:uid="{C80C5D12-CD01-4E90-9523-95CA487DCC3A}"/>
    <cellStyle name="20% - Accent5 2 5 5" xfId="13789" xr:uid="{FC7BAD3F-24F5-42C0-834A-FEB7C2D5F190}"/>
    <cellStyle name="20% - Accent5 2 6" xfId="1471" xr:uid="{00000000-0005-0000-0000-0000C7020000}"/>
    <cellStyle name="20% - Accent5 2 6 2" xfId="3701" xr:uid="{00000000-0005-0000-0000-0000C8020000}"/>
    <cellStyle name="20% - Accent5 2 6 2 2" xfId="7925" xr:uid="{00000000-0005-0000-0000-0000C9020000}"/>
    <cellStyle name="20% - Accent5 2 6 2 3" xfId="12136" xr:uid="{B05E543C-B2F9-4EB6-A3AE-FDC83C62A15E}"/>
    <cellStyle name="20% - Accent5 2 6 2 4" xfId="16347" xr:uid="{EB826045-1689-4F87-AF2B-2C848ED5A7C2}"/>
    <cellStyle name="20% - Accent5 2 6 3" xfId="5780" xr:uid="{00000000-0005-0000-0000-0000CA020000}"/>
    <cellStyle name="20% - Accent5 2 6 4" xfId="9991" xr:uid="{EB31BBF9-86D7-4150-A494-C2C22D9DC4CF}"/>
    <cellStyle name="20% - Accent5 2 6 5" xfId="14202" xr:uid="{DCDD3D64-95FA-4B72-BBAA-A841BBD90A5C}"/>
    <cellStyle name="20% - Accent5 2 7" xfId="1885" xr:uid="{00000000-0005-0000-0000-0000CB020000}"/>
    <cellStyle name="20% - Accent5 2 7 2" xfId="4114" xr:uid="{00000000-0005-0000-0000-0000CC020000}"/>
    <cellStyle name="20% - Accent5 2 7 2 2" xfId="8338" xr:uid="{00000000-0005-0000-0000-0000CD020000}"/>
    <cellStyle name="20% - Accent5 2 7 2 3" xfId="12549" xr:uid="{8C54310E-36B1-4434-A233-BDC456583F52}"/>
    <cellStyle name="20% - Accent5 2 7 2 4" xfId="16760" xr:uid="{621E95F1-9323-43AA-971E-89A60433C38F}"/>
    <cellStyle name="20% - Accent5 2 7 3" xfId="6193" xr:uid="{00000000-0005-0000-0000-0000CE020000}"/>
    <cellStyle name="20% - Accent5 2 7 4" xfId="10404" xr:uid="{C87E620C-930F-4B62-B21D-0AB17ACE5876}"/>
    <cellStyle name="20% - Accent5 2 7 5" xfId="14615" xr:uid="{6835F056-6DDC-497B-879B-D34C8D8CC894}"/>
    <cellStyle name="20% - Accent5 2 8" xfId="2298" xr:uid="{00000000-0005-0000-0000-0000CF020000}"/>
    <cellStyle name="20% - Accent5 2 8 2" xfId="6606" xr:uid="{00000000-0005-0000-0000-0000D0020000}"/>
    <cellStyle name="20% - Accent5 2 8 3" xfId="10817" xr:uid="{26A2A462-3D00-4C52-9DB1-5D68566945C0}"/>
    <cellStyle name="20% - Accent5 2 8 4" xfId="15028" xr:uid="{16A5CBB8-7BD5-497B-AA43-5A1B8EECF2BF}"/>
    <cellStyle name="20% - Accent5 2 9" xfId="4540" xr:uid="{00000000-0005-0000-0000-0000D1020000}"/>
    <cellStyle name="20% - Accent5 3" xfId="38" xr:uid="{00000000-0005-0000-0000-0000D2020000}"/>
    <cellStyle name="20% - Accent5 3 10" xfId="12966" xr:uid="{9F2096DC-0618-42A0-A4C9-09D3113F0594}"/>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2 3" xfId="11315" xr:uid="{6C6A1C26-ABA6-405E-89B5-6722F53C78FA}"/>
    <cellStyle name="20% - Accent5 3 2 2 2 4" xfId="15526" xr:uid="{9553B088-1D84-41E4-A54A-A52FF1828FDE}"/>
    <cellStyle name="20% - Accent5 3 2 2 3" xfId="4959" xr:uid="{00000000-0005-0000-0000-0000D7020000}"/>
    <cellStyle name="20% - Accent5 3 2 2 4" xfId="9170" xr:uid="{D47AF224-B2FE-4513-A621-048C28D53669}"/>
    <cellStyle name="20% - Accent5 3 2 2 5" xfId="13381" xr:uid="{2FE35720-59BF-4A89-9159-011E92E4429C}"/>
    <cellStyle name="20% - Accent5 3 2 3" xfId="1062" xr:uid="{00000000-0005-0000-0000-0000D8020000}"/>
    <cellStyle name="20% - Accent5 3 2 3 2" xfId="3293" xr:uid="{00000000-0005-0000-0000-0000D9020000}"/>
    <cellStyle name="20% - Accent5 3 2 3 2 2" xfId="7517" xr:uid="{00000000-0005-0000-0000-0000DA020000}"/>
    <cellStyle name="20% - Accent5 3 2 3 2 3" xfId="11728" xr:uid="{47247FB2-B787-4C0F-A477-B6442E5B8BD4}"/>
    <cellStyle name="20% - Accent5 3 2 3 2 4" xfId="15939" xr:uid="{17C0864D-7F91-4355-A92C-8F30B77060EB}"/>
    <cellStyle name="20% - Accent5 3 2 3 3" xfId="5372" xr:uid="{00000000-0005-0000-0000-0000DB020000}"/>
    <cellStyle name="20% - Accent5 3 2 3 4" xfId="9583" xr:uid="{40EB8F90-A5AE-4202-AB28-F05B0A021CB6}"/>
    <cellStyle name="20% - Accent5 3 2 3 5" xfId="13794" xr:uid="{1BEAFACE-888E-4A88-BBF4-9946BE751159}"/>
    <cellStyle name="20% - Accent5 3 2 4" xfId="1476" xr:uid="{00000000-0005-0000-0000-0000DC020000}"/>
    <cellStyle name="20% - Accent5 3 2 4 2" xfId="3706" xr:uid="{00000000-0005-0000-0000-0000DD020000}"/>
    <cellStyle name="20% - Accent5 3 2 4 2 2" xfId="7930" xr:uid="{00000000-0005-0000-0000-0000DE020000}"/>
    <cellStyle name="20% - Accent5 3 2 4 2 3" xfId="12141" xr:uid="{8BF246C4-A651-4A59-83FB-0973907B02B9}"/>
    <cellStyle name="20% - Accent5 3 2 4 2 4" xfId="16352" xr:uid="{80706800-D9BF-4EFC-9B89-55CAC2336729}"/>
    <cellStyle name="20% - Accent5 3 2 4 3" xfId="5785" xr:uid="{00000000-0005-0000-0000-0000DF020000}"/>
    <cellStyle name="20% - Accent5 3 2 4 4" xfId="9996" xr:uid="{7D9DD730-E81D-4312-96C4-3902AED10461}"/>
    <cellStyle name="20% - Accent5 3 2 4 5" xfId="14207" xr:uid="{231E2476-B5CC-4786-B6FE-A29CB9682568}"/>
    <cellStyle name="20% - Accent5 3 2 5" xfId="1890" xr:uid="{00000000-0005-0000-0000-0000E0020000}"/>
    <cellStyle name="20% - Accent5 3 2 5 2" xfId="4119" xr:uid="{00000000-0005-0000-0000-0000E1020000}"/>
    <cellStyle name="20% - Accent5 3 2 5 2 2" xfId="8343" xr:uid="{00000000-0005-0000-0000-0000E2020000}"/>
    <cellStyle name="20% - Accent5 3 2 5 2 3" xfId="12554" xr:uid="{B0949FD9-9EF4-46F4-B72B-7E2A043DCF22}"/>
    <cellStyle name="20% - Accent5 3 2 5 2 4" xfId="16765" xr:uid="{1B17F7DC-D283-458E-B086-D9AD3AF70711}"/>
    <cellStyle name="20% - Accent5 3 2 5 3" xfId="6198" xr:uid="{00000000-0005-0000-0000-0000E3020000}"/>
    <cellStyle name="20% - Accent5 3 2 5 4" xfId="10409" xr:uid="{335EC688-0980-4102-9499-A626D1C6B3F9}"/>
    <cellStyle name="20% - Accent5 3 2 5 5" xfId="14620" xr:uid="{C42BD0D7-84CF-4266-B483-FC11DBF42B76}"/>
    <cellStyle name="20% - Accent5 3 2 6" xfId="2303" xr:uid="{00000000-0005-0000-0000-0000E4020000}"/>
    <cellStyle name="20% - Accent5 3 2 6 2" xfId="6611" xr:uid="{00000000-0005-0000-0000-0000E5020000}"/>
    <cellStyle name="20% - Accent5 3 2 6 3" xfId="10822" xr:uid="{A4759D3E-F5D0-40E3-A947-41570873A3EF}"/>
    <cellStyle name="20% - Accent5 3 2 6 4" xfId="15033" xr:uid="{7E22FC7D-163C-45DE-8C3E-CE6169FD8994}"/>
    <cellStyle name="20% - Accent5 3 2 7" xfId="4545" xr:uid="{00000000-0005-0000-0000-0000E6020000}"/>
    <cellStyle name="20% - Accent5 3 2 8" xfId="8756" xr:uid="{901578A2-4179-4DBD-BA82-F0683FFA825A}"/>
    <cellStyle name="20% - Accent5 3 2 9" xfId="12967" xr:uid="{C4619259-CC42-4F40-9CE4-402586CAA945}"/>
    <cellStyle name="20% - Accent5 3 3" xfId="608" xr:uid="{00000000-0005-0000-0000-0000E7020000}"/>
    <cellStyle name="20% - Accent5 3 3 2" xfId="2879" xr:uid="{00000000-0005-0000-0000-0000E8020000}"/>
    <cellStyle name="20% - Accent5 3 3 2 2" xfId="7103" xr:uid="{00000000-0005-0000-0000-0000E9020000}"/>
    <cellStyle name="20% - Accent5 3 3 2 3" xfId="11314" xr:uid="{D54DA6E3-8628-49EC-B74D-0FADF046609C}"/>
    <cellStyle name="20% - Accent5 3 3 2 4" xfId="15525" xr:uid="{FF1765F1-75FC-4663-8729-1F79CC6D8FDB}"/>
    <cellStyle name="20% - Accent5 3 3 3" xfId="4958" xr:uid="{00000000-0005-0000-0000-0000EA020000}"/>
    <cellStyle name="20% - Accent5 3 3 4" xfId="9169" xr:uid="{FE2189E2-2CFF-4AE4-B477-3DC5DEF02918}"/>
    <cellStyle name="20% - Accent5 3 3 5" xfId="13380" xr:uid="{A9800813-5926-4A18-9984-8E2ACEAC9754}"/>
    <cellStyle name="20% - Accent5 3 4" xfId="1061" xr:uid="{00000000-0005-0000-0000-0000EB020000}"/>
    <cellStyle name="20% - Accent5 3 4 2" xfId="3292" xr:uid="{00000000-0005-0000-0000-0000EC020000}"/>
    <cellStyle name="20% - Accent5 3 4 2 2" xfId="7516" xr:uid="{00000000-0005-0000-0000-0000ED020000}"/>
    <cellStyle name="20% - Accent5 3 4 2 3" xfId="11727" xr:uid="{73229460-FC7A-4897-AD0B-3652E54EE014}"/>
    <cellStyle name="20% - Accent5 3 4 2 4" xfId="15938" xr:uid="{A686A371-2BC8-416F-BE11-B0C7115FA379}"/>
    <cellStyle name="20% - Accent5 3 4 3" xfId="5371" xr:uid="{00000000-0005-0000-0000-0000EE020000}"/>
    <cellStyle name="20% - Accent5 3 4 4" xfId="9582" xr:uid="{6D339104-F103-4931-A493-C1C81BC5A43E}"/>
    <cellStyle name="20% - Accent5 3 4 5" xfId="13793" xr:uid="{B476449B-1F45-453B-A752-F0DDCC0DF147}"/>
    <cellStyle name="20% - Accent5 3 5" xfId="1475" xr:uid="{00000000-0005-0000-0000-0000EF020000}"/>
    <cellStyle name="20% - Accent5 3 5 2" xfId="3705" xr:uid="{00000000-0005-0000-0000-0000F0020000}"/>
    <cellStyle name="20% - Accent5 3 5 2 2" xfId="7929" xr:uid="{00000000-0005-0000-0000-0000F1020000}"/>
    <cellStyle name="20% - Accent5 3 5 2 3" xfId="12140" xr:uid="{9AC3C613-F006-4850-9B4E-EB58F7E3E52D}"/>
    <cellStyle name="20% - Accent5 3 5 2 4" xfId="16351" xr:uid="{D14E32B0-00A4-4A6A-A58A-DB29F607D5FE}"/>
    <cellStyle name="20% - Accent5 3 5 3" xfId="5784" xr:uid="{00000000-0005-0000-0000-0000F2020000}"/>
    <cellStyle name="20% - Accent5 3 5 4" xfId="9995" xr:uid="{B829A618-11C1-4EC6-BA9E-0C1B3171C532}"/>
    <cellStyle name="20% - Accent5 3 5 5" xfId="14206" xr:uid="{E8DA3C94-6B79-4441-AC71-5F821E409633}"/>
    <cellStyle name="20% - Accent5 3 6" xfId="1889" xr:uid="{00000000-0005-0000-0000-0000F3020000}"/>
    <cellStyle name="20% - Accent5 3 6 2" xfId="4118" xr:uid="{00000000-0005-0000-0000-0000F4020000}"/>
    <cellStyle name="20% - Accent5 3 6 2 2" xfId="8342" xr:uid="{00000000-0005-0000-0000-0000F5020000}"/>
    <cellStyle name="20% - Accent5 3 6 2 3" xfId="12553" xr:uid="{8CE10E01-5805-4A09-AC81-1B9E765B69C0}"/>
    <cellStyle name="20% - Accent5 3 6 2 4" xfId="16764" xr:uid="{75C0C8A0-51B4-420A-A79B-0FCCD6A4E6AD}"/>
    <cellStyle name="20% - Accent5 3 6 3" xfId="6197" xr:uid="{00000000-0005-0000-0000-0000F6020000}"/>
    <cellStyle name="20% - Accent5 3 6 4" xfId="10408" xr:uid="{93235287-FC0A-497A-9656-B8D8EBCEE21F}"/>
    <cellStyle name="20% - Accent5 3 6 5" xfId="14619" xr:uid="{A4565DFE-5028-4A63-9D28-E11183F46627}"/>
    <cellStyle name="20% - Accent5 3 7" xfId="2302" xr:uid="{00000000-0005-0000-0000-0000F7020000}"/>
    <cellStyle name="20% - Accent5 3 7 2" xfId="6610" xr:uid="{00000000-0005-0000-0000-0000F8020000}"/>
    <cellStyle name="20% - Accent5 3 7 3" xfId="10821" xr:uid="{C631FF79-F440-4958-96B3-5FB7294D4A3A}"/>
    <cellStyle name="20% - Accent5 3 7 4" xfId="15032" xr:uid="{293D8CAA-6AA3-40FF-8EAB-570B46BA212F}"/>
    <cellStyle name="20% - Accent5 3 8" xfId="4544" xr:uid="{00000000-0005-0000-0000-0000F9020000}"/>
    <cellStyle name="20% - Accent5 3 9" xfId="8755" xr:uid="{D4BE1D2C-3681-415A-BE57-36A324A5D664}"/>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2 3" xfId="11316" xr:uid="{AD2E063A-B282-4837-8044-B6A65B5F1740}"/>
    <cellStyle name="20% - Accent5 4 2 2 4" xfId="15527" xr:uid="{983D3454-8758-4059-AAE0-BA9FED2E35DF}"/>
    <cellStyle name="20% - Accent5 4 2 3" xfId="4960" xr:uid="{00000000-0005-0000-0000-0000FE020000}"/>
    <cellStyle name="20% - Accent5 4 2 4" xfId="9171" xr:uid="{99ACFAFA-C135-496C-9CB7-238325FDDDE2}"/>
    <cellStyle name="20% - Accent5 4 2 5" xfId="13382" xr:uid="{781E513E-15F6-42C6-B22F-D5C2997E1A0C}"/>
    <cellStyle name="20% - Accent5 4 3" xfId="1063" xr:uid="{00000000-0005-0000-0000-0000FF020000}"/>
    <cellStyle name="20% - Accent5 4 3 2" xfId="3294" xr:uid="{00000000-0005-0000-0000-000000030000}"/>
    <cellStyle name="20% - Accent5 4 3 2 2" xfId="7518" xr:uid="{00000000-0005-0000-0000-000001030000}"/>
    <cellStyle name="20% - Accent5 4 3 2 3" xfId="11729" xr:uid="{80784B81-568B-409D-B485-91291E99993C}"/>
    <cellStyle name="20% - Accent5 4 3 2 4" xfId="15940" xr:uid="{C63C3C2C-F981-4FC6-BF2D-A180AAC5850B}"/>
    <cellStyle name="20% - Accent5 4 3 3" xfId="5373" xr:uid="{00000000-0005-0000-0000-000002030000}"/>
    <cellStyle name="20% - Accent5 4 3 4" xfId="9584" xr:uid="{12060590-70B7-41F8-AAB4-D450ED6A1096}"/>
    <cellStyle name="20% - Accent5 4 3 5" xfId="13795" xr:uid="{B83076E9-E1F3-4C31-B20A-A441280580CF}"/>
    <cellStyle name="20% - Accent5 4 4" xfId="1477" xr:uid="{00000000-0005-0000-0000-000003030000}"/>
    <cellStyle name="20% - Accent5 4 4 2" xfId="3707" xr:uid="{00000000-0005-0000-0000-000004030000}"/>
    <cellStyle name="20% - Accent5 4 4 2 2" xfId="7931" xr:uid="{00000000-0005-0000-0000-000005030000}"/>
    <cellStyle name="20% - Accent5 4 4 2 3" xfId="12142" xr:uid="{16004790-923A-46F8-9585-E2C3FC583D37}"/>
    <cellStyle name="20% - Accent5 4 4 2 4" xfId="16353" xr:uid="{B2B35997-40F4-4EC9-A28E-A523C2979C6F}"/>
    <cellStyle name="20% - Accent5 4 4 3" xfId="5786" xr:uid="{00000000-0005-0000-0000-000006030000}"/>
    <cellStyle name="20% - Accent5 4 4 4" xfId="9997" xr:uid="{416D60C5-C42E-4D6C-B9C0-8B982C53B456}"/>
    <cellStyle name="20% - Accent5 4 4 5" xfId="14208" xr:uid="{5311ED76-3259-482E-A73A-FC0F8FCC8F88}"/>
    <cellStyle name="20% - Accent5 4 5" xfId="1891" xr:uid="{00000000-0005-0000-0000-000007030000}"/>
    <cellStyle name="20% - Accent5 4 5 2" xfId="4120" xr:uid="{00000000-0005-0000-0000-000008030000}"/>
    <cellStyle name="20% - Accent5 4 5 2 2" xfId="8344" xr:uid="{00000000-0005-0000-0000-000009030000}"/>
    <cellStyle name="20% - Accent5 4 5 2 3" xfId="12555" xr:uid="{29407D28-6009-49C3-A115-3927B7FE6BD8}"/>
    <cellStyle name="20% - Accent5 4 5 2 4" xfId="16766" xr:uid="{233936CD-C92B-4ED1-8766-FF4875EDE0CC}"/>
    <cellStyle name="20% - Accent5 4 5 3" xfId="6199" xr:uid="{00000000-0005-0000-0000-00000A030000}"/>
    <cellStyle name="20% - Accent5 4 5 4" xfId="10410" xr:uid="{02DB7B92-135E-4C90-AD19-FFACC0174A7B}"/>
    <cellStyle name="20% - Accent5 4 5 5" xfId="14621" xr:uid="{B2C5724B-7D51-4620-A2F2-2C6AEFA2DEF8}"/>
    <cellStyle name="20% - Accent5 4 6" xfId="2304" xr:uid="{00000000-0005-0000-0000-00000B030000}"/>
    <cellStyle name="20% - Accent5 4 6 2" xfId="6612" xr:uid="{00000000-0005-0000-0000-00000C030000}"/>
    <cellStyle name="20% - Accent5 4 6 3" xfId="10823" xr:uid="{CD002E07-1743-4B0F-A487-96C052D6F394}"/>
    <cellStyle name="20% - Accent5 4 6 4" xfId="15034" xr:uid="{CE744511-0E5D-4522-8B0C-056D29CB1064}"/>
    <cellStyle name="20% - Accent5 4 7" xfId="4546" xr:uid="{00000000-0005-0000-0000-00000D030000}"/>
    <cellStyle name="20% - Accent5 4 8" xfId="8757" xr:uid="{2095C36A-6E21-4926-AD5E-715A4037DDCE}"/>
    <cellStyle name="20% - Accent5 4 9" xfId="12968" xr:uid="{2EE43EA7-B0E6-425C-90E8-C6E55C79318E}"/>
    <cellStyle name="20% - Accent5 5" xfId="603" xr:uid="{00000000-0005-0000-0000-00000E030000}"/>
    <cellStyle name="20% - Accent5 5 2" xfId="2874" xr:uid="{00000000-0005-0000-0000-00000F030000}"/>
    <cellStyle name="20% - Accent5 5 2 2" xfId="7098" xr:uid="{00000000-0005-0000-0000-000010030000}"/>
    <cellStyle name="20% - Accent5 5 2 3" xfId="11309" xr:uid="{1249713C-5333-4FCC-A52C-8E26A1492B03}"/>
    <cellStyle name="20% - Accent5 5 2 4" xfId="15520" xr:uid="{46043C28-4290-4DB8-B00E-7A4DB4A92AA8}"/>
    <cellStyle name="20% - Accent5 5 3" xfId="4953" xr:uid="{00000000-0005-0000-0000-000011030000}"/>
    <cellStyle name="20% - Accent5 5 4" xfId="9164" xr:uid="{AB6EBA23-45D8-4921-8A3F-BB4F7F9DCD43}"/>
    <cellStyle name="20% - Accent5 5 5" xfId="13375" xr:uid="{119EC3FC-E2F5-4BAD-A916-27B17F81DB19}"/>
    <cellStyle name="20% - Accent5 6" xfId="1056" xr:uid="{00000000-0005-0000-0000-000012030000}"/>
    <cellStyle name="20% - Accent5 6 2" xfId="3287" xr:uid="{00000000-0005-0000-0000-000013030000}"/>
    <cellStyle name="20% - Accent5 6 2 2" xfId="7511" xr:uid="{00000000-0005-0000-0000-000014030000}"/>
    <cellStyle name="20% - Accent5 6 2 3" xfId="11722" xr:uid="{4A273976-0547-4D63-AF71-1342483A5903}"/>
    <cellStyle name="20% - Accent5 6 2 4" xfId="15933" xr:uid="{C34CF9AB-F0E4-4575-A7E5-74FF43B5521B}"/>
    <cellStyle name="20% - Accent5 6 3" xfId="5366" xr:uid="{00000000-0005-0000-0000-000015030000}"/>
    <cellStyle name="20% - Accent5 6 4" xfId="9577" xr:uid="{E7F34B04-0C83-4543-BDA5-B1BDEC9D0B12}"/>
    <cellStyle name="20% - Accent5 6 5" xfId="13788" xr:uid="{EBA67815-3599-4386-BFB9-6BCF9AE293BC}"/>
    <cellStyle name="20% - Accent5 7" xfId="1470" xr:uid="{00000000-0005-0000-0000-000016030000}"/>
    <cellStyle name="20% - Accent5 7 2" xfId="3700" xr:uid="{00000000-0005-0000-0000-000017030000}"/>
    <cellStyle name="20% - Accent5 7 2 2" xfId="7924" xr:uid="{00000000-0005-0000-0000-000018030000}"/>
    <cellStyle name="20% - Accent5 7 2 3" xfId="12135" xr:uid="{0AF74DC2-1603-437A-8D4B-A5093AC2F1FB}"/>
    <cellStyle name="20% - Accent5 7 2 4" xfId="16346" xr:uid="{95FEC8F3-F6AE-485D-8848-5A640E129A71}"/>
    <cellStyle name="20% - Accent5 7 3" xfId="5779" xr:uid="{00000000-0005-0000-0000-000019030000}"/>
    <cellStyle name="20% - Accent5 7 4" xfId="9990" xr:uid="{FDBCA1B5-DC73-4F69-89EC-E3CA893D5FD5}"/>
    <cellStyle name="20% - Accent5 7 5" xfId="14201" xr:uid="{1E7FE22E-7B1C-4834-B112-74003A543544}"/>
    <cellStyle name="20% - Accent5 8" xfId="1884" xr:uid="{00000000-0005-0000-0000-00001A030000}"/>
    <cellStyle name="20% - Accent5 8 2" xfId="4113" xr:uid="{00000000-0005-0000-0000-00001B030000}"/>
    <cellStyle name="20% - Accent5 8 2 2" xfId="8337" xr:uid="{00000000-0005-0000-0000-00001C030000}"/>
    <cellStyle name="20% - Accent5 8 2 3" xfId="12548" xr:uid="{9DE5EDAC-8F0D-423B-9D01-EA4D521132E2}"/>
    <cellStyle name="20% - Accent5 8 2 4" xfId="16759" xr:uid="{1D749C22-38B8-4CFB-9F0D-28823B4D8E28}"/>
    <cellStyle name="20% - Accent5 8 3" xfId="6192" xr:uid="{00000000-0005-0000-0000-00001D030000}"/>
    <cellStyle name="20% - Accent5 8 4" xfId="10403" xr:uid="{5C58387F-18D0-47B6-8E29-3F6B4CCA8DEE}"/>
    <cellStyle name="20% - Accent5 8 5" xfId="14614" xr:uid="{70052D94-E781-42C8-BF34-BA731B52F7BD}"/>
    <cellStyle name="20% - Accent5 9" xfId="2297" xr:uid="{00000000-0005-0000-0000-00001E030000}"/>
    <cellStyle name="20% - Accent5 9 2" xfId="6605" xr:uid="{00000000-0005-0000-0000-00001F030000}"/>
    <cellStyle name="20% - Accent5 9 3" xfId="10816" xr:uid="{EB9ED3E2-2909-444A-91C6-FF061CD201C5}"/>
    <cellStyle name="20% - Accent5 9 4" xfId="15027" xr:uid="{83BD84C9-3515-460B-81A8-1455BD766CFD}"/>
    <cellStyle name="20% - Accent6" xfId="41" builtinId="50" customBuiltin="1"/>
    <cellStyle name="20% - Accent6 10" xfId="4547" xr:uid="{00000000-0005-0000-0000-000021030000}"/>
    <cellStyle name="20% - Accent6 11" xfId="8758" xr:uid="{66F34182-EF93-40E7-842D-6F412109F3AB}"/>
    <cellStyle name="20% - Accent6 12" xfId="12969" xr:uid="{36391DB5-CF17-4F6B-93CA-C463A529ABF7}"/>
    <cellStyle name="20% - Accent6 2" xfId="42" xr:uid="{00000000-0005-0000-0000-000022030000}"/>
    <cellStyle name="20% - Accent6 2 10" xfId="8759" xr:uid="{38465651-02C2-47CA-8DA5-3A6281BFE333}"/>
    <cellStyle name="20% - Accent6 2 11" xfId="12970" xr:uid="{F7BC50D1-B9E5-42C9-BB1C-68699BB4C9DD}"/>
    <cellStyle name="20% - Accent6 2 2" xfId="43" xr:uid="{00000000-0005-0000-0000-000023030000}"/>
    <cellStyle name="20% - Accent6 2 2 10" xfId="12971" xr:uid="{69A5B6A5-E925-4216-8147-FF85975DE4E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2 3" xfId="11320" xr:uid="{552F826A-A185-4158-B31F-11B83775B566}"/>
    <cellStyle name="20% - Accent6 2 2 2 2 2 4" xfId="15531" xr:uid="{E2EEE23C-5CF6-4F1B-ABDC-0A7498CBCDFE}"/>
    <cellStyle name="20% - Accent6 2 2 2 2 3" xfId="4964" xr:uid="{00000000-0005-0000-0000-000028030000}"/>
    <cellStyle name="20% - Accent6 2 2 2 2 4" xfId="9175" xr:uid="{805B5739-4869-4D0B-9130-148F4B05283A}"/>
    <cellStyle name="20% - Accent6 2 2 2 2 5" xfId="13386" xr:uid="{AE14340C-3EC4-481E-BB08-1788C55BA194}"/>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2 3" xfId="11733" xr:uid="{7F47FB03-7AFE-40DB-BDB4-C45178A3AB5E}"/>
    <cellStyle name="20% - Accent6 2 2 2 3 2 4" xfId="15944" xr:uid="{0210B91D-C599-4C3B-B0E9-1500D41715CF}"/>
    <cellStyle name="20% - Accent6 2 2 2 3 3" xfId="5377" xr:uid="{00000000-0005-0000-0000-00002C030000}"/>
    <cellStyle name="20% - Accent6 2 2 2 3 4" xfId="9588" xr:uid="{C682FF3D-3B1F-4EFF-99A7-61A3D4C1B25C}"/>
    <cellStyle name="20% - Accent6 2 2 2 3 5" xfId="13799" xr:uid="{2A92C9F3-728B-4EC5-BD2F-07C1757F8E57}"/>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2 3" xfId="12146" xr:uid="{A8DDE562-D905-43EC-BE62-905666FD1BB8}"/>
    <cellStyle name="20% - Accent6 2 2 2 4 2 4" xfId="16357" xr:uid="{B26FF8AC-87DE-4C61-9281-5467E673802C}"/>
    <cellStyle name="20% - Accent6 2 2 2 4 3" xfId="5790" xr:uid="{00000000-0005-0000-0000-000030030000}"/>
    <cellStyle name="20% - Accent6 2 2 2 4 4" xfId="10001" xr:uid="{009D40D5-EF2B-4F94-9484-40FAD80E8FA3}"/>
    <cellStyle name="20% - Accent6 2 2 2 4 5" xfId="14212" xr:uid="{19BD9B77-6DFB-4B68-8F94-FDCA7416BAC6}"/>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2 3" xfId="12559" xr:uid="{5C1D79C2-60BF-41E2-BE1C-DA500D5DB95B}"/>
    <cellStyle name="20% - Accent6 2 2 2 5 2 4" xfId="16770" xr:uid="{80076628-7365-43D9-9520-73BF6EF7D03F}"/>
    <cellStyle name="20% - Accent6 2 2 2 5 3" xfId="6203" xr:uid="{00000000-0005-0000-0000-000034030000}"/>
    <cellStyle name="20% - Accent6 2 2 2 5 4" xfId="10414" xr:uid="{3A92E317-59C1-4A16-B295-D0E221655705}"/>
    <cellStyle name="20% - Accent6 2 2 2 5 5" xfId="14625" xr:uid="{E63CE756-E2F6-4C85-87C1-064F18E1B261}"/>
    <cellStyle name="20% - Accent6 2 2 2 6" xfId="2308" xr:uid="{00000000-0005-0000-0000-000035030000}"/>
    <cellStyle name="20% - Accent6 2 2 2 6 2" xfId="6616" xr:uid="{00000000-0005-0000-0000-000036030000}"/>
    <cellStyle name="20% - Accent6 2 2 2 6 3" xfId="10827" xr:uid="{AF8185E7-C11B-4D97-A79F-752F0313614D}"/>
    <cellStyle name="20% - Accent6 2 2 2 6 4" xfId="15038" xr:uid="{307ECD9B-4FD0-4414-8081-CDC291FD2D92}"/>
    <cellStyle name="20% - Accent6 2 2 2 7" xfId="4550" xr:uid="{00000000-0005-0000-0000-000037030000}"/>
    <cellStyle name="20% - Accent6 2 2 2 8" xfId="8761" xr:uid="{530427E7-A8BC-4A33-BCE1-EB757AA02C55}"/>
    <cellStyle name="20% - Accent6 2 2 2 9" xfId="12972" xr:uid="{95104122-61DE-4AC4-9A92-17C8F9079890}"/>
    <cellStyle name="20% - Accent6 2 2 3" xfId="613" xr:uid="{00000000-0005-0000-0000-000038030000}"/>
    <cellStyle name="20% - Accent6 2 2 3 2" xfId="2884" xr:uid="{00000000-0005-0000-0000-000039030000}"/>
    <cellStyle name="20% - Accent6 2 2 3 2 2" xfId="7108" xr:uid="{00000000-0005-0000-0000-00003A030000}"/>
    <cellStyle name="20% - Accent6 2 2 3 2 3" xfId="11319" xr:uid="{887CCA84-8A21-4F49-8B1B-F82F77CBEDB0}"/>
    <cellStyle name="20% - Accent6 2 2 3 2 4" xfId="15530" xr:uid="{F9C705F3-8482-4A86-8E64-3FE98A93F443}"/>
    <cellStyle name="20% - Accent6 2 2 3 3" xfId="4963" xr:uid="{00000000-0005-0000-0000-00003B030000}"/>
    <cellStyle name="20% - Accent6 2 2 3 4" xfId="9174" xr:uid="{D5CB843C-EFDB-4DC1-A8B5-3F56B1C14EE1}"/>
    <cellStyle name="20% - Accent6 2 2 3 5" xfId="13385" xr:uid="{A795CC52-40B1-40EF-B246-3E9DDDAB55A2}"/>
    <cellStyle name="20% - Accent6 2 2 4" xfId="1066" xr:uid="{00000000-0005-0000-0000-00003C030000}"/>
    <cellStyle name="20% - Accent6 2 2 4 2" xfId="3297" xr:uid="{00000000-0005-0000-0000-00003D030000}"/>
    <cellStyle name="20% - Accent6 2 2 4 2 2" xfId="7521" xr:uid="{00000000-0005-0000-0000-00003E030000}"/>
    <cellStyle name="20% - Accent6 2 2 4 2 3" xfId="11732" xr:uid="{3811800A-4A38-4C8E-BDE1-BF725BA01A75}"/>
    <cellStyle name="20% - Accent6 2 2 4 2 4" xfId="15943" xr:uid="{60C3CCEC-A1BD-4BC7-BB31-3BB2185D29FC}"/>
    <cellStyle name="20% - Accent6 2 2 4 3" xfId="5376" xr:uid="{00000000-0005-0000-0000-00003F030000}"/>
    <cellStyle name="20% - Accent6 2 2 4 4" xfId="9587" xr:uid="{F555D32B-0C97-4186-BE97-314CF9DD91CB}"/>
    <cellStyle name="20% - Accent6 2 2 4 5" xfId="13798" xr:uid="{E20562B7-F832-485A-A1D4-37E013798A97}"/>
    <cellStyle name="20% - Accent6 2 2 5" xfId="1480" xr:uid="{00000000-0005-0000-0000-000040030000}"/>
    <cellStyle name="20% - Accent6 2 2 5 2" xfId="3710" xr:uid="{00000000-0005-0000-0000-000041030000}"/>
    <cellStyle name="20% - Accent6 2 2 5 2 2" xfId="7934" xr:uid="{00000000-0005-0000-0000-000042030000}"/>
    <cellStyle name="20% - Accent6 2 2 5 2 3" xfId="12145" xr:uid="{B42B26A9-71F8-44C6-99B0-31783F731252}"/>
    <cellStyle name="20% - Accent6 2 2 5 2 4" xfId="16356" xr:uid="{AC770C9B-3E44-401D-A55F-ED137B6156F9}"/>
    <cellStyle name="20% - Accent6 2 2 5 3" xfId="5789" xr:uid="{00000000-0005-0000-0000-000043030000}"/>
    <cellStyle name="20% - Accent6 2 2 5 4" xfId="10000" xr:uid="{E008E137-2D51-4A65-B573-F69E9D5F93CB}"/>
    <cellStyle name="20% - Accent6 2 2 5 5" xfId="14211" xr:uid="{0359F9FC-2060-4E51-BD61-0CB707C3C475}"/>
    <cellStyle name="20% - Accent6 2 2 6" xfId="1894" xr:uid="{00000000-0005-0000-0000-000044030000}"/>
    <cellStyle name="20% - Accent6 2 2 6 2" xfId="4123" xr:uid="{00000000-0005-0000-0000-000045030000}"/>
    <cellStyle name="20% - Accent6 2 2 6 2 2" xfId="8347" xr:uid="{00000000-0005-0000-0000-000046030000}"/>
    <cellStyle name="20% - Accent6 2 2 6 2 3" xfId="12558" xr:uid="{E6A92E2B-35BC-4AB9-A514-3B7B40930BDB}"/>
    <cellStyle name="20% - Accent6 2 2 6 2 4" xfId="16769" xr:uid="{7C39EAFD-ECD9-4CF5-9EF0-4BA9B84FEF69}"/>
    <cellStyle name="20% - Accent6 2 2 6 3" xfId="6202" xr:uid="{00000000-0005-0000-0000-000047030000}"/>
    <cellStyle name="20% - Accent6 2 2 6 4" xfId="10413" xr:uid="{16205E5B-B6F7-40B1-B57E-1D445B52224F}"/>
    <cellStyle name="20% - Accent6 2 2 6 5" xfId="14624" xr:uid="{3712DBE2-CEDE-4817-B368-D42949F02110}"/>
    <cellStyle name="20% - Accent6 2 2 7" xfId="2307" xr:uid="{00000000-0005-0000-0000-000048030000}"/>
    <cellStyle name="20% - Accent6 2 2 7 2" xfId="6615" xr:uid="{00000000-0005-0000-0000-000049030000}"/>
    <cellStyle name="20% - Accent6 2 2 7 3" xfId="10826" xr:uid="{285319C3-0701-4A89-A5F0-CAD75C2A5B3C}"/>
    <cellStyle name="20% - Accent6 2 2 7 4" xfId="15037" xr:uid="{0305FD3F-6F2E-4F79-8E6E-84E118D6DAB5}"/>
    <cellStyle name="20% - Accent6 2 2 8" xfId="4549" xr:uid="{00000000-0005-0000-0000-00004A030000}"/>
    <cellStyle name="20% - Accent6 2 2 9" xfId="8760" xr:uid="{29016C2A-5B59-4850-87AE-1A997A1078DB}"/>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2 3" xfId="11321" xr:uid="{7F742AA9-1635-4C46-9B4D-B46558AC7D18}"/>
    <cellStyle name="20% - Accent6 2 3 2 2 4" xfId="15532" xr:uid="{9B5C6188-B70B-4C4E-B3AB-81DE8BACA0AA}"/>
    <cellStyle name="20% - Accent6 2 3 2 3" xfId="4965" xr:uid="{00000000-0005-0000-0000-00004F030000}"/>
    <cellStyle name="20% - Accent6 2 3 2 4" xfId="9176" xr:uid="{077FD421-7750-4F8A-A3A4-B29E14494C61}"/>
    <cellStyle name="20% - Accent6 2 3 2 5" xfId="13387" xr:uid="{6136EBA2-31E3-493A-A85F-663443339568}"/>
    <cellStyle name="20% - Accent6 2 3 3" xfId="1068" xr:uid="{00000000-0005-0000-0000-000050030000}"/>
    <cellStyle name="20% - Accent6 2 3 3 2" xfId="3299" xr:uid="{00000000-0005-0000-0000-000051030000}"/>
    <cellStyle name="20% - Accent6 2 3 3 2 2" xfId="7523" xr:uid="{00000000-0005-0000-0000-000052030000}"/>
    <cellStyle name="20% - Accent6 2 3 3 2 3" xfId="11734" xr:uid="{1FB5F3A5-F82B-4988-AA44-B5A79F60DE13}"/>
    <cellStyle name="20% - Accent6 2 3 3 2 4" xfId="15945" xr:uid="{2864A622-EAAC-4C14-A587-26A6AE8740E3}"/>
    <cellStyle name="20% - Accent6 2 3 3 3" xfId="5378" xr:uid="{00000000-0005-0000-0000-000053030000}"/>
    <cellStyle name="20% - Accent6 2 3 3 4" xfId="9589" xr:uid="{B3B4F9E3-0D11-4CF6-AE84-C9E68B9F8F3B}"/>
    <cellStyle name="20% - Accent6 2 3 3 5" xfId="13800" xr:uid="{EA820B58-8B5D-49AC-A30A-7D36BE3E7FDE}"/>
    <cellStyle name="20% - Accent6 2 3 4" xfId="1482" xr:uid="{00000000-0005-0000-0000-000054030000}"/>
    <cellStyle name="20% - Accent6 2 3 4 2" xfId="3712" xr:uid="{00000000-0005-0000-0000-000055030000}"/>
    <cellStyle name="20% - Accent6 2 3 4 2 2" xfId="7936" xr:uid="{00000000-0005-0000-0000-000056030000}"/>
    <cellStyle name="20% - Accent6 2 3 4 2 3" xfId="12147" xr:uid="{F4819714-5926-456D-8201-00C77C6FBF3C}"/>
    <cellStyle name="20% - Accent6 2 3 4 2 4" xfId="16358" xr:uid="{F4004B44-F4D6-42F3-8D64-5240F0D153B5}"/>
    <cellStyle name="20% - Accent6 2 3 4 3" xfId="5791" xr:uid="{00000000-0005-0000-0000-000057030000}"/>
    <cellStyle name="20% - Accent6 2 3 4 4" xfId="10002" xr:uid="{AF881344-40D3-40EF-B0D7-445E7C1E2F8A}"/>
    <cellStyle name="20% - Accent6 2 3 4 5" xfId="14213" xr:uid="{72DECF08-54DB-4D74-B1C8-3F0F1D73745C}"/>
    <cellStyle name="20% - Accent6 2 3 5" xfId="1896" xr:uid="{00000000-0005-0000-0000-000058030000}"/>
    <cellStyle name="20% - Accent6 2 3 5 2" xfId="4125" xr:uid="{00000000-0005-0000-0000-000059030000}"/>
    <cellStyle name="20% - Accent6 2 3 5 2 2" xfId="8349" xr:uid="{00000000-0005-0000-0000-00005A030000}"/>
    <cellStyle name="20% - Accent6 2 3 5 2 3" xfId="12560" xr:uid="{C1264A36-0037-4178-A597-6BD449FD6503}"/>
    <cellStyle name="20% - Accent6 2 3 5 2 4" xfId="16771" xr:uid="{F034B8D7-18D4-4D8B-9DC7-624CC70E202D}"/>
    <cellStyle name="20% - Accent6 2 3 5 3" xfId="6204" xr:uid="{00000000-0005-0000-0000-00005B030000}"/>
    <cellStyle name="20% - Accent6 2 3 5 4" xfId="10415" xr:uid="{DDF7A3D6-ABD5-48F8-BC62-4FDD51ED4F6F}"/>
    <cellStyle name="20% - Accent6 2 3 5 5" xfId="14626" xr:uid="{125AD2A6-71D4-4953-9EEA-F0C4435F807C}"/>
    <cellStyle name="20% - Accent6 2 3 6" xfId="2309" xr:uid="{00000000-0005-0000-0000-00005C030000}"/>
    <cellStyle name="20% - Accent6 2 3 6 2" xfId="6617" xr:uid="{00000000-0005-0000-0000-00005D030000}"/>
    <cellStyle name="20% - Accent6 2 3 6 3" xfId="10828" xr:uid="{0C327609-BB63-49A4-B055-EC19EF2AF1A1}"/>
    <cellStyle name="20% - Accent6 2 3 6 4" xfId="15039" xr:uid="{87939A22-3DB5-4F53-BB2B-3D6EA068E4CA}"/>
    <cellStyle name="20% - Accent6 2 3 7" xfId="4551" xr:uid="{00000000-0005-0000-0000-00005E030000}"/>
    <cellStyle name="20% - Accent6 2 3 8" xfId="8762" xr:uid="{352230D2-71E6-4E1F-ACF5-122B99B77DE4}"/>
    <cellStyle name="20% - Accent6 2 3 9" xfId="12973" xr:uid="{BE2614D3-F302-4804-8239-23E08399CFC3}"/>
    <cellStyle name="20% - Accent6 2 4" xfId="612" xr:uid="{00000000-0005-0000-0000-00005F030000}"/>
    <cellStyle name="20% - Accent6 2 4 2" xfId="2883" xr:uid="{00000000-0005-0000-0000-000060030000}"/>
    <cellStyle name="20% - Accent6 2 4 2 2" xfId="7107" xr:uid="{00000000-0005-0000-0000-000061030000}"/>
    <cellStyle name="20% - Accent6 2 4 2 3" xfId="11318" xr:uid="{9634BBE0-AAC8-4462-8513-3A94A70C6292}"/>
    <cellStyle name="20% - Accent6 2 4 2 4" xfId="15529" xr:uid="{2745353F-E518-47B9-9418-7B1ECEB0591B}"/>
    <cellStyle name="20% - Accent6 2 4 3" xfId="4962" xr:uid="{00000000-0005-0000-0000-000062030000}"/>
    <cellStyle name="20% - Accent6 2 4 4" xfId="9173" xr:uid="{90AD0CF2-96E5-4B8A-B340-2BF3BCB4422E}"/>
    <cellStyle name="20% - Accent6 2 4 5" xfId="13384" xr:uid="{16BF917E-7D56-4918-BDDA-92D7FBC8F4C4}"/>
    <cellStyle name="20% - Accent6 2 5" xfId="1065" xr:uid="{00000000-0005-0000-0000-000063030000}"/>
    <cellStyle name="20% - Accent6 2 5 2" xfId="3296" xr:uid="{00000000-0005-0000-0000-000064030000}"/>
    <cellStyle name="20% - Accent6 2 5 2 2" xfId="7520" xr:uid="{00000000-0005-0000-0000-000065030000}"/>
    <cellStyle name="20% - Accent6 2 5 2 3" xfId="11731" xr:uid="{86A45DFC-616A-4D8F-B0BC-7B5BF5026CB1}"/>
    <cellStyle name="20% - Accent6 2 5 2 4" xfId="15942" xr:uid="{CED3EDFE-E25A-419C-B665-2715CF9733DA}"/>
    <cellStyle name="20% - Accent6 2 5 3" xfId="5375" xr:uid="{00000000-0005-0000-0000-000066030000}"/>
    <cellStyle name="20% - Accent6 2 5 4" xfId="9586" xr:uid="{1B20BE65-B561-49E1-99E2-12A754CBD23E}"/>
    <cellStyle name="20% - Accent6 2 5 5" xfId="13797" xr:uid="{8EFFB57A-AEA2-48AA-B9E2-CE8AABC5B809}"/>
    <cellStyle name="20% - Accent6 2 6" xfId="1479" xr:uid="{00000000-0005-0000-0000-000067030000}"/>
    <cellStyle name="20% - Accent6 2 6 2" xfId="3709" xr:uid="{00000000-0005-0000-0000-000068030000}"/>
    <cellStyle name="20% - Accent6 2 6 2 2" xfId="7933" xr:uid="{00000000-0005-0000-0000-000069030000}"/>
    <cellStyle name="20% - Accent6 2 6 2 3" xfId="12144" xr:uid="{24EA3172-9179-4033-AA42-A47BAFD3A229}"/>
    <cellStyle name="20% - Accent6 2 6 2 4" xfId="16355" xr:uid="{920896C4-8587-47F3-8366-08261E3ABA25}"/>
    <cellStyle name="20% - Accent6 2 6 3" xfId="5788" xr:uid="{00000000-0005-0000-0000-00006A030000}"/>
    <cellStyle name="20% - Accent6 2 6 4" xfId="9999" xr:uid="{D95E7FA0-E794-4503-A1BA-7C9DF825781C}"/>
    <cellStyle name="20% - Accent6 2 6 5" xfId="14210" xr:uid="{6A4DAEF1-4A1F-457B-A0F1-B8901DF15A30}"/>
    <cellStyle name="20% - Accent6 2 7" xfId="1893" xr:uid="{00000000-0005-0000-0000-00006B030000}"/>
    <cellStyle name="20% - Accent6 2 7 2" xfId="4122" xr:uid="{00000000-0005-0000-0000-00006C030000}"/>
    <cellStyle name="20% - Accent6 2 7 2 2" xfId="8346" xr:uid="{00000000-0005-0000-0000-00006D030000}"/>
    <cellStyle name="20% - Accent6 2 7 2 3" xfId="12557" xr:uid="{44FE9DDC-355C-47B3-84DD-49A264A9EFEA}"/>
    <cellStyle name="20% - Accent6 2 7 2 4" xfId="16768" xr:uid="{912C9C36-B54F-4567-888A-20D561F5D7D5}"/>
    <cellStyle name="20% - Accent6 2 7 3" xfId="6201" xr:uid="{00000000-0005-0000-0000-00006E030000}"/>
    <cellStyle name="20% - Accent6 2 7 4" xfId="10412" xr:uid="{6927F73A-18AC-4828-B764-E4DEE2887247}"/>
    <cellStyle name="20% - Accent6 2 7 5" xfId="14623" xr:uid="{E1C46618-F283-4755-AACB-B9A8885B06B4}"/>
    <cellStyle name="20% - Accent6 2 8" xfId="2306" xr:uid="{00000000-0005-0000-0000-00006F030000}"/>
    <cellStyle name="20% - Accent6 2 8 2" xfId="6614" xr:uid="{00000000-0005-0000-0000-000070030000}"/>
    <cellStyle name="20% - Accent6 2 8 3" xfId="10825" xr:uid="{88C123B7-A530-4770-B5FD-68EC34B067AE}"/>
    <cellStyle name="20% - Accent6 2 8 4" xfId="15036" xr:uid="{D6C62BEE-D3D9-40BC-A8F6-9C340D409F58}"/>
    <cellStyle name="20% - Accent6 2 9" xfId="4548" xr:uid="{00000000-0005-0000-0000-000071030000}"/>
    <cellStyle name="20% - Accent6 3" xfId="46" xr:uid="{00000000-0005-0000-0000-000072030000}"/>
    <cellStyle name="20% - Accent6 3 10" xfId="12974" xr:uid="{855AEE34-2352-48E1-8923-9536346948AA}"/>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2 3" xfId="11323" xr:uid="{4752CE11-5658-469E-AEAD-CCA3801CDF3F}"/>
    <cellStyle name="20% - Accent6 3 2 2 2 4" xfId="15534" xr:uid="{1D37A9E2-3538-43B6-BB3A-309F52C0D658}"/>
    <cellStyle name="20% - Accent6 3 2 2 3" xfId="4967" xr:uid="{00000000-0005-0000-0000-000077030000}"/>
    <cellStyle name="20% - Accent6 3 2 2 4" xfId="9178" xr:uid="{148FCBE6-6295-4E43-855F-A5BEA8A64B11}"/>
    <cellStyle name="20% - Accent6 3 2 2 5" xfId="13389" xr:uid="{A6B0DE7D-D882-43D0-9A05-36B3102BB13E}"/>
    <cellStyle name="20% - Accent6 3 2 3" xfId="1070" xr:uid="{00000000-0005-0000-0000-000078030000}"/>
    <cellStyle name="20% - Accent6 3 2 3 2" xfId="3301" xr:uid="{00000000-0005-0000-0000-000079030000}"/>
    <cellStyle name="20% - Accent6 3 2 3 2 2" xfId="7525" xr:uid="{00000000-0005-0000-0000-00007A030000}"/>
    <cellStyle name="20% - Accent6 3 2 3 2 3" xfId="11736" xr:uid="{6D17ED0C-BE48-40D0-8F02-243AA6D043C6}"/>
    <cellStyle name="20% - Accent6 3 2 3 2 4" xfId="15947" xr:uid="{96F83E34-B703-458E-8702-3694E0417888}"/>
    <cellStyle name="20% - Accent6 3 2 3 3" xfId="5380" xr:uid="{00000000-0005-0000-0000-00007B030000}"/>
    <cellStyle name="20% - Accent6 3 2 3 4" xfId="9591" xr:uid="{8316D17A-A6A4-4895-BD0D-0F0071AE4152}"/>
    <cellStyle name="20% - Accent6 3 2 3 5" xfId="13802" xr:uid="{637EA06C-31B6-4730-9EDA-C2DEB9EABB28}"/>
    <cellStyle name="20% - Accent6 3 2 4" xfId="1484" xr:uid="{00000000-0005-0000-0000-00007C030000}"/>
    <cellStyle name="20% - Accent6 3 2 4 2" xfId="3714" xr:uid="{00000000-0005-0000-0000-00007D030000}"/>
    <cellStyle name="20% - Accent6 3 2 4 2 2" xfId="7938" xr:uid="{00000000-0005-0000-0000-00007E030000}"/>
    <cellStyle name="20% - Accent6 3 2 4 2 3" xfId="12149" xr:uid="{BA43835A-6C31-4C44-B947-0B8AB3D48FFC}"/>
    <cellStyle name="20% - Accent6 3 2 4 2 4" xfId="16360" xr:uid="{AD2076F3-5687-4115-B7C9-284966B83146}"/>
    <cellStyle name="20% - Accent6 3 2 4 3" xfId="5793" xr:uid="{00000000-0005-0000-0000-00007F030000}"/>
    <cellStyle name="20% - Accent6 3 2 4 4" xfId="10004" xr:uid="{8AA71F4F-6B2E-4389-A075-20135FCCF13D}"/>
    <cellStyle name="20% - Accent6 3 2 4 5" xfId="14215" xr:uid="{EAFD135C-F917-452B-BCC3-4D4B428C2B2E}"/>
    <cellStyle name="20% - Accent6 3 2 5" xfId="1898" xr:uid="{00000000-0005-0000-0000-000080030000}"/>
    <cellStyle name="20% - Accent6 3 2 5 2" xfId="4127" xr:uid="{00000000-0005-0000-0000-000081030000}"/>
    <cellStyle name="20% - Accent6 3 2 5 2 2" xfId="8351" xr:uid="{00000000-0005-0000-0000-000082030000}"/>
    <cellStyle name="20% - Accent6 3 2 5 2 3" xfId="12562" xr:uid="{F374DEEE-9879-46BC-A231-6540B1ABDD7B}"/>
    <cellStyle name="20% - Accent6 3 2 5 2 4" xfId="16773" xr:uid="{AA4B0AC6-376B-4CE4-A795-A840713F92F7}"/>
    <cellStyle name="20% - Accent6 3 2 5 3" xfId="6206" xr:uid="{00000000-0005-0000-0000-000083030000}"/>
    <cellStyle name="20% - Accent6 3 2 5 4" xfId="10417" xr:uid="{7D9E8F74-BD41-4F4F-8655-59F5DCCE8046}"/>
    <cellStyle name="20% - Accent6 3 2 5 5" xfId="14628" xr:uid="{119FEAFC-8716-45F0-8A29-E0A19A2FCF30}"/>
    <cellStyle name="20% - Accent6 3 2 6" xfId="2311" xr:uid="{00000000-0005-0000-0000-000084030000}"/>
    <cellStyle name="20% - Accent6 3 2 6 2" xfId="6619" xr:uid="{00000000-0005-0000-0000-000085030000}"/>
    <cellStyle name="20% - Accent6 3 2 6 3" xfId="10830" xr:uid="{5063F5AF-F495-4BC1-A825-7346188F05BF}"/>
    <cellStyle name="20% - Accent6 3 2 6 4" xfId="15041" xr:uid="{9B2CF67A-6BDC-4C09-B8D4-B4C3E7D84787}"/>
    <cellStyle name="20% - Accent6 3 2 7" xfId="4553" xr:uid="{00000000-0005-0000-0000-000086030000}"/>
    <cellStyle name="20% - Accent6 3 2 8" xfId="8764" xr:uid="{427FB46D-7681-4A23-A810-3A32D60AA279}"/>
    <cellStyle name="20% - Accent6 3 2 9" xfId="12975" xr:uid="{6D6FA363-50C5-40B8-9A2D-5490FE044A6D}"/>
    <cellStyle name="20% - Accent6 3 3" xfId="616" xr:uid="{00000000-0005-0000-0000-000087030000}"/>
    <cellStyle name="20% - Accent6 3 3 2" xfId="2887" xr:uid="{00000000-0005-0000-0000-000088030000}"/>
    <cellStyle name="20% - Accent6 3 3 2 2" xfId="7111" xr:uid="{00000000-0005-0000-0000-000089030000}"/>
    <cellStyle name="20% - Accent6 3 3 2 3" xfId="11322" xr:uid="{7D797A96-36C2-4312-A565-C14755D1BB4E}"/>
    <cellStyle name="20% - Accent6 3 3 2 4" xfId="15533" xr:uid="{16077527-E63F-4A1B-9478-2D88D9DC041A}"/>
    <cellStyle name="20% - Accent6 3 3 3" xfId="4966" xr:uid="{00000000-0005-0000-0000-00008A030000}"/>
    <cellStyle name="20% - Accent6 3 3 4" xfId="9177" xr:uid="{616E539A-4FA5-438F-ADF0-1EDE8C0F5258}"/>
    <cellStyle name="20% - Accent6 3 3 5" xfId="13388" xr:uid="{ED53B8CD-A83C-41CA-807A-D9EBB0FECABB}"/>
    <cellStyle name="20% - Accent6 3 4" xfId="1069" xr:uid="{00000000-0005-0000-0000-00008B030000}"/>
    <cellStyle name="20% - Accent6 3 4 2" xfId="3300" xr:uid="{00000000-0005-0000-0000-00008C030000}"/>
    <cellStyle name="20% - Accent6 3 4 2 2" xfId="7524" xr:uid="{00000000-0005-0000-0000-00008D030000}"/>
    <cellStyle name="20% - Accent6 3 4 2 3" xfId="11735" xr:uid="{C03A64FD-3E93-4F5C-9BF2-67BE2FCEA6D5}"/>
    <cellStyle name="20% - Accent6 3 4 2 4" xfId="15946" xr:uid="{1F6A8BA5-AEE1-4647-9C13-04954B4BE98B}"/>
    <cellStyle name="20% - Accent6 3 4 3" xfId="5379" xr:uid="{00000000-0005-0000-0000-00008E030000}"/>
    <cellStyle name="20% - Accent6 3 4 4" xfId="9590" xr:uid="{8FB34F01-263B-4BAA-BF7E-E2F23BA3A02A}"/>
    <cellStyle name="20% - Accent6 3 4 5" xfId="13801" xr:uid="{627851B0-5EA1-4621-9735-EA9A8295D44D}"/>
    <cellStyle name="20% - Accent6 3 5" xfId="1483" xr:uid="{00000000-0005-0000-0000-00008F030000}"/>
    <cellStyle name="20% - Accent6 3 5 2" xfId="3713" xr:uid="{00000000-0005-0000-0000-000090030000}"/>
    <cellStyle name="20% - Accent6 3 5 2 2" xfId="7937" xr:uid="{00000000-0005-0000-0000-000091030000}"/>
    <cellStyle name="20% - Accent6 3 5 2 3" xfId="12148" xr:uid="{AEF73474-0CD9-4B20-9574-97FAE3B5C89B}"/>
    <cellStyle name="20% - Accent6 3 5 2 4" xfId="16359" xr:uid="{D237C9F1-6148-452E-B971-06CC1E360DB0}"/>
    <cellStyle name="20% - Accent6 3 5 3" xfId="5792" xr:uid="{00000000-0005-0000-0000-000092030000}"/>
    <cellStyle name="20% - Accent6 3 5 4" xfId="10003" xr:uid="{0DB35FC0-7462-4C0C-AADD-3554A422FF7F}"/>
    <cellStyle name="20% - Accent6 3 5 5" xfId="14214" xr:uid="{5A63AE78-531E-4861-817B-257CABD3F864}"/>
    <cellStyle name="20% - Accent6 3 6" xfId="1897" xr:uid="{00000000-0005-0000-0000-000093030000}"/>
    <cellStyle name="20% - Accent6 3 6 2" xfId="4126" xr:uid="{00000000-0005-0000-0000-000094030000}"/>
    <cellStyle name="20% - Accent6 3 6 2 2" xfId="8350" xr:uid="{00000000-0005-0000-0000-000095030000}"/>
    <cellStyle name="20% - Accent6 3 6 2 3" xfId="12561" xr:uid="{420A39E4-7008-4ACB-9CAE-55026D1F459F}"/>
    <cellStyle name="20% - Accent6 3 6 2 4" xfId="16772" xr:uid="{59775A6F-7B37-4094-86D0-05D325713189}"/>
    <cellStyle name="20% - Accent6 3 6 3" xfId="6205" xr:uid="{00000000-0005-0000-0000-000096030000}"/>
    <cellStyle name="20% - Accent6 3 6 4" xfId="10416" xr:uid="{BCB52E5F-9A2C-4EC7-B9E3-13103917DFBA}"/>
    <cellStyle name="20% - Accent6 3 6 5" xfId="14627" xr:uid="{BEBAF493-1FC5-4EBC-9469-39A1F032950E}"/>
    <cellStyle name="20% - Accent6 3 7" xfId="2310" xr:uid="{00000000-0005-0000-0000-000097030000}"/>
    <cellStyle name="20% - Accent6 3 7 2" xfId="6618" xr:uid="{00000000-0005-0000-0000-000098030000}"/>
    <cellStyle name="20% - Accent6 3 7 3" xfId="10829" xr:uid="{A635B993-BA40-43BD-9D6D-08D8BA5E07DD}"/>
    <cellStyle name="20% - Accent6 3 7 4" xfId="15040" xr:uid="{8E00AF6B-EAF1-4F7F-8D17-B150FC608899}"/>
    <cellStyle name="20% - Accent6 3 8" xfId="4552" xr:uid="{00000000-0005-0000-0000-000099030000}"/>
    <cellStyle name="20% - Accent6 3 9" xfId="8763" xr:uid="{87B66B62-CB7A-4B80-9FF4-C387633A690F}"/>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2 3" xfId="11324" xr:uid="{A289CC95-55B0-4AA9-856F-0BB37829EA33}"/>
    <cellStyle name="20% - Accent6 4 2 2 4" xfId="15535" xr:uid="{77985D83-98F7-45B0-94B1-6897A7385245}"/>
    <cellStyle name="20% - Accent6 4 2 3" xfId="4968" xr:uid="{00000000-0005-0000-0000-00009E030000}"/>
    <cellStyle name="20% - Accent6 4 2 4" xfId="9179" xr:uid="{123446DD-9460-48EB-A89A-C5739D2AAE43}"/>
    <cellStyle name="20% - Accent6 4 2 5" xfId="13390" xr:uid="{514E3F53-9E3D-4A42-AB15-3AB301157275}"/>
    <cellStyle name="20% - Accent6 4 3" xfId="1071" xr:uid="{00000000-0005-0000-0000-00009F030000}"/>
    <cellStyle name="20% - Accent6 4 3 2" xfId="3302" xr:uid="{00000000-0005-0000-0000-0000A0030000}"/>
    <cellStyle name="20% - Accent6 4 3 2 2" xfId="7526" xr:uid="{00000000-0005-0000-0000-0000A1030000}"/>
    <cellStyle name="20% - Accent6 4 3 2 3" xfId="11737" xr:uid="{0B30DE9F-54EE-4D7E-ABD7-7AB973917AFA}"/>
    <cellStyle name="20% - Accent6 4 3 2 4" xfId="15948" xr:uid="{6469A7B6-FBD4-49A2-80B3-7056C9BF0033}"/>
    <cellStyle name="20% - Accent6 4 3 3" xfId="5381" xr:uid="{00000000-0005-0000-0000-0000A2030000}"/>
    <cellStyle name="20% - Accent6 4 3 4" xfId="9592" xr:uid="{EC6B5BC9-ABE6-401D-B01C-DEF33F89AB1E}"/>
    <cellStyle name="20% - Accent6 4 3 5" xfId="13803" xr:uid="{D103F0FC-999B-4593-8FDB-4BCDD7E3338A}"/>
    <cellStyle name="20% - Accent6 4 4" xfId="1485" xr:uid="{00000000-0005-0000-0000-0000A3030000}"/>
    <cellStyle name="20% - Accent6 4 4 2" xfId="3715" xr:uid="{00000000-0005-0000-0000-0000A4030000}"/>
    <cellStyle name="20% - Accent6 4 4 2 2" xfId="7939" xr:uid="{00000000-0005-0000-0000-0000A5030000}"/>
    <cellStyle name="20% - Accent6 4 4 2 3" xfId="12150" xr:uid="{0B72D8BD-9E5D-4F9E-B4CF-B64E58E53F45}"/>
    <cellStyle name="20% - Accent6 4 4 2 4" xfId="16361" xr:uid="{D00C5871-8AC9-45F5-ABF9-16B0EBBA9C9C}"/>
    <cellStyle name="20% - Accent6 4 4 3" xfId="5794" xr:uid="{00000000-0005-0000-0000-0000A6030000}"/>
    <cellStyle name="20% - Accent6 4 4 4" xfId="10005" xr:uid="{2F40C874-6A99-4863-A148-E8FDAE74432E}"/>
    <cellStyle name="20% - Accent6 4 4 5" xfId="14216" xr:uid="{5792E861-66F3-4695-835B-C0BBF4BA130A}"/>
    <cellStyle name="20% - Accent6 4 5" xfId="1899" xr:uid="{00000000-0005-0000-0000-0000A7030000}"/>
    <cellStyle name="20% - Accent6 4 5 2" xfId="4128" xr:uid="{00000000-0005-0000-0000-0000A8030000}"/>
    <cellStyle name="20% - Accent6 4 5 2 2" xfId="8352" xr:uid="{00000000-0005-0000-0000-0000A9030000}"/>
    <cellStyle name="20% - Accent6 4 5 2 3" xfId="12563" xr:uid="{37CD5C03-1102-44AA-9FFA-3AC6FB6CDA9A}"/>
    <cellStyle name="20% - Accent6 4 5 2 4" xfId="16774" xr:uid="{750747C4-8EF5-46A3-89F2-0C1353428F8F}"/>
    <cellStyle name="20% - Accent6 4 5 3" xfId="6207" xr:uid="{00000000-0005-0000-0000-0000AA030000}"/>
    <cellStyle name="20% - Accent6 4 5 4" xfId="10418" xr:uid="{61AE207A-2906-4868-A825-B41A528F1811}"/>
    <cellStyle name="20% - Accent6 4 5 5" xfId="14629" xr:uid="{E61CC7EA-DC31-436C-B552-B0012DB42178}"/>
    <cellStyle name="20% - Accent6 4 6" xfId="2312" xr:uid="{00000000-0005-0000-0000-0000AB030000}"/>
    <cellStyle name="20% - Accent6 4 6 2" xfId="6620" xr:uid="{00000000-0005-0000-0000-0000AC030000}"/>
    <cellStyle name="20% - Accent6 4 6 3" xfId="10831" xr:uid="{F7578B56-747F-4FFF-A213-84BE2885F0C5}"/>
    <cellStyle name="20% - Accent6 4 6 4" xfId="15042" xr:uid="{21F51B2B-AD7C-455B-A01A-D58BA9A0A1EC}"/>
    <cellStyle name="20% - Accent6 4 7" xfId="4554" xr:uid="{00000000-0005-0000-0000-0000AD030000}"/>
    <cellStyle name="20% - Accent6 4 8" xfId="8765" xr:uid="{C891CA01-9E2F-41B6-84B4-54ADC940DA5D}"/>
    <cellStyle name="20% - Accent6 4 9" xfId="12976" xr:uid="{7AA00E23-32CD-4F3E-821C-A8B90315F588}"/>
    <cellStyle name="20% - Accent6 5" xfId="611" xr:uid="{00000000-0005-0000-0000-0000AE030000}"/>
    <cellStyle name="20% - Accent6 5 2" xfId="2882" xr:uid="{00000000-0005-0000-0000-0000AF030000}"/>
    <cellStyle name="20% - Accent6 5 2 2" xfId="7106" xr:uid="{00000000-0005-0000-0000-0000B0030000}"/>
    <cellStyle name="20% - Accent6 5 2 3" xfId="11317" xr:uid="{4DA4CB13-8C2F-41F7-A2E5-FB5B138A47D8}"/>
    <cellStyle name="20% - Accent6 5 2 4" xfId="15528" xr:uid="{58C0AA64-E515-4AF9-BADA-9B09D8736005}"/>
    <cellStyle name="20% - Accent6 5 3" xfId="4961" xr:uid="{00000000-0005-0000-0000-0000B1030000}"/>
    <cellStyle name="20% - Accent6 5 4" xfId="9172" xr:uid="{9F51434B-6921-4BE6-94F6-FC83374C1713}"/>
    <cellStyle name="20% - Accent6 5 5" xfId="13383" xr:uid="{88AB6BB0-4C90-4893-910B-F286843FB437}"/>
    <cellStyle name="20% - Accent6 6" xfId="1064" xr:uid="{00000000-0005-0000-0000-0000B2030000}"/>
    <cellStyle name="20% - Accent6 6 2" xfId="3295" xr:uid="{00000000-0005-0000-0000-0000B3030000}"/>
    <cellStyle name="20% - Accent6 6 2 2" xfId="7519" xr:uid="{00000000-0005-0000-0000-0000B4030000}"/>
    <cellStyle name="20% - Accent6 6 2 3" xfId="11730" xr:uid="{6C23440D-8608-49A8-B1C3-43FF4D1EA2BA}"/>
    <cellStyle name="20% - Accent6 6 2 4" xfId="15941" xr:uid="{04828554-D14E-43F8-B90E-E6C2B66C83A4}"/>
    <cellStyle name="20% - Accent6 6 3" xfId="5374" xr:uid="{00000000-0005-0000-0000-0000B5030000}"/>
    <cellStyle name="20% - Accent6 6 4" xfId="9585" xr:uid="{77167723-B82C-4693-9A87-2A6F67E80895}"/>
    <cellStyle name="20% - Accent6 6 5" xfId="13796" xr:uid="{3B2DC5C2-13B4-4B1D-84AA-35C2DF530632}"/>
    <cellStyle name="20% - Accent6 7" xfId="1478" xr:uid="{00000000-0005-0000-0000-0000B6030000}"/>
    <cellStyle name="20% - Accent6 7 2" xfId="3708" xr:uid="{00000000-0005-0000-0000-0000B7030000}"/>
    <cellStyle name="20% - Accent6 7 2 2" xfId="7932" xr:uid="{00000000-0005-0000-0000-0000B8030000}"/>
    <cellStyle name="20% - Accent6 7 2 3" xfId="12143" xr:uid="{58230B10-71CA-47C0-84AC-F0A126806388}"/>
    <cellStyle name="20% - Accent6 7 2 4" xfId="16354" xr:uid="{38A74297-1F66-46C2-A8A5-6D46E99DFEBB}"/>
    <cellStyle name="20% - Accent6 7 3" xfId="5787" xr:uid="{00000000-0005-0000-0000-0000B9030000}"/>
    <cellStyle name="20% - Accent6 7 4" xfId="9998" xr:uid="{FBCB0399-E914-4E63-A97E-248C79CF0083}"/>
    <cellStyle name="20% - Accent6 7 5" xfId="14209" xr:uid="{280F1CD2-92A5-481D-94AF-926DE7BC14BC}"/>
    <cellStyle name="20% - Accent6 8" xfId="1892" xr:uid="{00000000-0005-0000-0000-0000BA030000}"/>
    <cellStyle name="20% - Accent6 8 2" xfId="4121" xr:uid="{00000000-0005-0000-0000-0000BB030000}"/>
    <cellStyle name="20% - Accent6 8 2 2" xfId="8345" xr:uid="{00000000-0005-0000-0000-0000BC030000}"/>
    <cellStyle name="20% - Accent6 8 2 3" xfId="12556" xr:uid="{75A9974E-5558-4DC3-B755-D2081C8CE5D1}"/>
    <cellStyle name="20% - Accent6 8 2 4" xfId="16767" xr:uid="{2E428EE9-9B75-4ED7-BAF0-E982B3AAE101}"/>
    <cellStyle name="20% - Accent6 8 3" xfId="6200" xr:uid="{00000000-0005-0000-0000-0000BD030000}"/>
    <cellStyle name="20% - Accent6 8 4" xfId="10411" xr:uid="{82BA1557-609F-4C3B-A835-013D2C71882F}"/>
    <cellStyle name="20% - Accent6 8 5" xfId="14622" xr:uid="{81C793F2-CE6E-464E-9F43-C02C417B309F}"/>
    <cellStyle name="20% - Accent6 9" xfId="2305" xr:uid="{00000000-0005-0000-0000-0000BE030000}"/>
    <cellStyle name="20% - Accent6 9 2" xfId="6613" xr:uid="{00000000-0005-0000-0000-0000BF030000}"/>
    <cellStyle name="20% - Accent6 9 3" xfId="10824" xr:uid="{ADD79A4F-D419-42F3-9F2D-B3C4D820853A}"/>
    <cellStyle name="20% - Accent6 9 4" xfId="15035" xr:uid="{E5FD8380-1EEC-4B3C-AA78-7BBAE28FB68F}"/>
    <cellStyle name="40% - Accent1" xfId="49" builtinId="31" customBuiltin="1"/>
    <cellStyle name="40% - Accent1 10" xfId="4555" xr:uid="{00000000-0005-0000-0000-0000C1030000}"/>
    <cellStyle name="40% - Accent1 11" xfId="8766" xr:uid="{409B25A8-FF4F-4942-9F83-7257D9BEFB25}"/>
    <cellStyle name="40% - Accent1 12" xfId="12977" xr:uid="{0D3FD6FA-D1C4-493C-8AF9-4DC56359CA8C}"/>
    <cellStyle name="40% - Accent1 2" xfId="50" xr:uid="{00000000-0005-0000-0000-0000C2030000}"/>
    <cellStyle name="40% - Accent1 2 10" xfId="8767" xr:uid="{0A969E9C-3AD7-4810-B7B8-C7F6F62563AA}"/>
    <cellStyle name="40% - Accent1 2 11" xfId="12978" xr:uid="{B7399FAA-F0A3-40CF-BB8D-103D887E45C8}"/>
    <cellStyle name="40% - Accent1 2 2" xfId="51" xr:uid="{00000000-0005-0000-0000-0000C3030000}"/>
    <cellStyle name="40% - Accent1 2 2 10" xfId="12979" xr:uid="{5DA8C253-6521-49E0-ADE2-CC18341E4566}"/>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2 3" xfId="11328" xr:uid="{0D6BC5FC-FE18-49EF-8BD1-113632C2E9CF}"/>
    <cellStyle name="40% - Accent1 2 2 2 2 2 4" xfId="15539" xr:uid="{2683DD49-168A-4675-8B40-B5744FDFD165}"/>
    <cellStyle name="40% - Accent1 2 2 2 2 3" xfId="4972" xr:uid="{00000000-0005-0000-0000-0000C8030000}"/>
    <cellStyle name="40% - Accent1 2 2 2 2 4" xfId="9183" xr:uid="{424A565C-198F-40F3-936E-86CE047ED903}"/>
    <cellStyle name="40% - Accent1 2 2 2 2 5" xfId="13394" xr:uid="{5A6B90B1-E40A-4FE3-84B8-F76E9283183B}"/>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2 3" xfId="11741" xr:uid="{F1D2EEAE-5B74-4E2F-89F4-06BFEDC7BA0D}"/>
    <cellStyle name="40% - Accent1 2 2 2 3 2 4" xfId="15952" xr:uid="{692BBBEE-5538-4E71-80B7-04BCBF3C2518}"/>
    <cellStyle name="40% - Accent1 2 2 2 3 3" xfId="5385" xr:uid="{00000000-0005-0000-0000-0000CC030000}"/>
    <cellStyle name="40% - Accent1 2 2 2 3 4" xfId="9596" xr:uid="{7F669ED7-CF80-4A21-A11E-3413C205E077}"/>
    <cellStyle name="40% - Accent1 2 2 2 3 5" xfId="13807" xr:uid="{D39705E9-8299-421F-B14B-EF961BFCF0BF}"/>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2 3" xfId="12154" xr:uid="{69C99D1A-4190-46A5-A23C-1E1F4D83FCEC}"/>
    <cellStyle name="40% - Accent1 2 2 2 4 2 4" xfId="16365" xr:uid="{948F9158-B585-46ED-8BB1-AC2C560E28EC}"/>
    <cellStyle name="40% - Accent1 2 2 2 4 3" xfId="5798" xr:uid="{00000000-0005-0000-0000-0000D0030000}"/>
    <cellStyle name="40% - Accent1 2 2 2 4 4" xfId="10009" xr:uid="{1CAEB151-90F3-44F8-9E5A-5F852DA3D9A5}"/>
    <cellStyle name="40% - Accent1 2 2 2 4 5" xfId="14220" xr:uid="{1629502C-83D2-4C29-9396-1F001C4E4D12}"/>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2 3" xfId="12567" xr:uid="{EA34E188-7F63-4B07-822C-F7B138029A56}"/>
    <cellStyle name="40% - Accent1 2 2 2 5 2 4" xfId="16778" xr:uid="{785879F5-AD25-4B71-9A33-39CEBCBD4401}"/>
    <cellStyle name="40% - Accent1 2 2 2 5 3" xfId="6211" xr:uid="{00000000-0005-0000-0000-0000D4030000}"/>
    <cellStyle name="40% - Accent1 2 2 2 5 4" xfId="10422" xr:uid="{5E74A045-355C-4B4C-91C1-BA6391F7DA51}"/>
    <cellStyle name="40% - Accent1 2 2 2 5 5" xfId="14633" xr:uid="{60A49CBB-177F-42AE-925E-5243D544EEB2}"/>
    <cellStyle name="40% - Accent1 2 2 2 6" xfId="2316" xr:uid="{00000000-0005-0000-0000-0000D5030000}"/>
    <cellStyle name="40% - Accent1 2 2 2 6 2" xfId="6624" xr:uid="{00000000-0005-0000-0000-0000D6030000}"/>
    <cellStyle name="40% - Accent1 2 2 2 6 3" xfId="10835" xr:uid="{8D1E73D9-7646-4370-8780-81134F4E85F9}"/>
    <cellStyle name="40% - Accent1 2 2 2 6 4" xfId="15046" xr:uid="{E9C5ADE5-2841-45EB-922B-466DFDD23DED}"/>
    <cellStyle name="40% - Accent1 2 2 2 7" xfId="4558" xr:uid="{00000000-0005-0000-0000-0000D7030000}"/>
    <cellStyle name="40% - Accent1 2 2 2 8" xfId="8769" xr:uid="{D96A15D7-7ED2-4F02-BE3E-716C599C48FB}"/>
    <cellStyle name="40% - Accent1 2 2 2 9" xfId="12980" xr:uid="{E760F117-0A7E-48CF-9BBF-7E25238BC7BC}"/>
    <cellStyle name="40% - Accent1 2 2 3" xfId="621" xr:uid="{00000000-0005-0000-0000-0000D8030000}"/>
    <cellStyle name="40% - Accent1 2 2 3 2" xfId="2892" xr:uid="{00000000-0005-0000-0000-0000D9030000}"/>
    <cellStyle name="40% - Accent1 2 2 3 2 2" xfId="7116" xr:uid="{00000000-0005-0000-0000-0000DA030000}"/>
    <cellStyle name="40% - Accent1 2 2 3 2 3" xfId="11327" xr:uid="{1BDF3DF2-1F64-4117-8A90-A6656E8FF9CE}"/>
    <cellStyle name="40% - Accent1 2 2 3 2 4" xfId="15538" xr:uid="{3BE04944-8291-4B69-BFBC-E76B379220DB}"/>
    <cellStyle name="40% - Accent1 2 2 3 3" xfId="4971" xr:uid="{00000000-0005-0000-0000-0000DB030000}"/>
    <cellStyle name="40% - Accent1 2 2 3 4" xfId="9182" xr:uid="{B74007EC-820E-41E3-86D8-2EBB6B029109}"/>
    <cellStyle name="40% - Accent1 2 2 3 5" xfId="13393" xr:uid="{4F747A66-4C8E-4055-BF6D-EBC0CFAE5AF0}"/>
    <cellStyle name="40% - Accent1 2 2 4" xfId="1074" xr:uid="{00000000-0005-0000-0000-0000DC030000}"/>
    <cellStyle name="40% - Accent1 2 2 4 2" xfId="3305" xr:uid="{00000000-0005-0000-0000-0000DD030000}"/>
    <cellStyle name="40% - Accent1 2 2 4 2 2" xfId="7529" xr:uid="{00000000-0005-0000-0000-0000DE030000}"/>
    <cellStyle name="40% - Accent1 2 2 4 2 3" xfId="11740" xr:uid="{E122C838-0385-4ED9-AE8B-F12EE6D1FFCC}"/>
    <cellStyle name="40% - Accent1 2 2 4 2 4" xfId="15951" xr:uid="{BB3730C0-964E-43F5-B9D3-40A5FFE766F6}"/>
    <cellStyle name="40% - Accent1 2 2 4 3" xfId="5384" xr:uid="{00000000-0005-0000-0000-0000DF030000}"/>
    <cellStyle name="40% - Accent1 2 2 4 4" xfId="9595" xr:uid="{ECA923ED-2521-4538-98EB-517FDD63666A}"/>
    <cellStyle name="40% - Accent1 2 2 4 5" xfId="13806" xr:uid="{63B3B891-877B-4B29-8101-69127097DB77}"/>
    <cellStyle name="40% - Accent1 2 2 5" xfId="1488" xr:uid="{00000000-0005-0000-0000-0000E0030000}"/>
    <cellStyle name="40% - Accent1 2 2 5 2" xfId="3718" xr:uid="{00000000-0005-0000-0000-0000E1030000}"/>
    <cellStyle name="40% - Accent1 2 2 5 2 2" xfId="7942" xr:uid="{00000000-0005-0000-0000-0000E2030000}"/>
    <cellStyle name="40% - Accent1 2 2 5 2 3" xfId="12153" xr:uid="{73B20A99-22B5-4750-B5AA-31F5FE75F7EB}"/>
    <cellStyle name="40% - Accent1 2 2 5 2 4" xfId="16364" xr:uid="{E7413BAC-4739-4381-992A-D3847F6CA1FB}"/>
    <cellStyle name="40% - Accent1 2 2 5 3" xfId="5797" xr:uid="{00000000-0005-0000-0000-0000E3030000}"/>
    <cellStyle name="40% - Accent1 2 2 5 4" xfId="10008" xr:uid="{59BB7FD0-2F35-4FB3-B83F-3A2B223E0F76}"/>
    <cellStyle name="40% - Accent1 2 2 5 5" xfId="14219" xr:uid="{0B7D4CB1-3279-4EB1-A0F3-74D47517D10D}"/>
    <cellStyle name="40% - Accent1 2 2 6" xfId="1902" xr:uid="{00000000-0005-0000-0000-0000E4030000}"/>
    <cellStyle name="40% - Accent1 2 2 6 2" xfId="4131" xr:uid="{00000000-0005-0000-0000-0000E5030000}"/>
    <cellStyle name="40% - Accent1 2 2 6 2 2" xfId="8355" xr:uid="{00000000-0005-0000-0000-0000E6030000}"/>
    <cellStyle name="40% - Accent1 2 2 6 2 3" xfId="12566" xr:uid="{725CD614-C786-4F24-8A08-B3F67D57D75E}"/>
    <cellStyle name="40% - Accent1 2 2 6 2 4" xfId="16777" xr:uid="{7050D0FE-069B-4056-B20E-FC31D962AB66}"/>
    <cellStyle name="40% - Accent1 2 2 6 3" xfId="6210" xr:uid="{00000000-0005-0000-0000-0000E7030000}"/>
    <cellStyle name="40% - Accent1 2 2 6 4" xfId="10421" xr:uid="{DFA818CF-1679-4B6A-BBC6-81B7D65C0C94}"/>
    <cellStyle name="40% - Accent1 2 2 6 5" xfId="14632" xr:uid="{DA49DDB4-CAB4-40F9-B270-70A71A811FD6}"/>
    <cellStyle name="40% - Accent1 2 2 7" xfId="2315" xr:uid="{00000000-0005-0000-0000-0000E8030000}"/>
    <cellStyle name="40% - Accent1 2 2 7 2" xfId="6623" xr:uid="{00000000-0005-0000-0000-0000E9030000}"/>
    <cellStyle name="40% - Accent1 2 2 7 3" xfId="10834" xr:uid="{FFF3C0AC-3714-4BA6-A666-B77EB6D1F4B5}"/>
    <cellStyle name="40% - Accent1 2 2 7 4" xfId="15045" xr:uid="{3C9BBEA3-3FB5-4E10-B82A-21BCE88D3DF2}"/>
    <cellStyle name="40% - Accent1 2 2 8" xfId="4557" xr:uid="{00000000-0005-0000-0000-0000EA030000}"/>
    <cellStyle name="40% - Accent1 2 2 9" xfId="8768" xr:uid="{F3F17E1A-F26D-4DB3-93B1-AE1AADF82D22}"/>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2 3" xfId="11329" xr:uid="{4B3DB737-6A3B-4F99-A688-9A8648735D20}"/>
    <cellStyle name="40% - Accent1 2 3 2 2 4" xfId="15540" xr:uid="{C627976E-C85F-4253-836F-2E54C646742F}"/>
    <cellStyle name="40% - Accent1 2 3 2 3" xfId="4973" xr:uid="{00000000-0005-0000-0000-0000EF030000}"/>
    <cellStyle name="40% - Accent1 2 3 2 4" xfId="9184" xr:uid="{D97D632B-22BE-4456-922C-90ABA87CCC3C}"/>
    <cellStyle name="40% - Accent1 2 3 2 5" xfId="13395" xr:uid="{3EAA5740-CE35-49AD-985D-972EBEF59D9D}"/>
    <cellStyle name="40% - Accent1 2 3 3" xfId="1076" xr:uid="{00000000-0005-0000-0000-0000F0030000}"/>
    <cellStyle name="40% - Accent1 2 3 3 2" xfId="3307" xr:uid="{00000000-0005-0000-0000-0000F1030000}"/>
    <cellStyle name="40% - Accent1 2 3 3 2 2" xfId="7531" xr:uid="{00000000-0005-0000-0000-0000F2030000}"/>
    <cellStyle name="40% - Accent1 2 3 3 2 3" xfId="11742" xr:uid="{A58A4331-E30A-4750-BED4-BC1FF7737814}"/>
    <cellStyle name="40% - Accent1 2 3 3 2 4" xfId="15953" xr:uid="{9AB7C013-0A73-48ED-91E5-A748BE24A42D}"/>
    <cellStyle name="40% - Accent1 2 3 3 3" xfId="5386" xr:uid="{00000000-0005-0000-0000-0000F3030000}"/>
    <cellStyle name="40% - Accent1 2 3 3 4" xfId="9597" xr:uid="{0080540E-43B4-4DEC-8AD9-496E4FC0B85D}"/>
    <cellStyle name="40% - Accent1 2 3 3 5" xfId="13808" xr:uid="{62CAD903-E2E1-457B-8E6E-5986EA58F505}"/>
    <cellStyle name="40% - Accent1 2 3 4" xfId="1490" xr:uid="{00000000-0005-0000-0000-0000F4030000}"/>
    <cellStyle name="40% - Accent1 2 3 4 2" xfId="3720" xr:uid="{00000000-0005-0000-0000-0000F5030000}"/>
    <cellStyle name="40% - Accent1 2 3 4 2 2" xfId="7944" xr:uid="{00000000-0005-0000-0000-0000F6030000}"/>
    <cellStyle name="40% - Accent1 2 3 4 2 3" xfId="12155" xr:uid="{691E7CAC-7227-4C46-B678-C679C2EBF6A5}"/>
    <cellStyle name="40% - Accent1 2 3 4 2 4" xfId="16366" xr:uid="{D2D19AB7-2144-4662-AFDB-A7BD08AE51F8}"/>
    <cellStyle name="40% - Accent1 2 3 4 3" xfId="5799" xr:uid="{00000000-0005-0000-0000-0000F7030000}"/>
    <cellStyle name="40% - Accent1 2 3 4 4" xfId="10010" xr:uid="{F2D45A04-879B-4012-BC25-3314183DC8B7}"/>
    <cellStyle name="40% - Accent1 2 3 4 5" xfId="14221" xr:uid="{7536D70F-5BAB-4C2A-8BC0-5C8A94BC6BE0}"/>
    <cellStyle name="40% - Accent1 2 3 5" xfId="1904" xr:uid="{00000000-0005-0000-0000-0000F8030000}"/>
    <cellStyle name="40% - Accent1 2 3 5 2" xfId="4133" xr:uid="{00000000-0005-0000-0000-0000F9030000}"/>
    <cellStyle name="40% - Accent1 2 3 5 2 2" xfId="8357" xr:uid="{00000000-0005-0000-0000-0000FA030000}"/>
    <cellStyle name="40% - Accent1 2 3 5 2 3" xfId="12568" xr:uid="{B6760AE9-39A0-4922-BCD5-87954FADA851}"/>
    <cellStyle name="40% - Accent1 2 3 5 2 4" xfId="16779" xr:uid="{A36B6F99-C646-4777-8DBD-8F7777A44864}"/>
    <cellStyle name="40% - Accent1 2 3 5 3" xfId="6212" xr:uid="{00000000-0005-0000-0000-0000FB030000}"/>
    <cellStyle name="40% - Accent1 2 3 5 4" xfId="10423" xr:uid="{428CF1EF-9460-4688-B21F-F5220485CB16}"/>
    <cellStyle name="40% - Accent1 2 3 5 5" xfId="14634" xr:uid="{DD1E8E5F-D388-43A1-AD46-B8B54BC58A95}"/>
    <cellStyle name="40% - Accent1 2 3 6" xfId="2317" xr:uid="{00000000-0005-0000-0000-0000FC030000}"/>
    <cellStyle name="40% - Accent1 2 3 6 2" xfId="6625" xr:uid="{00000000-0005-0000-0000-0000FD030000}"/>
    <cellStyle name="40% - Accent1 2 3 6 3" xfId="10836" xr:uid="{CEE9D2C0-62F7-4037-ADCB-08C5F2A72FD6}"/>
    <cellStyle name="40% - Accent1 2 3 6 4" xfId="15047" xr:uid="{08138FEA-1318-4CE8-AE8D-655AE9C70498}"/>
    <cellStyle name="40% - Accent1 2 3 7" xfId="4559" xr:uid="{00000000-0005-0000-0000-0000FE030000}"/>
    <cellStyle name="40% - Accent1 2 3 8" xfId="8770" xr:uid="{8640DFD7-8113-4387-9F2E-86798245B6C8}"/>
    <cellStyle name="40% - Accent1 2 3 9" xfId="12981" xr:uid="{6FE8B020-ADC5-40A4-ADC7-353C73801353}"/>
    <cellStyle name="40% - Accent1 2 4" xfId="620" xr:uid="{00000000-0005-0000-0000-0000FF030000}"/>
    <cellStyle name="40% - Accent1 2 4 2" xfId="2891" xr:uid="{00000000-0005-0000-0000-000000040000}"/>
    <cellStyle name="40% - Accent1 2 4 2 2" xfId="7115" xr:uid="{00000000-0005-0000-0000-000001040000}"/>
    <cellStyle name="40% - Accent1 2 4 2 3" xfId="11326" xr:uid="{12369200-86BF-46D6-AA85-74EEE2EA2C1C}"/>
    <cellStyle name="40% - Accent1 2 4 2 4" xfId="15537" xr:uid="{542FB412-7739-4697-A890-5DD9B1E1D042}"/>
    <cellStyle name="40% - Accent1 2 4 3" xfId="4970" xr:uid="{00000000-0005-0000-0000-000002040000}"/>
    <cellStyle name="40% - Accent1 2 4 4" xfId="9181" xr:uid="{23BCC317-F385-43B6-8DEE-8070E0325D36}"/>
    <cellStyle name="40% - Accent1 2 4 5" xfId="13392" xr:uid="{E1315913-FACC-4AC5-98E8-C63A5CBB9E83}"/>
    <cellStyle name="40% - Accent1 2 5" xfId="1073" xr:uid="{00000000-0005-0000-0000-000003040000}"/>
    <cellStyle name="40% - Accent1 2 5 2" xfId="3304" xr:uid="{00000000-0005-0000-0000-000004040000}"/>
    <cellStyle name="40% - Accent1 2 5 2 2" xfId="7528" xr:uid="{00000000-0005-0000-0000-000005040000}"/>
    <cellStyle name="40% - Accent1 2 5 2 3" xfId="11739" xr:uid="{4D09B64A-4269-4CC5-89F1-9FDF15D9569A}"/>
    <cellStyle name="40% - Accent1 2 5 2 4" xfId="15950" xr:uid="{4935BF35-920B-4EB6-81BF-6F1FD23C6464}"/>
    <cellStyle name="40% - Accent1 2 5 3" xfId="5383" xr:uid="{00000000-0005-0000-0000-000006040000}"/>
    <cellStyle name="40% - Accent1 2 5 4" xfId="9594" xr:uid="{99BD5695-678F-4E26-A5CD-DAB7B5E008B7}"/>
    <cellStyle name="40% - Accent1 2 5 5" xfId="13805" xr:uid="{E729E325-7D52-4995-90B9-6094953C5AC4}"/>
    <cellStyle name="40% - Accent1 2 6" xfId="1487" xr:uid="{00000000-0005-0000-0000-000007040000}"/>
    <cellStyle name="40% - Accent1 2 6 2" xfId="3717" xr:uid="{00000000-0005-0000-0000-000008040000}"/>
    <cellStyle name="40% - Accent1 2 6 2 2" xfId="7941" xr:uid="{00000000-0005-0000-0000-000009040000}"/>
    <cellStyle name="40% - Accent1 2 6 2 3" xfId="12152" xr:uid="{E0B45B5F-79CC-4E82-95B5-93F7C2A11A12}"/>
    <cellStyle name="40% - Accent1 2 6 2 4" xfId="16363" xr:uid="{7C445CBA-8C31-444D-BA23-A4B994EB8D8E}"/>
    <cellStyle name="40% - Accent1 2 6 3" xfId="5796" xr:uid="{00000000-0005-0000-0000-00000A040000}"/>
    <cellStyle name="40% - Accent1 2 6 4" xfId="10007" xr:uid="{CA701607-40DD-4AF1-A8EC-935B06C3ADCD}"/>
    <cellStyle name="40% - Accent1 2 6 5" xfId="14218" xr:uid="{7A1408DD-080B-490B-BE22-B3DBA22E1067}"/>
    <cellStyle name="40% - Accent1 2 7" xfId="1901" xr:uid="{00000000-0005-0000-0000-00000B040000}"/>
    <cellStyle name="40% - Accent1 2 7 2" xfId="4130" xr:uid="{00000000-0005-0000-0000-00000C040000}"/>
    <cellStyle name="40% - Accent1 2 7 2 2" xfId="8354" xr:uid="{00000000-0005-0000-0000-00000D040000}"/>
    <cellStyle name="40% - Accent1 2 7 2 3" xfId="12565" xr:uid="{B56F22F5-7143-4817-B3C8-3742EBD8D80C}"/>
    <cellStyle name="40% - Accent1 2 7 2 4" xfId="16776" xr:uid="{56802D32-A4F5-47D1-A189-6BC31B2FF456}"/>
    <cellStyle name="40% - Accent1 2 7 3" xfId="6209" xr:uid="{00000000-0005-0000-0000-00000E040000}"/>
    <cellStyle name="40% - Accent1 2 7 4" xfId="10420" xr:uid="{B40E98A6-6052-4AC9-B2F0-3BD2B62FD25D}"/>
    <cellStyle name="40% - Accent1 2 7 5" xfId="14631" xr:uid="{6E25D2DB-634D-4E9D-8F51-EF744EC61D0D}"/>
    <cellStyle name="40% - Accent1 2 8" xfId="2314" xr:uid="{00000000-0005-0000-0000-00000F040000}"/>
    <cellStyle name="40% - Accent1 2 8 2" xfId="6622" xr:uid="{00000000-0005-0000-0000-000010040000}"/>
    <cellStyle name="40% - Accent1 2 8 3" xfId="10833" xr:uid="{2FFCF01A-01F4-4753-B1D7-33DAE3FDFEB0}"/>
    <cellStyle name="40% - Accent1 2 8 4" xfId="15044" xr:uid="{79D4E477-E911-4797-AD1A-F4622FC2A95A}"/>
    <cellStyle name="40% - Accent1 2 9" xfId="4556" xr:uid="{00000000-0005-0000-0000-000011040000}"/>
    <cellStyle name="40% - Accent1 3" xfId="54" xr:uid="{00000000-0005-0000-0000-000012040000}"/>
    <cellStyle name="40% - Accent1 3 10" xfId="12982" xr:uid="{5AE44951-8C26-4135-883B-1989F66873E8}"/>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2 3" xfId="11331" xr:uid="{662832D5-1032-4C3B-BB40-B32BB30F9C77}"/>
    <cellStyle name="40% - Accent1 3 2 2 2 4" xfId="15542" xr:uid="{6BFAE044-0D46-4B2D-92F6-B30E95DD55E1}"/>
    <cellStyle name="40% - Accent1 3 2 2 3" xfId="4975" xr:uid="{00000000-0005-0000-0000-000017040000}"/>
    <cellStyle name="40% - Accent1 3 2 2 4" xfId="9186" xr:uid="{F66C19BD-03B9-41CC-8ADE-31B566D22501}"/>
    <cellStyle name="40% - Accent1 3 2 2 5" xfId="13397" xr:uid="{15054534-C70D-44EA-9740-646827655281}"/>
    <cellStyle name="40% - Accent1 3 2 3" xfId="1078" xr:uid="{00000000-0005-0000-0000-000018040000}"/>
    <cellStyle name="40% - Accent1 3 2 3 2" xfId="3309" xr:uid="{00000000-0005-0000-0000-000019040000}"/>
    <cellStyle name="40% - Accent1 3 2 3 2 2" xfId="7533" xr:uid="{00000000-0005-0000-0000-00001A040000}"/>
    <cellStyle name="40% - Accent1 3 2 3 2 3" xfId="11744" xr:uid="{CFC93083-046F-421F-B19B-ABAAEF8E14DF}"/>
    <cellStyle name="40% - Accent1 3 2 3 2 4" xfId="15955" xr:uid="{23E16C4D-A85C-443D-BA52-CAFDD7D79D30}"/>
    <cellStyle name="40% - Accent1 3 2 3 3" xfId="5388" xr:uid="{00000000-0005-0000-0000-00001B040000}"/>
    <cellStyle name="40% - Accent1 3 2 3 4" xfId="9599" xr:uid="{2D6B43CD-C094-4B6F-9841-FD1DF315AFFB}"/>
    <cellStyle name="40% - Accent1 3 2 3 5" xfId="13810" xr:uid="{33CD6980-E22A-48AB-89E6-C6A1E06CB1BC}"/>
    <cellStyle name="40% - Accent1 3 2 4" xfId="1492" xr:uid="{00000000-0005-0000-0000-00001C040000}"/>
    <cellStyle name="40% - Accent1 3 2 4 2" xfId="3722" xr:uid="{00000000-0005-0000-0000-00001D040000}"/>
    <cellStyle name="40% - Accent1 3 2 4 2 2" xfId="7946" xr:uid="{00000000-0005-0000-0000-00001E040000}"/>
    <cellStyle name="40% - Accent1 3 2 4 2 3" xfId="12157" xr:uid="{03CE7F30-23E4-4419-9F7B-CD9129477DB1}"/>
    <cellStyle name="40% - Accent1 3 2 4 2 4" xfId="16368" xr:uid="{06671444-5ED0-4B4F-883B-CB0B18FB3BE2}"/>
    <cellStyle name="40% - Accent1 3 2 4 3" xfId="5801" xr:uid="{00000000-0005-0000-0000-00001F040000}"/>
    <cellStyle name="40% - Accent1 3 2 4 4" xfId="10012" xr:uid="{DA2CBBB9-572B-4B33-BEB2-06CFA2AE6B11}"/>
    <cellStyle name="40% - Accent1 3 2 4 5" xfId="14223" xr:uid="{C0C9A951-6A14-491A-9D5D-24F659C40DC0}"/>
    <cellStyle name="40% - Accent1 3 2 5" xfId="1906" xr:uid="{00000000-0005-0000-0000-000020040000}"/>
    <cellStyle name="40% - Accent1 3 2 5 2" xfId="4135" xr:uid="{00000000-0005-0000-0000-000021040000}"/>
    <cellStyle name="40% - Accent1 3 2 5 2 2" xfId="8359" xr:uid="{00000000-0005-0000-0000-000022040000}"/>
    <cellStyle name="40% - Accent1 3 2 5 2 3" xfId="12570" xr:uid="{AD293DE1-402A-4699-9115-6C208F79A242}"/>
    <cellStyle name="40% - Accent1 3 2 5 2 4" xfId="16781" xr:uid="{4334039F-3EF3-4C6F-A92A-E0BF952C2C0D}"/>
    <cellStyle name="40% - Accent1 3 2 5 3" xfId="6214" xr:uid="{00000000-0005-0000-0000-000023040000}"/>
    <cellStyle name="40% - Accent1 3 2 5 4" xfId="10425" xr:uid="{4414B8C8-E336-4711-86AB-DD7C8B4A8C0A}"/>
    <cellStyle name="40% - Accent1 3 2 5 5" xfId="14636" xr:uid="{B5F74B83-E384-492B-82CC-9A744A2D79F1}"/>
    <cellStyle name="40% - Accent1 3 2 6" xfId="2319" xr:uid="{00000000-0005-0000-0000-000024040000}"/>
    <cellStyle name="40% - Accent1 3 2 6 2" xfId="6627" xr:uid="{00000000-0005-0000-0000-000025040000}"/>
    <cellStyle name="40% - Accent1 3 2 6 3" xfId="10838" xr:uid="{C7612E88-4229-4E43-B28D-4D3EFEDECEEA}"/>
    <cellStyle name="40% - Accent1 3 2 6 4" xfId="15049" xr:uid="{4FF16BCE-9273-427C-9294-B57E711C15A0}"/>
    <cellStyle name="40% - Accent1 3 2 7" xfId="4561" xr:uid="{00000000-0005-0000-0000-000026040000}"/>
    <cellStyle name="40% - Accent1 3 2 8" xfId="8772" xr:uid="{19F29214-A26F-4A2E-9CEB-35D08C7313B5}"/>
    <cellStyle name="40% - Accent1 3 2 9" xfId="12983" xr:uid="{B84C3C51-9223-4A0B-9BEA-9BA58FA188DD}"/>
    <cellStyle name="40% - Accent1 3 3" xfId="624" xr:uid="{00000000-0005-0000-0000-000027040000}"/>
    <cellStyle name="40% - Accent1 3 3 2" xfId="2895" xr:uid="{00000000-0005-0000-0000-000028040000}"/>
    <cellStyle name="40% - Accent1 3 3 2 2" xfId="7119" xr:uid="{00000000-0005-0000-0000-000029040000}"/>
    <cellStyle name="40% - Accent1 3 3 2 3" xfId="11330" xr:uid="{FF527D1F-09D6-4DAF-8F2F-98491F67FA66}"/>
    <cellStyle name="40% - Accent1 3 3 2 4" xfId="15541" xr:uid="{4381BF22-ED94-486E-AB82-3BC9E986CD37}"/>
    <cellStyle name="40% - Accent1 3 3 3" xfId="4974" xr:uid="{00000000-0005-0000-0000-00002A040000}"/>
    <cellStyle name="40% - Accent1 3 3 4" xfId="9185" xr:uid="{8C2E573A-FF73-4C4B-925F-78C5F96337EF}"/>
    <cellStyle name="40% - Accent1 3 3 5" xfId="13396" xr:uid="{52D702C7-9252-4140-935B-89DBB253E446}"/>
    <cellStyle name="40% - Accent1 3 4" xfId="1077" xr:uid="{00000000-0005-0000-0000-00002B040000}"/>
    <cellStyle name="40% - Accent1 3 4 2" xfId="3308" xr:uid="{00000000-0005-0000-0000-00002C040000}"/>
    <cellStyle name="40% - Accent1 3 4 2 2" xfId="7532" xr:uid="{00000000-0005-0000-0000-00002D040000}"/>
    <cellStyle name="40% - Accent1 3 4 2 3" xfId="11743" xr:uid="{4BD26B25-9910-49DE-BA22-81816380C25A}"/>
    <cellStyle name="40% - Accent1 3 4 2 4" xfId="15954" xr:uid="{18FCBE5C-B6D6-4B4A-9851-938A2046D89B}"/>
    <cellStyle name="40% - Accent1 3 4 3" xfId="5387" xr:uid="{00000000-0005-0000-0000-00002E040000}"/>
    <cellStyle name="40% - Accent1 3 4 4" xfId="9598" xr:uid="{A31C7FA7-935A-4925-9C24-FD4782A24132}"/>
    <cellStyle name="40% - Accent1 3 4 5" xfId="13809" xr:uid="{A7356E3B-BD66-4451-A310-3A3070400D34}"/>
    <cellStyle name="40% - Accent1 3 5" xfId="1491" xr:uid="{00000000-0005-0000-0000-00002F040000}"/>
    <cellStyle name="40% - Accent1 3 5 2" xfId="3721" xr:uid="{00000000-0005-0000-0000-000030040000}"/>
    <cellStyle name="40% - Accent1 3 5 2 2" xfId="7945" xr:uid="{00000000-0005-0000-0000-000031040000}"/>
    <cellStyle name="40% - Accent1 3 5 2 3" xfId="12156" xr:uid="{427C8143-5255-4DD8-B3C1-571C7BADEE9E}"/>
    <cellStyle name="40% - Accent1 3 5 2 4" xfId="16367" xr:uid="{80CA984C-CB22-4111-80FA-D2E754668655}"/>
    <cellStyle name="40% - Accent1 3 5 3" xfId="5800" xr:uid="{00000000-0005-0000-0000-000032040000}"/>
    <cellStyle name="40% - Accent1 3 5 4" xfId="10011" xr:uid="{2765FF00-31E5-4649-BCE2-F5FDEC79897B}"/>
    <cellStyle name="40% - Accent1 3 5 5" xfId="14222" xr:uid="{BDE03EB3-483B-4F90-96C0-D7361462621F}"/>
    <cellStyle name="40% - Accent1 3 6" xfId="1905" xr:uid="{00000000-0005-0000-0000-000033040000}"/>
    <cellStyle name="40% - Accent1 3 6 2" xfId="4134" xr:uid="{00000000-0005-0000-0000-000034040000}"/>
    <cellStyle name="40% - Accent1 3 6 2 2" xfId="8358" xr:uid="{00000000-0005-0000-0000-000035040000}"/>
    <cellStyle name="40% - Accent1 3 6 2 3" xfId="12569" xr:uid="{8EAFBBF6-E9AF-4093-8424-08F4C7052048}"/>
    <cellStyle name="40% - Accent1 3 6 2 4" xfId="16780" xr:uid="{F43143D4-645F-4844-8144-45C4617624E6}"/>
    <cellStyle name="40% - Accent1 3 6 3" xfId="6213" xr:uid="{00000000-0005-0000-0000-000036040000}"/>
    <cellStyle name="40% - Accent1 3 6 4" xfId="10424" xr:uid="{449EBEFB-E231-415F-8C31-3CFA5923DD5D}"/>
    <cellStyle name="40% - Accent1 3 6 5" xfId="14635" xr:uid="{3F42F4B6-F9FE-4CDD-814C-55D3424F206C}"/>
    <cellStyle name="40% - Accent1 3 7" xfId="2318" xr:uid="{00000000-0005-0000-0000-000037040000}"/>
    <cellStyle name="40% - Accent1 3 7 2" xfId="6626" xr:uid="{00000000-0005-0000-0000-000038040000}"/>
    <cellStyle name="40% - Accent1 3 7 3" xfId="10837" xr:uid="{D5B67485-1EE4-411F-A8CD-122BE56434F9}"/>
    <cellStyle name="40% - Accent1 3 7 4" xfId="15048" xr:uid="{88A42786-C0AF-42D9-9A5F-282CA73C0252}"/>
    <cellStyle name="40% - Accent1 3 8" xfId="4560" xr:uid="{00000000-0005-0000-0000-000039040000}"/>
    <cellStyle name="40% - Accent1 3 9" xfId="8771" xr:uid="{822A818C-E52A-4861-A78B-E5E80D456E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2 3" xfId="11332" xr:uid="{C77224BF-CAF0-485A-B31A-6873B240B868}"/>
    <cellStyle name="40% - Accent1 4 2 2 4" xfId="15543" xr:uid="{3A6936FD-9BF3-431B-8245-85452411385F}"/>
    <cellStyle name="40% - Accent1 4 2 3" xfId="4976" xr:uid="{00000000-0005-0000-0000-00003E040000}"/>
    <cellStyle name="40% - Accent1 4 2 4" xfId="9187" xr:uid="{F255BCC8-9CE2-4139-A32C-9CF71183502F}"/>
    <cellStyle name="40% - Accent1 4 2 5" xfId="13398" xr:uid="{983F13D2-AE7D-40B6-A379-5735B5050339}"/>
    <cellStyle name="40% - Accent1 4 3" xfId="1079" xr:uid="{00000000-0005-0000-0000-00003F040000}"/>
    <cellStyle name="40% - Accent1 4 3 2" xfId="3310" xr:uid="{00000000-0005-0000-0000-000040040000}"/>
    <cellStyle name="40% - Accent1 4 3 2 2" xfId="7534" xr:uid="{00000000-0005-0000-0000-000041040000}"/>
    <cellStyle name="40% - Accent1 4 3 2 3" xfId="11745" xr:uid="{DAD83FDA-1FDB-4C7D-B8AB-7FD44A8A97E8}"/>
    <cellStyle name="40% - Accent1 4 3 2 4" xfId="15956" xr:uid="{B75AC161-D3A0-442A-8A0C-B61208B265DD}"/>
    <cellStyle name="40% - Accent1 4 3 3" xfId="5389" xr:uid="{00000000-0005-0000-0000-000042040000}"/>
    <cellStyle name="40% - Accent1 4 3 4" xfId="9600" xr:uid="{4255BDA6-26B5-4BA1-AB7B-8C2B7E989C28}"/>
    <cellStyle name="40% - Accent1 4 3 5" xfId="13811" xr:uid="{BE9DB2FA-8EF5-499F-A569-208E026ADB7D}"/>
    <cellStyle name="40% - Accent1 4 4" xfId="1493" xr:uid="{00000000-0005-0000-0000-000043040000}"/>
    <cellStyle name="40% - Accent1 4 4 2" xfId="3723" xr:uid="{00000000-0005-0000-0000-000044040000}"/>
    <cellStyle name="40% - Accent1 4 4 2 2" xfId="7947" xr:uid="{00000000-0005-0000-0000-000045040000}"/>
    <cellStyle name="40% - Accent1 4 4 2 3" xfId="12158" xr:uid="{EDB4D6C5-54A7-4CB1-B373-F3FB07A0A8A1}"/>
    <cellStyle name="40% - Accent1 4 4 2 4" xfId="16369" xr:uid="{2715F41B-8E42-4442-93A0-25291B3491AE}"/>
    <cellStyle name="40% - Accent1 4 4 3" xfId="5802" xr:uid="{00000000-0005-0000-0000-000046040000}"/>
    <cellStyle name="40% - Accent1 4 4 4" xfId="10013" xr:uid="{469CE569-0286-4903-A207-1B47504C0DB5}"/>
    <cellStyle name="40% - Accent1 4 4 5" xfId="14224" xr:uid="{5A158AA5-FBD7-4C5C-8DA4-34C9B4482D3F}"/>
    <cellStyle name="40% - Accent1 4 5" xfId="1907" xr:uid="{00000000-0005-0000-0000-000047040000}"/>
    <cellStyle name="40% - Accent1 4 5 2" xfId="4136" xr:uid="{00000000-0005-0000-0000-000048040000}"/>
    <cellStyle name="40% - Accent1 4 5 2 2" xfId="8360" xr:uid="{00000000-0005-0000-0000-000049040000}"/>
    <cellStyle name="40% - Accent1 4 5 2 3" xfId="12571" xr:uid="{42F50F67-4148-44B3-A783-CF78CF8767B7}"/>
    <cellStyle name="40% - Accent1 4 5 2 4" xfId="16782" xr:uid="{69721FD8-B28E-4647-BFBE-6916AC15FB2A}"/>
    <cellStyle name="40% - Accent1 4 5 3" xfId="6215" xr:uid="{00000000-0005-0000-0000-00004A040000}"/>
    <cellStyle name="40% - Accent1 4 5 4" xfId="10426" xr:uid="{BCDCBACB-002F-4497-9741-587BB6214881}"/>
    <cellStyle name="40% - Accent1 4 5 5" xfId="14637" xr:uid="{6F06CF02-26FC-4B18-9A75-344F1EDC0586}"/>
    <cellStyle name="40% - Accent1 4 6" xfId="2320" xr:uid="{00000000-0005-0000-0000-00004B040000}"/>
    <cellStyle name="40% - Accent1 4 6 2" xfId="6628" xr:uid="{00000000-0005-0000-0000-00004C040000}"/>
    <cellStyle name="40% - Accent1 4 6 3" xfId="10839" xr:uid="{5F4831C1-5B09-4DFC-B859-42461A511F26}"/>
    <cellStyle name="40% - Accent1 4 6 4" xfId="15050" xr:uid="{BE86D259-2DDC-4654-9121-267A7963CB95}"/>
    <cellStyle name="40% - Accent1 4 7" xfId="4562" xr:uid="{00000000-0005-0000-0000-00004D040000}"/>
    <cellStyle name="40% - Accent1 4 8" xfId="8773" xr:uid="{06993BB0-FF41-4235-ACBE-1EA60916A5D1}"/>
    <cellStyle name="40% - Accent1 4 9" xfId="12984" xr:uid="{D68972EA-D98F-4C04-A87F-54AC08EBAC6F}"/>
    <cellStyle name="40% - Accent1 5" xfId="619" xr:uid="{00000000-0005-0000-0000-00004E040000}"/>
    <cellStyle name="40% - Accent1 5 2" xfId="2890" xr:uid="{00000000-0005-0000-0000-00004F040000}"/>
    <cellStyle name="40% - Accent1 5 2 2" xfId="7114" xr:uid="{00000000-0005-0000-0000-000050040000}"/>
    <cellStyle name="40% - Accent1 5 2 3" xfId="11325" xr:uid="{8C3F997E-354D-463E-B94B-78B0254F1F39}"/>
    <cellStyle name="40% - Accent1 5 2 4" xfId="15536" xr:uid="{61F9730F-F83A-4CCD-901E-5E0EEFF1E604}"/>
    <cellStyle name="40% - Accent1 5 3" xfId="4969" xr:uid="{00000000-0005-0000-0000-000051040000}"/>
    <cellStyle name="40% - Accent1 5 4" xfId="9180" xr:uid="{F72FD4E0-8117-4688-9B0C-505637AC37D3}"/>
    <cellStyle name="40% - Accent1 5 5" xfId="13391" xr:uid="{3052DB22-2903-4AFA-9E63-758E37F85A96}"/>
    <cellStyle name="40% - Accent1 6" xfId="1072" xr:uid="{00000000-0005-0000-0000-000052040000}"/>
    <cellStyle name="40% - Accent1 6 2" xfId="3303" xr:uid="{00000000-0005-0000-0000-000053040000}"/>
    <cellStyle name="40% - Accent1 6 2 2" xfId="7527" xr:uid="{00000000-0005-0000-0000-000054040000}"/>
    <cellStyle name="40% - Accent1 6 2 3" xfId="11738" xr:uid="{A477889D-EA14-4938-9748-31B0657DD5B8}"/>
    <cellStyle name="40% - Accent1 6 2 4" xfId="15949" xr:uid="{C4566E8D-0EC1-404F-892D-C386E2FC6AC1}"/>
    <cellStyle name="40% - Accent1 6 3" xfId="5382" xr:uid="{00000000-0005-0000-0000-000055040000}"/>
    <cellStyle name="40% - Accent1 6 4" xfId="9593" xr:uid="{A5D63559-64B8-45E1-8F3B-277653675F01}"/>
    <cellStyle name="40% - Accent1 6 5" xfId="13804" xr:uid="{03AF242D-1698-4966-A58A-481964E51459}"/>
    <cellStyle name="40% - Accent1 7" xfId="1486" xr:uid="{00000000-0005-0000-0000-000056040000}"/>
    <cellStyle name="40% - Accent1 7 2" xfId="3716" xr:uid="{00000000-0005-0000-0000-000057040000}"/>
    <cellStyle name="40% - Accent1 7 2 2" xfId="7940" xr:uid="{00000000-0005-0000-0000-000058040000}"/>
    <cellStyle name="40% - Accent1 7 2 3" xfId="12151" xr:uid="{2F262DBF-A4C5-4AEC-953B-D5B3C3EDDF0D}"/>
    <cellStyle name="40% - Accent1 7 2 4" xfId="16362" xr:uid="{02437428-9233-4550-9C98-8632DA416D29}"/>
    <cellStyle name="40% - Accent1 7 3" xfId="5795" xr:uid="{00000000-0005-0000-0000-000059040000}"/>
    <cellStyle name="40% - Accent1 7 4" xfId="10006" xr:uid="{FE6F8675-A36E-42C8-B0FA-EC93DC2D62D8}"/>
    <cellStyle name="40% - Accent1 7 5" xfId="14217" xr:uid="{BD9A7A4C-ABEC-4CB0-B318-88C8D0D077B9}"/>
    <cellStyle name="40% - Accent1 8" xfId="1900" xr:uid="{00000000-0005-0000-0000-00005A040000}"/>
    <cellStyle name="40% - Accent1 8 2" xfId="4129" xr:uid="{00000000-0005-0000-0000-00005B040000}"/>
    <cellStyle name="40% - Accent1 8 2 2" xfId="8353" xr:uid="{00000000-0005-0000-0000-00005C040000}"/>
    <cellStyle name="40% - Accent1 8 2 3" xfId="12564" xr:uid="{CAC999F4-B734-4083-9652-9C621D5A0FEA}"/>
    <cellStyle name="40% - Accent1 8 2 4" xfId="16775" xr:uid="{4621ABF0-0545-4E08-81E7-FA3B9BB1D933}"/>
    <cellStyle name="40% - Accent1 8 3" xfId="6208" xr:uid="{00000000-0005-0000-0000-00005D040000}"/>
    <cellStyle name="40% - Accent1 8 4" xfId="10419" xr:uid="{501C1A7E-98B4-4096-974B-3E398744E1BA}"/>
    <cellStyle name="40% - Accent1 8 5" xfId="14630" xr:uid="{441365DD-78D4-4B8A-BAD1-9CDFC8610091}"/>
    <cellStyle name="40% - Accent1 9" xfId="2313" xr:uid="{00000000-0005-0000-0000-00005E040000}"/>
    <cellStyle name="40% - Accent1 9 2" xfId="6621" xr:uid="{00000000-0005-0000-0000-00005F040000}"/>
    <cellStyle name="40% - Accent1 9 3" xfId="10832" xr:uid="{AA66E9C5-E4CD-43FC-9A25-2C6FF839864E}"/>
    <cellStyle name="40% - Accent1 9 4" xfId="15043" xr:uid="{3BE1AA7D-4E5B-469B-A318-6D0713EE9275}"/>
    <cellStyle name="40% - Accent2" xfId="57" builtinId="35" customBuiltin="1"/>
    <cellStyle name="40% - Accent2 10" xfId="4563" xr:uid="{00000000-0005-0000-0000-000061040000}"/>
    <cellStyle name="40% - Accent2 11" xfId="8774" xr:uid="{994DD4DF-03F4-4DD4-9F86-0C7111593823}"/>
    <cellStyle name="40% - Accent2 12" xfId="12985" xr:uid="{E4E3699B-84A0-4EDA-B580-D4F90AD4FAF4}"/>
    <cellStyle name="40% - Accent2 2" xfId="58" xr:uid="{00000000-0005-0000-0000-000062040000}"/>
    <cellStyle name="40% - Accent2 2 10" xfId="8775" xr:uid="{1D499771-4CF5-4BCB-8022-BD7CD153F2DE}"/>
    <cellStyle name="40% - Accent2 2 11" xfId="12986" xr:uid="{CBF261F6-7C4D-4280-932C-A6BFDCFF22BB}"/>
    <cellStyle name="40% - Accent2 2 2" xfId="59" xr:uid="{00000000-0005-0000-0000-000063040000}"/>
    <cellStyle name="40% - Accent2 2 2 10" xfId="12987" xr:uid="{27017746-E198-4B15-805C-701CA9DC109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2 3" xfId="11336" xr:uid="{DA0EBEF0-BDB2-45F0-944A-BA7C89161F12}"/>
    <cellStyle name="40% - Accent2 2 2 2 2 2 4" xfId="15547" xr:uid="{C281F30E-B0FD-4F80-B732-4E970283C364}"/>
    <cellStyle name="40% - Accent2 2 2 2 2 3" xfId="4980" xr:uid="{00000000-0005-0000-0000-000068040000}"/>
    <cellStyle name="40% - Accent2 2 2 2 2 4" xfId="9191" xr:uid="{E8F17A48-F44F-45DF-8FFD-AB41A3FAE58F}"/>
    <cellStyle name="40% - Accent2 2 2 2 2 5" xfId="13402" xr:uid="{B1A5A11C-B9C4-417E-B42E-51D3A4B86F29}"/>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2 3" xfId="11749" xr:uid="{F2BE8A78-CDD1-42A1-991E-9AFF405C2A1D}"/>
    <cellStyle name="40% - Accent2 2 2 2 3 2 4" xfId="15960" xr:uid="{03B5D799-7211-4177-81BB-890B9CA2E54A}"/>
    <cellStyle name="40% - Accent2 2 2 2 3 3" xfId="5393" xr:uid="{00000000-0005-0000-0000-00006C040000}"/>
    <cellStyle name="40% - Accent2 2 2 2 3 4" xfId="9604" xr:uid="{D79E71A4-AF89-401A-9BE5-FFACB02234B2}"/>
    <cellStyle name="40% - Accent2 2 2 2 3 5" xfId="13815" xr:uid="{3A290F51-3A94-4647-949D-C30725634F63}"/>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2 3" xfId="12162" xr:uid="{C6182F45-AB7D-4AD4-8160-D506C5B99747}"/>
    <cellStyle name="40% - Accent2 2 2 2 4 2 4" xfId="16373" xr:uid="{3AC437C5-B3BD-4595-841D-B2DD478C5A6C}"/>
    <cellStyle name="40% - Accent2 2 2 2 4 3" xfId="5806" xr:uid="{00000000-0005-0000-0000-000070040000}"/>
    <cellStyle name="40% - Accent2 2 2 2 4 4" xfId="10017" xr:uid="{32FB993A-6B75-4712-8917-69715E944357}"/>
    <cellStyle name="40% - Accent2 2 2 2 4 5" xfId="14228" xr:uid="{DE476933-D814-4F48-91C1-CE9FC2513803}"/>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2 3" xfId="12575" xr:uid="{CA26161D-592C-4290-AE39-E0BAB8972028}"/>
    <cellStyle name="40% - Accent2 2 2 2 5 2 4" xfId="16786" xr:uid="{B19FFA57-1B85-45E7-AB4E-C0FD8F6D30E3}"/>
    <cellStyle name="40% - Accent2 2 2 2 5 3" xfId="6219" xr:uid="{00000000-0005-0000-0000-000074040000}"/>
    <cellStyle name="40% - Accent2 2 2 2 5 4" xfId="10430" xr:uid="{B6E2FEBE-1344-4810-AA22-63DDBA5FB4DB}"/>
    <cellStyle name="40% - Accent2 2 2 2 5 5" xfId="14641" xr:uid="{6D7DE6B8-CD7E-4998-87D1-86DBD33544BC}"/>
    <cellStyle name="40% - Accent2 2 2 2 6" xfId="2324" xr:uid="{00000000-0005-0000-0000-000075040000}"/>
    <cellStyle name="40% - Accent2 2 2 2 6 2" xfId="6632" xr:uid="{00000000-0005-0000-0000-000076040000}"/>
    <cellStyle name="40% - Accent2 2 2 2 6 3" xfId="10843" xr:uid="{D7D654D4-5093-43FA-A691-0DE12F813C71}"/>
    <cellStyle name="40% - Accent2 2 2 2 6 4" xfId="15054" xr:uid="{4F2FC089-6379-48EC-8774-E857C65079F7}"/>
    <cellStyle name="40% - Accent2 2 2 2 7" xfId="4566" xr:uid="{00000000-0005-0000-0000-000077040000}"/>
    <cellStyle name="40% - Accent2 2 2 2 8" xfId="8777" xr:uid="{3CB2306A-422E-4277-B313-38D354A9E3E0}"/>
    <cellStyle name="40% - Accent2 2 2 2 9" xfId="12988" xr:uid="{8E555409-119D-4610-BA4E-1DE8922C55A3}"/>
    <cellStyle name="40% - Accent2 2 2 3" xfId="629" xr:uid="{00000000-0005-0000-0000-000078040000}"/>
    <cellStyle name="40% - Accent2 2 2 3 2" xfId="2900" xr:uid="{00000000-0005-0000-0000-000079040000}"/>
    <cellStyle name="40% - Accent2 2 2 3 2 2" xfId="7124" xr:uid="{00000000-0005-0000-0000-00007A040000}"/>
    <cellStyle name="40% - Accent2 2 2 3 2 3" xfId="11335" xr:uid="{506B76DB-AA4F-49F8-8671-7E02DF53D755}"/>
    <cellStyle name="40% - Accent2 2 2 3 2 4" xfId="15546" xr:uid="{92497D9F-119A-4828-8BAF-9D041BD4EAF3}"/>
    <cellStyle name="40% - Accent2 2 2 3 3" xfId="4979" xr:uid="{00000000-0005-0000-0000-00007B040000}"/>
    <cellStyle name="40% - Accent2 2 2 3 4" xfId="9190" xr:uid="{29FA14FE-4107-4077-B536-E65D8D9ECA31}"/>
    <cellStyle name="40% - Accent2 2 2 3 5" xfId="13401" xr:uid="{5E7FCFC7-4774-4E28-A9A3-7EBF639F8C03}"/>
    <cellStyle name="40% - Accent2 2 2 4" xfId="1082" xr:uid="{00000000-0005-0000-0000-00007C040000}"/>
    <cellStyle name="40% - Accent2 2 2 4 2" xfId="3313" xr:uid="{00000000-0005-0000-0000-00007D040000}"/>
    <cellStyle name="40% - Accent2 2 2 4 2 2" xfId="7537" xr:uid="{00000000-0005-0000-0000-00007E040000}"/>
    <cellStyle name="40% - Accent2 2 2 4 2 3" xfId="11748" xr:uid="{599BF3B2-5189-4E00-8FCD-E8B6C3557A4F}"/>
    <cellStyle name="40% - Accent2 2 2 4 2 4" xfId="15959" xr:uid="{DF1CE0B0-4867-43BF-B440-5A8AFCDF7460}"/>
    <cellStyle name="40% - Accent2 2 2 4 3" xfId="5392" xr:uid="{00000000-0005-0000-0000-00007F040000}"/>
    <cellStyle name="40% - Accent2 2 2 4 4" xfId="9603" xr:uid="{B1E26A2B-D3EB-424B-9B46-10F80A1C31A5}"/>
    <cellStyle name="40% - Accent2 2 2 4 5" xfId="13814" xr:uid="{B49FCE1D-399A-4C23-A716-AF48B335EEF1}"/>
    <cellStyle name="40% - Accent2 2 2 5" xfId="1496" xr:uid="{00000000-0005-0000-0000-000080040000}"/>
    <cellStyle name="40% - Accent2 2 2 5 2" xfId="3726" xr:uid="{00000000-0005-0000-0000-000081040000}"/>
    <cellStyle name="40% - Accent2 2 2 5 2 2" xfId="7950" xr:uid="{00000000-0005-0000-0000-000082040000}"/>
    <cellStyle name="40% - Accent2 2 2 5 2 3" xfId="12161" xr:uid="{9240F71D-BF8A-4927-8343-332ECBCC9D29}"/>
    <cellStyle name="40% - Accent2 2 2 5 2 4" xfId="16372" xr:uid="{FF6C1576-CD0C-4664-BB65-9C2FF1F29FD5}"/>
    <cellStyle name="40% - Accent2 2 2 5 3" xfId="5805" xr:uid="{00000000-0005-0000-0000-000083040000}"/>
    <cellStyle name="40% - Accent2 2 2 5 4" xfId="10016" xr:uid="{061A0334-8494-481F-BE19-688201ECCB6F}"/>
    <cellStyle name="40% - Accent2 2 2 5 5" xfId="14227" xr:uid="{43C3D062-C65C-4731-A1CE-F3F7AD6CF37C}"/>
    <cellStyle name="40% - Accent2 2 2 6" xfId="1910" xr:uid="{00000000-0005-0000-0000-000084040000}"/>
    <cellStyle name="40% - Accent2 2 2 6 2" xfId="4139" xr:uid="{00000000-0005-0000-0000-000085040000}"/>
    <cellStyle name="40% - Accent2 2 2 6 2 2" xfId="8363" xr:uid="{00000000-0005-0000-0000-000086040000}"/>
    <cellStyle name="40% - Accent2 2 2 6 2 3" xfId="12574" xr:uid="{566A374B-894A-4BFC-B2FD-0985FCA1C0BC}"/>
    <cellStyle name="40% - Accent2 2 2 6 2 4" xfId="16785" xr:uid="{6610B291-55D4-41DA-A541-E5B6CAEAE8A3}"/>
    <cellStyle name="40% - Accent2 2 2 6 3" xfId="6218" xr:uid="{00000000-0005-0000-0000-000087040000}"/>
    <cellStyle name="40% - Accent2 2 2 6 4" xfId="10429" xr:uid="{1908605D-0351-418B-A26C-A178309FEB06}"/>
    <cellStyle name="40% - Accent2 2 2 6 5" xfId="14640" xr:uid="{48FA41D0-B37E-4D82-B4B5-1EA11C109BD7}"/>
    <cellStyle name="40% - Accent2 2 2 7" xfId="2323" xr:uid="{00000000-0005-0000-0000-000088040000}"/>
    <cellStyle name="40% - Accent2 2 2 7 2" xfId="6631" xr:uid="{00000000-0005-0000-0000-000089040000}"/>
    <cellStyle name="40% - Accent2 2 2 7 3" xfId="10842" xr:uid="{6B3E8025-6A2E-4648-8FC0-37D7F58A63FD}"/>
    <cellStyle name="40% - Accent2 2 2 7 4" xfId="15053" xr:uid="{82A2B4E9-99F6-4DA5-AB2F-BE5B66C56DC2}"/>
    <cellStyle name="40% - Accent2 2 2 8" xfId="4565" xr:uid="{00000000-0005-0000-0000-00008A040000}"/>
    <cellStyle name="40% - Accent2 2 2 9" xfId="8776" xr:uid="{CD502988-71E9-4190-B3FD-E84E03D5A8D7}"/>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2 3" xfId="11337" xr:uid="{B933AFDF-AFEE-4ABB-9D70-56B6CBC268DC}"/>
    <cellStyle name="40% - Accent2 2 3 2 2 4" xfId="15548" xr:uid="{21ECE6CF-3EC1-4ED2-B389-DC80E2D6E9C9}"/>
    <cellStyle name="40% - Accent2 2 3 2 3" xfId="4981" xr:uid="{00000000-0005-0000-0000-00008F040000}"/>
    <cellStyle name="40% - Accent2 2 3 2 4" xfId="9192" xr:uid="{3205D139-EA27-4D65-B7D5-BB027EDD4F43}"/>
    <cellStyle name="40% - Accent2 2 3 2 5" xfId="13403" xr:uid="{F10F3981-5717-4E6C-ACC1-1B7A5D50336D}"/>
    <cellStyle name="40% - Accent2 2 3 3" xfId="1084" xr:uid="{00000000-0005-0000-0000-000090040000}"/>
    <cellStyle name="40% - Accent2 2 3 3 2" xfId="3315" xr:uid="{00000000-0005-0000-0000-000091040000}"/>
    <cellStyle name="40% - Accent2 2 3 3 2 2" xfId="7539" xr:uid="{00000000-0005-0000-0000-000092040000}"/>
    <cellStyle name="40% - Accent2 2 3 3 2 3" xfId="11750" xr:uid="{B3F9C661-145E-41B4-8011-41F057E7C416}"/>
    <cellStyle name="40% - Accent2 2 3 3 2 4" xfId="15961" xr:uid="{2329C6BD-5765-41BF-95FB-B8F3E878CFD4}"/>
    <cellStyle name="40% - Accent2 2 3 3 3" xfId="5394" xr:uid="{00000000-0005-0000-0000-000093040000}"/>
    <cellStyle name="40% - Accent2 2 3 3 4" xfId="9605" xr:uid="{36ECFEEC-0DD6-49A8-8996-3E602DC8FB29}"/>
    <cellStyle name="40% - Accent2 2 3 3 5" xfId="13816" xr:uid="{1788EF96-A401-49E3-A959-9722C40FB8E8}"/>
    <cellStyle name="40% - Accent2 2 3 4" xfId="1498" xr:uid="{00000000-0005-0000-0000-000094040000}"/>
    <cellStyle name="40% - Accent2 2 3 4 2" xfId="3728" xr:uid="{00000000-0005-0000-0000-000095040000}"/>
    <cellStyle name="40% - Accent2 2 3 4 2 2" xfId="7952" xr:uid="{00000000-0005-0000-0000-000096040000}"/>
    <cellStyle name="40% - Accent2 2 3 4 2 3" xfId="12163" xr:uid="{A957538A-A86E-453B-AB1E-4D2CAD484561}"/>
    <cellStyle name="40% - Accent2 2 3 4 2 4" xfId="16374" xr:uid="{8E180E45-F728-42F5-B226-95F41899E51C}"/>
    <cellStyle name="40% - Accent2 2 3 4 3" xfId="5807" xr:uid="{00000000-0005-0000-0000-000097040000}"/>
    <cellStyle name="40% - Accent2 2 3 4 4" xfId="10018" xr:uid="{935A74FE-6C5D-4394-9FB5-CBA16BC36B15}"/>
    <cellStyle name="40% - Accent2 2 3 4 5" xfId="14229" xr:uid="{155C699F-4F17-46D4-8247-EF2FB681DD7B}"/>
    <cellStyle name="40% - Accent2 2 3 5" xfId="1912" xr:uid="{00000000-0005-0000-0000-000098040000}"/>
    <cellStyle name="40% - Accent2 2 3 5 2" xfId="4141" xr:uid="{00000000-0005-0000-0000-000099040000}"/>
    <cellStyle name="40% - Accent2 2 3 5 2 2" xfId="8365" xr:uid="{00000000-0005-0000-0000-00009A040000}"/>
    <cellStyle name="40% - Accent2 2 3 5 2 3" xfId="12576" xr:uid="{0EAA0F79-B94E-43CC-951D-E51B261648B0}"/>
    <cellStyle name="40% - Accent2 2 3 5 2 4" xfId="16787" xr:uid="{4E24C913-20C8-419C-A68C-68B6CECA489B}"/>
    <cellStyle name="40% - Accent2 2 3 5 3" xfId="6220" xr:uid="{00000000-0005-0000-0000-00009B040000}"/>
    <cellStyle name="40% - Accent2 2 3 5 4" xfId="10431" xr:uid="{7AB77028-5158-4689-ACDC-CA34031888DF}"/>
    <cellStyle name="40% - Accent2 2 3 5 5" xfId="14642" xr:uid="{836ACDA5-D6A6-4174-B1CF-E1CBD85C89EB}"/>
    <cellStyle name="40% - Accent2 2 3 6" xfId="2325" xr:uid="{00000000-0005-0000-0000-00009C040000}"/>
    <cellStyle name="40% - Accent2 2 3 6 2" xfId="6633" xr:uid="{00000000-0005-0000-0000-00009D040000}"/>
    <cellStyle name="40% - Accent2 2 3 6 3" xfId="10844" xr:uid="{524A2A0B-1C8C-4D2A-A171-482ECE49FC48}"/>
    <cellStyle name="40% - Accent2 2 3 6 4" xfId="15055" xr:uid="{B3E535C9-1732-41AD-9BB5-06E507FD65B5}"/>
    <cellStyle name="40% - Accent2 2 3 7" xfId="4567" xr:uid="{00000000-0005-0000-0000-00009E040000}"/>
    <cellStyle name="40% - Accent2 2 3 8" xfId="8778" xr:uid="{AB933335-7478-460C-BB4C-E3F48384D41D}"/>
    <cellStyle name="40% - Accent2 2 3 9" xfId="12989" xr:uid="{73CDC02C-11E7-4905-AC69-9F790E8B7C78}"/>
    <cellStyle name="40% - Accent2 2 4" xfId="628" xr:uid="{00000000-0005-0000-0000-00009F040000}"/>
    <cellStyle name="40% - Accent2 2 4 2" xfId="2899" xr:uid="{00000000-0005-0000-0000-0000A0040000}"/>
    <cellStyle name="40% - Accent2 2 4 2 2" xfId="7123" xr:uid="{00000000-0005-0000-0000-0000A1040000}"/>
    <cellStyle name="40% - Accent2 2 4 2 3" xfId="11334" xr:uid="{2CA91A32-1221-48C5-A715-ABB5411F8A79}"/>
    <cellStyle name="40% - Accent2 2 4 2 4" xfId="15545" xr:uid="{C75F0667-0865-48DB-980F-699C11BA3A93}"/>
    <cellStyle name="40% - Accent2 2 4 3" xfId="4978" xr:uid="{00000000-0005-0000-0000-0000A2040000}"/>
    <cellStyle name="40% - Accent2 2 4 4" xfId="9189" xr:uid="{97674FD8-641B-4D86-B910-851251E13CCD}"/>
    <cellStyle name="40% - Accent2 2 4 5" xfId="13400" xr:uid="{A1A5D402-BF3F-4723-BD15-5A184F844253}"/>
    <cellStyle name="40% - Accent2 2 5" xfId="1081" xr:uid="{00000000-0005-0000-0000-0000A3040000}"/>
    <cellStyle name="40% - Accent2 2 5 2" xfId="3312" xr:uid="{00000000-0005-0000-0000-0000A4040000}"/>
    <cellStyle name="40% - Accent2 2 5 2 2" xfId="7536" xr:uid="{00000000-0005-0000-0000-0000A5040000}"/>
    <cellStyle name="40% - Accent2 2 5 2 3" xfId="11747" xr:uid="{AD255728-E92E-4859-9E18-F5314254DC9B}"/>
    <cellStyle name="40% - Accent2 2 5 2 4" xfId="15958" xr:uid="{5659D2DF-24A2-45F4-A749-FD63B3B25EDE}"/>
    <cellStyle name="40% - Accent2 2 5 3" xfId="5391" xr:uid="{00000000-0005-0000-0000-0000A6040000}"/>
    <cellStyle name="40% - Accent2 2 5 4" xfId="9602" xr:uid="{3A67A4BA-74E4-4BD4-BBB6-820605D77783}"/>
    <cellStyle name="40% - Accent2 2 5 5" xfId="13813" xr:uid="{A5E71701-F864-4162-B70A-213BEE683BB4}"/>
    <cellStyle name="40% - Accent2 2 6" xfId="1495" xr:uid="{00000000-0005-0000-0000-0000A7040000}"/>
    <cellStyle name="40% - Accent2 2 6 2" xfId="3725" xr:uid="{00000000-0005-0000-0000-0000A8040000}"/>
    <cellStyle name="40% - Accent2 2 6 2 2" xfId="7949" xr:uid="{00000000-0005-0000-0000-0000A9040000}"/>
    <cellStyle name="40% - Accent2 2 6 2 3" xfId="12160" xr:uid="{42962463-3020-478A-90C6-D7A47277D898}"/>
    <cellStyle name="40% - Accent2 2 6 2 4" xfId="16371" xr:uid="{AF3D3B24-7872-459F-A93D-A0E9A52D9D4F}"/>
    <cellStyle name="40% - Accent2 2 6 3" xfId="5804" xr:uid="{00000000-0005-0000-0000-0000AA040000}"/>
    <cellStyle name="40% - Accent2 2 6 4" xfId="10015" xr:uid="{A6AFD190-6615-4F7E-8454-EE38202EBD64}"/>
    <cellStyle name="40% - Accent2 2 6 5" xfId="14226" xr:uid="{63DAF7EE-AF5C-474D-AA6B-693554627729}"/>
    <cellStyle name="40% - Accent2 2 7" xfId="1909" xr:uid="{00000000-0005-0000-0000-0000AB040000}"/>
    <cellStyle name="40% - Accent2 2 7 2" xfId="4138" xr:uid="{00000000-0005-0000-0000-0000AC040000}"/>
    <cellStyle name="40% - Accent2 2 7 2 2" xfId="8362" xr:uid="{00000000-0005-0000-0000-0000AD040000}"/>
    <cellStyle name="40% - Accent2 2 7 2 3" xfId="12573" xr:uid="{FBE63251-3E07-4EC2-8D38-6913333E8348}"/>
    <cellStyle name="40% - Accent2 2 7 2 4" xfId="16784" xr:uid="{57E3B846-D0A9-466F-9D32-E360C0E28FDF}"/>
    <cellStyle name="40% - Accent2 2 7 3" xfId="6217" xr:uid="{00000000-0005-0000-0000-0000AE040000}"/>
    <cellStyle name="40% - Accent2 2 7 4" xfId="10428" xr:uid="{1EEE1C65-BE8B-47BF-AE82-2A75DB1A34F3}"/>
    <cellStyle name="40% - Accent2 2 7 5" xfId="14639" xr:uid="{92AA09E1-1DC0-4928-8DEF-A5B587A4C886}"/>
    <cellStyle name="40% - Accent2 2 8" xfId="2322" xr:uid="{00000000-0005-0000-0000-0000AF040000}"/>
    <cellStyle name="40% - Accent2 2 8 2" xfId="6630" xr:uid="{00000000-0005-0000-0000-0000B0040000}"/>
    <cellStyle name="40% - Accent2 2 8 3" xfId="10841" xr:uid="{AD7068D5-D3D1-43D3-BB42-D052C1D05980}"/>
    <cellStyle name="40% - Accent2 2 8 4" xfId="15052" xr:uid="{79C6B938-5C3F-4CBF-B8A6-8F6A223DA103}"/>
    <cellStyle name="40% - Accent2 2 9" xfId="4564" xr:uid="{00000000-0005-0000-0000-0000B1040000}"/>
    <cellStyle name="40% - Accent2 3" xfId="62" xr:uid="{00000000-0005-0000-0000-0000B2040000}"/>
    <cellStyle name="40% - Accent2 3 10" xfId="12990" xr:uid="{78AF78DB-2310-43E1-B96E-72269493CA97}"/>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2 3" xfId="11339" xr:uid="{EBC7156B-32CD-41A5-BA1E-FD9241DF521B}"/>
    <cellStyle name="40% - Accent2 3 2 2 2 4" xfId="15550" xr:uid="{6BA8C3DD-40BE-498B-8F33-B0F62AFEE989}"/>
    <cellStyle name="40% - Accent2 3 2 2 3" xfId="4983" xr:uid="{00000000-0005-0000-0000-0000B7040000}"/>
    <cellStyle name="40% - Accent2 3 2 2 4" xfId="9194" xr:uid="{F62A8A01-D904-4CF4-9F8E-69C671E9AECE}"/>
    <cellStyle name="40% - Accent2 3 2 2 5" xfId="13405" xr:uid="{5DA7BA7E-356C-4CE4-BD3C-8DCA4A29660D}"/>
    <cellStyle name="40% - Accent2 3 2 3" xfId="1086" xr:uid="{00000000-0005-0000-0000-0000B8040000}"/>
    <cellStyle name="40% - Accent2 3 2 3 2" xfId="3317" xr:uid="{00000000-0005-0000-0000-0000B9040000}"/>
    <cellStyle name="40% - Accent2 3 2 3 2 2" xfId="7541" xr:uid="{00000000-0005-0000-0000-0000BA040000}"/>
    <cellStyle name="40% - Accent2 3 2 3 2 3" xfId="11752" xr:uid="{52F47604-0EF0-44B5-B545-F9577E1B1FA7}"/>
    <cellStyle name="40% - Accent2 3 2 3 2 4" xfId="15963" xr:uid="{61DD45E6-835A-45EC-BC03-EA1CFA3B29AC}"/>
    <cellStyle name="40% - Accent2 3 2 3 3" xfId="5396" xr:uid="{00000000-0005-0000-0000-0000BB040000}"/>
    <cellStyle name="40% - Accent2 3 2 3 4" xfId="9607" xr:uid="{BB6DF5AA-1610-4661-8997-C27EACB27C86}"/>
    <cellStyle name="40% - Accent2 3 2 3 5" xfId="13818" xr:uid="{D35CCA44-3E7B-4406-AA1D-873C2424A092}"/>
    <cellStyle name="40% - Accent2 3 2 4" xfId="1500" xr:uid="{00000000-0005-0000-0000-0000BC040000}"/>
    <cellStyle name="40% - Accent2 3 2 4 2" xfId="3730" xr:uid="{00000000-0005-0000-0000-0000BD040000}"/>
    <cellStyle name="40% - Accent2 3 2 4 2 2" xfId="7954" xr:uid="{00000000-0005-0000-0000-0000BE040000}"/>
    <cellStyle name="40% - Accent2 3 2 4 2 3" xfId="12165" xr:uid="{437B55BD-0380-4C7F-A8EB-1EEB16724B0F}"/>
    <cellStyle name="40% - Accent2 3 2 4 2 4" xfId="16376" xr:uid="{67DCB9B9-8DB1-46CE-8A6E-C39F853A24B2}"/>
    <cellStyle name="40% - Accent2 3 2 4 3" xfId="5809" xr:uid="{00000000-0005-0000-0000-0000BF040000}"/>
    <cellStyle name="40% - Accent2 3 2 4 4" xfId="10020" xr:uid="{355ED7D0-7D4F-4D89-875F-A8DF1DB453D6}"/>
    <cellStyle name="40% - Accent2 3 2 4 5" xfId="14231" xr:uid="{6B731C67-9F29-4643-873F-BD2654808DFB}"/>
    <cellStyle name="40% - Accent2 3 2 5" xfId="1914" xr:uid="{00000000-0005-0000-0000-0000C0040000}"/>
    <cellStyle name="40% - Accent2 3 2 5 2" xfId="4143" xr:uid="{00000000-0005-0000-0000-0000C1040000}"/>
    <cellStyle name="40% - Accent2 3 2 5 2 2" xfId="8367" xr:uid="{00000000-0005-0000-0000-0000C2040000}"/>
    <cellStyle name="40% - Accent2 3 2 5 2 3" xfId="12578" xr:uid="{CD11B3BF-34A8-4D57-9C02-E09F11EDE623}"/>
    <cellStyle name="40% - Accent2 3 2 5 2 4" xfId="16789" xr:uid="{79F6976E-A7B7-4CF0-983C-DCF1CCC76F58}"/>
    <cellStyle name="40% - Accent2 3 2 5 3" xfId="6222" xr:uid="{00000000-0005-0000-0000-0000C3040000}"/>
    <cellStyle name="40% - Accent2 3 2 5 4" xfId="10433" xr:uid="{128B428C-824B-4004-99C0-8ACE93941A91}"/>
    <cellStyle name="40% - Accent2 3 2 5 5" xfId="14644" xr:uid="{6FF7EA8C-9752-4404-AF80-02D7A98CA115}"/>
    <cellStyle name="40% - Accent2 3 2 6" xfId="2327" xr:uid="{00000000-0005-0000-0000-0000C4040000}"/>
    <cellStyle name="40% - Accent2 3 2 6 2" xfId="6635" xr:uid="{00000000-0005-0000-0000-0000C5040000}"/>
    <cellStyle name="40% - Accent2 3 2 6 3" xfId="10846" xr:uid="{3DAFDF92-9F5B-49A6-963A-C4C334722A00}"/>
    <cellStyle name="40% - Accent2 3 2 6 4" xfId="15057" xr:uid="{A2A85FA2-D93D-48E1-A70B-14E2570E5265}"/>
    <cellStyle name="40% - Accent2 3 2 7" xfId="4569" xr:uid="{00000000-0005-0000-0000-0000C6040000}"/>
    <cellStyle name="40% - Accent2 3 2 8" xfId="8780" xr:uid="{55ABC729-6584-4D09-A3A7-B8E2D3CC33D2}"/>
    <cellStyle name="40% - Accent2 3 2 9" xfId="12991" xr:uid="{3AD7B00D-5F7C-49CA-8687-3F601E2C7615}"/>
    <cellStyle name="40% - Accent2 3 3" xfId="632" xr:uid="{00000000-0005-0000-0000-0000C7040000}"/>
    <cellStyle name="40% - Accent2 3 3 2" xfId="2903" xr:uid="{00000000-0005-0000-0000-0000C8040000}"/>
    <cellStyle name="40% - Accent2 3 3 2 2" xfId="7127" xr:uid="{00000000-0005-0000-0000-0000C9040000}"/>
    <cellStyle name="40% - Accent2 3 3 2 3" xfId="11338" xr:uid="{493777D0-33BC-41FB-BEB4-574FED24B390}"/>
    <cellStyle name="40% - Accent2 3 3 2 4" xfId="15549" xr:uid="{2DE76599-A79E-46DE-B178-2EA633FEC67D}"/>
    <cellStyle name="40% - Accent2 3 3 3" xfId="4982" xr:uid="{00000000-0005-0000-0000-0000CA040000}"/>
    <cellStyle name="40% - Accent2 3 3 4" xfId="9193" xr:uid="{87F8296E-FA11-40D2-B6C6-DBA5E75560C3}"/>
    <cellStyle name="40% - Accent2 3 3 5" xfId="13404" xr:uid="{EC1E798B-BD1B-4BDF-BEF6-A57E70CFFA3F}"/>
    <cellStyle name="40% - Accent2 3 4" xfId="1085" xr:uid="{00000000-0005-0000-0000-0000CB040000}"/>
    <cellStyle name="40% - Accent2 3 4 2" xfId="3316" xr:uid="{00000000-0005-0000-0000-0000CC040000}"/>
    <cellStyle name="40% - Accent2 3 4 2 2" xfId="7540" xr:uid="{00000000-0005-0000-0000-0000CD040000}"/>
    <cellStyle name="40% - Accent2 3 4 2 3" xfId="11751" xr:uid="{14C00329-0450-4B67-BED8-E61D574B2372}"/>
    <cellStyle name="40% - Accent2 3 4 2 4" xfId="15962" xr:uid="{B0D63946-C4C8-4DFF-B332-79E37A575CD2}"/>
    <cellStyle name="40% - Accent2 3 4 3" xfId="5395" xr:uid="{00000000-0005-0000-0000-0000CE040000}"/>
    <cellStyle name="40% - Accent2 3 4 4" xfId="9606" xr:uid="{3C86AFC2-51AE-44C7-B39F-1CF189CD7460}"/>
    <cellStyle name="40% - Accent2 3 4 5" xfId="13817" xr:uid="{7E470556-0A5A-4130-AB6B-3FC379A62919}"/>
    <cellStyle name="40% - Accent2 3 5" xfId="1499" xr:uid="{00000000-0005-0000-0000-0000CF040000}"/>
    <cellStyle name="40% - Accent2 3 5 2" xfId="3729" xr:uid="{00000000-0005-0000-0000-0000D0040000}"/>
    <cellStyle name="40% - Accent2 3 5 2 2" xfId="7953" xr:uid="{00000000-0005-0000-0000-0000D1040000}"/>
    <cellStyle name="40% - Accent2 3 5 2 3" xfId="12164" xr:uid="{BB082D0E-C529-4B69-8651-954F50C750C1}"/>
    <cellStyle name="40% - Accent2 3 5 2 4" xfId="16375" xr:uid="{4EA6DE61-6D4C-4FE3-BF72-6E51A1D8DCCA}"/>
    <cellStyle name="40% - Accent2 3 5 3" xfId="5808" xr:uid="{00000000-0005-0000-0000-0000D2040000}"/>
    <cellStyle name="40% - Accent2 3 5 4" xfId="10019" xr:uid="{C5D1AC23-0F3C-4BFB-AE60-AB3B240AF9C3}"/>
    <cellStyle name="40% - Accent2 3 5 5" xfId="14230" xr:uid="{07388F0D-CDF7-4B30-82ED-6A2366DAD17A}"/>
    <cellStyle name="40% - Accent2 3 6" xfId="1913" xr:uid="{00000000-0005-0000-0000-0000D3040000}"/>
    <cellStyle name="40% - Accent2 3 6 2" xfId="4142" xr:uid="{00000000-0005-0000-0000-0000D4040000}"/>
    <cellStyle name="40% - Accent2 3 6 2 2" xfId="8366" xr:uid="{00000000-0005-0000-0000-0000D5040000}"/>
    <cellStyle name="40% - Accent2 3 6 2 3" xfId="12577" xr:uid="{AA35BE38-4892-4A89-AB16-0FF0597259E9}"/>
    <cellStyle name="40% - Accent2 3 6 2 4" xfId="16788" xr:uid="{1CD1290A-86C3-4843-B0BE-621106E68AF7}"/>
    <cellStyle name="40% - Accent2 3 6 3" xfId="6221" xr:uid="{00000000-0005-0000-0000-0000D6040000}"/>
    <cellStyle name="40% - Accent2 3 6 4" xfId="10432" xr:uid="{7C9DA683-5729-455C-B201-5FA64738A596}"/>
    <cellStyle name="40% - Accent2 3 6 5" xfId="14643" xr:uid="{B7FAB156-8F4B-43CC-A24B-CC5E55774A9E}"/>
    <cellStyle name="40% - Accent2 3 7" xfId="2326" xr:uid="{00000000-0005-0000-0000-0000D7040000}"/>
    <cellStyle name="40% - Accent2 3 7 2" xfId="6634" xr:uid="{00000000-0005-0000-0000-0000D8040000}"/>
    <cellStyle name="40% - Accent2 3 7 3" xfId="10845" xr:uid="{FBB024A3-FB94-45B2-BF66-F7433F511FEC}"/>
    <cellStyle name="40% - Accent2 3 7 4" xfId="15056" xr:uid="{31A7AFDC-8B63-49D3-B644-D19070CCA1A7}"/>
    <cellStyle name="40% - Accent2 3 8" xfId="4568" xr:uid="{00000000-0005-0000-0000-0000D9040000}"/>
    <cellStyle name="40% - Accent2 3 9" xfId="8779" xr:uid="{04632E93-1261-4010-B468-9F28AE602A2E}"/>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2 3" xfId="11340" xr:uid="{1E835E07-E097-413D-AED2-F920FFCDEE4B}"/>
    <cellStyle name="40% - Accent2 4 2 2 4" xfId="15551" xr:uid="{43F6DCE1-D50E-419E-8F1D-0A37EBE86FE9}"/>
    <cellStyle name="40% - Accent2 4 2 3" xfId="4984" xr:uid="{00000000-0005-0000-0000-0000DE040000}"/>
    <cellStyle name="40% - Accent2 4 2 4" xfId="9195" xr:uid="{8B73B1E6-BF6D-4BE1-BA09-74268DDCD187}"/>
    <cellStyle name="40% - Accent2 4 2 5" xfId="13406" xr:uid="{30B8A14D-DC9A-4292-995B-AEAAFBB7E2F2}"/>
    <cellStyle name="40% - Accent2 4 3" xfId="1087" xr:uid="{00000000-0005-0000-0000-0000DF040000}"/>
    <cellStyle name="40% - Accent2 4 3 2" xfId="3318" xr:uid="{00000000-0005-0000-0000-0000E0040000}"/>
    <cellStyle name="40% - Accent2 4 3 2 2" xfId="7542" xr:uid="{00000000-0005-0000-0000-0000E1040000}"/>
    <cellStyle name="40% - Accent2 4 3 2 3" xfId="11753" xr:uid="{0D50B483-EE01-425A-AE0D-CC90A40C2FAE}"/>
    <cellStyle name="40% - Accent2 4 3 2 4" xfId="15964" xr:uid="{E27F162D-C0E2-4B4C-8376-75C4D42EBE63}"/>
    <cellStyle name="40% - Accent2 4 3 3" xfId="5397" xr:uid="{00000000-0005-0000-0000-0000E2040000}"/>
    <cellStyle name="40% - Accent2 4 3 4" xfId="9608" xr:uid="{5F7EDB2A-9B35-4FC5-B526-9A7EBB564C9C}"/>
    <cellStyle name="40% - Accent2 4 3 5" xfId="13819" xr:uid="{BECD7223-4D09-47E7-847B-47E67B3B8F72}"/>
    <cellStyle name="40% - Accent2 4 4" xfId="1501" xr:uid="{00000000-0005-0000-0000-0000E3040000}"/>
    <cellStyle name="40% - Accent2 4 4 2" xfId="3731" xr:uid="{00000000-0005-0000-0000-0000E4040000}"/>
    <cellStyle name="40% - Accent2 4 4 2 2" xfId="7955" xr:uid="{00000000-0005-0000-0000-0000E5040000}"/>
    <cellStyle name="40% - Accent2 4 4 2 3" xfId="12166" xr:uid="{FE4939EB-1290-438D-A702-3AD05D55D033}"/>
    <cellStyle name="40% - Accent2 4 4 2 4" xfId="16377" xr:uid="{68D19869-8790-460E-864E-389DED7BC619}"/>
    <cellStyle name="40% - Accent2 4 4 3" xfId="5810" xr:uid="{00000000-0005-0000-0000-0000E6040000}"/>
    <cellStyle name="40% - Accent2 4 4 4" xfId="10021" xr:uid="{B033C804-A20D-420A-AFEB-21C2FC29F50B}"/>
    <cellStyle name="40% - Accent2 4 4 5" xfId="14232" xr:uid="{07031C4F-5028-4301-ADB9-67CDFEB45D60}"/>
    <cellStyle name="40% - Accent2 4 5" xfId="1915" xr:uid="{00000000-0005-0000-0000-0000E7040000}"/>
    <cellStyle name="40% - Accent2 4 5 2" xfId="4144" xr:uid="{00000000-0005-0000-0000-0000E8040000}"/>
    <cellStyle name="40% - Accent2 4 5 2 2" xfId="8368" xr:uid="{00000000-0005-0000-0000-0000E9040000}"/>
    <cellStyle name="40% - Accent2 4 5 2 3" xfId="12579" xr:uid="{6BC1D409-23CA-4E83-ADC1-8E02520F0799}"/>
    <cellStyle name="40% - Accent2 4 5 2 4" xfId="16790" xr:uid="{8CB100B7-7CDF-40BA-B787-57605168C6E1}"/>
    <cellStyle name="40% - Accent2 4 5 3" xfId="6223" xr:uid="{00000000-0005-0000-0000-0000EA040000}"/>
    <cellStyle name="40% - Accent2 4 5 4" xfId="10434" xr:uid="{4FFADC2E-7DEE-405C-B6CC-1C3926394FC6}"/>
    <cellStyle name="40% - Accent2 4 5 5" xfId="14645" xr:uid="{A21AC44F-20E8-4561-AE5A-92EE99D3AEA9}"/>
    <cellStyle name="40% - Accent2 4 6" xfId="2328" xr:uid="{00000000-0005-0000-0000-0000EB040000}"/>
    <cellStyle name="40% - Accent2 4 6 2" xfId="6636" xr:uid="{00000000-0005-0000-0000-0000EC040000}"/>
    <cellStyle name="40% - Accent2 4 6 3" xfId="10847" xr:uid="{D00BE041-D617-48CE-B2D6-C54DD87443EC}"/>
    <cellStyle name="40% - Accent2 4 6 4" xfId="15058" xr:uid="{79DDD30D-D851-4755-B80B-CFDBFFDDB8B0}"/>
    <cellStyle name="40% - Accent2 4 7" xfId="4570" xr:uid="{00000000-0005-0000-0000-0000ED040000}"/>
    <cellStyle name="40% - Accent2 4 8" xfId="8781" xr:uid="{7D5B64DD-0FF1-4ED7-91B1-47DA416BD1F5}"/>
    <cellStyle name="40% - Accent2 4 9" xfId="12992" xr:uid="{C2048230-ED55-4363-94F4-F9E67A05FFDC}"/>
    <cellStyle name="40% - Accent2 5" xfId="627" xr:uid="{00000000-0005-0000-0000-0000EE040000}"/>
    <cellStyle name="40% - Accent2 5 2" xfId="2898" xr:uid="{00000000-0005-0000-0000-0000EF040000}"/>
    <cellStyle name="40% - Accent2 5 2 2" xfId="7122" xr:uid="{00000000-0005-0000-0000-0000F0040000}"/>
    <cellStyle name="40% - Accent2 5 2 3" xfId="11333" xr:uid="{309235FB-A0EE-4A12-B96B-26DEA412E1E0}"/>
    <cellStyle name="40% - Accent2 5 2 4" xfId="15544" xr:uid="{3E8633DE-BB0A-4047-B6A5-CCAC89A2CCF1}"/>
    <cellStyle name="40% - Accent2 5 3" xfId="4977" xr:uid="{00000000-0005-0000-0000-0000F1040000}"/>
    <cellStyle name="40% - Accent2 5 4" xfId="9188" xr:uid="{9725873A-014E-4F63-A441-0F31C6B843AB}"/>
    <cellStyle name="40% - Accent2 5 5" xfId="13399" xr:uid="{F8AF0DE9-B984-4546-B3BC-4A37C3662074}"/>
    <cellStyle name="40% - Accent2 6" xfId="1080" xr:uid="{00000000-0005-0000-0000-0000F2040000}"/>
    <cellStyle name="40% - Accent2 6 2" xfId="3311" xr:uid="{00000000-0005-0000-0000-0000F3040000}"/>
    <cellStyle name="40% - Accent2 6 2 2" xfId="7535" xr:uid="{00000000-0005-0000-0000-0000F4040000}"/>
    <cellStyle name="40% - Accent2 6 2 3" xfId="11746" xr:uid="{D0DB0B18-C608-43B7-A0E8-1CF9629D821B}"/>
    <cellStyle name="40% - Accent2 6 2 4" xfId="15957" xr:uid="{EC9D8CD9-877C-4F14-AC75-CA8DBF89DE48}"/>
    <cellStyle name="40% - Accent2 6 3" xfId="5390" xr:uid="{00000000-0005-0000-0000-0000F5040000}"/>
    <cellStyle name="40% - Accent2 6 4" xfId="9601" xr:uid="{89EF1E4D-9D87-42D6-9D15-D9392BCE0CB1}"/>
    <cellStyle name="40% - Accent2 6 5" xfId="13812" xr:uid="{CA05BA24-CF5A-432D-83C3-CCB1E2214212}"/>
    <cellStyle name="40% - Accent2 7" xfId="1494" xr:uid="{00000000-0005-0000-0000-0000F6040000}"/>
    <cellStyle name="40% - Accent2 7 2" xfId="3724" xr:uid="{00000000-0005-0000-0000-0000F7040000}"/>
    <cellStyle name="40% - Accent2 7 2 2" xfId="7948" xr:uid="{00000000-0005-0000-0000-0000F8040000}"/>
    <cellStyle name="40% - Accent2 7 2 3" xfId="12159" xr:uid="{66478F18-AF49-4FBC-B9D2-D7D6E19F9F11}"/>
    <cellStyle name="40% - Accent2 7 2 4" xfId="16370" xr:uid="{56DCAE57-B337-431F-B27C-E86F6B3FF9D4}"/>
    <cellStyle name="40% - Accent2 7 3" xfId="5803" xr:uid="{00000000-0005-0000-0000-0000F9040000}"/>
    <cellStyle name="40% - Accent2 7 4" xfId="10014" xr:uid="{F3E4A815-97A0-4457-82D5-6145D6396BD3}"/>
    <cellStyle name="40% - Accent2 7 5" xfId="14225" xr:uid="{958075AF-6012-4575-B1F1-59C27BE36C31}"/>
    <cellStyle name="40% - Accent2 8" xfId="1908" xr:uid="{00000000-0005-0000-0000-0000FA040000}"/>
    <cellStyle name="40% - Accent2 8 2" xfId="4137" xr:uid="{00000000-0005-0000-0000-0000FB040000}"/>
    <cellStyle name="40% - Accent2 8 2 2" xfId="8361" xr:uid="{00000000-0005-0000-0000-0000FC040000}"/>
    <cellStyle name="40% - Accent2 8 2 3" xfId="12572" xr:uid="{D6A05215-AB27-46D4-942B-85983AAA3616}"/>
    <cellStyle name="40% - Accent2 8 2 4" xfId="16783" xr:uid="{EC12CD8F-B291-4A0E-987D-23D494B4676F}"/>
    <cellStyle name="40% - Accent2 8 3" xfId="6216" xr:uid="{00000000-0005-0000-0000-0000FD040000}"/>
    <cellStyle name="40% - Accent2 8 4" xfId="10427" xr:uid="{98270D42-1DA6-48A9-A33A-AF03F56E3799}"/>
    <cellStyle name="40% - Accent2 8 5" xfId="14638" xr:uid="{8C20C74D-B237-4B78-BB69-38F17103DACF}"/>
    <cellStyle name="40% - Accent2 9" xfId="2321" xr:uid="{00000000-0005-0000-0000-0000FE040000}"/>
    <cellStyle name="40% - Accent2 9 2" xfId="6629" xr:uid="{00000000-0005-0000-0000-0000FF040000}"/>
    <cellStyle name="40% - Accent2 9 3" xfId="10840" xr:uid="{DBB4873B-67CD-4143-AAC5-C056A32E9496}"/>
    <cellStyle name="40% - Accent2 9 4" xfId="15051" xr:uid="{3E544EE9-60AC-4702-9CDA-7753C9C60761}"/>
    <cellStyle name="40% - Accent3" xfId="65" builtinId="39" customBuiltin="1"/>
    <cellStyle name="40% - Accent3 10" xfId="4571" xr:uid="{00000000-0005-0000-0000-000001050000}"/>
    <cellStyle name="40% - Accent3 11" xfId="8782" xr:uid="{0BB7D631-B438-4660-BF8B-8B2E954F8968}"/>
    <cellStyle name="40% - Accent3 12" xfId="12993" xr:uid="{7240FFD4-76CB-4F8D-830D-C982F36ECF64}"/>
    <cellStyle name="40% - Accent3 2" xfId="66" xr:uid="{00000000-0005-0000-0000-000002050000}"/>
    <cellStyle name="40% - Accent3 2 10" xfId="8783" xr:uid="{7003298C-8B0E-47E1-8005-8B58AA0A44DD}"/>
    <cellStyle name="40% - Accent3 2 11" xfId="12994" xr:uid="{589A7F32-6CAB-4256-9299-919C011DA973}"/>
    <cellStyle name="40% - Accent3 2 2" xfId="67" xr:uid="{00000000-0005-0000-0000-000003050000}"/>
    <cellStyle name="40% - Accent3 2 2 10" xfId="12995" xr:uid="{BA8EA7B4-1E42-4213-AE1C-29C338A7D92D}"/>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2 3" xfId="11344" xr:uid="{33414005-DB5B-4FCD-9CCF-191F6248EB7E}"/>
    <cellStyle name="40% - Accent3 2 2 2 2 2 4" xfId="15555" xr:uid="{B71C4D8B-7F5A-4E6D-85C6-F4351CFAD6A1}"/>
    <cellStyle name="40% - Accent3 2 2 2 2 3" xfId="4988" xr:uid="{00000000-0005-0000-0000-000008050000}"/>
    <cellStyle name="40% - Accent3 2 2 2 2 4" xfId="9199" xr:uid="{C56006FE-A721-4F4D-8401-D29F14D77954}"/>
    <cellStyle name="40% - Accent3 2 2 2 2 5" xfId="13410" xr:uid="{44BAF3CF-6DD9-458C-A89E-5BA1408187C2}"/>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2 3" xfId="11757" xr:uid="{B914C471-A331-449E-9509-46FDD7EC19F0}"/>
    <cellStyle name="40% - Accent3 2 2 2 3 2 4" xfId="15968" xr:uid="{11D2E501-773B-4A94-89AA-97154063FB6D}"/>
    <cellStyle name="40% - Accent3 2 2 2 3 3" xfId="5401" xr:uid="{00000000-0005-0000-0000-00000C050000}"/>
    <cellStyle name="40% - Accent3 2 2 2 3 4" xfId="9612" xr:uid="{40877480-4058-47AA-BF18-BD8438757D42}"/>
    <cellStyle name="40% - Accent3 2 2 2 3 5" xfId="13823" xr:uid="{20B9978B-D0AD-4FC7-B79F-BC8BE23DC4AE}"/>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2 3" xfId="12170" xr:uid="{B6194AAA-D3F6-4786-9F8D-0215E409B1C1}"/>
    <cellStyle name="40% - Accent3 2 2 2 4 2 4" xfId="16381" xr:uid="{EE64D412-CEB7-402A-A305-3926E861059C}"/>
    <cellStyle name="40% - Accent3 2 2 2 4 3" xfId="5814" xr:uid="{00000000-0005-0000-0000-000010050000}"/>
    <cellStyle name="40% - Accent3 2 2 2 4 4" xfId="10025" xr:uid="{9E415888-31AE-41EE-AECA-8DAFE520CB42}"/>
    <cellStyle name="40% - Accent3 2 2 2 4 5" xfId="14236" xr:uid="{32665B61-EC51-4340-A099-098B86C020F2}"/>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2 3" xfId="12583" xr:uid="{94321BCD-FB3B-496C-9927-88717A6E31E8}"/>
    <cellStyle name="40% - Accent3 2 2 2 5 2 4" xfId="16794" xr:uid="{8BC7C062-B4C1-4F13-9274-626ADB4B6A6F}"/>
    <cellStyle name="40% - Accent3 2 2 2 5 3" xfId="6227" xr:uid="{00000000-0005-0000-0000-000014050000}"/>
    <cellStyle name="40% - Accent3 2 2 2 5 4" xfId="10438" xr:uid="{461D63AE-3324-43F2-B9F0-0B02DA9C83D0}"/>
    <cellStyle name="40% - Accent3 2 2 2 5 5" xfId="14649" xr:uid="{FD962E7B-1E4C-420B-9AA2-9F6EE7B97761}"/>
    <cellStyle name="40% - Accent3 2 2 2 6" xfId="2332" xr:uid="{00000000-0005-0000-0000-000015050000}"/>
    <cellStyle name="40% - Accent3 2 2 2 6 2" xfId="6640" xr:uid="{00000000-0005-0000-0000-000016050000}"/>
    <cellStyle name="40% - Accent3 2 2 2 6 3" xfId="10851" xr:uid="{078F9742-F0B2-4157-B23F-3FC82C1984CF}"/>
    <cellStyle name="40% - Accent3 2 2 2 6 4" xfId="15062" xr:uid="{CB78FE47-CACD-4198-B9DC-0F8CB8D4A7A8}"/>
    <cellStyle name="40% - Accent3 2 2 2 7" xfId="4574" xr:uid="{00000000-0005-0000-0000-000017050000}"/>
    <cellStyle name="40% - Accent3 2 2 2 8" xfId="8785" xr:uid="{06A490BA-CF25-46DD-89DA-6B436EB11F98}"/>
    <cellStyle name="40% - Accent3 2 2 2 9" xfId="12996" xr:uid="{7F817D67-28A3-47F7-84E0-AEF49817DC4D}"/>
    <cellStyle name="40% - Accent3 2 2 3" xfId="637" xr:uid="{00000000-0005-0000-0000-000018050000}"/>
    <cellStyle name="40% - Accent3 2 2 3 2" xfId="2908" xr:uid="{00000000-0005-0000-0000-000019050000}"/>
    <cellStyle name="40% - Accent3 2 2 3 2 2" xfId="7132" xr:uid="{00000000-0005-0000-0000-00001A050000}"/>
    <cellStyle name="40% - Accent3 2 2 3 2 3" xfId="11343" xr:uid="{8FAA6F5E-4BF2-4F08-BFA1-E21E68C35DF7}"/>
    <cellStyle name="40% - Accent3 2 2 3 2 4" xfId="15554" xr:uid="{02947ED3-A753-4442-8581-717954FD43BA}"/>
    <cellStyle name="40% - Accent3 2 2 3 3" xfId="4987" xr:uid="{00000000-0005-0000-0000-00001B050000}"/>
    <cellStyle name="40% - Accent3 2 2 3 4" xfId="9198" xr:uid="{225095C9-E0CD-41AF-96D8-4E3F3D4F31DE}"/>
    <cellStyle name="40% - Accent3 2 2 3 5" xfId="13409" xr:uid="{1254C176-2DAB-4894-AEC4-37767CAA504B}"/>
    <cellStyle name="40% - Accent3 2 2 4" xfId="1090" xr:uid="{00000000-0005-0000-0000-00001C050000}"/>
    <cellStyle name="40% - Accent3 2 2 4 2" xfId="3321" xr:uid="{00000000-0005-0000-0000-00001D050000}"/>
    <cellStyle name="40% - Accent3 2 2 4 2 2" xfId="7545" xr:uid="{00000000-0005-0000-0000-00001E050000}"/>
    <cellStyle name="40% - Accent3 2 2 4 2 3" xfId="11756" xr:uid="{CDC422FA-98B1-402A-A0C3-E2ACA810EFB5}"/>
    <cellStyle name="40% - Accent3 2 2 4 2 4" xfId="15967" xr:uid="{CB31DF11-38E8-431D-892C-DF71099C9761}"/>
    <cellStyle name="40% - Accent3 2 2 4 3" xfId="5400" xr:uid="{00000000-0005-0000-0000-00001F050000}"/>
    <cellStyle name="40% - Accent3 2 2 4 4" xfId="9611" xr:uid="{242E4BAF-A623-489A-8951-36EAC7C4D3A8}"/>
    <cellStyle name="40% - Accent3 2 2 4 5" xfId="13822" xr:uid="{5F866646-5AB3-4B2F-8BC7-CE1ECB7FC953}"/>
    <cellStyle name="40% - Accent3 2 2 5" xfId="1504" xr:uid="{00000000-0005-0000-0000-000020050000}"/>
    <cellStyle name="40% - Accent3 2 2 5 2" xfId="3734" xr:uid="{00000000-0005-0000-0000-000021050000}"/>
    <cellStyle name="40% - Accent3 2 2 5 2 2" xfId="7958" xr:uid="{00000000-0005-0000-0000-000022050000}"/>
    <cellStyle name="40% - Accent3 2 2 5 2 3" xfId="12169" xr:uid="{4F211EC8-8104-40F7-8737-955004E338DA}"/>
    <cellStyle name="40% - Accent3 2 2 5 2 4" xfId="16380" xr:uid="{75D8F0DE-52D2-43AC-AD4B-281BEAF60F87}"/>
    <cellStyle name="40% - Accent3 2 2 5 3" xfId="5813" xr:uid="{00000000-0005-0000-0000-000023050000}"/>
    <cellStyle name="40% - Accent3 2 2 5 4" xfId="10024" xr:uid="{493AF86E-6E6B-4B05-847A-8A878D0DDD2C}"/>
    <cellStyle name="40% - Accent3 2 2 5 5" xfId="14235" xr:uid="{2277BFC4-03E4-43A6-A8F8-4A558218B945}"/>
    <cellStyle name="40% - Accent3 2 2 6" xfId="1918" xr:uid="{00000000-0005-0000-0000-000024050000}"/>
    <cellStyle name="40% - Accent3 2 2 6 2" xfId="4147" xr:uid="{00000000-0005-0000-0000-000025050000}"/>
    <cellStyle name="40% - Accent3 2 2 6 2 2" xfId="8371" xr:uid="{00000000-0005-0000-0000-000026050000}"/>
    <cellStyle name="40% - Accent3 2 2 6 2 3" xfId="12582" xr:uid="{E9AE398B-D002-4CA6-951F-99DFA8131C96}"/>
    <cellStyle name="40% - Accent3 2 2 6 2 4" xfId="16793" xr:uid="{C6DD39B5-A5F6-4AED-B57A-706C7682FD5B}"/>
    <cellStyle name="40% - Accent3 2 2 6 3" xfId="6226" xr:uid="{00000000-0005-0000-0000-000027050000}"/>
    <cellStyle name="40% - Accent3 2 2 6 4" xfId="10437" xr:uid="{D3490DB1-8BB0-4450-B631-74C5557A6B0A}"/>
    <cellStyle name="40% - Accent3 2 2 6 5" xfId="14648" xr:uid="{7662F1C4-E038-4F99-A8EA-F936648D339A}"/>
    <cellStyle name="40% - Accent3 2 2 7" xfId="2331" xr:uid="{00000000-0005-0000-0000-000028050000}"/>
    <cellStyle name="40% - Accent3 2 2 7 2" xfId="6639" xr:uid="{00000000-0005-0000-0000-000029050000}"/>
    <cellStyle name="40% - Accent3 2 2 7 3" xfId="10850" xr:uid="{3CE1FE3B-C67D-43D7-BB0C-D184B0F4A80B}"/>
    <cellStyle name="40% - Accent3 2 2 7 4" xfId="15061" xr:uid="{A79BC958-D063-4C19-ABA3-D04F87C8C501}"/>
    <cellStyle name="40% - Accent3 2 2 8" xfId="4573" xr:uid="{00000000-0005-0000-0000-00002A050000}"/>
    <cellStyle name="40% - Accent3 2 2 9" xfId="8784" xr:uid="{9D6CE804-DD95-4351-8569-5F56B056AC9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2 3" xfId="11345" xr:uid="{E20215F4-D6EC-4886-AC7B-D814BD1D4011}"/>
    <cellStyle name="40% - Accent3 2 3 2 2 4" xfId="15556" xr:uid="{A1132A09-CC6A-4A05-BFA6-9877803C103B}"/>
    <cellStyle name="40% - Accent3 2 3 2 3" xfId="4989" xr:uid="{00000000-0005-0000-0000-00002F050000}"/>
    <cellStyle name="40% - Accent3 2 3 2 4" xfId="9200" xr:uid="{B9A5E0E9-4596-425C-8BA4-D5D3B319A21C}"/>
    <cellStyle name="40% - Accent3 2 3 2 5" xfId="13411" xr:uid="{42076BCB-8756-4480-A915-47526FA85EA2}"/>
    <cellStyle name="40% - Accent3 2 3 3" xfId="1092" xr:uid="{00000000-0005-0000-0000-000030050000}"/>
    <cellStyle name="40% - Accent3 2 3 3 2" xfId="3323" xr:uid="{00000000-0005-0000-0000-000031050000}"/>
    <cellStyle name="40% - Accent3 2 3 3 2 2" xfId="7547" xr:uid="{00000000-0005-0000-0000-000032050000}"/>
    <cellStyle name="40% - Accent3 2 3 3 2 3" xfId="11758" xr:uid="{93B0B823-D52B-4D92-9D22-8F5D17B9AFC2}"/>
    <cellStyle name="40% - Accent3 2 3 3 2 4" xfId="15969" xr:uid="{EACEB59B-CC81-4002-B37E-D263501BFC8B}"/>
    <cellStyle name="40% - Accent3 2 3 3 3" xfId="5402" xr:uid="{00000000-0005-0000-0000-000033050000}"/>
    <cellStyle name="40% - Accent3 2 3 3 4" xfId="9613" xr:uid="{CB405CA5-1876-43B4-9784-536F300A98F0}"/>
    <cellStyle name="40% - Accent3 2 3 3 5" xfId="13824" xr:uid="{99B1F7D9-A7C3-4395-BB39-0F37289C6269}"/>
    <cellStyle name="40% - Accent3 2 3 4" xfId="1506" xr:uid="{00000000-0005-0000-0000-000034050000}"/>
    <cellStyle name="40% - Accent3 2 3 4 2" xfId="3736" xr:uid="{00000000-0005-0000-0000-000035050000}"/>
    <cellStyle name="40% - Accent3 2 3 4 2 2" xfId="7960" xr:uid="{00000000-0005-0000-0000-000036050000}"/>
    <cellStyle name="40% - Accent3 2 3 4 2 3" xfId="12171" xr:uid="{7F695D93-5142-4D02-88B2-67BFA933F3F9}"/>
    <cellStyle name="40% - Accent3 2 3 4 2 4" xfId="16382" xr:uid="{5AFD7DEA-9B23-4674-AE2A-816FFC986AAE}"/>
    <cellStyle name="40% - Accent3 2 3 4 3" xfId="5815" xr:uid="{00000000-0005-0000-0000-000037050000}"/>
    <cellStyle name="40% - Accent3 2 3 4 4" xfId="10026" xr:uid="{D579AC1D-E819-4422-825E-F9FD4878C4BD}"/>
    <cellStyle name="40% - Accent3 2 3 4 5" xfId="14237" xr:uid="{C652F047-D2EB-4E62-BE47-04E679C93D71}"/>
    <cellStyle name="40% - Accent3 2 3 5" xfId="1920" xr:uid="{00000000-0005-0000-0000-000038050000}"/>
    <cellStyle name="40% - Accent3 2 3 5 2" xfId="4149" xr:uid="{00000000-0005-0000-0000-000039050000}"/>
    <cellStyle name="40% - Accent3 2 3 5 2 2" xfId="8373" xr:uid="{00000000-0005-0000-0000-00003A050000}"/>
    <cellStyle name="40% - Accent3 2 3 5 2 3" xfId="12584" xr:uid="{332DD526-0BBB-4977-9D13-C936010DE473}"/>
    <cellStyle name="40% - Accent3 2 3 5 2 4" xfId="16795" xr:uid="{33F10C87-8A9D-41B0-A6F6-E49AB73D90D2}"/>
    <cellStyle name="40% - Accent3 2 3 5 3" xfId="6228" xr:uid="{00000000-0005-0000-0000-00003B050000}"/>
    <cellStyle name="40% - Accent3 2 3 5 4" xfId="10439" xr:uid="{A07FDE90-E8D9-41C6-BCB0-A6B86B24DACA}"/>
    <cellStyle name="40% - Accent3 2 3 5 5" xfId="14650" xr:uid="{D7917458-67C1-466E-8420-9B2F9930EA3B}"/>
    <cellStyle name="40% - Accent3 2 3 6" xfId="2333" xr:uid="{00000000-0005-0000-0000-00003C050000}"/>
    <cellStyle name="40% - Accent3 2 3 6 2" xfId="6641" xr:uid="{00000000-0005-0000-0000-00003D050000}"/>
    <cellStyle name="40% - Accent3 2 3 6 3" xfId="10852" xr:uid="{BD9457D7-7737-451F-A7ED-D349A63BE109}"/>
    <cellStyle name="40% - Accent3 2 3 6 4" xfId="15063" xr:uid="{D4A42396-88CA-4D06-AA59-A3A87E1B39B7}"/>
    <cellStyle name="40% - Accent3 2 3 7" xfId="4575" xr:uid="{00000000-0005-0000-0000-00003E050000}"/>
    <cellStyle name="40% - Accent3 2 3 8" xfId="8786" xr:uid="{132CC55E-DA9B-4D2A-BD39-F707F16726BB}"/>
    <cellStyle name="40% - Accent3 2 3 9" xfId="12997" xr:uid="{E723D368-F9ED-4CF5-A50C-EE515CE0FC25}"/>
    <cellStyle name="40% - Accent3 2 4" xfId="636" xr:uid="{00000000-0005-0000-0000-00003F050000}"/>
    <cellStyle name="40% - Accent3 2 4 2" xfId="2907" xr:uid="{00000000-0005-0000-0000-000040050000}"/>
    <cellStyle name="40% - Accent3 2 4 2 2" xfId="7131" xr:uid="{00000000-0005-0000-0000-000041050000}"/>
    <cellStyle name="40% - Accent3 2 4 2 3" xfId="11342" xr:uid="{C43A0F7B-62E4-4364-BDC8-F7CDDED40ACC}"/>
    <cellStyle name="40% - Accent3 2 4 2 4" xfId="15553" xr:uid="{23DBB15F-154E-431A-96FD-374A2048BDEA}"/>
    <cellStyle name="40% - Accent3 2 4 3" xfId="4986" xr:uid="{00000000-0005-0000-0000-000042050000}"/>
    <cellStyle name="40% - Accent3 2 4 4" xfId="9197" xr:uid="{B7F64D42-2426-4B79-8CBB-9D7915DBC797}"/>
    <cellStyle name="40% - Accent3 2 4 5" xfId="13408" xr:uid="{92E4478D-5018-4EE5-95C7-C8C91E9B6728}"/>
    <cellStyle name="40% - Accent3 2 5" xfId="1089" xr:uid="{00000000-0005-0000-0000-000043050000}"/>
    <cellStyle name="40% - Accent3 2 5 2" xfId="3320" xr:uid="{00000000-0005-0000-0000-000044050000}"/>
    <cellStyle name="40% - Accent3 2 5 2 2" xfId="7544" xr:uid="{00000000-0005-0000-0000-000045050000}"/>
    <cellStyle name="40% - Accent3 2 5 2 3" xfId="11755" xr:uid="{3239F6E3-EC86-4801-B507-0C777AD262CA}"/>
    <cellStyle name="40% - Accent3 2 5 2 4" xfId="15966" xr:uid="{2D0809EA-2E98-49F7-82BF-3BBE9577C2FA}"/>
    <cellStyle name="40% - Accent3 2 5 3" xfId="5399" xr:uid="{00000000-0005-0000-0000-000046050000}"/>
    <cellStyle name="40% - Accent3 2 5 4" xfId="9610" xr:uid="{3B3C102D-F18C-4DB3-B16F-077DFD2A46D0}"/>
    <cellStyle name="40% - Accent3 2 5 5" xfId="13821" xr:uid="{DA8A3489-137A-4DC2-B1DE-763AC2961700}"/>
    <cellStyle name="40% - Accent3 2 6" xfId="1503" xr:uid="{00000000-0005-0000-0000-000047050000}"/>
    <cellStyle name="40% - Accent3 2 6 2" xfId="3733" xr:uid="{00000000-0005-0000-0000-000048050000}"/>
    <cellStyle name="40% - Accent3 2 6 2 2" xfId="7957" xr:uid="{00000000-0005-0000-0000-000049050000}"/>
    <cellStyle name="40% - Accent3 2 6 2 3" xfId="12168" xr:uid="{AECD8B69-A2BD-43E7-951B-A1DA7193FBA5}"/>
    <cellStyle name="40% - Accent3 2 6 2 4" xfId="16379" xr:uid="{6B3F6274-8CBC-41AB-B0D8-5328E16ADD01}"/>
    <cellStyle name="40% - Accent3 2 6 3" xfId="5812" xr:uid="{00000000-0005-0000-0000-00004A050000}"/>
    <cellStyle name="40% - Accent3 2 6 4" xfId="10023" xr:uid="{C9F0FF9B-D8B4-42C5-8B90-48AEAB2A08CB}"/>
    <cellStyle name="40% - Accent3 2 6 5" xfId="14234" xr:uid="{32633865-BD8A-47A1-9347-B1521ED34835}"/>
    <cellStyle name="40% - Accent3 2 7" xfId="1917" xr:uid="{00000000-0005-0000-0000-00004B050000}"/>
    <cellStyle name="40% - Accent3 2 7 2" xfId="4146" xr:uid="{00000000-0005-0000-0000-00004C050000}"/>
    <cellStyle name="40% - Accent3 2 7 2 2" xfId="8370" xr:uid="{00000000-0005-0000-0000-00004D050000}"/>
    <cellStyle name="40% - Accent3 2 7 2 3" xfId="12581" xr:uid="{3D548669-E714-4C0B-B3D5-CE4B886880AE}"/>
    <cellStyle name="40% - Accent3 2 7 2 4" xfId="16792" xr:uid="{02471F47-B471-4611-B069-5F8E3A2802CB}"/>
    <cellStyle name="40% - Accent3 2 7 3" xfId="6225" xr:uid="{00000000-0005-0000-0000-00004E050000}"/>
    <cellStyle name="40% - Accent3 2 7 4" xfId="10436" xr:uid="{EAA4B55C-E5DF-49AD-BA07-C5A9FECDB132}"/>
    <cellStyle name="40% - Accent3 2 7 5" xfId="14647" xr:uid="{416CE878-AD64-4643-A08A-30A69909E590}"/>
    <cellStyle name="40% - Accent3 2 8" xfId="2330" xr:uid="{00000000-0005-0000-0000-00004F050000}"/>
    <cellStyle name="40% - Accent3 2 8 2" xfId="6638" xr:uid="{00000000-0005-0000-0000-000050050000}"/>
    <cellStyle name="40% - Accent3 2 8 3" xfId="10849" xr:uid="{6BB47AE3-BA00-4A8A-9C5E-E21C258559CF}"/>
    <cellStyle name="40% - Accent3 2 8 4" xfId="15060" xr:uid="{193941F6-81EF-4C7E-BCE0-D442C92A4A28}"/>
    <cellStyle name="40% - Accent3 2 9" xfId="4572" xr:uid="{00000000-0005-0000-0000-000051050000}"/>
    <cellStyle name="40% - Accent3 3" xfId="70" xr:uid="{00000000-0005-0000-0000-000052050000}"/>
    <cellStyle name="40% - Accent3 3 10" xfId="12998" xr:uid="{4FBE6B09-04F0-477F-9E35-9FC21DE26C32}"/>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2 3" xfId="11347" xr:uid="{308BD26E-0F43-467C-96AC-BA79A7079A25}"/>
    <cellStyle name="40% - Accent3 3 2 2 2 4" xfId="15558" xr:uid="{9FFD16E9-AB20-429B-8A12-CF773501CC84}"/>
    <cellStyle name="40% - Accent3 3 2 2 3" xfId="4991" xr:uid="{00000000-0005-0000-0000-000057050000}"/>
    <cellStyle name="40% - Accent3 3 2 2 4" xfId="9202" xr:uid="{C01AE0BB-048C-4892-A3CF-85E04C610516}"/>
    <cellStyle name="40% - Accent3 3 2 2 5" xfId="13413" xr:uid="{CC058726-8727-4542-AE1B-91D7B21FDB29}"/>
    <cellStyle name="40% - Accent3 3 2 3" xfId="1094" xr:uid="{00000000-0005-0000-0000-000058050000}"/>
    <cellStyle name="40% - Accent3 3 2 3 2" xfId="3325" xr:uid="{00000000-0005-0000-0000-000059050000}"/>
    <cellStyle name="40% - Accent3 3 2 3 2 2" xfId="7549" xr:uid="{00000000-0005-0000-0000-00005A050000}"/>
    <cellStyle name="40% - Accent3 3 2 3 2 3" xfId="11760" xr:uid="{44487A9C-391B-4E28-A942-F569BBC0105C}"/>
    <cellStyle name="40% - Accent3 3 2 3 2 4" xfId="15971" xr:uid="{D07A738C-B49A-4CAF-AEF8-4882A6045907}"/>
    <cellStyle name="40% - Accent3 3 2 3 3" xfId="5404" xr:uid="{00000000-0005-0000-0000-00005B050000}"/>
    <cellStyle name="40% - Accent3 3 2 3 4" xfId="9615" xr:uid="{07A14208-08F7-440D-AC37-2A57013D6AFC}"/>
    <cellStyle name="40% - Accent3 3 2 3 5" xfId="13826" xr:uid="{8CB201B0-146A-4483-B1E2-03B4C17925DD}"/>
    <cellStyle name="40% - Accent3 3 2 4" xfId="1508" xr:uid="{00000000-0005-0000-0000-00005C050000}"/>
    <cellStyle name="40% - Accent3 3 2 4 2" xfId="3738" xr:uid="{00000000-0005-0000-0000-00005D050000}"/>
    <cellStyle name="40% - Accent3 3 2 4 2 2" xfId="7962" xr:uid="{00000000-0005-0000-0000-00005E050000}"/>
    <cellStyle name="40% - Accent3 3 2 4 2 3" xfId="12173" xr:uid="{15281102-F327-464C-B250-B1E103371D9B}"/>
    <cellStyle name="40% - Accent3 3 2 4 2 4" xfId="16384" xr:uid="{83D55084-5B1F-44B6-A894-0934D6E9C5E1}"/>
    <cellStyle name="40% - Accent3 3 2 4 3" xfId="5817" xr:uid="{00000000-0005-0000-0000-00005F050000}"/>
    <cellStyle name="40% - Accent3 3 2 4 4" xfId="10028" xr:uid="{F7F4573D-5547-4433-BC39-A4C45C900C02}"/>
    <cellStyle name="40% - Accent3 3 2 4 5" xfId="14239" xr:uid="{8E1C0855-8E32-42FB-9DD7-E403E671C12A}"/>
    <cellStyle name="40% - Accent3 3 2 5" xfId="1922" xr:uid="{00000000-0005-0000-0000-000060050000}"/>
    <cellStyle name="40% - Accent3 3 2 5 2" xfId="4151" xr:uid="{00000000-0005-0000-0000-000061050000}"/>
    <cellStyle name="40% - Accent3 3 2 5 2 2" xfId="8375" xr:uid="{00000000-0005-0000-0000-000062050000}"/>
    <cellStyle name="40% - Accent3 3 2 5 2 3" xfId="12586" xr:uid="{00587EBD-2398-457E-B6B7-4DBA117D84A1}"/>
    <cellStyle name="40% - Accent3 3 2 5 2 4" xfId="16797" xr:uid="{A4920F5F-FD74-49F6-AE8F-BD283646774F}"/>
    <cellStyle name="40% - Accent3 3 2 5 3" xfId="6230" xr:uid="{00000000-0005-0000-0000-000063050000}"/>
    <cellStyle name="40% - Accent3 3 2 5 4" xfId="10441" xr:uid="{BF53CB9A-27B6-4A61-9C7E-C8BC1BD0749F}"/>
    <cellStyle name="40% - Accent3 3 2 5 5" xfId="14652" xr:uid="{07520867-F7E8-4CA5-BCCF-EC2DAE047A17}"/>
    <cellStyle name="40% - Accent3 3 2 6" xfId="2335" xr:uid="{00000000-0005-0000-0000-000064050000}"/>
    <cellStyle name="40% - Accent3 3 2 6 2" xfId="6643" xr:uid="{00000000-0005-0000-0000-000065050000}"/>
    <cellStyle name="40% - Accent3 3 2 6 3" xfId="10854" xr:uid="{5DA15F6A-514B-4D9F-A6AD-B08F6AC375DC}"/>
    <cellStyle name="40% - Accent3 3 2 6 4" xfId="15065" xr:uid="{6C66DE09-DF1F-408C-B4F4-32C80C9275FD}"/>
    <cellStyle name="40% - Accent3 3 2 7" xfId="4577" xr:uid="{00000000-0005-0000-0000-000066050000}"/>
    <cellStyle name="40% - Accent3 3 2 8" xfId="8788" xr:uid="{EA3C0C35-D665-43FC-855A-BEC806E0B57E}"/>
    <cellStyle name="40% - Accent3 3 2 9" xfId="12999" xr:uid="{F4B9EE30-D360-4FA5-A86A-004427A662CC}"/>
    <cellStyle name="40% - Accent3 3 3" xfId="640" xr:uid="{00000000-0005-0000-0000-000067050000}"/>
    <cellStyle name="40% - Accent3 3 3 2" xfId="2911" xr:uid="{00000000-0005-0000-0000-000068050000}"/>
    <cellStyle name="40% - Accent3 3 3 2 2" xfId="7135" xr:uid="{00000000-0005-0000-0000-000069050000}"/>
    <cellStyle name="40% - Accent3 3 3 2 3" xfId="11346" xr:uid="{3219BD2A-F56C-496C-98FA-10785D1A3B3D}"/>
    <cellStyle name="40% - Accent3 3 3 2 4" xfId="15557" xr:uid="{37FA1389-C656-4AF3-A736-70C4FA9CA92A}"/>
    <cellStyle name="40% - Accent3 3 3 3" xfId="4990" xr:uid="{00000000-0005-0000-0000-00006A050000}"/>
    <cellStyle name="40% - Accent3 3 3 4" xfId="9201" xr:uid="{9721D4EE-581E-4AAC-8222-41BE0F9532C0}"/>
    <cellStyle name="40% - Accent3 3 3 5" xfId="13412" xr:uid="{93A7EB57-FD38-4592-A400-55CECE8B8200}"/>
    <cellStyle name="40% - Accent3 3 4" xfId="1093" xr:uid="{00000000-0005-0000-0000-00006B050000}"/>
    <cellStyle name="40% - Accent3 3 4 2" xfId="3324" xr:uid="{00000000-0005-0000-0000-00006C050000}"/>
    <cellStyle name="40% - Accent3 3 4 2 2" xfId="7548" xr:uid="{00000000-0005-0000-0000-00006D050000}"/>
    <cellStyle name="40% - Accent3 3 4 2 3" xfId="11759" xr:uid="{D87BBB09-97E2-4D6A-B935-E6D0A8B3F090}"/>
    <cellStyle name="40% - Accent3 3 4 2 4" xfId="15970" xr:uid="{4791A84B-EB47-425B-899B-CE0ABCB22473}"/>
    <cellStyle name="40% - Accent3 3 4 3" xfId="5403" xr:uid="{00000000-0005-0000-0000-00006E050000}"/>
    <cellStyle name="40% - Accent3 3 4 4" xfId="9614" xr:uid="{7A272C8A-5042-4D26-A030-87717119B751}"/>
    <cellStyle name="40% - Accent3 3 4 5" xfId="13825" xr:uid="{74CF4EE9-D19C-4CF6-B229-589AFE7A3A16}"/>
    <cellStyle name="40% - Accent3 3 5" xfId="1507" xr:uid="{00000000-0005-0000-0000-00006F050000}"/>
    <cellStyle name="40% - Accent3 3 5 2" xfId="3737" xr:uid="{00000000-0005-0000-0000-000070050000}"/>
    <cellStyle name="40% - Accent3 3 5 2 2" xfId="7961" xr:uid="{00000000-0005-0000-0000-000071050000}"/>
    <cellStyle name="40% - Accent3 3 5 2 3" xfId="12172" xr:uid="{D09CB74F-AD8C-4E11-954C-B5B28781BBAD}"/>
    <cellStyle name="40% - Accent3 3 5 2 4" xfId="16383" xr:uid="{5D52F9ED-94C0-4937-B210-95048CCE3F1E}"/>
    <cellStyle name="40% - Accent3 3 5 3" xfId="5816" xr:uid="{00000000-0005-0000-0000-000072050000}"/>
    <cellStyle name="40% - Accent3 3 5 4" xfId="10027" xr:uid="{DCC233EE-8473-4D19-B5BA-C67DC28D2207}"/>
    <cellStyle name="40% - Accent3 3 5 5" xfId="14238" xr:uid="{6CFF79AB-6AAB-4804-A5EF-385AB821ECF0}"/>
    <cellStyle name="40% - Accent3 3 6" xfId="1921" xr:uid="{00000000-0005-0000-0000-000073050000}"/>
    <cellStyle name="40% - Accent3 3 6 2" xfId="4150" xr:uid="{00000000-0005-0000-0000-000074050000}"/>
    <cellStyle name="40% - Accent3 3 6 2 2" xfId="8374" xr:uid="{00000000-0005-0000-0000-000075050000}"/>
    <cellStyle name="40% - Accent3 3 6 2 3" xfId="12585" xr:uid="{4B5FA260-D4AD-4353-A927-D50302C7E75B}"/>
    <cellStyle name="40% - Accent3 3 6 2 4" xfId="16796" xr:uid="{A06764D1-6EAB-47A1-8240-0200A195247C}"/>
    <cellStyle name="40% - Accent3 3 6 3" xfId="6229" xr:uid="{00000000-0005-0000-0000-000076050000}"/>
    <cellStyle name="40% - Accent3 3 6 4" xfId="10440" xr:uid="{FBD16751-BDF5-41C0-AF8B-69106036DC26}"/>
    <cellStyle name="40% - Accent3 3 6 5" xfId="14651" xr:uid="{657D4EEA-3940-4A8E-B2D0-BFEA2E500994}"/>
    <cellStyle name="40% - Accent3 3 7" xfId="2334" xr:uid="{00000000-0005-0000-0000-000077050000}"/>
    <cellStyle name="40% - Accent3 3 7 2" xfId="6642" xr:uid="{00000000-0005-0000-0000-000078050000}"/>
    <cellStyle name="40% - Accent3 3 7 3" xfId="10853" xr:uid="{B0857013-0A88-445A-B670-7D70BA440F5C}"/>
    <cellStyle name="40% - Accent3 3 7 4" xfId="15064" xr:uid="{97FD6275-3150-4455-BDC0-5A8043597BA1}"/>
    <cellStyle name="40% - Accent3 3 8" xfId="4576" xr:uid="{00000000-0005-0000-0000-000079050000}"/>
    <cellStyle name="40% - Accent3 3 9" xfId="8787" xr:uid="{2E7A0A76-D3EB-448A-86CD-EE0F7459902A}"/>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2 3" xfId="11348" xr:uid="{F38B5EC4-592D-4ECB-96E1-65DFEE288149}"/>
    <cellStyle name="40% - Accent3 4 2 2 4" xfId="15559" xr:uid="{FBA764BA-8F0B-4071-95CC-11871D6A7B96}"/>
    <cellStyle name="40% - Accent3 4 2 3" xfId="4992" xr:uid="{00000000-0005-0000-0000-00007E050000}"/>
    <cellStyle name="40% - Accent3 4 2 4" xfId="9203" xr:uid="{F9AFC430-2EBB-4CCC-99D8-1AF763432F67}"/>
    <cellStyle name="40% - Accent3 4 2 5" xfId="13414" xr:uid="{DF1929CB-AEBD-4CE8-A0D4-EEEBBE04A76B}"/>
    <cellStyle name="40% - Accent3 4 3" xfId="1095" xr:uid="{00000000-0005-0000-0000-00007F050000}"/>
    <cellStyle name="40% - Accent3 4 3 2" xfId="3326" xr:uid="{00000000-0005-0000-0000-000080050000}"/>
    <cellStyle name="40% - Accent3 4 3 2 2" xfId="7550" xr:uid="{00000000-0005-0000-0000-000081050000}"/>
    <cellStyle name="40% - Accent3 4 3 2 3" xfId="11761" xr:uid="{AE7A4583-3C04-4618-A19F-FCA33CB0DAE8}"/>
    <cellStyle name="40% - Accent3 4 3 2 4" xfId="15972" xr:uid="{F990A668-9F21-4920-8133-438547957333}"/>
    <cellStyle name="40% - Accent3 4 3 3" xfId="5405" xr:uid="{00000000-0005-0000-0000-000082050000}"/>
    <cellStyle name="40% - Accent3 4 3 4" xfId="9616" xr:uid="{9ACE3B1E-CE1E-49BD-ABFA-6BA4223EC6EA}"/>
    <cellStyle name="40% - Accent3 4 3 5" xfId="13827" xr:uid="{E9A3A5F5-BC19-4480-A820-732D8559BE93}"/>
    <cellStyle name="40% - Accent3 4 4" xfId="1509" xr:uid="{00000000-0005-0000-0000-000083050000}"/>
    <cellStyle name="40% - Accent3 4 4 2" xfId="3739" xr:uid="{00000000-0005-0000-0000-000084050000}"/>
    <cellStyle name="40% - Accent3 4 4 2 2" xfId="7963" xr:uid="{00000000-0005-0000-0000-000085050000}"/>
    <cellStyle name="40% - Accent3 4 4 2 3" xfId="12174" xr:uid="{074247BA-AAAB-48F7-AF9D-5583A6798743}"/>
    <cellStyle name="40% - Accent3 4 4 2 4" xfId="16385" xr:uid="{5A6BD10A-3670-44F1-A53F-AC55C70480E9}"/>
    <cellStyle name="40% - Accent3 4 4 3" xfId="5818" xr:uid="{00000000-0005-0000-0000-000086050000}"/>
    <cellStyle name="40% - Accent3 4 4 4" xfId="10029" xr:uid="{4CAD748A-1ED9-44F0-92DE-01CD018135B9}"/>
    <cellStyle name="40% - Accent3 4 4 5" xfId="14240" xr:uid="{231EA8B1-4B8F-4633-A943-DEE480035850}"/>
    <cellStyle name="40% - Accent3 4 5" xfId="1923" xr:uid="{00000000-0005-0000-0000-000087050000}"/>
    <cellStyle name="40% - Accent3 4 5 2" xfId="4152" xr:uid="{00000000-0005-0000-0000-000088050000}"/>
    <cellStyle name="40% - Accent3 4 5 2 2" xfId="8376" xr:uid="{00000000-0005-0000-0000-000089050000}"/>
    <cellStyle name="40% - Accent3 4 5 2 3" xfId="12587" xr:uid="{CF972306-66E9-47D8-9885-A9832213077A}"/>
    <cellStyle name="40% - Accent3 4 5 2 4" xfId="16798" xr:uid="{CFD1B9FF-252E-4180-B40C-95598E95386C}"/>
    <cellStyle name="40% - Accent3 4 5 3" xfId="6231" xr:uid="{00000000-0005-0000-0000-00008A050000}"/>
    <cellStyle name="40% - Accent3 4 5 4" xfId="10442" xr:uid="{4617A3F0-965D-46E7-B8EE-56804E667170}"/>
    <cellStyle name="40% - Accent3 4 5 5" xfId="14653" xr:uid="{0416F53B-2404-498A-A461-A7332F2302F9}"/>
    <cellStyle name="40% - Accent3 4 6" xfId="2336" xr:uid="{00000000-0005-0000-0000-00008B050000}"/>
    <cellStyle name="40% - Accent3 4 6 2" xfId="6644" xr:uid="{00000000-0005-0000-0000-00008C050000}"/>
    <cellStyle name="40% - Accent3 4 6 3" xfId="10855" xr:uid="{144F0BF5-B0E8-4ADA-B438-4AACDC7A9300}"/>
    <cellStyle name="40% - Accent3 4 6 4" xfId="15066" xr:uid="{8FC04207-73C0-4515-BAA0-45380C1797C5}"/>
    <cellStyle name="40% - Accent3 4 7" xfId="4578" xr:uid="{00000000-0005-0000-0000-00008D050000}"/>
    <cellStyle name="40% - Accent3 4 8" xfId="8789" xr:uid="{A66B9763-5920-4656-9CCC-7111791B7443}"/>
    <cellStyle name="40% - Accent3 4 9" xfId="13000" xr:uid="{CDCB68E2-0369-43CB-A5BC-DDDD1536459B}"/>
    <cellStyle name="40% - Accent3 5" xfId="635" xr:uid="{00000000-0005-0000-0000-00008E050000}"/>
    <cellStyle name="40% - Accent3 5 2" xfId="2906" xr:uid="{00000000-0005-0000-0000-00008F050000}"/>
    <cellStyle name="40% - Accent3 5 2 2" xfId="7130" xr:uid="{00000000-0005-0000-0000-000090050000}"/>
    <cellStyle name="40% - Accent3 5 2 3" xfId="11341" xr:uid="{B06F49CE-3056-4947-BC11-351511215938}"/>
    <cellStyle name="40% - Accent3 5 2 4" xfId="15552" xr:uid="{2A0DD201-26FD-483D-9D50-69F103F60D19}"/>
    <cellStyle name="40% - Accent3 5 3" xfId="4985" xr:uid="{00000000-0005-0000-0000-000091050000}"/>
    <cellStyle name="40% - Accent3 5 4" xfId="9196" xr:uid="{9CC28379-67E9-46F3-A449-F5C0984E1F3E}"/>
    <cellStyle name="40% - Accent3 5 5" xfId="13407" xr:uid="{EBA0A348-0563-41D2-8F0F-14842C94F45C}"/>
    <cellStyle name="40% - Accent3 6" xfId="1088" xr:uid="{00000000-0005-0000-0000-000092050000}"/>
    <cellStyle name="40% - Accent3 6 2" xfId="3319" xr:uid="{00000000-0005-0000-0000-000093050000}"/>
    <cellStyle name="40% - Accent3 6 2 2" xfId="7543" xr:uid="{00000000-0005-0000-0000-000094050000}"/>
    <cellStyle name="40% - Accent3 6 2 3" xfId="11754" xr:uid="{E7C83A13-FF48-4F85-A5B0-154EDC17981E}"/>
    <cellStyle name="40% - Accent3 6 2 4" xfId="15965" xr:uid="{32B40B99-EC29-4E80-B07F-FF8010CB8F73}"/>
    <cellStyle name="40% - Accent3 6 3" xfId="5398" xr:uid="{00000000-0005-0000-0000-000095050000}"/>
    <cellStyle name="40% - Accent3 6 4" xfId="9609" xr:uid="{E171E923-7DA7-4316-85FD-99A73464BC5F}"/>
    <cellStyle name="40% - Accent3 6 5" xfId="13820" xr:uid="{99928BDA-D69A-44CA-A199-8947CB4EDC1F}"/>
    <cellStyle name="40% - Accent3 7" xfId="1502" xr:uid="{00000000-0005-0000-0000-000096050000}"/>
    <cellStyle name="40% - Accent3 7 2" xfId="3732" xr:uid="{00000000-0005-0000-0000-000097050000}"/>
    <cellStyle name="40% - Accent3 7 2 2" xfId="7956" xr:uid="{00000000-0005-0000-0000-000098050000}"/>
    <cellStyle name="40% - Accent3 7 2 3" xfId="12167" xr:uid="{20671F84-D530-4E4F-9F3F-5B3C5AB0D1D4}"/>
    <cellStyle name="40% - Accent3 7 2 4" xfId="16378" xr:uid="{CEE45EEC-48AD-4D88-AEB5-50C4D21BF5F3}"/>
    <cellStyle name="40% - Accent3 7 3" xfId="5811" xr:uid="{00000000-0005-0000-0000-000099050000}"/>
    <cellStyle name="40% - Accent3 7 4" xfId="10022" xr:uid="{0D9520B7-0706-46DF-9400-0C1E0D0AF6F3}"/>
    <cellStyle name="40% - Accent3 7 5" xfId="14233" xr:uid="{E2802589-1B8B-406E-A505-312921AE4383}"/>
    <cellStyle name="40% - Accent3 8" xfId="1916" xr:uid="{00000000-0005-0000-0000-00009A050000}"/>
    <cellStyle name="40% - Accent3 8 2" xfId="4145" xr:uid="{00000000-0005-0000-0000-00009B050000}"/>
    <cellStyle name="40% - Accent3 8 2 2" xfId="8369" xr:uid="{00000000-0005-0000-0000-00009C050000}"/>
    <cellStyle name="40% - Accent3 8 2 3" xfId="12580" xr:uid="{F8CFA753-A11B-4521-B278-5B586C33F545}"/>
    <cellStyle name="40% - Accent3 8 2 4" xfId="16791" xr:uid="{B976921F-D3BC-4A70-AA0C-9E7888EBD078}"/>
    <cellStyle name="40% - Accent3 8 3" xfId="6224" xr:uid="{00000000-0005-0000-0000-00009D050000}"/>
    <cellStyle name="40% - Accent3 8 4" xfId="10435" xr:uid="{976EC108-1A47-4133-A5EE-8B8CE9CBED3A}"/>
    <cellStyle name="40% - Accent3 8 5" xfId="14646" xr:uid="{C027D2F5-C5BE-4252-886C-AFEDF6641B74}"/>
    <cellStyle name="40% - Accent3 9" xfId="2329" xr:uid="{00000000-0005-0000-0000-00009E050000}"/>
    <cellStyle name="40% - Accent3 9 2" xfId="6637" xr:uid="{00000000-0005-0000-0000-00009F050000}"/>
    <cellStyle name="40% - Accent3 9 3" xfId="10848" xr:uid="{6ADE1CE4-8BBB-4665-8DD3-F11DBFD0A331}"/>
    <cellStyle name="40% - Accent3 9 4" xfId="15059" xr:uid="{1F5467D8-BFA2-47FB-8757-4E1081A89FBA}"/>
    <cellStyle name="40% - Accent4" xfId="73" builtinId="43" customBuiltin="1"/>
    <cellStyle name="40% - Accent4 10" xfId="4579" xr:uid="{00000000-0005-0000-0000-0000A1050000}"/>
    <cellStyle name="40% - Accent4 11" xfId="8790" xr:uid="{A08DFD78-3845-4D49-BC67-735BD88D114D}"/>
    <cellStyle name="40% - Accent4 12" xfId="13001" xr:uid="{CE2BA783-2218-4A5F-B05E-3956B9BE3FA3}"/>
    <cellStyle name="40% - Accent4 2" xfId="74" xr:uid="{00000000-0005-0000-0000-0000A2050000}"/>
    <cellStyle name="40% - Accent4 2 10" xfId="8791" xr:uid="{247536D1-1372-4C69-8FFA-E99AF4076EDD}"/>
    <cellStyle name="40% - Accent4 2 11" xfId="13002" xr:uid="{7C21D287-63E3-4A97-B0BE-C1AB8F57DCC5}"/>
    <cellStyle name="40% - Accent4 2 2" xfId="75" xr:uid="{00000000-0005-0000-0000-0000A3050000}"/>
    <cellStyle name="40% - Accent4 2 2 10" xfId="13003" xr:uid="{B10DA1D7-F97B-45F6-811E-1CE6922A6778}"/>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2 3" xfId="11352" xr:uid="{58A8D7B7-63D1-4816-8CFB-126573CA8199}"/>
    <cellStyle name="40% - Accent4 2 2 2 2 2 4" xfId="15563" xr:uid="{894D5616-0BAB-4694-889A-34EC108A8D67}"/>
    <cellStyle name="40% - Accent4 2 2 2 2 3" xfId="4996" xr:uid="{00000000-0005-0000-0000-0000A8050000}"/>
    <cellStyle name="40% - Accent4 2 2 2 2 4" xfId="9207" xr:uid="{B97DB841-245A-4144-9173-CB06764A489C}"/>
    <cellStyle name="40% - Accent4 2 2 2 2 5" xfId="13418" xr:uid="{0E2B10CD-7DA8-4EAD-8170-F251DE0A4F63}"/>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2 3" xfId="11765" xr:uid="{E862AC53-42C0-4F29-B47C-74470BFB894F}"/>
    <cellStyle name="40% - Accent4 2 2 2 3 2 4" xfId="15976" xr:uid="{4FCA890E-F451-4E36-BB4D-BCADF9245925}"/>
    <cellStyle name="40% - Accent4 2 2 2 3 3" xfId="5409" xr:uid="{00000000-0005-0000-0000-0000AC050000}"/>
    <cellStyle name="40% - Accent4 2 2 2 3 4" xfId="9620" xr:uid="{60E7A168-B526-46D5-B66F-AD62D242FA8B}"/>
    <cellStyle name="40% - Accent4 2 2 2 3 5" xfId="13831" xr:uid="{9178607E-75FE-41E4-9E8B-1D39647789A6}"/>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2 3" xfId="12178" xr:uid="{03E73BE5-188B-47A9-BE1A-3393D096BCF5}"/>
    <cellStyle name="40% - Accent4 2 2 2 4 2 4" xfId="16389" xr:uid="{875DD5E1-0EEF-4E1E-8350-5C8A688BCB90}"/>
    <cellStyle name="40% - Accent4 2 2 2 4 3" xfId="5822" xr:uid="{00000000-0005-0000-0000-0000B0050000}"/>
    <cellStyle name="40% - Accent4 2 2 2 4 4" xfId="10033" xr:uid="{1BD67C51-DE1F-4360-B782-2C00E3EFBD85}"/>
    <cellStyle name="40% - Accent4 2 2 2 4 5" xfId="14244" xr:uid="{6554C590-AE38-448D-AB40-70D2F6676AB6}"/>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2 3" xfId="12591" xr:uid="{1C0DE396-72C7-463D-B7CC-BEC6A013F529}"/>
    <cellStyle name="40% - Accent4 2 2 2 5 2 4" xfId="16802" xr:uid="{5DF35B58-CEC8-4E2B-975C-747D8B928142}"/>
    <cellStyle name="40% - Accent4 2 2 2 5 3" xfId="6235" xr:uid="{00000000-0005-0000-0000-0000B4050000}"/>
    <cellStyle name="40% - Accent4 2 2 2 5 4" xfId="10446" xr:uid="{BCD53D8D-C4F3-4545-ADB2-D3EAF7613259}"/>
    <cellStyle name="40% - Accent4 2 2 2 5 5" xfId="14657" xr:uid="{BECB6B72-5E07-450F-A1E1-C7CEA56FC018}"/>
    <cellStyle name="40% - Accent4 2 2 2 6" xfId="2340" xr:uid="{00000000-0005-0000-0000-0000B5050000}"/>
    <cellStyle name="40% - Accent4 2 2 2 6 2" xfId="6648" xr:uid="{00000000-0005-0000-0000-0000B6050000}"/>
    <cellStyle name="40% - Accent4 2 2 2 6 3" xfId="10859" xr:uid="{A9227DA9-237E-4F51-86ED-072E509532E7}"/>
    <cellStyle name="40% - Accent4 2 2 2 6 4" xfId="15070" xr:uid="{29C2CE9B-3F28-4E70-9FC1-07B8A11E3EC7}"/>
    <cellStyle name="40% - Accent4 2 2 2 7" xfId="4582" xr:uid="{00000000-0005-0000-0000-0000B7050000}"/>
    <cellStyle name="40% - Accent4 2 2 2 8" xfId="8793" xr:uid="{FE74BA84-621E-493D-805F-F370B8DFA953}"/>
    <cellStyle name="40% - Accent4 2 2 2 9" xfId="13004" xr:uid="{382FEC02-5D96-4420-BB12-F28070C85F7C}"/>
    <cellStyle name="40% - Accent4 2 2 3" xfId="645" xr:uid="{00000000-0005-0000-0000-0000B8050000}"/>
    <cellStyle name="40% - Accent4 2 2 3 2" xfId="2916" xr:uid="{00000000-0005-0000-0000-0000B9050000}"/>
    <cellStyle name="40% - Accent4 2 2 3 2 2" xfId="7140" xr:uid="{00000000-0005-0000-0000-0000BA050000}"/>
    <cellStyle name="40% - Accent4 2 2 3 2 3" xfId="11351" xr:uid="{12507553-30BB-4D3A-B171-8ED0887CB58D}"/>
    <cellStyle name="40% - Accent4 2 2 3 2 4" xfId="15562" xr:uid="{CF5DCBE3-CA12-4816-A7FD-89B5DCBD4EEB}"/>
    <cellStyle name="40% - Accent4 2 2 3 3" xfId="4995" xr:uid="{00000000-0005-0000-0000-0000BB050000}"/>
    <cellStyle name="40% - Accent4 2 2 3 4" xfId="9206" xr:uid="{01429663-F65C-4D80-AD3F-BB3C522DE8C6}"/>
    <cellStyle name="40% - Accent4 2 2 3 5" xfId="13417" xr:uid="{61B732FC-ED7A-47AF-A834-A93BBFB1D1ED}"/>
    <cellStyle name="40% - Accent4 2 2 4" xfId="1098" xr:uid="{00000000-0005-0000-0000-0000BC050000}"/>
    <cellStyle name="40% - Accent4 2 2 4 2" xfId="3329" xr:uid="{00000000-0005-0000-0000-0000BD050000}"/>
    <cellStyle name="40% - Accent4 2 2 4 2 2" xfId="7553" xr:uid="{00000000-0005-0000-0000-0000BE050000}"/>
    <cellStyle name="40% - Accent4 2 2 4 2 3" xfId="11764" xr:uid="{6785D320-5B45-4166-A337-62E08925DBCC}"/>
    <cellStyle name="40% - Accent4 2 2 4 2 4" xfId="15975" xr:uid="{E398649A-25C1-4554-915A-75A578CFCCAC}"/>
    <cellStyle name="40% - Accent4 2 2 4 3" xfId="5408" xr:uid="{00000000-0005-0000-0000-0000BF050000}"/>
    <cellStyle name="40% - Accent4 2 2 4 4" xfId="9619" xr:uid="{9518E739-97B1-40A4-A598-9F740B5250D7}"/>
    <cellStyle name="40% - Accent4 2 2 4 5" xfId="13830" xr:uid="{EF82BDEC-08DE-4032-A678-6823696D1FE7}"/>
    <cellStyle name="40% - Accent4 2 2 5" xfId="1512" xr:uid="{00000000-0005-0000-0000-0000C0050000}"/>
    <cellStyle name="40% - Accent4 2 2 5 2" xfId="3742" xr:uid="{00000000-0005-0000-0000-0000C1050000}"/>
    <cellStyle name="40% - Accent4 2 2 5 2 2" xfId="7966" xr:uid="{00000000-0005-0000-0000-0000C2050000}"/>
    <cellStyle name="40% - Accent4 2 2 5 2 3" xfId="12177" xr:uid="{F18C15D9-B46C-4B77-8D84-3F19FB3C0CF6}"/>
    <cellStyle name="40% - Accent4 2 2 5 2 4" xfId="16388" xr:uid="{711E65B0-90F1-4D8E-9A2D-129FD2A9DE0F}"/>
    <cellStyle name="40% - Accent4 2 2 5 3" xfId="5821" xr:uid="{00000000-0005-0000-0000-0000C3050000}"/>
    <cellStyle name="40% - Accent4 2 2 5 4" xfId="10032" xr:uid="{913CDE7E-09A7-4B21-8B96-2BB5C3C87AFB}"/>
    <cellStyle name="40% - Accent4 2 2 5 5" xfId="14243" xr:uid="{41A6954A-6152-4E4A-9895-A2DF082CFD6D}"/>
    <cellStyle name="40% - Accent4 2 2 6" xfId="1926" xr:uid="{00000000-0005-0000-0000-0000C4050000}"/>
    <cellStyle name="40% - Accent4 2 2 6 2" xfId="4155" xr:uid="{00000000-0005-0000-0000-0000C5050000}"/>
    <cellStyle name="40% - Accent4 2 2 6 2 2" xfId="8379" xr:uid="{00000000-0005-0000-0000-0000C6050000}"/>
    <cellStyle name="40% - Accent4 2 2 6 2 3" xfId="12590" xr:uid="{08F3AC31-21A5-43D7-9AA9-898D5F079DD7}"/>
    <cellStyle name="40% - Accent4 2 2 6 2 4" xfId="16801" xr:uid="{68FC65B1-4F95-47C0-B024-7A22CDCA948D}"/>
    <cellStyle name="40% - Accent4 2 2 6 3" xfId="6234" xr:uid="{00000000-0005-0000-0000-0000C7050000}"/>
    <cellStyle name="40% - Accent4 2 2 6 4" xfId="10445" xr:uid="{017B1DF1-6A28-4C03-970D-49D6E2EDAF5B}"/>
    <cellStyle name="40% - Accent4 2 2 6 5" xfId="14656" xr:uid="{AB9662A1-0397-4BF8-984B-A1C0EA315F72}"/>
    <cellStyle name="40% - Accent4 2 2 7" xfId="2339" xr:uid="{00000000-0005-0000-0000-0000C8050000}"/>
    <cellStyle name="40% - Accent4 2 2 7 2" xfId="6647" xr:uid="{00000000-0005-0000-0000-0000C9050000}"/>
    <cellStyle name="40% - Accent4 2 2 7 3" xfId="10858" xr:uid="{140E73C4-B78D-4CD7-A429-F7DCAB7FFF82}"/>
    <cellStyle name="40% - Accent4 2 2 7 4" xfId="15069" xr:uid="{A23768A6-9BC5-4727-B44F-F0528BB0AC54}"/>
    <cellStyle name="40% - Accent4 2 2 8" xfId="4581" xr:uid="{00000000-0005-0000-0000-0000CA050000}"/>
    <cellStyle name="40% - Accent4 2 2 9" xfId="8792" xr:uid="{9FDA35D8-3D8F-4F91-B613-3A4BC3BB2A5E}"/>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2 3" xfId="11353" xr:uid="{FAA635F4-FBC2-40D8-BA37-188F05C60CEA}"/>
    <cellStyle name="40% - Accent4 2 3 2 2 4" xfId="15564" xr:uid="{7917A292-5BFE-45FE-8D1D-92010048FEC2}"/>
    <cellStyle name="40% - Accent4 2 3 2 3" xfId="4997" xr:uid="{00000000-0005-0000-0000-0000CF050000}"/>
    <cellStyle name="40% - Accent4 2 3 2 4" xfId="9208" xr:uid="{09CF3FEE-BC47-4151-B016-B801972B4C60}"/>
    <cellStyle name="40% - Accent4 2 3 2 5" xfId="13419" xr:uid="{CCE4213D-88C6-4287-8B1D-D62DFA36A320}"/>
    <cellStyle name="40% - Accent4 2 3 3" xfId="1100" xr:uid="{00000000-0005-0000-0000-0000D0050000}"/>
    <cellStyle name="40% - Accent4 2 3 3 2" xfId="3331" xr:uid="{00000000-0005-0000-0000-0000D1050000}"/>
    <cellStyle name="40% - Accent4 2 3 3 2 2" xfId="7555" xr:uid="{00000000-0005-0000-0000-0000D2050000}"/>
    <cellStyle name="40% - Accent4 2 3 3 2 3" xfId="11766" xr:uid="{0F4C9ADA-99C9-4349-AFF8-36ACFB0F2CB1}"/>
    <cellStyle name="40% - Accent4 2 3 3 2 4" xfId="15977" xr:uid="{9ED71AB4-EF94-4506-8358-33A29B23E160}"/>
    <cellStyle name="40% - Accent4 2 3 3 3" xfId="5410" xr:uid="{00000000-0005-0000-0000-0000D3050000}"/>
    <cellStyle name="40% - Accent4 2 3 3 4" xfId="9621" xr:uid="{D2386F56-7DDA-4411-B475-89CE5EFC43C9}"/>
    <cellStyle name="40% - Accent4 2 3 3 5" xfId="13832" xr:uid="{B80460AF-6046-40E5-9F23-0F50B518299C}"/>
    <cellStyle name="40% - Accent4 2 3 4" xfId="1514" xr:uid="{00000000-0005-0000-0000-0000D4050000}"/>
    <cellStyle name="40% - Accent4 2 3 4 2" xfId="3744" xr:uid="{00000000-0005-0000-0000-0000D5050000}"/>
    <cellStyle name="40% - Accent4 2 3 4 2 2" xfId="7968" xr:uid="{00000000-0005-0000-0000-0000D6050000}"/>
    <cellStyle name="40% - Accent4 2 3 4 2 3" xfId="12179" xr:uid="{52F5C5AD-BE00-4AB3-A03A-C25B40F264E6}"/>
    <cellStyle name="40% - Accent4 2 3 4 2 4" xfId="16390" xr:uid="{7802C38D-F5E1-42B3-9A66-431CB83F47EE}"/>
    <cellStyle name="40% - Accent4 2 3 4 3" xfId="5823" xr:uid="{00000000-0005-0000-0000-0000D7050000}"/>
    <cellStyle name="40% - Accent4 2 3 4 4" xfId="10034" xr:uid="{75E945F0-3FBA-45D1-9E8D-ED5826CC4C97}"/>
    <cellStyle name="40% - Accent4 2 3 4 5" xfId="14245" xr:uid="{28EF20D2-C558-4279-B3E6-3CDF10AB5C66}"/>
    <cellStyle name="40% - Accent4 2 3 5" xfId="1928" xr:uid="{00000000-0005-0000-0000-0000D8050000}"/>
    <cellStyle name="40% - Accent4 2 3 5 2" xfId="4157" xr:uid="{00000000-0005-0000-0000-0000D9050000}"/>
    <cellStyle name="40% - Accent4 2 3 5 2 2" xfId="8381" xr:uid="{00000000-0005-0000-0000-0000DA050000}"/>
    <cellStyle name="40% - Accent4 2 3 5 2 3" xfId="12592" xr:uid="{C8DACCAD-5295-4C6C-86FC-F742248561AD}"/>
    <cellStyle name="40% - Accent4 2 3 5 2 4" xfId="16803" xr:uid="{701E3DC3-081C-49F3-9658-640BC18BC7D7}"/>
    <cellStyle name="40% - Accent4 2 3 5 3" xfId="6236" xr:uid="{00000000-0005-0000-0000-0000DB050000}"/>
    <cellStyle name="40% - Accent4 2 3 5 4" xfId="10447" xr:uid="{7FD65C28-D87B-4D1F-9704-650E92BB3AA7}"/>
    <cellStyle name="40% - Accent4 2 3 5 5" xfId="14658" xr:uid="{B9724DFF-2D0E-4F1B-B30B-4E71A9F4D5A2}"/>
    <cellStyle name="40% - Accent4 2 3 6" xfId="2341" xr:uid="{00000000-0005-0000-0000-0000DC050000}"/>
    <cellStyle name="40% - Accent4 2 3 6 2" xfId="6649" xr:uid="{00000000-0005-0000-0000-0000DD050000}"/>
    <cellStyle name="40% - Accent4 2 3 6 3" xfId="10860" xr:uid="{F5113E71-DB5F-412A-B0F9-1B2DC6B7EE31}"/>
    <cellStyle name="40% - Accent4 2 3 6 4" xfId="15071" xr:uid="{0BE9000D-E1E9-411A-AD5B-C7855CA26B1D}"/>
    <cellStyle name="40% - Accent4 2 3 7" xfId="4583" xr:uid="{00000000-0005-0000-0000-0000DE050000}"/>
    <cellStyle name="40% - Accent4 2 3 8" xfId="8794" xr:uid="{33B1F636-FE3A-49C2-825C-FEECB3B3F017}"/>
    <cellStyle name="40% - Accent4 2 3 9" xfId="13005" xr:uid="{8820F789-0356-421F-99F3-8023B68458FA}"/>
    <cellStyle name="40% - Accent4 2 4" xfId="644" xr:uid="{00000000-0005-0000-0000-0000DF050000}"/>
    <cellStyle name="40% - Accent4 2 4 2" xfId="2915" xr:uid="{00000000-0005-0000-0000-0000E0050000}"/>
    <cellStyle name="40% - Accent4 2 4 2 2" xfId="7139" xr:uid="{00000000-0005-0000-0000-0000E1050000}"/>
    <cellStyle name="40% - Accent4 2 4 2 3" xfId="11350" xr:uid="{A0DB9779-1B55-48E7-8543-E9CFA56A92FD}"/>
    <cellStyle name="40% - Accent4 2 4 2 4" xfId="15561" xr:uid="{B2A10185-6A0F-47D8-9C3E-8E4ACFD191D1}"/>
    <cellStyle name="40% - Accent4 2 4 3" xfId="4994" xr:uid="{00000000-0005-0000-0000-0000E2050000}"/>
    <cellStyle name="40% - Accent4 2 4 4" xfId="9205" xr:uid="{38C26081-7100-4852-9CC3-0A26BFC6867F}"/>
    <cellStyle name="40% - Accent4 2 4 5" xfId="13416" xr:uid="{3ECF383B-EAD1-474E-AA98-058ECB72F779}"/>
    <cellStyle name="40% - Accent4 2 5" xfId="1097" xr:uid="{00000000-0005-0000-0000-0000E3050000}"/>
    <cellStyle name="40% - Accent4 2 5 2" xfId="3328" xr:uid="{00000000-0005-0000-0000-0000E4050000}"/>
    <cellStyle name="40% - Accent4 2 5 2 2" xfId="7552" xr:uid="{00000000-0005-0000-0000-0000E5050000}"/>
    <cellStyle name="40% - Accent4 2 5 2 3" xfId="11763" xr:uid="{1434A2B3-191E-40B1-BE26-148A202E8584}"/>
    <cellStyle name="40% - Accent4 2 5 2 4" xfId="15974" xr:uid="{F76D0F57-C999-4172-821A-28411755DAB5}"/>
    <cellStyle name="40% - Accent4 2 5 3" xfId="5407" xr:uid="{00000000-0005-0000-0000-0000E6050000}"/>
    <cellStyle name="40% - Accent4 2 5 4" xfId="9618" xr:uid="{3AF79B07-6034-4D95-919B-2DC2A8FC6FC0}"/>
    <cellStyle name="40% - Accent4 2 5 5" xfId="13829" xr:uid="{447E897F-16C9-4576-9585-776BB352909D}"/>
    <cellStyle name="40% - Accent4 2 6" xfId="1511" xr:uid="{00000000-0005-0000-0000-0000E7050000}"/>
    <cellStyle name="40% - Accent4 2 6 2" xfId="3741" xr:uid="{00000000-0005-0000-0000-0000E8050000}"/>
    <cellStyle name="40% - Accent4 2 6 2 2" xfId="7965" xr:uid="{00000000-0005-0000-0000-0000E9050000}"/>
    <cellStyle name="40% - Accent4 2 6 2 3" xfId="12176" xr:uid="{93377F49-9795-496C-8F01-EE11D6FB96CC}"/>
    <cellStyle name="40% - Accent4 2 6 2 4" xfId="16387" xr:uid="{E43ED358-E043-4CBD-89DE-8D1A67E2996B}"/>
    <cellStyle name="40% - Accent4 2 6 3" xfId="5820" xr:uid="{00000000-0005-0000-0000-0000EA050000}"/>
    <cellStyle name="40% - Accent4 2 6 4" xfId="10031" xr:uid="{DF8ABDB7-BFD0-43F9-93F8-B35B247F8998}"/>
    <cellStyle name="40% - Accent4 2 6 5" xfId="14242" xr:uid="{6975875F-A310-42D8-BBA8-26A1534CE266}"/>
    <cellStyle name="40% - Accent4 2 7" xfId="1925" xr:uid="{00000000-0005-0000-0000-0000EB050000}"/>
    <cellStyle name="40% - Accent4 2 7 2" xfId="4154" xr:uid="{00000000-0005-0000-0000-0000EC050000}"/>
    <cellStyle name="40% - Accent4 2 7 2 2" xfId="8378" xr:uid="{00000000-0005-0000-0000-0000ED050000}"/>
    <cellStyle name="40% - Accent4 2 7 2 3" xfId="12589" xr:uid="{92487AAF-9826-4D0B-9050-BE3677955A42}"/>
    <cellStyle name="40% - Accent4 2 7 2 4" xfId="16800" xr:uid="{6A593259-03BD-487E-8E37-5D26700C4666}"/>
    <cellStyle name="40% - Accent4 2 7 3" xfId="6233" xr:uid="{00000000-0005-0000-0000-0000EE050000}"/>
    <cellStyle name="40% - Accent4 2 7 4" xfId="10444" xr:uid="{05BB1674-DE6A-422F-B030-0F80F96885BF}"/>
    <cellStyle name="40% - Accent4 2 7 5" xfId="14655" xr:uid="{0F7D4F96-7F1A-4F2A-91AD-F96FDC29515B}"/>
    <cellStyle name="40% - Accent4 2 8" xfId="2338" xr:uid="{00000000-0005-0000-0000-0000EF050000}"/>
    <cellStyle name="40% - Accent4 2 8 2" xfId="6646" xr:uid="{00000000-0005-0000-0000-0000F0050000}"/>
    <cellStyle name="40% - Accent4 2 8 3" xfId="10857" xr:uid="{7D457FB3-3770-4228-8EA9-683E2084E067}"/>
    <cellStyle name="40% - Accent4 2 8 4" xfId="15068" xr:uid="{DF1DCFE3-0724-49DC-BBDF-AB43541B5D2C}"/>
    <cellStyle name="40% - Accent4 2 9" xfId="4580" xr:uid="{00000000-0005-0000-0000-0000F1050000}"/>
    <cellStyle name="40% - Accent4 3" xfId="78" xr:uid="{00000000-0005-0000-0000-0000F2050000}"/>
    <cellStyle name="40% - Accent4 3 10" xfId="13006" xr:uid="{F7AD7312-B8AB-4590-BBF0-EBF11A56663D}"/>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2 3" xfId="11355" xr:uid="{4A7451FB-59EA-4DC5-A274-123A769713A1}"/>
    <cellStyle name="40% - Accent4 3 2 2 2 4" xfId="15566" xr:uid="{5127845E-FFFF-4E94-B2F3-4AC095A575ED}"/>
    <cellStyle name="40% - Accent4 3 2 2 3" xfId="4999" xr:uid="{00000000-0005-0000-0000-0000F7050000}"/>
    <cellStyle name="40% - Accent4 3 2 2 4" xfId="9210" xr:uid="{39168561-FFBF-4AEB-BFEE-07DA267B56DD}"/>
    <cellStyle name="40% - Accent4 3 2 2 5" xfId="13421" xr:uid="{F9A71914-BDBB-4FD1-979E-713ADB2A82BC}"/>
    <cellStyle name="40% - Accent4 3 2 3" xfId="1102" xr:uid="{00000000-0005-0000-0000-0000F8050000}"/>
    <cellStyle name="40% - Accent4 3 2 3 2" xfId="3333" xr:uid="{00000000-0005-0000-0000-0000F9050000}"/>
    <cellStyle name="40% - Accent4 3 2 3 2 2" xfId="7557" xr:uid="{00000000-0005-0000-0000-0000FA050000}"/>
    <cellStyle name="40% - Accent4 3 2 3 2 3" xfId="11768" xr:uid="{ED1168F3-0455-41B4-BDAF-9D1FF58275C3}"/>
    <cellStyle name="40% - Accent4 3 2 3 2 4" xfId="15979" xr:uid="{89997F47-10C1-40D6-B1DB-2A86E2BB4482}"/>
    <cellStyle name="40% - Accent4 3 2 3 3" xfId="5412" xr:uid="{00000000-0005-0000-0000-0000FB050000}"/>
    <cellStyle name="40% - Accent4 3 2 3 4" xfId="9623" xr:uid="{DA0A78D1-3DE2-4969-BE03-D433B7FC2703}"/>
    <cellStyle name="40% - Accent4 3 2 3 5" xfId="13834" xr:uid="{6484B990-3DC0-4869-BAB5-55FF59EF05F5}"/>
    <cellStyle name="40% - Accent4 3 2 4" xfId="1516" xr:uid="{00000000-0005-0000-0000-0000FC050000}"/>
    <cellStyle name="40% - Accent4 3 2 4 2" xfId="3746" xr:uid="{00000000-0005-0000-0000-0000FD050000}"/>
    <cellStyle name="40% - Accent4 3 2 4 2 2" xfId="7970" xr:uid="{00000000-0005-0000-0000-0000FE050000}"/>
    <cellStyle name="40% - Accent4 3 2 4 2 3" xfId="12181" xr:uid="{062B35C8-45D8-4BB7-A685-FEB076119966}"/>
    <cellStyle name="40% - Accent4 3 2 4 2 4" xfId="16392" xr:uid="{EC2BA63D-A072-4E66-A58E-9500AE15F99C}"/>
    <cellStyle name="40% - Accent4 3 2 4 3" xfId="5825" xr:uid="{00000000-0005-0000-0000-0000FF050000}"/>
    <cellStyle name="40% - Accent4 3 2 4 4" xfId="10036" xr:uid="{4914D734-CFF4-4EA1-9A92-4F523DB94CCE}"/>
    <cellStyle name="40% - Accent4 3 2 4 5" xfId="14247" xr:uid="{9B279D69-EA20-45F2-B964-7F34F7278746}"/>
    <cellStyle name="40% - Accent4 3 2 5" xfId="1930" xr:uid="{00000000-0005-0000-0000-000000060000}"/>
    <cellStyle name="40% - Accent4 3 2 5 2" xfId="4159" xr:uid="{00000000-0005-0000-0000-000001060000}"/>
    <cellStyle name="40% - Accent4 3 2 5 2 2" xfId="8383" xr:uid="{00000000-0005-0000-0000-000002060000}"/>
    <cellStyle name="40% - Accent4 3 2 5 2 3" xfId="12594" xr:uid="{9F3BCFD3-3585-4E06-9010-B86D3101F3D7}"/>
    <cellStyle name="40% - Accent4 3 2 5 2 4" xfId="16805" xr:uid="{D560A007-1E5F-4B8F-9790-771B2D4974AD}"/>
    <cellStyle name="40% - Accent4 3 2 5 3" xfId="6238" xr:uid="{00000000-0005-0000-0000-000003060000}"/>
    <cellStyle name="40% - Accent4 3 2 5 4" xfId="10449" xr:uid="{F733757D-EF2A-4505-80E9-30E21C6273A0}"/>
    <cellStyle name="40% - Accent4 3 2 5 5" xfId="14660" xr:uid="{F99E9E69-F78B-47E0-9B18-1BDDF66814DF}"/>
    <cellStyle name="40% - Accent4 3 2 6" xfId="2343" xr:uid="{00000000-0005-0000-0000-000004060000}"/>
    <cellStyle name="40% - Accent4 3 2 6 2" xfId="6651" xr:uid="{00000000-0005-0000-0000-000005060000}"/>
    <cellStyle name="40% - Accent4 3 2 6 3" xfId="10862" xr:uid="{21E2AC1A-C287-43B8-96D6-D6B966516ACD}"/>
    <cellStyle name="40% - Accent4 3 2 6 4" xfId="15073" xr:uid="{79573427-A49F-49B9-817E-E69473D4C578}"/>
    <cellStyle name="40% - Accent4 3 2 7" xfId="4585" xr:uid="{00000000-0005-0000-0000-000006060000}"/>
    <cellStyle name="40% - Accent4 3 2 8" xfId="8796" xr:uid="{A1EB00C6-67AF-4778-9D7A-CE8DF488850A}"/>
    <cellStyle name="40% - Accent4 3 2 9" xfId="13007" xr:uid="{CF67B465-D607-4497-A79C-481CB2861EA4}"/>
    <cellStyle name="40% - Accent4 3 3" xfId="648" xr:uid="{00000000-0005-0000-0000-000007060000}"/>
    <cellStyle name="40% - Accent4 3 3 2" xfId="2919" xr:uid="{00000000-0005-0000-0000-000008060000}"/>
    <cellStyle name="40% - Accent4 3 3 2 2" xfId="7143" xr:uid="{00000000-0005-0000-0000-000009060000}"/>
    <cellStyle name="40% - Accent4 3 3 2 3" xfId="11354" xr:uid="{67223A87-76E6-4B4B-B32C-3F276F5B50FA}"/>
    <cellStyle name="40% - Accent4 3 3 2 4" xfId="15565" xr:uid="{1E45135D-2AC6-4E7A-BCA8-E6375E79C931}"/>
    <cellStyle name="40% - Accent4 3 3 3" xfId="4998" xr:uid="{00000000-0005-0000-0000-00000A060000}"/>
    <cellStyle name="40% - Accent4 3 3 4" xfId="9209" xr:uid="{BF751D3F-21A6-4B26-91FE-59FB2BE8F22E}"/>
    <cellStyle name="40% - Accent4 3 3 5" xfId="13420" xr:uid="{84AECB5C-2045-4E49-9D7C-1A868036963F}"/>
    <cellStyle name="40% - Accent4 3 4" xfId="1101" xr:uid="{00000000-0005-0000-0000-00000B060000}"/>
    <cellStyle name="40% - Accent4 3 4 2" xfId="3332" xr:uid="{00000000-0005-0000-0000-00000C060000}"/>
    <cellStyle name="40% - Accent4 3 4 2 2" xfId="7556" xr:uid="{00000000-0005-0000-0000-00000D060000}"/>
    <cellStyle name="40% - Accent4 3 4 2 3" xfId="11767" xr:uid="{5E0EDC95-E0D2-4005-BF5F-4D31A3F68430}"/>
    <cellStyle name="40% - Accent4 3 4 2 4" xfId="15978" xr:uid="{90615F18-C2E8-4D42-9302-0C73ECCA8330}"/>
    <cellStyle name="40% - Accent4 3 4 3" xfId="5411" xr:uid="{00000000-0005-0000-0000-00000E060000}"/>
    <cellStyle name="40% - Accent4 3 4 4" xfId="9622" xr:uid="{84824E0D-8A06-43E2-92C0-8ECD946CD1D2}"/>
    <cellStyle name="40% - Accent4 3 4 5" xfId="13833" xr:uid="{98FC2490-047A-4123-8FD7-4D2C8E263E5B}"/>
    <cellStyle name="40% - Accent4 3 5" xfId="1515" xr:uid="{00000000-0005-0000-0000-00000F060000}"/>
    <cellStyle name="40% - Accent4 3 5 2" xfId="3745" xr:uid="{00000000-0005-0000-0000-000010060000}"/>
    <cellStyle name="40% - Accent4 3 5 2 2" xfId="7969" xr:uid="{00000000-0005-0000-0000-000011060000}"/>
    <cellStyle name="40% - Accent4 3 5 2 3" xfId="12180" xr:uid="{2D018F75-4E40-426F-A838-FD6A1F56133A}"/>
    <cellStyle name="40% - Accent4 3 5 2 4" xfId="16391" xr:uid="{1813309E-EC82-4EFF-A4B4-6A8FFE4F5E0A}"/>
    <cellStyle name="40% - Accent4 3 5 3" xfId="5824" xr:uid="{00000000-0005-0000-0000-000012060000}"/>
    <cellStyle name="40% - Accent4 3 5 4" xfId="10035" xr:uid="{27829A95-060F-4244-BC64-F66F69C6124E}"/>
    <cellStyle name="40% - Accent4 3 5 5" xfId="14246" xr:uid="{0113E207-97C6-4360-BBCB-0F29F3E55A36}"/>
    <cellStyle name="40% - Accent4 3 6" xfId="1929" xr:uid="{00000000-0005-0000-0000-000013060000}"/>
    <cellStyle name="40% - Accent4 3 6 2" xfId="4158" xr:uid="{00000000-0005-0000-0000-000014060000}"/>
    <cellStyle name="40% - Accent4 3 6 2 2" xfId="8382" xr:uid="{00000000-0005-0000-0000-000015060000}"/>
    <cellStyle name="40% - Accent4 3 6 2 3" xfId="12593" xr:uid="{488BFE60-EE87-46C4-86AF-DE2B9CB41FEE}"/>
    <cellStyle name="40% - Accent4 3 6 2 4" xfId="16804" xr:uid="{227FB7ED-363C-47DC-B40B-7D55D1AC4ACF}"/>
    <cellStyle name="40% - Accent4 3 6 3" xfId="6237" xr:uid="{00000000-0005-0000-0000-000016060000}"/>
    <cellStyle name="40% - Accent4 3 6 4" xfId="10448" xr:uid="{6B59E288-3777-44F9-B67A-A00E0AB549BD}"/>
    <cellStyle name="40% - Accent4 3 6 5" xfId="14659" xr:uid="{AE17A3C9-1FA4-45F0-8611-2D2F206A517E}"/>
    <cellStyle name="40% - Accent4 3 7" xfId="2342" xr:uid="{00000000-0005-0000-0000-000017060000}"/>
    <cellStyle name="40% - Accent4 3 7 2" xfId="6650" xr:uid="{00000000-0005-0000-0000-000018060000}"/>
    <cellStyle name="40% - Accent4 3 7 3" xfId="10861" xr:uid="{A4631D9A-1981-46D7-B418-EE77D5F25F57}"/>
    <cellStyle name="40% - Accent4 3 7 4" xfId="15072" xr:uid="{F189AD3D-BBB9-4E53-934E-DCF5312BE4E4}"/>
    <cellStyle name="40% - Accent4 3 8" xfId="4584" xr:uid="{00000000-0005-0000-0000-000019060000}"/>
    <cellStyle name="40% - Accent4 3 9" xfId="8795" xr:uid="{A3FD802A-9C5E-426F-8489-F3EE6BF43E6B}"/>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2 3" xfId="11356" xr:uid="{460C4F07-AD73-4622-A117-586986B83486}"/>
    <cellStyle name="40% - Accent4 4 2 2 4" xfId="15567" xr:uid="{4BE42F2E-4EDA-4DE2-B558-0CCAEB4AC28C}"/>
    <cellStyle name="40% - Accent4 4 2 3" xfId="5000" xr:uid="{00000000-0005-0000-0000-00001E060000}"/>
    <cellStyle name="40% - Accent4 4 2 4" xfId="9211" xr:uid="{D9577C4A-9EC1-45C0-823E-266CF91C33BB}"/>
    <cellStyle name="40% - Accent4 4 2 5" xfId="13422" xr:uid="{54126C44-EA69-4166-BA73-57BACC08576A}"/>
    <cellStyle name="40% - Accent4 4 3" xfId="1103" xr:uid="{00000000-0005-0000-0000-00001F060000}"/>
    <cellStyle name="40% - Accent4 4 3 2" xfId="3334" xr:uid="{00000000-0005-0000-0000-000020060000}"/>
    <cellStyle name="40% - Accent4 4 3 2 2" xfId="7558" xr:uid="{00000000-0005-0000-0000-000021060000}"/>
    <cellStyle name="40% - Accent4 4 3 2 3" xfId="11769" xr:uid="{A21B2082-0D25-4725-9336-C2C948238776}"/>
    <cellStyle name="40% - Accent4 4 3 2 4" xfId="15980" xr:uid="{722ACD4B-EC1B-4086-9852-54FCFE7A9E26}"/>
    <cellStyle name="40% - Accent4 4 3 3" xfId="5413" xr:uid="{00000000-0005-0000-0000-000022060000}"/>
    <cellStyle name="40% - Accent4 4 3 4" xfId="9624" xr:uid="{746347BB-17DB-43B1-8888-A02D2DEA2C60}"/>
    <cellStyle name="40% - Accent4 4 3 5" xfId="13835" xr:uid="{BAE82112-7E0B-448D-ACE1-1450D18B1C3D}"/>
    <cellStyle name="40% - Accent4 4 4" xfId="1517" xr:uid="{00000000-0005-0000-0000-000023060000}"/>
    <cellStyle name="40% - Accent4 4 4 2" xfId="3747" xr:uid="{00000000-0005-0000-0000-000024060000}"/>
    <cellStyle name="40% - Accent4 4 4 2 2" xfId="7971" xr:uid="{00000000-0005-0000-0000-000025060000}"/>
    <cellStyle name="40% - Accent4 4 4 2 3" xfId="12182" xr:uid="{DB8685BD-477D-4E29-9D4A-F0EA8A7D35D0}"/>
    <cellStyle name="40% - Accent4 4 4 2 4" xfId="16393" xr:uid="{BC278A36-0B43-4C2F-A1F2-AA410C00CB3B}"/>
    <cellStyle name="40% - Accent4 4 4 3" xfId="5826" xr:uid="{00000000-0005-0000-0000-000026060000}"/>
    <cellStyle name="40% - Accent4 4 4 4" xfId="10037" xr:uid="{E59929EB-FC2D-4E0C-9054-BB3F1F10EA8A}"/>
    <cellStyle name="40% - Accent4 4 4 5" xfId="14248" xr:uid="{07466517-5470-4EAD-A0C4-2491C54400ED}"/>
    <cellStyle name="40% - Accent4 4 5" xfId="1931" xr:uid="{00000000-0005-0000-0000-000027060000}"/>
    <cellStyle name="40% - Accent4 4 5 2" xfId="4160" xr:uid="{00000000-0005-0000-0000-000028060000}"/>
    <cellStyle name="40% - Accent4 4 5 2 2" xfId="8384" xr:uid="{00000000-0005-0000-0000-000029060000}"/>
    <cellStyle name="40% - Accent4 4 5 2 3" xfId="12595" xr:uid="{1059E5A4-3647-4424-80DE-16C9A3BBD0EA}"/>
    <cellStyle name="40% - Accent4 4 5 2 4" xfId="16806" xr:uid="{0904B635-3BB8-4C5C-B740-DB7B05E1EE5D}"/>
    <cellStyle name="40% - Accent4 4 5 3" xfId="6239" xr:uid="{00000000-0005-0000-0000-00002A060000}"/>
    <cellStyle name="40% - Accent4 4 5 4" xfId="10450" xr:uid="{DC67429C-4434-48FD-8020-1678933FAC8F}"/>
    <cellStyle name="40% - Accent4 4 5 5" xfId="14661" xr:uid="{E6006753-24D1-4C92-ACDC-6FE3680FCAEF}"/>
    <cellStyle name="40% - Accent4 4 6" xfId="2344" xr:uid="{00000000-0005-0000-0000-00002B060000}"/>
    <cellStyle name="40% - Accent4 4 6 2" xfId="6652" xr:uid="{00000000-0005-0000-0000-00002C060000}"/>
    <cellStyle name="40% - Accent4 4 6 3" xfId="10863" xr:uid="{6E0E24B4-4207-47D0-B9E3-1A0F125747A8}"/>
    <cellStyle name="40% - Accent4 4 6 4" xfId="15074" xr:uid="{2944DE0D-1652-435E-A13C-F3DCE61DEA97}"/>
    <cellStyle name="40% - Accent4 4 7" xfId="4586" xr:uid="{00000000-0005-0000-0000-00002D060000}"/>
    <cellStyle name="40% - Accent4 4 8" xfId="8797" xr:uid="{CDA9926B-E007-41E6-9C4F-49BBF662460A}"/>
    <cellStyle name="40% - Accent4 4 9" xfId="13008" xr:uid="{8C57FDC1-4CE5-4539-BB8B-CC04B1B76202}"/>
    <cellStyle name="40% - Accent4 5" xfId="643" xr:uid="{00000000-0005-0000-0000-00002E060000}"/>
    <cellStyle name="40% - Accent4 5 2" xfId="2914" xr:uid="{00000000-0005-0000-0000-00002F060000}"/>
    <cellStyle name="40% - Accent4 5 2 2" xfId="7138" xr:uid="{00000000-0005-0000-0000-000030060000}"/>
    <cellStyle name="40% - Accent4 5 2 3" xfId="11349" xr:uid="{67EECB01-346A-46B6-A0E6-E1527EECA5DC}"/>
    <cellStyle name="40% - Accent4 5 2 4" xfId="15560" xr:uid="{810E091A-A736-465E-90AF-46F8E634AB2F}"/>
    <cellStyle name="40% - Accent4 5 3" xfId="4993" xr:uid="{00000000-0005-0000-0000-000031060000}"/>
    <cellStyle name="40% - Accent4 5 4" xfId="9204" xr:uid="{12F25F24-188C-4783-A42E-B307A5D2DE6A}"/>
    <cellStyle name="40% - Accent4 5 5" xfId="13415" xr:uid="{BE514855-2744-42FE-931F-D7858B824389}"/>
    <cellStyle name="40% - Accent4 6" xfId="1096" xr:uid="{00000000-0005-0000-0000-000032060000}"/>
    <cellStyle name="40% - Accent4 6 2" xfId="3327" xr:uid="{00000000-0005-0000-0000-000033060000}"/>
    <cellStyle name="40% - Accent4 6 2 2" xfId="7551" xr:uid="{00000000-0005-0000-0000-000034060000}"/>
    <cellStyle name="40% - Accent4 6 2 3" xfId="11762" xr:uid="{1FE48C3F-5FEB-40F6-87C4-99C76ACEBB28}"/>
    <cellStyle name="40% - Accent4 6 2 4" xfId="15973" xr:uid="{13D21413-3565-4B93-9B05-D8FFBE01C0F1}"/>
    <cellStyle name="40% - Accent4 6 3" xfId="5406" xr:uid="{00000000-0005-0000-0000-000035060000}"/>
    <cellStyle name="40% - Accent4 6 4" xfId="9617" xr:uid="{7E2F2C3D-F3E1-4F07-A62A-CCC075FA3E55}"/>
    <cellStyle name="40% - Accent4 6 5" xfId="13828" xr:uid="{7F4E5DE0-863B-4C46-8263-F7D7514B0291}"/>
    <cellStyle name="40% - Accent4 7" xfId="1510" xr:uid="{00000000-0005-0000-0000-000036060000}"/>
    <cellStyle name="40% - Accent4 7 2" xfId="3740" xr:uid="{00000000-0005-0000-0000-000037060000}"/>
    <cellStyle name="40% - Accent4 7 2 2" xfId="7964" xr:uid="{00000000-0005-0000-0000-000038060000}"/>
    <cellStyle name="40% - Accent4 7 2 3" xfId="12175" xr:uid="{83BAA02B-81C0-4FC1-9F14-5B79734D6002}"/>
    <cellStyle name="40% - Accent4 7 2 4" xfId="16386" xr:uid="{0081875C-7308-44E8-9094-4368196E3831}"/>
    <cellStyle name="40% - Accent4 7 3" xfId="5819" xr:uid="{00000000-0005-0000-0000-000039060000}"/>
    <cellStyle name="40% - Accent4 7 4" xfId="10030" xr:uid="{1BB4B729-EF4A-417E-A389-BCF8B7F998BF}"/>
    <cellStyle name="40% - Accent4 7 5" xfId="14241" xr:uid="{8CDF47C8-A15C-4A79-B771-88332E0AD68F}"/>
    <cellStyle name="40% - Accent4 8" xfId="1924" xr:uid="{00000000-0005-0000-0000-00003A060000}"/>
    <cellStyle name="40% - Accent4 8 2" xfId="4153" xr:uid="{00000000-0005-0000-0000-00003B060000}"/>
    <cellStyle name="40% - Accent4 8 2 2" xfId="8377" xr:uid="{00000000-0005-0000-0000-00003C060000}"/>
    <cellStyle name="40% - Accent4 8 2 3" xfId="12588" xr:uid="{A3BFC14F-8481-41FA-95E6-3BF3292AADA6}"/>
    <cellStyle name="40% - Accent4 8 2 4" xfId="16799" xr:uid="{182ACBBC-48F0-4498-B040-DCAB90612445}"/>
    <cellStyle name="40% - Accent4 8 3" xfId="6232" xr:uid="{00000000-0005-0000-0000-00003D060000}"/>
    <cellStyle name="40% - Accent4 8 4" xfId="10443" xr:uid="{0CDB8E41-CE41-4D5E-9B96-28FD59868B14}"/>
    <cellStyle name="40% - Accent4 8 5" xfId="14654" xr:uid="{DA06C767-7BBA-4614-BA3E-1B5DF8826597}"/>
    <cellStyle name="40% - Accent4 9" xfId="2337" xr:uid="{00000000-0005-0000-0000-00003E060000}"/>
    <cellStyle name="40% - Accent4 9 2" xfId="6645" xr:uid="{00000000-0005-0000-0000-00003F060000}"/>
    <cellStyle name="40% - Accent4 9 3" xfId="10856" xr:uid="{93164128-3ACB-4CF6-8A35-D4C4759F8E22}"/>
    <cellStyle name="40% - Accent4 9 4" xfId="15067" xr:uid="{BDA28AF8-AB07-4CB0-8D6B-1D124B34C815}"/>
    <cellStyle name="40% - Accent5" xfId="81" builtinId="47" customBuiltin="1"/>
    <cellStyle name="40% - Accent5 10" xfId="4587" xr:uid="{00000000-0005-0000-0000-000041060000}"/>
    <cellStyle name="40% - Accent5 11" xfId="8798" xr:uid="{9133C3DD-FAAC-4721-A4D4-2121292C5486}"/>
    <cellStyle name="40% - Accent5 12" xfId="13009" xr:uid="{66CB3CE6-F7A1-4465-A0DF-F152A61B20E4}"/>
    <cellStyle name="40% - Accent5 2" xfId="82" xr:uid="{00000000-0005-0000-0000-000042060000}"/>
    <cellStyle name="40% - Accent5 2 10" xfId="8799" xr:uid="{35905312-2ABA-4F1F-890F-6DED9F7AE424}"/>
    <cellStyle name="40% - Accent5 2 11" xfId="13010" xr:uid="{4B6FC12C-C804-4606-B671-8E4741F967D4}"/>
    <cellStyle name="40% - Accent5 2 2" xfId="83" xr:uid="{00000000-0005-0000-0000-000043060000}"/>
    <cellStyle name="40% - Accent5 2 2 10" xfId="13011" xr:uid="{FAF6DF87-2EC7-494A-A281-1397982DB6CB}"/>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2 3" xfId="11360" xr:uid="{A3AE5C86-F21C-4B66-8BB6-E016878F6E1D}"/>
    <cellStyle name="40% - Accent5 2 2 2 2 2 4" xfId="15571" xr:uid="{651B97AA-2B07-4D30-BA55-6684CE777C3D}"/>
    <cellStyle name="40% - Accent5 2 2 2 2 3" xfId="5004" xr:uid="{00000000-0005-0000-0000-000048060000}"/>
    <cellStyle name="40% - Accent5 2 2 2 2 4" xfId="9215" xr:uid="{E4F92CA9-0962-4A43-B712-A62FD22DB2F3}"/>
    <cellStyle name="40% - Accent5 2 2 2 2 5" xfId="13426" xr:uid="{8DEB04E4-07FF-405D-9961-33C50427666F}"/>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2 3" xfId="11773" xr:uid="{59FA14EE-8162-436D-A759-23A71B1EBE9C}"/>
    <cellStyle name="40% - Accent5 2 2 2 3 2 4" xfId="15984" xr:uid="{AD8E0EF0-859A-48B3-80E5-AF531810BF14}"/>
    <cellStyle name="40% - Accent5 2 2 2 3 3" xfId="5417" xr:uid="{00000000-0005-0000-0000-00004C060000}"/>
    <cellStyle name="40% - Accent5 2 2 2 3 4" xfId="9628" xr:uid="{E7842425-3D11-421F-9D7A-7B236EF2EFF3}"/>
    <cellStyle name="40% - Accent5 2 2 2 3 5" xfId="13839" xr:uid="{ED08C764-BD1D-445D-9554-63CD511134ED}"/>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2 3" xfId="12186" xr:uid="{C34F29AD-8C16-455B-A895-EFA2489E4456}"/>
    <cellStyle name="40% - Accent5 2 2 2 4 2 4" xfId="16397" xr:uid="{4F114631-203B-4526-A9CB-37800D5D33B2}"/>
    <cellStyle name="40% - Accent5 2 2 2 4 3" xfId="5830" xr:uid="{00000000-0005-0000-0000-000050060000}"/>
    <cellStyle name="40% - Accent5 2 2 2 4 4" xfId="10041" xr:uid="{944FA490-3168-4159-822E-31CBF3773B1D}"/>
    <cellStyle name="40% - Accent5 2 2 2 4 5" xfId="14252" xr:uid="{3AD71AF4-591E-4D5B-BC2A-5DF63DD64A3A}"/>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2 3" xfId="12599" xr:uid="{54EC2669-947B-48AB-9CF6-208C2ABB8D80}"/>
    <cellStyle name="40% - Accent5 2 2 2 5 2 4" xfId="16810" xr:uid="{C555224F-EE27-4D6A-A6AD-BDF4C673B711}"/>
    <cellStyle name="40% - Accent5 2 2 2 5 3" xfId="6243" xr:uid="{00000000-0005-0000-0000-000054060000}"/>
    <cellStyle name="40% - Accent5 2 2 2 5 4" xfId="10454" xr:uid="{7AD15D7D-B57A-4B52-8237-616968F35E63}"/>
    <cellStyle name="40% - Accent5 2 2 2 5 5" xfId="14665" xr:uid="{F38B5E87-49E7-4C14-9271-1CD65EC255EB}"/>
    <cellStyle name="40% - Accent5 2 2 2 6" xfId="2348" xr:uid="{00000000-0005-0000-0000-000055060000}"/>
    <cellStyle name="40% - Accent5 2 2 2 6 2" xfId="6656" xr:uid="{00000000-0005-0000-0000-000056060000}"/>
    <cellStyle name="40% - Accent5 2 2 2 6 3" xfId="10867" xr:uid="{1B49A5CD-ACC3-4135-811E-AAA0B6EE0BDC}"/>
    <cellStyle name="40% - Accent5 2 2 2 6 4" xfId="15078" xr:uid="{D94F7BC1-121B-44F8-A7FC-C2A887035FB5}"/>
    <cellStyle name="40% - Accent5 2 2 2 7" xfId="4590" xr:uid="{00000000-0005-0000-0000-000057060000}"/>
    <cellStyle name="40% - Accent5 2 2 2 8" xfId="8801" xr:uid="{800BC3F6-EF6B-4C10-91AB-0925B7979BA3}"/>
    <cellStyle name="40% - Accent5 2 2 2 9" xfId="13012" xr:uid="{D238675B-0715-43D0-97C8-1E8DEA970FC5}"/>
    <cellStyle name="40% - Accent5 2 2 3" xfId="653" xr:uid="{00000000-0005-0000-0000-000058060000}"/>
    <cellStyle name="40% - Accent5 2 2 3 2" xfId="2924" xr:uid="{00000000-0005-0000-0000-000059060000}"/>
    <cellStyle name="40% - Accent5 2 2 3 2 2" xfId="7148" xr:uid="{00000000-0005-0000-0000-00005A060000}"/>
    <cellStyle name="40% - Accent5 2 2 3 2 3" xfId="11359" xr:uid="{7BBF449C-6AC5-46F1-88B3-5013D65CFFBB}"/>
    <cellStyle name="40% - Accent5 2 2 3 2 4" xfId="15570" xr:uid="{062A0D28-A7A5-4FC2-94E9-08A445558C2D}"/>
    <cellStyle name="40% - Accent5 2 2 3 3" xfId="5003" xr:uid="{00000000-0005-0000-0000-00005B060000}"/>
    <cellStyle name="40% - Accent5 2 2 3 4" xfId="9214" xr:uid="{7B39FE18-9EA5-4E04-9D4B-9E7D4B592CB9}"/>
    <cellStyle name="40% - Accent5 2 2 3 5" xfId="13425" xr:uid="{67C629C7-B89B-4C15-8714-5B022001708C}"/>
    <cellStyle name="40% - Accent5 2 2 4" xfId="1106" xr:uid="{00000000-0005-0000-0000-00005C060000}"/>
    <cellStyle name="40% - Accent5 2 2 4 2" xfId="3337" xr:uid="{00000000-0005-0000-0000-00005D060000}"/>
    <cellStyle name="40% - Accent5 2 2 4 2 2" xfId="7561" xr:uid="{00000000-0005-0000-0000-00005E060000}"/>
    <cellStyle name="40% - Accent5 2 2 4 2 3" xfId="11772" xr:uid="{4D707EBC-9C50-49A1-8A3F-B3CBA75B5AC2}"/>
    <cellStyle name="40% - Accent5 2 2 4 2 4" xfId="15983" xr:uid="{4A98D52C-2E45-4362-BE6F-A868515CBD20}"/>
    <cellStyle name="40% - Accent5 2 2 4 3" xfId="5416" xr:uid="{00000000-0005-0000-0000-00005F060000}"/>
    <cellStyle name="40% - Accent5 2 2 4 4" xfId="9627" xr:uid="{00CE4074-393C-45DD-A5AC-CFE89C3C4E78}"/>
    <cellStyle name="40% - Accent5 2 2 4 5" xfId="13838" xr:uid="{1511DD4A-D20E-4EC3-80F8-7B58A5321FF7}"/>
    <cellStyle name="40% - Accent5 2 2 5" xfId="1520" xr:uid="{00000000-0005-0000-0000-000060060000}"/>
    <cellStyle name="40% - Accent5 2 2 5 2" xfId="3750" xr:uid="{00000000-0005-0000-0000-000061060000}"/>
    <cellStyle name="40% - Accent5 2 2 5 2 2" xfId="7974" xr:uid="{00000000-0005-0000-0000-000062060000}"/>
    <cellStyle name="40% - Accent5 2 2 5 2 3" xfId="12185" xr:uid="{95DC648D-8DC2-4965-AE30-DACBA81DC642}"/>
    <cellStyle name="40% - Accent5 2 2 5 2 4" xfId="16396" xr:uid="{B553AFC0-5A14-4848-B8D1-DA419D4DE513}"/>
    <cellStyle name="40% - Accent5 2 2 5 3" xfId="5829" xr:uid="{00000000-0005-0000-0000-000063060000}"/>
    <cellStyle name="40% - Accent5 2 2 5 4" xfId="10040" xr:uid="{76F11BBE-BD7A-4F33-9F82-3638D541BA3C}"/>
    <cellStyle name="40% - Accent5 2 2 5 5" xfId="14251" xr:uid="{D0DAB3EE-2AE8-4511-8C26-8EE3E0899651}"/>
    <cellStyle name="40% - Accent5 2 2 6" xfId="1934" xr:uid="{00000000-0005-0000-0000-000064060000}"/>
    <cellStyle name="40% - Accent5 2 2 6 2" xfId="4163" xr:uid="{00000000-0005-0000-0000-000065060000}"/>
    <cellStyle name="40% - Accent5 2 2 6 2 2" xfId="8387" xr:uid="{00000000-0005-0000-0000-000066060000}"/>
    <cellStyle name="40% - Accent5 2 2 6 2 3" xfId="12598" xr:uid="{D05C02A0-4FA8-4912-801F-9F32F22754E8}"/>
    <cellStyle name="40% - Accent5 2 2 6 2 4" xfId="16809" xr:uid="{1090547A-E568-474F-9225-0C1FA6DFF7B7}"/>
    <cellStyle name="40% - Accent5 2 2 6 3" xfId="6242" xr:uid="{00000000-0005-0000-0000-000067060000}"/>
    <cellStyle name="40% - Accent5 2 2 6 4" xfId="10453" xr:uid="{7FE6755C-E22C-4D77-82D5-DDC860175DD3}"/>
    <cellStyle name="40% - Accent5 2 2 6 5" xfId="14664" xr:uid="{C4A1BB3D-CAF1-4788-83BA-FB68E0A4AA62}"/>
    <cellStyle name="40% - Accent5 2 2 7" xfId="2347" xr:uid="{00000000-0005-0000-0000-000068060000}"/>
    <cellStyle name="40% - Accent5 2 2 7 2" xfId="6655" xr:uid="{00000000-0005-0000-0000-000069060000}"/>
    <cellStyle name="40% - Accent5 2 2 7 3" xfId="10866" xr:uid="{79044D90-105F-4C6E-BE6F-91D1E734F274}"/>
    <cellStyle name="40% - Accent5 2 2 7 4" xfId="15077" xr:uid="{638CCFF0-8107-42BE-8F70-DD61B4420E0E}"/>
    <cellStyle name="40% - Accent5 2 2 8" xfId="4589" xr:uid="{00000000-0005-0000-0000-00006A060000}"/>
    <cellStyle name="40% - Accent5 2 2 9" xfId="8800" xr:uid="{99D520A1-173B-4459-806C-2C0119E751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2 3" xfId="11361" xr:uid="{6CB1DD79-F476-4FD3-84E0-4A71C46538C9}"/>
    <cellStyle name="40% - Accent5 2 3 2 2 4" xfId="15572" xr:uid="{5DD85795-AC09-4979-93BC-93ABD6224A3A}"/>
    <cellStyle name="40% - Accent5 2 3 2 3" xfId="5005" xr:uid="{00000000-0005-0000-0000-00006F060000}"/>
    <cellStyle name="40% - Accent5 2 3 2 4" xfId="9216" xr:uid="{5F07EAC5-0385-4902-BA26-81194FF37E6D}"/>
    <cellStyle name="40% - Accent5 2 3 2 5" xfId="13427" xr:uid="{DA4A73D6-8940-4258-A7CF-E6606CE7C1A3}"/>
    <cellStyle name="40% - Accent5 2 3 3" xfId="1108" xr:uid="{00000000-0005-0000-0000-000070060000}"/>
    <cellStyle name="40% - Accent5 2 3 3 2" xfId="3339" xr:uid="{00000000-0005-0000-0000-000071060000}"/>
    <cellStyle name="40% - Accent5 2 3 3 2 2" xfId="7563" xr:uid="{00000000-0005-0000-0000-000072060000}"/>
    <cellStyle name="40% - Accent5 2 3 3 2 3" xfId="11774" xr:uid="{5E678EFA-6636-416A-A500-87DFBC892888}"/>
    <cellStyle name="40% - Accent5 2 3 3 2 4" xfId="15985" xr:uid="{D218D199-B792-4F22-8CA3-0E6B12878F3E}"/>
    <cellStyle name="40% - Accent5 2 3 3 3" xfId="5418" xr:uid="{00000000-0005-0000-0000-000073060000}"/>
    <cellStyle name="40% - Accent5 2 3 3 4" xfId="9629" xr:uid="{53D0D73C-1A13-44FF-A5A8-CABDDAD16FBE}"/>
    <cellStyle name="40% - Accent5 2 3 3 5" xfId="13840" xr:uid="{A7741A9D-EB1A-4554-A47F-E614426CEB35}"/>
    <cellStyle name="40% - Accent5 2 3 4" xfId="1522" xr:uid="{00000000-0005-0000-0000-000074060000}"/>
    <cellStyle name="40% - Accent5 2 3 4 2" xfId="3752" xr:uid="{00000000-0005-0000-0000-000075060000}"/>
    <cellStyle name="40% - Accent5 2 3 4 2 2" xfId="7976" xr:uid="{00000000-0005-0000-0000-000076060000}"/>
    <cellStyle name="40% - Accent5 2 3 4 2 3" xfId="12187" xr:uid="{10E6EEF5-57D8-4600-8AF3-5F20E2E87EDB}"/>
    <cellStyle name="40% - Accent5 2 3 4 2 4" xfId="16398" xr:uid="{7B170E01-88E2-4CB9-B06B-ACA3E3AFB3F9}"/>
    <cellStyle name="40% - Accent5 2 3 4 3" xfId="5831" xr:uid="{00000000-0005-0000-0000-000077060000}"/>
    <cellStyle name="40% - Accent5 2 3 4 4" xfId="10042" xr:uid="{55EA612B-0FFB-4F67-9BED-8F26BC7D994E}"/>
    <cellStyle name="40% - Accent5 2 3 4 5" xfId="14253" xr:uid="{F2E0E755-FEBC-4944-A045-81575CB2DC89}"/>
    <cellStyle name="40% - Accent5 2 3 5" xfId="1936" xr:uid="{00000000-0005-0000-0000-000078060000}"/>
    <cellStyle name="40% - Accent5 2 3 5 2" xfId="4165" xr:uid="{00000000-0005-0000-0000-000079060000}"/>
    <cellStyle name="40% - Accent5 2 3 5 2 2" xfId="8389" xr:uid="{00000000-0005-0000-0000-00007A060000}"/>
    <cellStyle name="40% - Accent5 2 3 5 2 3" xfId="12600" xr:uid="{A32DB76D-2EF6-4908-AD86-FF721A13416C}"/>
    <cellStyle name="40% - Accent5 2 3 5 2 4" xfId="16811" xr:uid="{3B497858-C126-4F72-B252-44580B44398A}"/>
    <cellStyle name="40% - Accent5 2 3 5 3" xfId="6244" xr:uid="{00000000-0005-0000-0000-00007B060000}"/>
    <cellStyle name="40% - Accent5 2 3 5 4" xfId="10455" xr:uid="{2BC29378-A86F-41F0-BD7D-F0FBB457F4D3}"/>
    <cellStyle name="40% - Accent5 2 3 5 5" xfId="14666" xr:uid="{2F62AF90-F1B5-4CD5-A5CB-7A7A902F06DB}"/>
    <cellStyle name="40% - Accent5 2 3 6" xfId="2349" xr:uid="{00000000-0005-0000-0000-00007C060000}"/>
    <cellStyle name="40% - Accent5 2 3 6 2" xfId="6657" xr:uid="{00000000-0005-0000-0000-00007D060000}"/>
    <cellStyle name="40% - Accent5 2 3 6 3" xfId="10868" xr:uid="{90779024-4542-4D83-BE6E-EA26DF28F83E}"/>
    <cellStyle name="40% - Accent5 2 3 6 4" xfId="15079" xr:uid="{5F042872-82C0-48AB-86B4-28083C67A50B}"/>
    <cellStyle name="40% - Accent5 2 3 7" xfId="4591" xr:uid="{00000000-0005-0000-0000-00007E060000}"/>
    <cellStyle name="40% - Accent5 2 3 8" xfId="8802" xr:uid="{AB4D48B8-8522-4D50-9ABC-B979A83DF63E}"/>
    <cellStyle name="40% - Accent5 2 3 9" xfId="13013" xr:uid="{9E7EC361-62FC-4C2E-9F43-6671A956FBE4}"/>
    <cellStyle name="40% - Accent5 2 4" xfId="652" xr:uid="{00000000-0005-0000-0000-00007F060000}"/>
    <cellStyle name="40% - Accent5 2 4 2" xfId="2923" xr:uid="{00000000-0005-0000-0000-000080060000}"/>
    <cellStyle name="40% - Accent5 2 4 2 2" xfId="7147" xr:uid="{00000000-0005-0000-0000-000081060000}"/>
    <cellStyle name="40% - Accent5 2 4 2 3" xfId="11358" xr:uid="{C58F5B8B-8961-4A03-9272-5B2BE287E519}"/>
    <cellStyle name="40% - Accent5 2 4 2 4" xfId="15569" xr:uid="{4FD65DD1-D175-42DA-8D96-561D2862BEF7}"/>
    <cellStyle name="40% - Accent5 2 4 3" xfId="5002" xr:uid="{00000000-0005-0000-0000-000082060000}"/>
    <cellStyle name="40% - Accent5 2 4 4" xfId="9213" xr:uid="{FD1EDE26-4E68-49A9-B3D9-B066461E7857}"/>
    <cellStyle name="40% - Accent5 2 4 5" xfId="13424" xr:uid="{68D0136A-B364-4954-946A-CC5559B9E4CB}"/>
    <cellStyle name="40% - Accent5 2 5" xfId="1105" xr:uid="{00000000-0005-0000-0000-000083060000}"/>
    <cellStyle name="40% - Accent5 2 5 2" xfId="3336" xr:uid="{00000000-0005-0000-0000-000084060000}"/>
    <cellStyle name="40% - Accent5 2 5 2 2" xfId="7560" xr:uid="{00000000-0005-0000-0000-000085060000}"/>
    <cellStyle name="40% - Accent5 2 5 2 3" xfId="11771" xr:uid="{53F31189-5D79-4A6C-813B-FEBC5348BE15}"/>
    <cellStyle name="40% - Accent5 2 5 2 4" xfId="15982" xr:uid="{27B965FE-6BCF-472E-86E3-6A99C7A7A6C5}"/>
    <cellStyle name="40% - Accent5 2 5 3" xfId="5415" xr:uid="{00000000-0005-0000-0000-000086060000}"/>
    <cellStyle name="40% - Accent5 2 5 4" xfId="9626" xr:uid="{5D254B20-E792-41DB-97B5-F19F3F8C9A89}"/>
    <cellStyle name="40% - Accent5 2 5 5" xfId="13837" xr:uid="{D9A5B6D5-D1B1-4934-8969-0F60F40D8700}"/>
    <cellStyle name="40% - Accent5 2 6" xfId="1519" xr:uid="{00000000-0005-0000-0000-000087060000}"/>
    <cellStyle name="40% - Accent5 2 6 2" xfId="3749" xr:uid="{00000000-0005-0000-0000-000088060000}"/>
    <cellStyle name="40% - Accent5 2 6 2 2" xfId="7973" xr:uid="{00000000-0005-0000-0000-000089060000}"/>
    <cellStyle name="40% - Accent5 2 6 2 3" xfId="12184" xr:uid="{F82175F5-5D9D-4F89-92DF-AFC3E3FCAC4E}"/>
    <cellStyle name="40% - Accent5 2 6 2 4" xfId="16395" xr:uid="{D530AD1A-0138-4884-91A7-E642FB03DAB3}"/>
    <cellStyle name="40% - Accent5 2 6 3" xfId="5828" xr:uid="{00000000-0005-0000-0000-00008A060000}"/>
    <cellStyle name="40% - Accent5 2 6 4" xfId="10039" xr:uid="{7932811A-4385-4EA6-A039-950C5E6AF448}"/>
    <cellStyle name="40% - Accent5 2 6 5" xfId="14250" xr:uid="{D7C6FDFE-1C5A-4DFF-BA74-87146B38D27F}"/>
    <cellStyle name="40% - Accent5 2 7" xfId="1933" xr:uid="{00000000-0005-0000-0000-00008B060000}"/>
    <cellStyle name="40% - Accent5 2 7 2" xfId="4162" xr:uid="{00000000-0005-0000-0000-00008C060000}"/>
    <cellStyle name="40% - Accent5 2 7 2 2" xfId="8386" xr:uid="{00000000-0005-0000-0000-00008D060000}"/>
    <cellStyle name="40% - Accent5 2 7 2 3" xfId="12597" xr:uid="{87F169FE-7D90-4D6B-B6FD-A7334611F220}"/>
    <cellStyle name="40% - Accent5 2 7 2 4" xfId="16808" xr:uid="{B517BC83-DB74-444B-9DC7-BF54AB59D7B6}"/>
    <cellStyle name="40% - Accent5 2 7 3" xfId="6241" xr:uid="{00000000-0005-0000-0000-00008E060000}"/>
    <cellStyle name="40% - Accent5 2 7 4" xfId="10452" xr:uid="{12C659B0-A36A-4F19-B12C-45905D23838E}"/>
    <cellStyle name="40% - Accent5 2 7 5" xfId="14663" xr:uid="{E8C13977-5C8E-4638-8AC2-BCA5D2E7A4E2}"/>
    <cellStyle name="40% - Accent5 2 8" xfId="2346" xr:uid="{00000000-0005-0000-0000-00008F060000}"/>
    <cellStyle name="40% - Accent5 2 8 2" xfId="6654" xr:uid="{00000000-0005-0000-0000-000090060000}"/>
    <cellStyle name="40% - Accent5 2 8 3" xfId="10865" xr:uid="{B2AD1673-A787-4D81-A1C2-C3D0B2E8E113}"/>
    <cellStyle name="40% - Accent5 2 8 4" xfId="15076" xr:uid="{AFB9DA9E-B5DC-4D6B-BC4E-9C5D75FFDE18}"/>
    <cellStyle name="40% - Accent5 2 9" xfId="4588" xr:uid="{00000000-0005-0000-0000-000091060000}"/>
    <cellStyle name="40% - Accent5 3" xfId="86" xr:uid="{00000000-0005-0000-0000-000092060000}"/>
    <cellStyle name="40% - Accent5 3 10" xfId="13014" xr:uid="{5CAEE748-C7DF-4C3B-999B-D8D6469E1284}"/>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2 3" xfId="11363" xr:uid="{0581A5E7-7940-4759-840E-8855CBFDC501}"/>
    <cellStyle name="40% - Accent5 3 2 2 2 4" xfId="15574" xr:uid="{E56C56CE-BD06-4F0E-9E0F-71DABC2BC0E7}"/>
    <cellStyle name="40% - Accent5 3 2 2 3" xfId="5007" xr:uid="{00000000-0005-0000-0000-000097060000}"/>
    <cellStyle name="40% - Accent5 3 2 2 4" xfId="9218" xr:uid="{EF597B14-038F-4D93-ABD1-16FCA9ED22D9}"/>
    <cellStyle name="40% - Accent5 3 2 2 5" xfId="13429" xr:uid="{46013885-4420-45E4-A99F-A01072595CC3}"/>
    <cellStyle name="40% - Accent5 3 2 3" xfId="1110" xr:uid="{00000000-0005-0000-0000-000098060000}"/>
    <cellStyle name="40% - Accent5 3 2 3 2" xfId="3341" xr:uid="{00000000-0005-0000-0000-000099060000}"/>
    <cellStyle name="40% - Accent5 3 2 3 2 2" xfId="7565" xr:uid="{00000000-0005-0000-0000-00009A060000}"/>
    <cellStyle name="40% - Accent5 3 2 3 2 3" xfId="11776" xr:uid="{3CF0387C-51A5-4C84-83EC-1716BDF8458F}"/>
    <cellStyle name="40% - Accent5 3 2 3 2 4" xfId="15987" xr:uid="{80B54100-3F8F-4673-A47C-52D111D60ED7}"/>
    <cellStyle name="40% - Accent5 3 2 3 3" xfId="5420" xr:uid="{00000000-0005-0000-0000-00009B060000}"/>
    <cellStyle name="40% - Accent5 3 2 3 4" xfId="9631" xr:uid="{4EEB21E4-D6F5-49CC-8C8E-97BDC5D12ABB}"/>
    <cellStyle name="40% - Accent5 3 2 3 5" xfId="13842" xr:uid="{67D0CA22-D75A-452A-9359-7DF6D5073D39}"/>
    <cellStyle name="40% - Accent5 3 2 4" xfId="1524" xr:uid="{00000000-0005-0000-0000-00009C060000}"/>
    <cellStyle name="40% - Accent5 3 2 4 2" xfId="3754" xr:uid="{00000000-0005-0000-0000-00009D060000}"/>
    <cellStyle name="40% - Accent5 3 2 4 2 2" xfId="7978" xr:uid="{00000000-0005-0000-0000-00009E060000}"/>
    <cellStyle name="40% - Accent5 3 2 4 2 3" xfId="12189" xr:uid="{477A9A8B-5AA5-462B-A1A7-C4BD79360E20}"/>
    <cellStyle name="40% - Accent5 3 2 4 2 4" xfId="16400" xr:uid="{7611FDE4-3468-43CB-A57C-474ECED8AC36}"/>
    <cellStyle name="40% - Accent5 3 2 4 3" xfId="5833" xr:uid="{00000000-0005-0000-0000-00009F060000}"/>
    <cellStyle name="40% - Accent5 3 2 4 4" xfId="10044" xr:uid="{5B013C6A-129F-4030-B3F6-EEE755089F1C}"/>
    <cellStyle name="40% - Accent5 3 2 4 5" xfId="14255" xr:uid="{9FCE41E5-555F-4C59-9F50-E7387C8DDEE8}"/>
    <cellStyle name="40% - Accent5 3 2 5" xfId="1938" xr:uid="{00000000-0005-0000-0000-0000A0060000}"/>
    <cellStyle name="40% - Accent5 3 2 5 2" xfId="4167" xr:uid="{00000000-0005-0000-0000-0000A1060000}"/>
    <cellStyle name="40% - Accent5 3 2 5 2 2" xfId="8391" xr:uid="{00000000-0005-0000-0000-0000A2060000}"/>
    <cellStyle name="40% - Accent5 3 2 5 2 3" xfId="12602" xr:uid="{C37CFAF7-57F0-4EC5-A3EA-509966EF90EA}"/>
    <cellStyle name="40% - Accent5 3 2 5 2 4" xfId="16813" xr:uid="{5517CC36-E4E2-4E46-B130-AD614E5399CF}"/>
    <cellStyle name="40% - Accent5 3 2 5 3" xfId="6246" xr:uid="{00000000-0005-0000-0000-0000A3060000}"/>
    <cellStyle name="40% - Accent5 3 2 5 4" xfId="10457" xr:uid="{91F9F536-A2CD-4454-B8CF-3C0B49E3C5A9}"/>
    <cellStyle name="40% - Accent5 3 2 5 5" xfId="14668" xr:uid="{5A6F4F3D-E6EA-43B7-BBB4-AAAD29CF022E}"/>
    <cellStyle name="40% - Accent5 3 2 6" xfId="2351" xr:uid="{00000000-0005-0000-0000-0000A4060000}"/>
    <cellStyle name="40% - Accent5 3 2 6 2" xfId="6659" xr:uid="{00000000-0005-0000-0000-0000A5060000}"/>
    <cellStyle name="40% - Accent5 3 2 6 3" xfId="10870" xr:uid="{F98C66D7-28FB-447D-ABEA-ADF63284357D}"/>
    <cellStyle name="40% - Accent5 3 2 6 4" xfId="15081" xr:uid="{52425D8B-3FA4-4478-899E-FF9488BDD5AA}"/>
    <cellStyle name="40% - Accent5 3 2 7" xfId="4593" xr:uid="{00000000-0005-0000-0000-0000A6060000}"/>
    <cellStyle name="40% - Accent5 3 2 8" xfId="8804" xr:uid="{95AF59E0-A2C7-4642-B22B-B33DC834D02C}"/>
    <cellStyle name="40% - Accent5 3 2 9" xfId="13015" xr:uid="{B9B5A196-AE2D-4048-BDD1-27B16AB2EBA7}"/>
    <cellStyle name="40% - Accent5 3 3" xfId="656" xr:uid="{00000000-0005-0000-0000-0000A7060000}"/>
    <cellStyle name="40% - Accent5 3 3 2" xfId="2927" xr:uid="{00000000-0005-0000-0000-0000A8060000}"/>
    <cellStyle name="40% - Accent5 3 3 2 2" xfId="7151" xr:uid="{00000000-0005-0000-0000-0000A9060000}"/>
    <cellStyle name="40% - Accent5 3 3 2 3" xfId="11362" xr:uid="{5D14A482-74D8-4D09-9695-4B510C424F97}"/>
    <cellStyle name="40% - Accent5 3 3 2 4" xfId="15573" xr:uid="{CF2961A0-B3BF-42C3-8174-40A1B8055084}"/>
    <cellStyle name="40% - Accent5 3 3 3" xfId="5006" xr:uid="{00000000-0005-0000-0000-0000AA060000}"/>
    <cellStyle name="40% - Accent5 3 3 4" xfId="9217" xr:uid="{D14DE074-138A-48E2-B304-CA9B59CDEEC1}"/>
    <cellStyle name="40% - Accent5 3 3 5" xfId="13428" xr:uid="{EA451218-2DC2-4536-8DDD-3E3D47DE9276}"/>
    <cellStyle name="40% - Accent5 3 4" xfId="1109" xr:uid="{00000000-0005-0000-0000-0000AB060000}"/>
    <cellStyle name="40% - Accent5 3 4 2" xfId="3340" xr:uid="{00000000-0005-0000-0000-0000AC060000}"/>
    <cellStyle name="40% - Accent5 3 4 2 2" xfId="7564" xr:uid="{00000000-0005-0000-0000-0000AD060000}"/>
    <cellStyle name="40% - Accent5 3 4 2 3" xfId="11775" xr:uid="{FF25D115-E531-41D2-86CE-FC7CE620EF62}"/>
    <cellStyle name="40% - Accent5 3 4 2 4" xfId="15986" xr:uid="{7994F42F-B86F-42E1-9EC9-98B5492D0A47}"/>
    <cellStyle name="40% - Accent5 3 4 3" xfId="5419" xr:uid="{00000000-0005-0000-0000-0000AE060000}"/>
    <cellStyle name="40% - Accent5 3 4 4" xfId="9630" xr:uid="{8FB655FE-8736-4537-B34E-0C8488C60BDA}"/>
    <cellStyle name="40% - Accent5 3 4 5" xfId="13841" xr:uid="{7167B00B-9308-47AE-B93C-6D67055B8C4E}"/>
    <cellStyle name="40% - Accent5 3 5" xfId="1523" xr:uid="{00000000-0005-0000-0000-0000AF060000}"/>
    <cellStyle name="40% - Accent5 3 5 2" xfId="3753" xr:uid="{00000000-0005-0000-0000-0000B0060000}"/>
    <cellStyle name="40% - Accent5 3 5 2 2" xfId="7977" xr:uid="{00000000-0005-0000-0000-0000B1060000}"/>
    <cellStyle name="40% - Accent5 3 5 2 3" xfId="12188" xr:uid="{022F2380-DC42-4240-AF1B-9785D692EB1A}"/>
    <cellStyle name="40% - Accent5 3 5 2 4" xfId="16399" xr:uid="{8AC5C7AE-C3B8-4086-99A2-A15B1A1A4EF9}"/>
    <cellStyle name="40% - Accent5 3 5 3" xfId="5832" xr:uid="{00000000-0005-0000-0000-0000B2060000}"/>
    <cellStyle name="40% - Accent5 3 5 4" xfId="10043" xr:uid="{8E2672FC-5559-48B2-A656-396B20541D80}"/>
    <cellStyle name="40% - Accent5 3 5 5" xfId="14254" xr:uid="{D3482EEE-10FB-4444-84AA-BF6DE626CD51}"/>
    <cellStyle name="40% - Accent5 3 6" xfId="1937" xr:uid="{00000000-0005-0000-0000-0000B3060000}"/>
    <cellStyle name="40% - Accent5 3 6 2" xfId="4166" xr:uid="{00000000-0005-0000-0000-0000B4060000}"/>
    <cellStyle name="40% - Accent5 3 6 2 2" xfId="8390" xr:uid="{00000000-0005-0000-0000-0000B5060000}"/>
    <cellStyle name="40% - Accent5 3 6 2 3" xfId="12601" xr:uid="{A2D8AE6A-8E04-4FCA-BF18-FD5CB01EC68D}"/>
    <cellStyle name="40% - Accent5 3 6 2 4" xfId="16812" xr:uid="{CB9A009C-469A-4114-A408-B3A5CCD438AA}"/>
    <cellStyle name="40% - Accent5 3 6 3" xfId="6245" xr:uid="{00000000-0005-0000-0000-0000B6060000}"/>
    <cellStyle name="40% - Accent5 3 6 4" xfId="10456" xr:uid="{19133AB6-06CA-4E2D-8C31-36FBF4BADFD7}"/>
    <cellStyle name="40% - Accent5 3 6 5" xfId="14667" xr:uid="{526D752D-5D5B-4722-BD00-8200CB3F25F5}"/>
    <cellStyle name="40% - Accent5 3 7" xfId="2350" xr:uid="{00000000-0005-0000-0000-0000B7060000}"/>
    <cellStyle name="40% - Accent5 3 7 2" xfId="6658" xr:uid="{00000000-0005-0000-0000-0000B8060000}"/>
    <cellStyle name="40% - Accent5 3 7 3" xfId="10869" xr:uid="{896EDFFC-ED7F-4B5A-98E2-8997DA0F9829}"/>
    <cellStyle name="40% - Accent5 3 7 4" xfId="15080" xr:uid="{50584726-59D6-4073-87D6-9EB59B83C182}"/>
    <cellStyle name="40% - Accent5 3 8" xfId="4592" xr:uid="{00000000-0005-0000-0000-0000B9060000}"/>
    <cellStyle name="40% - Accent5 3 9" xfId="8803" xr:uid="{263E8EF9-B651-451C-85FF-E312FABB735E}"/>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2 3" xfId="11364" xr:uid="{113DED4E-1913-4393-B2F7-94733407E25A}"/>
    <cellStyle name="40% - Accent5 4 2 2 4" xfId="15575" xr:uid="{4750419D-F91B-4144-903A-65133D5F404B}"/>
    <cellStyle name="40% - Accent5 4 2 3" xfId="5008" xr:uid="{00000000-0005-0000-0000-0000BE060000}"/>
    <cellStyle name="40% - Accent5 4 2 4" xfId="9219" xr:uid="{E93AB210-06C7-4361-A9E6-58A32910E355}"/>
    <cellStyle name="40% - Accent5 4 2 5" xfId="13430" xr:uid="{3B7D8D9D-52F3-4EB9-A116-8E5DCE7166DF}"/>
    <cellStyle name="40% - Accent5 4 3" xfId="1111" xr:uid="{00000000-0005-0000-0000-0000BF060000}"/>
    <cellStyle name="40% - Accent5 4 3 2" xfId="3342" xr:uid="{00000000-0005-0000-0000-0000C0060000}"/>
    <cellStyle name="40% - Accent5 4 3 2 2" xfId="7566" xr:uid="{00000000-0005-0000-0000-0000C1060000}"/>
    <cellStyle name="40% - Accent5 4 3 2 3" xfId="11777" xr:uid="{6E349960-A8B7-4A58-9A67-61E374CDFE8B}"/>
    <cellStyle name="40% - Accent5 4 3 2 4" xfId="15988" xr:uid="{61B9C902-17A6-4539-91EA-2CE247783212}"/>
    <cellStyle name="40% - Accent5 4 3 3" xfId="5421" xr:uid="{00000000-0005-0000-0000-0000C2060000}"/>
    <cellStyle name="40% - Accent5 4 3 4" xfId="9632" xr:uid="{82C96112-EEBA-4456-A4C5-9FCCD8CE6084}"/>
    <cellStyle name="40% - Accent5 4 3 5" xfId="13843" xr:uid="{654873F0-610F-4556-929B-6D8E3C6189BB}"/>
    <cellStyle name="40% - Accent5 4 4" xfId="1525" xr:uid="{00000000-0005-0000-0000-0000C3060000}"/>
    <cellStyle name="40% - Accent5 4 4 2" xfId="3755" xr:uid="{00000000-0005-0000-0000-0000C4060000}"/>
    <cellStyle name="40% - Accent5 4 4 2 2" xfId="7979" xr:uid="{00000000-0005-0000-0000-0000C5060000}"/>
    <cellStyle name="40% - Accent5 4 4 2 3" xfId="12190" xr:uid="{8D32F426-0130-422E-A55D-7BA71B44F083}"/>
    <cellStyle name="40% - Accent5 4 4 2 4" xfId="16401" xr:uid="{BB59F63A-C810-4FF8-A2AB-D020261BD8FA}"/>
    <cellStyle name="40% - Accent5 4 4 3" xfId="5834" xr:uid="{00000000-0005-0000-0000-0000C6060000}"/>
    <cellStyle name="40% - Accent5 4 4 4" xfId="10045" xr:uid="{D1FC0F16-AE1F-402B-882B-B26FD2B8D4CD}"/>
    <cellStyle name="40% - Accent5 4 4 5" xfId="14256" xr:uid="{C3541377-C18D-4E7E-B729-5463A2482039}"/>
    <cellStyle name="40% - Accent5 4 5" xfId="1939" xr:uid="{00000000-0005-0000-0000-0000C7060000}"/>
    <cellStyle name="40% - Accent5 4 5 2" xfId="4168" xr:uid="{00000000-0005-0000-0000-0000C8060000}"/>
    <cellStyle name="40% - Accent5 4 5 2 2" xfId="8392" xr:uid="{00000000-0005-0000-0000-0000C9060000}"/>
    <cellStyle name="40% - Accent5 4 5 2 3" xfId="12603" xr:uid="{83DEEA69-CF34-4A8B-B73A-FB7FC77C64C0}"/>
    <cellStyle name="40% - Accent5 4 5 2 4" xfId="16814" xr:uid="{F08CDFCC-8B03-48EA-896D-E04FCBC0BA8D}"/>
    <cellStyle name="40% - Accent5 4 5 3" xfId="6247" xr:uid="{00000000-0005-0000-0000-0000CA060000}"/>
    <cellStyle name="40% - Accent5 4 5 4" xfId="10458" xr:uid="{EA46F906-84DE-4AAE-B0C8-802AECD651F7}"/>
    <cellStyle name="40% - Accent5 4 5 5" xfId="14669" xr:uid="{241EB934-E42C-4601-9000-B810C233A057}"/>
    <cellStyle name="40% - Accent5 4 6" xfId="2352" xr:uid="{00000000-0005-0000-0000-0000CB060000}"/>
    <cellStyle name="40% - Accent5 4 6 2" xfId="6660" xr:uid="{00000000-0005-0000-0000-0000CC060000}"/>
    <cellStyle name="40% - Accent5 4 6 3" xfId="10871" xr:uid="{CCAEEA65-3C43-4995-95EE-EFAA08A19D14}"/>
    <cellStyle name="40% - Accent5 4 6 4" xfId="15082" xr:uid="{8F5704DE-2BE7-404B-813F-3AF1B00E2AFD}"/>
    <cellStyle name="40% - Accent5 4 7" xfId="4594" xr:uid="{00000000-0005-0000-0000-0000CD060000}"/>
    <cellStyle name="40% - Accent5 4 8" xfId="8805" xr:uid="{F4A16285-6DF0-4481-B818-CF9AC84979EC}"/>
    <cellStyle name="40% - Accent5 4 9" xfId="13016" xr:uid="{95B2B1A3-22C8-49AB-9D0E-8CCC98779F2E}"/>
    <cellStyle name="40% - Accent5 5" xfId="651" xr:uid="{00000000-0005-0000-0000-0000CE060000}"/>
    <cellStyle name="40% - Accent5 5 2" xfId="2922" xr:uid="{00000000-0005-0000-0000-0000CF060000}"/>
    <cellStyle name="40% - Accent5 5 2 2" xfId="7146" xr:uid="{00000000-0005-0000-0000-0000D0060000}"/>
    <cellStyle name="40% - Accent5 5 2 3" xfId="11357" xr:uid="{F442F3E3-3060-4C43-883E-9A56F6E29B17}"/>
    <cellStyle name="40% - Accent5 5 2 4" xfId="15568" xr:uid="{689FE92A-AFF3-4295-99BD-5973453852DB}"/>
    <cellStyle name="40% - Accent5 5 3" xfId="5001" xr:uid="{00000000-0005-0000-0000-0000D1060000}"/>
    <cellStyle name="40% - Accent5 5 4" xfId="9212" xr:uid="{E3602614-BF9E-445B-99ED-A539FD614CB8}"/>
    <cellStyle name="40% - Accent5 5 5" xfId="13423" xr:uid="{E490B2F1-4798-46C1-8B67-BA2F9FFB574B}"/>
    <cellStyle name="40% - Accent5 6" xfId="1104" xr:uid="{00000000-0005-0000-0000-0000D2060000}"/>
    <cellStyle name="40% - Accent5 6 2" xfId="3335" xr:uid="{00000000-0005-0000-0000-0000D3060000}"/>
    <cellStyle name="40% - Accent5 6 2 2" xfId="7559" xr:uid="{00000000-0005-0000-0000-0000D4060000}"/>
    <cellStyle name="40% - Accent5 6 2 3" xfId="11770" xr:uid="{849275CC-82AC-42BF-A321-7DFCAB76D124}"/>
    <cellStyle name="40% - Accent5 6 2 4" xfId="15981" xr:uid="{DC10B2AE-B940-45E0-8122-C56B1B3608F0}"/>
    <cellStyle name="40% - Accent5 6 3" xfId="5414" xr:uid="{00000000-0005-0000-0000-0000D5060000}"/>
    <cellStyle name="40% - Accent5 6 4" xfId="9625" xr:uid="{2DB29F12-5648-4652-9B59-044F5AC72E69}"/>
    <cellStyle name="40% - Accent5 6 5" xfId="13836" xr:uid="{4461CD86-4CF4-452F-96E9-32C49CD8E137}"/>
    <cellStyle name="40% - Accent5 7" xfId="1518" xr:uid="{00000000-0005-0000-0000-0000D6060000}"/>
    <cellStyle name="40% - Accent5 7 2" xfId="3748" xr:uid="{00000000-0005-0000-0000-0000D7060000}"/>
    <cellStyle name="40% - Accent5 7 2 2" xfId="7972" xr:uid="{00000000-0005-0000-0000-0000D8060000}"/>
    <cellStyle name="40% - Accent5 7 2 3" xfId="12183" xr:uid="{6FB6B1A7-9DFE-4D3B-B006-61D0851840D0}"/>
    <cellStyle name="40% - Accent5 7 2 4" xfId="16394" xr:uid="{C6A62F22-B9B3-4645-8ADE-46D9FB82B701}"/>
    <cellStyle name="40% - Accent5 7 3" xfId="5827" xr:uid="{00000000-0005-0000-0000-0000D9060000}"/>
    <cellStyle name="40% - Accent5 7 4" xfId="10038" xr:uid="{82F8AF74-5D72-4F4C-9A9F-209AE31AB1C0}"/>
    <cellStyle name="40% - Accent5 7 5" xfId="14249" xr:uid="{66C173DC-47DA-430A-BD89-F56793E1353D}"/>
    <cellStyle name="40% - Accent5 8" xfId="1932" xr:uid="{00000000-0005-0000-0000-0000DA060000}"/>
    <cellStyle name="40% - Accent5 8 2" xfId="4161" xr:uid="{00000000-0005-0000-0000-0000DB060000}"/>
    <cellStyle name="40% - Accent5 8 2 2" xfId="8385" xr:uid="{00000000-0005-0000-0000-0000DC060000}"/>
    <cellStyle name="40% - Accent5 8 2 3" xfId="12596" xr:uid="{74687543-C4D8-4CBD-83F0-B5A9368CF712}"/>
    <cellStyle name="40% - Accent5 8 2 4" xfId="16807" xr:uid="{FE50CD09-2AA7-4B12-BA10-A53493E7C76F}"/>
    <cellStyle name="40% - Accent5 8 3" xfId="6240" xr:uid="{00000000-0005-0000-0000-0000DD060000}"/>
    <cellStyle name="40% - Accent5 8 4" xfId="10451" xr:uid="{0253BD28-390F-44D6-8077-A586FE60F5C8}"/>
    <cellStyle name="40% - Accent5 8 5" xfId="14662" xr:uid="{9866BD15-8AD3-4AC8-9353-32CC254441E4}"/>
    <cellStyle name="40% - Accent5 9" xfId="2345" xr:uid="{00000000-0005-0000-0000-0000DE060000}"/>
    <cellStyle name="40% - Accent5 9 2" xfId="6653" xr:uid="{00000000-0005-0000-0000-0000DF060000}"/>
    <cellStyle name="40% - Accent5 9 3" xfId="10864" xr:uid="{5BE3A23D-0350-488D-BEBD-675F4D5441C5}"/>
    <cellStyle name="40% - Accent5 9 4" xfId="15075" xr:uid="{B87EB9BB-63D6-43EC-8C85-6F99CB30DA13}"/>
    <cellStyle name="40% - Accent6" xfId="89" builtinId="51" customBuiltin="1"/>
    <cellStyle name="40% - Accent6 10" xfId="4595" xr:uid="{00000000-0005-0000-0000-0000E1060000}"/>
    <cellStyle name="40% - Accent6 11" xfId="8806" xr:uid="{FDA85A16-779C-4574-98DD-58D23712D0A7}"/>
    <cellStyle name="40% - Accent6 12" xfId="13017" xr:uid="{3AB96F25-181D-4EE9-9138-DCDCA432CCE3}"/>
    <cellStyle name="40% - Accent6 2" xfId="90" xr:uid="{00000000-0005-0000-0000-0000E2060000}"/>
    <cellStyle name="40% - Accent6 2 10" xfId="8807" xr:uid="{F37137D4-869A-46B0-BA58-1AC27D1CD9DD}"/>
    <cellStyle name="40% - Accent6 2 11" xfId="13018" xr:uid="{3D170A56-2042-44E7-8E32-46A050258C1F}"/>
    <cellStyle name="40% - Accent6 2 2" xfId="91" xr:uid="{00000000-0005-0000-0000-0000E3060000}"/>
    <cellStyle name="40% - Accent6 2 2 10" xfId="13019" xr:uid="{F442B50D-9032-40CF-B86D-FEA53A4EE3AB}"/>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2 3" xfId="11368" xr:uid="{895C78F3-CE50-4A3B-9EB9-CC17C1F2A57E}"/>
    <cellStyle name="40% - Accent6 2 2 2 2 2 4" xfId="15579" xr:uid="{E2F3FEA7-7738-43C2-9A24-9DCDA2279B34}"/>
    <cellStyle name="40% - Accent6 2 2 2 2 3" xfId="5012" xr:uid="{00000000-0005-0000-0000-0000E8060000}"/>
    <cellStyle name="40% - Accent6 2 2 2 2 4" xfId="9223" xr:uid="{F4B0A814-BAB0-4B95-A834-773F9095F0E6}"/>
    <cellStyle name="40% - Accent6 2 2 2 2 5" xfId="13434" xr:uid="{7BBF8B5C-716F-4D4B-98E1-3EF03C453952}"/>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2 3" xfId="11781" xr:uid="{3E53317F-5CFE-44CC-BAFF-78BFD5BA68DA}"/>
    <cellStyle name="40% - Accent6 2 2 2 3 2 4" xfId="15992" xr:uid="{E5D2C5A4-CFB8-412B-9978-9609CA46463C}"/>
    <cellStyle name="40% - Accent6 2 2 2 3 3" xfId="5425" xr:uid="{00000000-0005-0000-0000-0000EC060000}"/>
    <cellStyle name="40% - Accent6 2 2 2 3 4" xfId="9636" xr:uid="{4D11E0DD-19D9-4938-B4A5-E02CA091D87A}"/>
    <cellStyle name="40% - Accent6 2 2 2 3 5" xfId="13847" xr:uid="{F96836FA-746E-442D-B5ED-9DCAEADE4D39}"/>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2 3" xfId="12194" xr:uid="{5CD4FE62-340F-4B04-BC89-64B4136821B7}"/>
    <cellStyle name="40% - Accent6 2 2 2 4 2 4" xfId="16405" xr:uid="{24D8DF34-BDDB-4992-A85A-0AA642345976}"/>
    <cellStyle name="40% - Accent6 2 2 2 4 3" xfId="5838" xr:uid="{00000000-0005-0000-0000-0000F0060000}"/>
    <cellStyle name="40% - Accent6 2 2 2 4 4" xfId="10049" xr:uid="{ADDE8D4B-1DBE-4F5B-B306-83D3C9E91DE4}"/>
    <cellStyle name="40% - Accent6 2 2 2 4 5" xfId="14260" xr:uid="{0E794C6E-D8AF-43D8-A5B2-191386CEADA5}"/>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2 3" xfId="12607" xr:uid="{72C0DF30-E78F-499E-8A80-A51E3C55D2F3}"/>
    <cellStyle name="40% - Accent6 2 2 2 5 2 4" xfId="16818" xr:uid="{B91ACD1B-E5D6-43D1-9898-E0D5DCAFE74B}"/>
    <cellStyle name="40% - Accent6 2 2 2 5 3" xfId="6251" xr:uid="{00000000-0005-0000-0000-0000F4060000}"/>
    <cellStyle name="40% - Accent6 2 2 2 5 4" xfId="10462" xr:uid="{2104AEFA-FD6D-4EEA-84F2-A802294CA6EF}"/>
    <cellStyle name="40% - Accent6 2 2 2 5 5" xfId="14673" xr:uid="{9489E439-6E9D-417C-9ED6-AD1E65DE0619}"/>
    <cellStyle name="40% - Accent6 2 2 2 6" xfId="2356" xr:uid="{00000000-0005-0000-0000-0000F5060000}"/>
    <cellStyle name="40% - Accent6 2 2 2 6 2" xfId="6664" xr:uid="{00000000-0005-0000-0000-0000F6060000}"/>
    <cellStyle name="40% - Accent6 2 2 2 6 3" xfId="10875" xr:uid="{688C76B4-03D5-41DF-A723-5A91FC2B1F6A}"/>
    <cellStyle name="40% - Accent6 2 2 2 6 4" xfId="15086" xr:uid="{D46B71A5-388F-465E-A810-7FB6B4EF153C}"/>
    <cellStyle name="40% - Accent6 2 2 2 7" xfId="4598" xr:uid="{00000000-0005-0000-0000-0000F7060000}"/>
    <cellStyle name="40% - Accent6 2 2 2 8" xfId="8809" xr:uid="{5D17CE12-2294-4CA8-826E-CA763BAAAEB9}"/>
    <cellStyle name="40% - Accent6 2 2 2 9" xfId="13020" xr:uid="{FA3F3A99-EFD3-45C4-9699-DE6AB3793427}"/>
    <cellStyle name="40% - Accent6 2 2 3" xfId="661" xr:uid="{00000000-0005-0000-0000-0000F8060000}"/>
    <cellStyle name="40% - Accent6 2 2 3 2" xfId="2932" xr:uid="{00000000-0005-0000-0000-0000F9060000}"/>
    <cellStyle name="40% - Accent6 2 2 3 2 2" xfId="7156" xr:uid="{00000000-0005-0000-0000-0000FA060000}"/>
    <cellStyle name="40% - Accent6 2 2 3 2 3" xfId="11367" xr:uid="{78D0BDA4-3FE8-4BD9-ADBA-8315AC5B74FB}"/>
    <cellStyle name="40% - Accent6 2 2 3 2 4" xfId="15578" xr:uid="{78AF250C-6242-4F4B-8175-A6FE8B176EA1}"/>
    <cellStyle name="40% - Accent6 2 2 3 3" xfId="5011" xr:uid="{00000000-0005-0000-0000-0000FB060000}"/>
    <cellStyle name="40% - Accent6 2 2 3 4" xfId="9222" xr:uid="{328CDF6C-548D-4476-BBCC-A69B3C20D094}"/>
    <cellStyle name="40% - Accent6 2 2 3 5" xfId="13433" xr:uid="{049E16F8-E6D8-4434-9B27-99F23B1B7BEE}"/>
    <cellStyle name="40% - Accent6 2 2 4" xfId="1114" xr:uid="{00000000-0005-0000-0000-0000FC060000}"/>
    <cellStyle name="40% - Accent6 2 2 4 2" xfId="3345" xr:uid="{00000000-0005-0000-0000-0000FD060000}"/>
    <cellStyle name="40% - Accent6 2 2 4 2 2" xfId="7569" xr:uid="{00000000-0005-0000-0000-0000FE060000}"/>
    <cellStyle name="40% - Accent6 2 2 4 2 3" xfId="11780" xr:uid="{3C9FD95E-DA28-441F-A7BC-367634000185}"/>
    <cellStyle name="40% - Accent6 2 2 4 2 4" xfId="15991" xr:uid="{542FDF0C-09CF-4797-B658-9ADD4EAA9052}"/>
    <cellStyle name="40% - Accent6 2 2 4 3" xfId="5424" xr:uid="{00000000-0005-0000-0000-0000FF060000}"/>
    <cellStyle name="40% - Accent6 2 2 4 4" xfId="9635" xr:uid="{B139BA8D-81A4-4EC0-A2C3-741FBE1C4139}"/>
    <cellStyle name="40% - Accent6 2 2 4 5" xfId="13846" xr:uid="{AB78D6D5-E753-4C7C-8134-3F2A42F8AE80}"/>
    <cellStyle name="40% - Accent6 2 2 5" xfId="1528" xr:uid="{00000000-0005-0000-0000-000000070000}"/>
    <cellStyle name="40% - Accent6 2 2 5 2" xfId="3758" xr:uid="{00000000-0005-0000-0000-000001070000}"/>
    <cellStyle name="40% - Accent6 2 2 5 2 2" xfId="7982" xr:uid="{00000000-0005-0000-0000-000002070000}"/>
    <cellStyle name="40% - Accent6 2 2 5 2 3" xfId="12193" xr:uid="{20EDB702-5BC8-4152-9C51-461013DE348A}"/>
    <cellStyle name="40% - Accent6 2 2 5 2 4" xfId="16404" xr:uid="{7B7EE8FF-10C0-4B6C-9BEE-48A1014BE74A}"/>
    <cellStyle name="40% - Accent6 2 2 5 3" xfId="5837" xr:uid="{00000000-0005-0000-0000-000003070000}"/>
    <cellStyle name="40% - Accent6 2 2 5 4" xfId="10048" xr:uid="{700340BF-A98B-4D84-A9D2-AB79B1375800}"/>
    <cellStyle name="40% - Accent6 2 2 5 5" xfId="14259" xr:uid="{2C52F12E-0514-459D-B1FC-EBA7462513B7}"/>
    <cellStyle name="40% - Accent6 2 2 6" xfId="1942" xr:uid="{00000000-0005-0000-0000-000004070000}"/>
    <cellStyle name="40% - Accent6 2 2 6 2" xfId="4171" xr:uid="{00000000-0005-0000-0000-000005070000}"/>
    <cellStyle name="40% - Accent6 2 2 6 2 2" xfId="8395" xr:uid="{00000000-0005-0000-0000-000006070000}"/>
    <cellStyle name="40% - Accent6 2 2 6 2 3" xfId="12606" xr:uid="{BD237E86-D997-4E1B-A2AF-DF5A6F988CD0}"/>
    <cellStyle name="40% - Accent6 2 2 6 2 4" xfId="16817" xr:uid="{29E67A85-7149-4F23-ACDF-FD494A066A38}"/>
    <cellStyle name="40% - Accent6 2 2 6 3" xfId="6250" xr:uid="{00000000-0005-0000-0000-000007070000}"/>
    <cellStyle name="40% - Accent6 2 2 6 4" xfId="10461" xr:uid="{B2205D77-A4A7-42C0-BAB7-4C3C255044DE}"/>
    <cellStyle name="40% - Accent6 2 2 6 5" xfId="14672" xr:uid="{F59882D6-9F93-40ED-9FFB-26B97AACEA82}"/>
    <cellStyle name="40% - Accent6 2 2 7" xfId="2355" xr:uid="{00000000-0005-0000-0000-000008070000}"/>
    <cellStyle name="40% - Accent6 2 2 7 2" xfId="6663" xr:uid="{00000000-0005-0000-0000-000009070000}"/>
    <cellStyle name="40% - Accent6 2 2 7 3" xfId="10874" xr:uid="{B01D5DC5-4A86-431F-B1CE-11CD72FB871B}"/>
    <cellStyle name="40% - Accent6 2 2 7 4" xfId="15085" xr:uid="{BE4631A2-A7B4-48AC-8EBC-A0AD6142A702}"/>
    <cellStyle name="40% - Accent6 2 2 8" xfId="4597" xr:uid="{00000000-0005-0000-0000-00000A070000}"/>
    <cellStyle name="40% - Accent6 2 2 9" xfId="8808" xr:uid="{5E392EC6-9724-417D-8577-8AD7105AE2AE}"/>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2 3" xfId="11369" xr:uid="{CB1BFB76-A150-419E-8ABB-135B4F82FE87}"/>
    <cellStyle name="40% - Accent6 2 3 2 2 4" xfId="15580" xr:uid="{7D23A584-81A3-4E06-B3AC-ACDDE632D1B3}"/>
    <cellStyle name="40% - Accent6 2 3 2 3" xfId="5013" xr:uid="{00000000-0005-0000-0000-00000F070000}"/>
    <cellStyle name="40% - Accent6 2 3 2 4" xfId="9224" xr:uid="{622B2F2C-7DB9-4659-9B84-D478E224E415}"/>
    <cellStyle name="40% - Accent6 2 3 2 5" xfId="13435" xr:uid="{0F722BB5-D275-478C-9B3E-67AC2621F4CF}"/>
    <cellStyle name="40% - Accent6 2 3 3" xfId="1116" xr:uid="{00000000-0005-0000-0000-000010070000}"/>
    <cellStyle name="40% - Accent6 2 3 3 2" xfId="3347" xr:uid="{00000000-0005-0000-0000-000011070000}"/>
    <cellStyle name="40% - Accent6 2 3 3 2 2" xfId="7571" xr:uid="{00000000-0005-0000-0000-000012070000}"/>
    <cellStyle name="40% - Accent6 2 3 3 2 3" xfId="11782" xr:uid="{681F3944-9CB8-4C73-BAD3-05CFEE6AE88E}"/>
    <cellStyle name="40% - Accent6 2 3 3 2 4" xfId="15993" xr:uid="{79596B2D-417A-4036-990B-2816B3FAFD18}"/>
    <cellStyle name="40% - Accent6 2 3 3 3" xfId="5426" xr:uid="{00000000-0005-0000-0000-000013070000}"/>
    <cellStyle name="40% - Accent6 2 3 3 4" xfId="9637" xr:uid="{233DE201-3C03-48BA-9FE3-1E3EFFD36D28}"/>
    <cellStyle name="40% - Accent6 2 3 3 5" xfId="13848" xr:uid="{C77FA4C7-886F-42F1-BCE6-5242511CC2DC}"/>
    <cellStyle name="40% - Accent6 2 3 4" xfId="1530" xr:uid="{00000000-0005-0000-0000-000014070000}"/>
    <cellStyle name="40% - Accent6 2 3 4 2" xfId="3760" xr:uid="{00000000-0005-0000-0000-000015070000}"/>
    <cellStyle name="40% - Accent6 2 3 4 2 2" xfId="7984" xr:uid="{00000000-0005-0000-0000-000016070000}"/>
    <cellStyle name="40% - Accent6 2 3 4 2 3" xfId="12195" xr:uid="{FF746583-CBB2-418E-9AE3-45147B68F0DF}"/>
    <cellStyle name="40% - Accent6 2 3 4 2 4" xfId="16406" xr:uid="{657B0627-C1CF-4BDB-A0CA-8B7A9880B82E}"/>
    <cellStyle name="40% - Accent6 2 3 4 3" xfId="5839" xr:uid="{00000000-0005-0000-0000-000017070000}"/>
    <cellStyle name="40% - Accent6 2 3 4 4" xfId="10050" xr:uid="{4B1E47BE-0B77-4B4B-A83A-9517F0F8A7E1}"/>
    <cellStyle name="40% - Accent6 2 3 4 5" xfId="14261" xr:uid="{7AF381A5-03C2-4BDA-AE2E-8BCA67835559}"/>
    <cellStyle name="40% - Accent6 2 3 5" xfId="1944" xr:uid="{00000000-0005-0000-0000-000018070000}"/>
    <cellStyle name="40% - Accent6 2 3 5 2" xfId="4173" xr:uid="{00000000-0005-0000-0000-000019070000}"/>
    <cellStyle name="40% - Accent6 2 3 5 2 2" xfId="8397" xr:uid="{00000000-0005-0000-0000-00001A070000}"/>
    <cellStyle name="40% - Accent6 2 3 5 2 3" xfId="12608" xr:uid="{53A82FFF-7243-458B-A799-C4F1AE37C0C1}"/>
    <cellStyle name="40% - Accent6 2 3 5 2 4" xfId="16819" xr:uid="{52D91C8B-A7D6-43A3-B49F-8AA53EE8BF69}"/>
    <cellStyle name="40% - Accent6 2 3 5 3" xfId="6252" xr:uid="{00000000-0005-0000-0000-00001B070000}"/>
    <cellStyle name="40% - Accent6 2 3 5 4" xfId="10463" xr:uid="{8462D4B2-EEE1-482B-8B3E-154EDDF68458}"/>
    <cellStyle name="40% - Accent6 2 3 5 5" xfId="14674" xr:uid="{B0247C11-3692-4342-AC04-1C1E75A4F6F6}"/>
    <cellStyle name="40% - Accent6 2 3 6" xfId="2357" xr:uid="{00000000-0005-0000-0000-00001C070000}"/>
    <cellStyle name="40% - Accent6 2 3 6 2" xfId="6665" xr:uid="{00000000-0005-0000-0000-00001D070000}"/>
    <cellStyle name="40% - Accent6 2 3 6 3" xfId="10876" xr:uid="{C6062A77-E73D-4F4F-AE56-DD16CCCEA4D6}"/>
    <cellStyle name="40% - Accent6 2 3 6 4" xfId="15087" xr:uid="{54C20375-F0FF-4AF6-943D-D61E95C4DDC5}"/>
    <cellStyle name="40% - Accent6 2 3 7" xfId="4599" xr:uid="{00000000-0005-0000-0000-00001E070000}"/>
    <cellStyle name="40% - Accent6 2 3 8" xfId="8810" xr:uid="{D919399F-FB5A-4DB1-BE9A-D9844BFB5235}"/>
    <cellStyle name="40% - Accent6 2 3 9" xfId="13021" xr:uid="{56450A0C-20FF-4D7E-A255-5D6374E3700B}"/>
    <cellStyle name="40% - Accent6 2 4" xfId="660" xr:uid="{00000000-0005-0000-0000-00001F070000}"/>
    <cellStyle name="40% - Accent6 2 4 2" xfId="2931" xr:uid="{00000000-0005-0000-0000-000020070000}"/>
    <cellStyle name="40% - Accent6 2 4 2 2" xfId="7155" xr:uid="{00000000-0005-0000-0000-000021070000}"/>
    <cellStyle name="40% - Accent6 2 4 2 3" xfId="11366" xr:uid="{8AF1FF37-4F53-482D-BF19-BD32403AB56A}"/>
    <cellStyle name="40% - Accent6 2 4 2 4" xfId="15577" xr:uid="{8BF54BA4-8CBD-4723-BF5D-05F6204E23FB}"/>
    <cellStyle name="40% - Accent6 2 4 3" xfId="5010" xr:uid="{00000000-0005-0000-0000-000022070000}"/>
    <cellStyle name="40% - Accent6 2 4 4" xfId="9221" xr:uid="{A24AE669-44E6-4E83-991B-CB172FD94054}"/>
    <cellStyle name="40% - Accent6 2 4 5" xfId="13432" xr:uid="{E81E16A2-2EF1-477D-8AD9-CD64899E90AE}"/>
    <cellStyle name="40% - Accent6 2 5" xfId="1113" xr:uid="{00000000-0005-0000-0000-000023070000}"/>
    <cellStyle name="40% - Accent6 2 5 2" xfId="3344" xr:uid="{00000000-0005-0000-0000-000024070000}"/>
    <cellStyle name="40% - Accent6 2 5 2 2" xfId="7568" xr:uid="{00000000-0005-0000-0000-000025070000}"/>
    <cellStyle name="40% - Accent6 2 5 2 3" xfId="11779" xr:uid="{FA38A621-4A3E-4AB2-B90C-EBD547ED7983}"/>
    <cellStyle name="40% - Accent6 2 5 2 4" xfId="15990" xr:uid="{7FA2B75E-E507-4E57-9887-6ECDA7FB07FB}"/>
    <cellStyle name="40% - Accent6 2 5 3" xfId="5423" xr:uid="{00000000-0005-0000-0000-000026070000}"/>
    <cellStyle name="40% - Accent6 2 5 4" xfId="9634" xr:uid="{1C7408E4-0286-429A-9202-F06759B00E9C}"/>
    <cellStyle name="40% - Accent6 2 5 5" xfId="13845" xr:uid="{FCB2CC06-188D-434D-AD4D-4C1B13E9F437}"/>
    <cellStyle name="40% - Accent6 2 6" xfId="1527" xr:uid="{00000000-0005-0000-0000-000027070000}"/>
    <cellStyle name="40% - Accent6 2 6 2" xfId="3757" xr:uid="{00000000-0005-0000-0000-000028070000}"/>
    <cellStyle name="40% - Accent6 2 6 2 2" xfId="7981" xr:uid="{00000000-0005-0000-0000-000029070000}"/>
    <cellStyle name="40% - Accent6 2 6 2 3" xfId="12192" xr:uid="{6DE84E7E-09EF-4FBC-9323-B32B6C5FD690}"/>
    <cellStyle name="40% - Accent6 2 6 2 4" xfId="16403" xr:uid="{B74834A8-EA3E-4804-9289-3D9EEE9BAF56}"/>
    <cellStyle name="40% - Accent6 2 6 3" xfId="5836" xr:uid="{00000000-0005-0000-0000-00002A070000}"/>
    <cellStyle name="40% - Accent6 2 6 4" xfId="10047" xr:uid="{64A2C633-36D2-4418-9F4C-1B31A80FA7DD}"/>
    <cellStyle name="40% - Accent6 2 6 5" xfId="14258" xr:uid="{D3B2C83B-65D7-4698-84A8-0A7FDC586C34}"/>
    <cellStyle name="40% - Accent6 2 7" xfId="1941" xr:uid="{00000000-0005-0000-0000-00002B070000}"/>
    <cellStyle name="40% - Accent6 2 7 2" xfId="4170" xr:uid="{00000000-0005-0000-0000-00002C070000}"/>
    <cellStyle name="40% - Accent6 2 7 2 2" xfId="8394" xr:uid="{00000000-0005-0000-0000-00002D070000}"/>
    <cellStyle name="40% - Accent6 2 7 2 3" xfId="12605" xr:uid="{7F713AD7-CA15-40A2-A70F-4FE7772772F2}"/>
    <cellStyle name="40% - Accent6 2 7 2 4" xfId="16816" xr:uid="{AB1EB895-6829-48EC-80B7-E2C6A0ED4BF2}"/>
    <cellStyle name="40% - Accent6 2 7 3" xfId="6249" xr:uid="{00000000-0005-0000-0000-00002E070000}"/>
    <cellStyle name="40% - Accent6 2 7 4" xfId="10460" xr:uid="{D2F9D38D-FFDF-4F58-89E4-EA329B528B3C}"/>
    <cellStyle name="40% - Accent6 2 7 5" xfId="14671" xr:uid="{DE14E1C7-197F-4E0D-BBFA-4AA4B1B8C87D}"/>
    <cellStyle name="40% - Accent6 2 8" xfId="2354" xr:uid="{00000000-0005-0000-0000-00002F070000}"/>
    <cellStyle name="40% - Accent6 2 8 2" xfId="6662" xr:uid="{00000000-0005-0000-0000-000030070000}"/>
    <cellStyle name="40% - Accent6 2 8 3" xfId="10873" xr:uid="{6349A9D9-5DE2-4F57-82BF-DCC741934657}"/>
    <cellStyle name="40% - Accent6 2 8 4" xfId="15084" xr:uid="{3152EDA4-7ABC-4AEF-BF77-50678182A886}"/>
    <cellStyle name="40% - Accent6 2 9" xfId="4596" xr:uid="{00000000-0005-0000-0000-000031070000}"/>
    <cellStyle name="40% - Accent6 3" xfId="94" xr:uid="{00000000-0005-0000-0000-000032070000}"/>
    <cellStyle name="40% - Accent6 3 10" xfId="13022" xr:uid="{6EF6081C-6E7E-449D-8CD1-0D2A4A9D7B7A}"/>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2 3" xfId="11371" xr:uid="{EB962200-0422-4FA6-ACE8-030A2E6C81D0}"/>
    <cellStyle name="40% - Accent6 3 2 2 2 4" xfId="15582" xr:uid="{9FBB471C-F010-4FFC-96DE-B4912A7EFDEF}"/>
    <cellStyle name="40% - Accent6 3 2 2 3" xfId="5015" xr:uid="{00000000-0005-0000-0000-000037070000}"/>
    <cellStyle name="40% - Accent6 3 2 2 4" xfId="9226" xr:uid="{0206D9A4-DA7D-4F21-A6F6-B0C83F5E5956}"/>
    <cellStyle name="40% - Accent6 3 2 2 5" xfId="13437" xr:uid="{87E80626-2941-46BE-BCCA-A41A8953E495}"/>
    <cellStyle name="40% - Accent6 3 2 3" xfId="1118" xr:uid="{00000000-0005-0000-0000-000038070000}"/>
    <cellStyle name="40% - Accent6 3 2 3 2" xfId="3349" xr:uid="{00000000-0005-0000-0000-000039070000}"/>
    <cellStyle name="40% - Accent6 3 2 3 2 2" xfId="7573" xr:uid="{00000000-0005-0000-0000-00003A070000}"/>
    <cellStyle name="40% - Accent6 3 2 3 2 3" xfId="11784" xr:uid="{85271F1F-8EE8-4C28-936D-18EE058DF848}"/>
    <cellStyle name="40% - Accent6 3 2 3 2 4" xfId="15995" xr:uid="{3D1AFC24-DD54-450C-B78D-B7886902AB84}"/>
    <cellStyle name="40% - Accent6 3 2 3 3" xfId="5428" xr:uid="{00000000-0005-0000-0000-00003B070000}"/>
    <cellStyle name="40% - Accent6 3 2 3 4" xfId="9639" xr:uid="{C086FC76-AF04-433D-8C03-88CD9F4ABFE3}"/>
    <cellStyle name="40% - Accent6 3 2 3 5" xfId="13850" xr:uid="{96BC8D4E-0906-4FE4-AA6B-7FEF02D63F09}"/>
    <cellStyle name="40% - Accent6 3 2 4" xfId="1532" xr:uid="{00000000-0005-0000-0000-00003C070000}"/>
    <cellStyle name="40% - Accent6 3 2 4 2" xfId="3762" xr:uid="{00000000-0005-0000-0000-00003D070000}"/>
    <cellStyle name="40% - Accent6 3 2 4 2 2" xfId="7986" xr:uid="{00000000-0005-0000-0000-00003E070000}"/>
    <cellStyle name="40% - Accent6 3 2 4 2 3" xfId="12197" xr:uid="{3E9A672A-5BBE-466A-AAD4-309E28817F20}"/>
    <cellStyle name="40% - Accent6 3 2 4 2 4" xfId="16408" xr:uid="{EC69451C-0C06-4C5F-B9B5-8694CC14222C}"/>
    <cellStyle name="40% - Accent6 3 2 4 3" xfId="5841" xr:uid="{00000000-0005-0000-0000-00003F070000}"/>
    <cellStyle name="40% - Accent6 3 2 4 4" xfId="10052" xr:uid="{DAB83739-9518-4927-93B0-5C7C35324ABA}"/>
    <cellStyle name="40% - Accent6 3 2 4 5" xfId="14263" xr:uid="{ED40FBA5-FE07-404B-85A6-D4003473FA48}"/>
    <cellStyle name="40% - Accent6 3 2 5" xfId="1946" xr:uid="{00000000-0005-0000-0000-000040070000}"/>
    <cellStyle name="40% - Accent6 3 2 5 2" xfId="4175" xr:uid="{00000000-0005-0000-0000-000041070000}"/>
    <cellStyle name="40% - Accent6 3 2 5 2 2" xfId="8399" xr:uid="{00000000-0005-0000-0000-000042070000}"/>
    <cellStyle name="40% - Accent6 3 2 5 2 3" xfId="12610" xr:uid="{B00BC663-B4B6-473B-9FCC-74E406599CE1}"/>
    <cellStyle name="40% - Accent6 3 2 5 2 4" xfId="16821" xr:uid="{7272BD0F-286B-42D3-940D-2866A74BFAD8}"/>
    <cellStyle name="40% - Accent6 3 2 5 3" xfId="6254" xr:uid="{00000000-0005-0000-0000-000043070000}"/>
    <cellStyle name="40% - Accent6 3 2 5 4" xfId="10465" xr:uid="{F4E86228-1AAF-4360-BDEE-1AE30B55CAEC}"/>
    <cellStyle name="40% - Accent6 3 2 5 5" xfId="14676" xr:uid="{3F5E8CB0-C69C-4C12-A6E6-4F5BA242E07D}"/>
    <cellStyle name="40% - Accent6 3 2 6" xfId="2359" xr:uid="{00000000-0005-0000-0000-000044070000}"/>
    <cellStyle name="40% - Accent6 3 2 6 2" xfId="6667" xr:uid="{00000000-0005-0000-0000-000045070000}"/>
    <cellStyle name="40% - Accent6 3 2 6 3" xfId="10878" xr:uid="{CBE219CD-8ABA-470C-9064-D8D3BB5A0B04}"/>
    <cellStyle name="40% - Accent6 3 2 6 4" xfId="15089" xr:uid="{D4DA1F30-A263-4316-908B-FB5B27D835B9}"/>
    <cellStyle name="40% - Accent6 3 2 7" xfId="4601" xr:uid="{00000000-0005-0000-0000-000046070000}"/>
    <cellStyle name="40% - Accent6 3 2 8" xfId="8812" xr:uid="{EC6749AA-828F-4B36-9362-0A41F8831FB6}"/>
    <cellStyle name="40% - Accent6 3 2 9" xfId="13023" xr:uid="{4AAEA4FF-64E6-4F49-B627-C0862A07A5CF}"/>
    <cellStyle name="40% - Accent6 3 3" xfId="664" xr:uid="{00000000-0005-0000-0000-000047070000}"/>
    <cellStyle name="40% - Accent6 3 3 2" xfId="2935" xr:uid="{00000000-0005-0000-0000-000048070000}"/>
    <cellStyle name="40% - Accent6 3 3 2 2" xfId="7159" xr:uid="{00000000-0005-0000-0000-000049070000}"/>
    <cellStyle name="40% - Accent6 3 3 2 3" xfId="11370" xr:uid="{6EA7215F-13AC-49B0-8CB5-D34C62443C56}"/>
    <cellStyle name="40% - Accent6 3 3 2 4" xfId="15581" xr:uid="{7A482111-F591-4618-9377-2BCC9BCE501D}"/>
    <cellStyle name="40% - Accent6 3 3 3" xfId="5014" xr:uid="{00000000-0005-0000-0000-00004A070000}"/>
    <cellStyle name="40% - Accent6 3 3 4" xfId="9225" xr:uid="{B3864F29-DF8F-468B-AB19-BD373CC8CA0B}"/>
    <cellStyle name="40% - Accent6 3 3 5" xfId="13436" xr:uid="{E2D3943A-295D-4883-852B-62232EC92C44}"/>
    <cellStyle name="40% - Accent6 3 4" xfId="1117" xr:uid="{00000000-0005-0000-0000-00004B070000}"/>
    <cellStyle name="40% - Accent6 3 4 2" xfId="3348" xr:uid="{00000000-0005-0000-0000-00004C070000}"/>
    <cellStyle name="40% - Accent6 3 4 2 2" xfId="7572" xr:uid="{00000000-0005-0000-0000-00004D070000}"/>
    <cellStyle name="40% - Accent6 3 4 2 3" xfId="11783" xr:uid="{9D8E19B7-6ACD-427B-BFBB-1290E67C29E8}"/>
    <cellStyle name="40% - Accent6 3 4 2 4" xfId="15994" xr:uid="{2BE93EAD-2120-43EF-AC29-9D3CF2974D83}"/>
    <cellStyle name="40% - Accent6 3 4 3" xfId="5427" xr:uid="{00000000-0005-0000-0000-00004E070000}"/>
    <cellStyle name="40% - Accent6 3 4 4" xfId="9638" xr:uid="{E33CA460-C25D-493F-AF6A-F8ECCFA4CB88}"/>
    <cellStyle name="40% - Accent6 3 4 5" xfId="13849" xr:uid="{F401BE43-DD6A-47FC-AE12-EFA1B573EC5F}"/>
    <cellStyle name="40% - Accent6 3 5" xfId="1531" xr:uid="{00000000-0005-0000-0000-00004F070000}"/>
    <cellStyle name="40% - Accent6 3 5 2" xfId="3761" xr:uid="{00000000-0005-0000-0000-000050070000}"/>
    <cellStyle name="40% - Accent6 3 5 2 2" xfId="7985" xr:uid="{00000000-0005-0000-0000-000051070000}"/>
    <cellStyle name="40% - Accent6 3 5 2 3" xfId="12196" xr:uid="{35B7CA16-71E2-4227-A583-819B7A2199C0}"/>
    <cellStyle name="40% - Accent6 3 5 2 4" xfId="16407" xr:uid="{6536AE22-AF47-4C9F-8346-521597B2139C}"/>
    <cellStyle name="40% - Accent6 3 5 3" xfId="5840" xr:uid="{00000000-0005-0000-0000-000052070000}"/>
    <cellStyle name="40% - Accent6 3 5 4" xfId="10051" xr:uid="{5B8ADDC2-D36E-42B3-A62D-2714B3581CA2}"/>
    <cellStyle name="40% - Accent6 3 5 5" xfId="14262" xr:uid="{BA3644EA-D8A4-4EEC-AA3B-218FDFFA250D}"/>
    <cellStyle name="40% - Accent6 3 6" xfId="1945" xr:uid="{00000000-0005-0000-0000-000053070000}"/>
    <cellStyle name="40% - Accent6 3 6 2" xfId="4174" xr:uid="{00000000-0005-0000-0000-000054070000}"/>
    <cellStyle name="40% - Accent6 3 6 2 2" xfId="8398" xr:uid="{00000000-0005-0000-0000-000055070000}"/>
    <cellStyle name="40% - Accent6 3 6 2 3" xfId="12609" xr:uid="{E676EEE7-8B27-46AA-8CDF-22D91359E2C6}"/>
    <cellStyle name="40% - Accent6 3 6 2 4" xfId="16820" xr:uid="{724D42EC-3F2C-42A5-BA8D-1BFF745D4193}"/>
    <cellStyle name="40% - Accent6 3 6 3" xfId="6253" xr:uid="{00000000-0005-0000-0000-000056070000}"/>
    <cellStyle name="40% - Accent6 3 6 4" xfId="10464" xr:uid="{859E79C8-B3EB-4C91-B79D-F5B83BB2695E}"/>
    <cellStyle name="40% - Accent6 3 6 5" xfId="14675" xr:uid="{51AC8F61-65F6-4960-A126-01D463E5A68A}"/>
    <cellStyle name="40% - Accent6 3 7" xfId="2358" xr:uid="{00000000-0005-0000-0000-000057070000}"/>
    <cellStyle name="40% - Accent6 3 7 2" xfId="6666" xr:uid="{00000000-0005-0000-0000-000058070000}"/>
    <cellStyle name="40% - Accent6 3 7 3" xfId="10877" xr:uid="{93A499C4-2436-4CC3-B97D-402EE4C6EAED}"/>
    <cellStyle name="40% - Accent6 3 7 4" xfId="15088" xr:uid="{9087652D-EEEC-43F2-B873-0B506B3F0FCA}"/>
    <cellStyle name="40% - Accent6 3 8" xfId="4600" xr:uid="{00000000-0005-0000-0000-000059070000}"/>
    <cellStyle name="40% - Accent6 3 9" xfId="8811" xr:uid="{22C6941E-E4F7-41EC-9BC2-D610DAE7A413}"/>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2 3" xfId="11372" xr:uid="{0DD6E69C-0B05-40F5-AB02-AA1D463183A2}"/>
    <cellStyle name="40% - Accent6 4 2 2 4" xfId="15583" xr:uid="{1463FFC5-E777-4523-8F85-810DEB669972}"/>
    <cellStyle name="40% - Accent6 4 2 3" xfId="5016" xr:uid="{00000000-0005-0000-0000-00005E070000}"/>
    <cellStyle name="40% - Accent6 4 2 4" xfId="9227" xr:uid="{8DDA231E-5090-4ACD-9575-1F139B46923B}"/>
    <cellStyle name="40% - Accent6 4 2 5" xfId="13438" xr:uid="{7170730E-157B-4B6D-8208-236FE8F25BEB}"/>
    <cellStyle name="40% - Accent6 4 3" xfId="1119" xr:uid="{00000000-0005-0000-0000-00005F070000}"/>
    <cellStyle name="40% - Accent6 4 3 2" xfId="3350" xr:uid="{00000000-0005-0000-0000-000060070000}"/>
    <cellStyle name="40% - Accent6 4 3 2 2" xfId="7574" xr:uid="{00000000-0005-0000-0000-000061070000}"/>
    <cellStyle name="40% - Accent6 4 3 2 3" xfId="11785" xr:uid="{702AF69C-B98B-4B28-8955-2728C2603100}"/>
    <cellStyle name="40% - Accent6 4 3 2 4" xfId="15996" xr:uid="{5E512AD2-0467-4CAA-9D65-075BBC3A44F5}"/>
    <cellStyle name="40% - Accent6 4 3 3" xfId="5429" xr:uid="{00000000-0005-0000-0000-000062070000}"/>
    <cellStyle name="40% - Accent6 4 3 4" xfId="9640" xr:uid="{015BD504-531F-41AC-A3E1-753A21E0E25C}"/>
    <cellStyle name="40% - Accent6 4 3 5" xfId="13851" xr:uid="{BA17524B-1B56-4673-85A7-A63B0061C530}"/>
    <cellStyle name="40% - Accent6 4 4" xfId="1533" xr:uid="{00000000-0005-0000-0000-000063070000}"/>
    <cellStyle name="40% - Accent6 4 4 2" xfId="3763" xr:uid="{00000000-0005-0000-0000-000064070000}"/>
    <cellStyle name="40% - Accent6 4 4 2 2" xfId="7987" xr:uid="{00000000-0005-0000-0000-000065070000}"/>
    <cellStyle name="40% - Accent6 4 4 2 3" xfId="12198" xr:uid="{81E9D837-3DD8-473C-9EF8-2721750FB763}"/>
    <cellStyle name="40% - Accent6 4 4 2 4" xfId="16409" xr:uid="{DAD0A441-6F05-4A52-8350-15A74B49418C}"/>
    <cellStyle name="40% - Accent6 4 4 3" xfId="5842" xr:uid="{00000000-0005-0000-0000-000066070000}"/>
    <cellStyle name="40% - Accent6 4 4 4" xfId="10053" xr:uid="{52859317-2DAE-461F-A473-01A19EB47F42}"/>
    <cellStyle name="40% - Accent6 4 4 5" xfId="14264" xr:uid="{CEA528CF-92E6-4F5A-88BC-54CF165F69F1}"/>
    <cellStyle name="40% - Accent6 4 5" xfId="1947" xr:uid="{00000000-0005-0000-0000-000067070000}"/>
    <cellStyle name="40% - Accent6 4 5 2" xfId="4176" xr:uid="{00000000-0005-0000-0000-000068070000}"/>
    <cellStyle name="40% - Accent6 4 5 2 2" xfId="8400" xr:uid="{00000000-0005-0000-0000-000069070000}"/>
    <cellStyle name="40% - Accent6 4 5 2 3" xfId="12611" xr:uid="{35F23EB5-2DB8-480A-8B16-61F8C4CC9060}"/>
    <cellStyle name="40% - Accent6 4 5 2 4" xfId="16822" xr:uid="{726C6E0B-7DF9-4B31-A66B-EF0B3702DEBA}"/>
    <cellStyle name="40% - Accent6 4 5 3" xfId="6255" xr:uid="{00000000-0005-0000-0000-00006A070000}"/>
    <cellStyle name="40% - Accent6 4 5 4" xfId="10466" xr:uid="{DBB9A08A-F740-48B9-8B63-1C652A51A056}"/>
    <cellStyle name="40% - Accent6 4 5 5" xfId="14677" xr:uid="{E7C974D8-3617-4EEE-83F0-535C8E9253E5}"/>
    <cellStyle name="40% - Accent6 4 6" xfId="2360" xr:uid="{00000000-0005-0000-0000-00006B070000}"/>
    <cellStyle name="40% - Accent6 4 6 2" xfId="6668" xr:uid="{00000000-0005-0000-0000-00006C070000}"/>
    <cellStyle name="40% - Accent6 4 6 3" xfId="10879" xr:uid="{26D9C9A4-39B0-4FC6-AD7E-B7829411575E}"/>
    <cellStyle name="40% - Accent6 4 6 4" xfId="15090" xr:uid="{58C061BC-8931-489C-AE34-3E92CDAA0EAB}"/>
    <cellStyle name="40% - Accent6 4 7" xfId="4602" xr:uid="{00000000-0005-0000-0000-00006D070000}"/>
    <cellStyle name="40% - Accent6 4 8" xfId="8813" xr:uid="{F760EF75-DD77-4514-9AFB-FB7E28A9C8A8}"/>
    <cellStyle name="40% - Accent6 4 9" xfId="13024" xr:uid="{65465EF7-9D7F-47E0-8C8B-4E9A5829C708}"/>
    <cellStyle name="40% - Accent6 5" xfId="659" xr:uid="{00000000-0005-0000-0000-00006E070000}"/>
    <cellStyle name="40% - Accent6 5 2" xfId="2930" xr:uid="{00000000-0005-0000-0000-00006F070000}"/>
    <cellStyle name="40% - Accent6 5 2 2" xfId="7154" xr:uid="{00000000-0005-0000-0000-000070070000}"/>
    <cellStyle name="40% - Accent6 5 2 3" xfId="11365" xr:uid="{A98F50A4-7A2A-42C8-84E6-907DFDF2F3A1}"/>
    <cellStyle name="40% - Accent6 5 2 4" xfId="15576" xr:uid="{E7767988-495E-431C-AC6C-0709EA22B987}"/>
    <cellStyle name="40% - Accent6 5 3" xfId="5009" xr:uid="{00000000-0005-0000-0000-000071070000}"/>
    <cellStyle name="40% - Accent6 5 4" xfId="9220" xr:uid="{FBB30C64-CC3A-4AC6-B7B8-A4DA45CAEF53}"/>
    <cellStyle name="40% - Accent6 5 5" xfId="13431" xr:uid="{BFE89F18-0D8A-4110-93EC-359B61A85DF7}"/>
    <cellStyle name="40% - Accent6 6" xfId="1112" xr:uid="{00000000-0005-0000-0000-000072070000}"/>
    <cellStyle name="40% - Accent6 6 2" xfId="3343" xr:uid="{00000000-0005-0000-0000-000073070000}"/>
    <cellStyle name="40% - Accent6 6 2 2" xfId="7567" xr:uid="{00000000-0005-0000-0000-000074070000}"/>
    <cellStyle name="40% - Accent6 6 2 3" xfId="11778" xr:uid="{EDF758EC-697D-47D4-A0BA-BF763C0DCBC7}"/>
    <cellStyle name="40% - Accent6 6 2 4" xfId="15989" xr:uid="{258A7987-0E3B-4E07-98BD-C2EDF354AD2C}"/>
    <cellStyle name="40% - Accent6 6 3" xfId="5422" xr:uid="{00000000-0005-0000-0000-000075070000}"/>
    <cellStyle name="40% - Accent6 6 4" xfId="9633" xr:uid="{EF5D06A8-C561-4F3E-9575-249BA352D400}"/>
    <cellStyle name="40% - Accent6 6 5" xfId="13844" xr:uid="{A168EA61-09B0-49CC-9EA3-085F78B0FD50}"/>
    <cellStyle name="40% - Accent6 7" xfId="1526" xr:uid="{00000000-0005-0000-0000-000076070000}"/>
    <cellStyle name="40% - Accent6 7 2" xfId="3756" xr:uid="{00000000-0005-0000-0000-000077070000}"/>
    <cellStyle name="40% - Accent6 7 2 2" xfId="7980" xr:uid="{00000000-0005-0000-0000-000078070000}"/>
    <cellStyle name="40% - Accent6 7 2 3" xfId="12191" xr:uid="{5D5B1765-95EE-42F2-9ADE-F97916D1AC59}"/>
    <cellStyle name="40% - Accent6 7 2 4" xfId="16402" xr:uid="{F0E5B089-8B5F-44D0-BAC1-B44FE71547C4}"/>
    <cellStyle name="40% - Accent6 7 3" xfId="5835" xr:uid="{00000000-0005-0000-0000-000079070000}"/>
    <cellStyle name="40% - Accent6 7 4" xfId="10046" xr:uid="{10F77DBE-7E5D-421A-9299-A00225F38D3C}"/>
    <cellStyle name="40% - Accent6 7 5" xfId="14257" xr:uid="{24F41EB0-4B42-42E4-9AC2-35D4580CD08E}"/>
    <cellStyle name="40% - Accent6 8" xfId="1940" xr:uid="{00000000-0005-0000-0000-00007A070000}"/>
    <cellStyle name="40% - Accent6 8 2" xfId="4169" xr:uid="{00000000-0005-0000-0000-00007B070000}"/>
    <cellStyle name="40% - Accent6 8 2 2" xfId="8393" xr:uid="{00000000-0005-0000-0000-00007C070000}"/>
    <cellStyle name="40% - Accent6 8 2 3" xfId="12604" xr:uid="{E6EA8F8A-75C9-410E-8D0C-BCC919D4062B}"/>
    <cellStyle name="40% - Accent6 8 2 4" xfId="16815" xr:uid="{CD06A5D1-8E73-4210-B2D0-C77AEFCEA84A}"/>
    <cellStyle name="40% - Accent6 8 3" xfId="6248" xr:uid="{00000000-0005-0000-0000-00007D070000}"/>
    <cellStyle name="40% - Accent6 8 4" xfId="10459" xr:uid="{1C4822AF-D629-4BED-9ADF-80DD982B7A3B}"/>
    <cellStyle name="40% - Accent6 8 5" xfId="14670" xr:uid="{3702E572-800F-49A8-B6F9-CBD9BD5015E7}"/>
    <cellStyle name="40% - Accent6 9" xfId="2353" xr:uid="{00000000-0005-0000-0000-00007E070000}"/>
    <cellStyle name="40% - Accent6 9 2" xfId="6661" xr:uid="{00000000-0005-0000-0000-00007F070000}"/>
    <cellStyle name="40% - Accent6 9 3" xfId="10872" xr:uid="{585D1A30-FE27-49F1-8A62-3D7B634D8D8F}"/>
    <cellStyle name="40% - Accent6 9 4" xfId="15083" xr:uid="{6BC6AD19-81F1-4F47-A60B-B686A1E7EDEC}"/>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0 3" xfId="11197" xr:uid="{05FF9187-A25F-4316-97DC-E0C92A721D8A}"/>
    <cellStyle name="Comma 4 2 2 2 10 4" xfId="15408" xr:uid="{26D64404-6519-4533-9F24-26E342BCCFAA}"/>
    <cellStyle name="Comma 4 2 2 2 11" xfId="4603" xr:uid="{00000000-0005-0000-0000-0000A3070000}"/>
    <cellStyle name="Comma 4 2 2 2 12" xfId="8814" xr:uid="{7FDED714-1A7F-4672-A61E-1336AC58F34E}"/>
    <cellStyle name="Comma 4 2 2 2 13" xfId="13025" xr:uid="{BBAA773A-D3E5-4028-B017-53FA96DBC722}"/>
    <cellStyle name="Comma 4 2 2 2 2" xfId="129" xr:uid="{00000000-0005-0000-0000-0000A4070000}"/>
    <cellStyle name="Comma 4 2 2 2 2 10" xfId="4604" xr:uid="{00000000-0005-0000-0000-0000A5070000}"/>
    <cellStyle name="Comma 4 2 2 2 2 11" xfId="8815" xr:uid="{E136BD96-B388-449F-B6D4-90E5426448E7}"/>
    <cellStyle name="Comma 4 2 2 2 2 12" xfId="13026" xr:uid="{C5CA4272-62F5-463D-AC25-428AE2C6EAA5}"/>
    <cellStyle name="Comma 4 2 2 2 2 2" xfId="130" xr:uid="{00000000-0005-0000-0000-0000A6070000}"/>
    <cellStyle name="Comma 4 2 2 2 2 2 10" xfId="8816" xr:uid="{D93A05CC-F521-4628-A6B5-3FB8255B3ADC}"/>
    <cellStyle name="Comma 4 2 2 2 2 2 11" xfId="13027" xr:uid="{A08DE759-6883-4CE4-8E8C-ABCEB58FA90E}"/>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2 3" xfId="11375" xr:uid="{A4532222-097F-4194-AFAE-4D723C029B42}"/>
    <cellStyle name="Comma 4 2 2 2 2 2 2 2 4" xfId="15586" xr:uid="{E655F34C-9161-4D0B-8F8A-F2D2542AF96A}"/>
    <cellStyle name="Comma 4 2 2 2 2 2 2 3" xfId="5019" xr:uid="{00000000-0005-0000-0000-0000AA070000}"/>
    <cellStyle name="Comma 4 2 2 2 2 2 2 4" xfId="9230" xr:uid="{C886B497-D32F-4E2A-A0EE-1FD3C0F86588}"/>
    <cellStyle name="Comma 4 2 2 2 2 2 2 5" xfId="13441" xr:uid="{110B1D05-F7D1-47F7-A9D8-C28F4D4A0D0B}"/>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2 3" xfId="11788" xr:uid="{BEE6003D-510C-4DB0-A030-03D5F36DE8BC}"/>
    <cellStyle name="Comma 4 2 2 2 2 2 3 2 4" xfId="15999" xr:uid="{29F9B8A1-5FE1-4612-A21A-655A4B75971B}"/>
    <cellStyle name="Comma 4 2 2 2 2 2 3 3" xfId="5432" xr:uid="{00000000-0005-0000-0000-0000AE070000}"/>
    <cellStyle name="Comma 4 2 2 2 2 2 3 4" xfId="9643" xr:uid="{F9C64F19-15E7-4058-B8A4-8CE91BDF1317}"/>
    <cellStyle name="Comma 4 2 2 2 2 2 3 5" xfId="13854" xr:uid="{5B5CE63F-B212-4CF1-82BE-F4581AD78217}"/>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2 3" xfId="12201" xr:uid="{5EE03DB1-0A79-477A-8FCE-9DE807827DE9}"/>
    <cellStyle name="Comma 4 2 2 2 2 2 4 2 4" xfId="16412" xr:uid="{1DC51B3D-83BE-42FB-96B1-799577B9964A}"/>
    <cellStyle name="Comma 4 2 2 2 2 2 4 3" xfId="5845" xr:uid="{00000000-0005-0000-0000-0000B2070000}"/>
    <cellStyle name="Comma 4 2 2 2 2 2 4 4" xfId="10056" xr:uid="{72BF2639-E7CC-4C5D-8E14-7931AB72095B}"/>
    <cellStyle name="Comma 4 2 2 2 2 2 4 5" xfId="14267" xr:uid="{CF5C6CBD-8E69-4208-9276-02EDD1955C9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2 3" xfId="12614" xr:uid="{559A4E89-416D-42BF-BC6F-FEB921626BCE}"/>
    <cellStyle name="Comma 4 2 2 2 2 2 5 2 4" xfId="16825" xr:uid="{C0084C7B-71EF-4D97-BAB7-17861D1551BE}"/>
    <cellStyle name="Comma 4 2 2 2 2 2 5 3" xfId="6258" xr:uid="{00000000-0005-0000-0000-0000B6070000}"/>
    <cellStyle name="Comma 4 2 2 2 2 2 5 4" xfId="10469" xr:uid="{08725199-27EE-4D92-9402-678C844E90BF}"/>
    <cellStyle name="Comma 4 2 2 2 2 2 5 5" xfId="14680" xr:uid="{96584119-FA9F-42AC-8AFB-66A7B533066D}"/>
    <cellStyle name="Comma 4 2 2 2 2 2 6" xfId="2385" xr:uid="{00000000-0005-0000-0000-0000B7070000}"/>
    <cellStyle name="Comma 4 2 2 2 2 2 6 2" xfId="6671" xr:uid="{00000000-0005-0000-0000-0000B8070000}"/>
    <cellStyle name="Comma 4 2 2 2 2 2 6 3" xfId="10882" xr:uid="{4E93A09C-2475-4297-9E3D-1C458266EB3B}"/>
    <cellStyle name="Comma 4 2 2 2 2 2 6 4" xfId="15093" xr:uid="{90111D91-3F7D-4D58-9DEB-12F6E40468F3}"/>
    <cellStyle name="Comma 4 2 2 2 2 2 7" xfId="2380" xr:uid="{00000000-0005-0000-0000-0000B9070000}"/>
    <cellStyle name="Comma 4 2 2 2 2 2 8" xfId="2763" xr:uid="{00000000-0005-0000-0000-0000BA070000}"/>
    <cellStyle name="Comma 4 2 2 2 2 2 8 2" xfId="6988" xr:uid="{00000000-0005-0000-0000-0000BB070000}"/>
    <cellStyle name="Comma 4 2 2 2 2 2 8 3" xfId="11199" xr:uid="{259C3728-2885-4274-B231-350C8BD6792F}"/>
    <cellStyle name="Comma 4 2 2 2 2 2 8 4" xfId="15410" xr:uid="{ECF0AD41-DC74-45F7-9435-C385D0D0379E}"/>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2 3" xfId="11374" xr:uid="{BA16D420-9842-4DC5-88DD-2993E8280AE2}"/>
    <cellStyle name="Comma 4 2 2 2 2 3 2 4" xfId="15585" xr:uid="{7A19BE2E-D343-4DB2-9FA3-C8AB26E09560}"/>
    <cellStyle name="Comma 4 2 2 2 2 3 3" xfId="5018" xr:uid="{00000000-0005-0000-0000-0000C0070000}"/>
    <cellStyle name="Comma 4 2 2 2 2 3 4" xfId="9229" xr:uid="{459E7AA4-6BBE-420A-A64F-F6D339E6FD1E}"/>
    <cellStyle name="Comma 4 2 2 2 2 3 5" xfId="13440" xr:uid="{8FE95033-E78F-4E1E-AF4A-1417E3F98C8D}"/>
    <cellStyle name="Comma 4 2 2 2 2 4" xfId="1121" xr:uid="{00000000-0005-0000-0000-0000C1070000}"/>
    <cellStyle name="Comma 4 2 2 2 2 4 2" xfId="3352" xr:uid="{00000000-0005-0000-0000-0000C2070000}"/>
    <cellStyle name="Comma 4 2 2 2 2 4 2 2" xfId="7576" xr:uid="{00000000-0005-0000-0000-0000C3070000}"/>
    <cellStyle name="Comma 4 2 2 2 2 4 2 3" xfId="11787" xr:uid="{746B6BDF-A3E4-4CE9-8CB3-9F290651274A}"/>
    <cellStyle name="Comma 4 2 2 2 2 4 2 4" xfId="15998" xr:uid="{975EBCDC-A25E-48C8-9D99-8634A8F7CE7F}"/>
    <cellStyle name="Comma 4 2 2 2 2 4 3" xfId="5431" xr:uid="{00000000-0005-0000-0000-0000C4070000}"/>
    <cellStyle name="Comma 4 2 2 2 2 4 4" xfId="9642" xr:uid="{0925F82A-783D-423D-B105-5C8877533BB1}"/>
    <cellStyle name="Comma 4 2 2 2 2 4 5" xfId="13853" xr:uid="{D2A2E3BA-8E64-4EDC-9883-6E709497AF5A}"/>
    <cellStyle name="Comma 4 2 2 2 2 5" xfId="1535" xr:uid="{00000000-0005-0000-0000-0000C5070000}"/>
    <cellStyle name="Comma 4 2 2 2 2 5 2" xfId="3765" xr:uid="{00000000-0005-0000-0000-0000C6070000}"/>
    <cellStyle name="Comma 4 2 2 2 2 5 2 2" xfId="7989" xr:uid="{00000000-0005-0000-0000-0000C7070000}"/>
    <cellStyle name="Comma 4 2 2 2 2 5 2 3" xfId="12200" xr:uid="{10BD8217-D32D-4A0D-BC5F-A4DA35020246}"/>
    <cellStyle name="Comma 4 2 2 2 2 5 2 4" xfId="16411" xr:uid="{C8715CDB-5931-4067-BF81-422DEA49724B}"/>
    <cellStyle name="Comma 4 2 2 2 2 5 3" xfId="5844" xr:uid="{00000000-0005-0000-0000-0000C8070000}"/>
    <cellStyle name="Comma 4 2 2 2 2 5 4" xfId="10055" xr:uid="{BE4442F3-A103-46C5-9493-521967BB200E}"/>
    <cellStyle name="Comma 4 2 2 2 2 5 5" xfId="14266" xr:uid="{A061F7DD-1B99-4F6F-90BB-8F6F6774CAFE}"/>
    <cellStyle name="Comma 4 2 2 2 2 6" xfId="1949" xr:uid="{00000000-0005-0000-0000-0000C9070000}"/>
    <cellStyle name="Comma 4 2 2 2 2 6 2" xfId="4178" xr:uid="{00000000-0005-0000-0000-0000CA070000}"/>
    <cellStyle name="Comma 4 2 2 2 2 6 2 2" xfId="8402" xr:uid="{00000000-0005-0000-0000-0000CB070000}"/>
    <cellStyle name="Comma 4 2 2 2 2 6 2 3" xfId="12613" xr:uid="{E35D75DD-B05F-48AB-B2D5-C13488CA3761}"/>
    <cellStyle name="Comma 4 2 2 2 2 6 2 4" xfId="16824" xr:uid="{E827DA17-7F7A-4961-8F9E-F6F098A0CD6F}"/>
    <cellStyle name="Comma 4 2 2 2 2 6 3" xfId="6257" xr:uid="{00000000-0005-0000-0000-0000CC070000}"/>
    <cellStyle name="Comma 4 2 2 2 2 6 4" xfId="10468" xr:uid="{3760CAAF-1E3D-470F-B89A-60B8D1507B5D}"/>
    <cellStyle name="Comma 4 2 2 2 2 6 5" xfId="14679" xr:uid="{D9F72F3A-3B3D-4436-8EEA-DDED4BE3E34B}"/>
    <cellStyle name="Comma 4 2 2 2 2 7" xfId="2384" xr:uid="{00000000-0005-0000-0000-0000CD070000}"/>
    <cellStyle name="Comma 4 2 2 2 2 7 2" xfId="6670" xr:uid="{00000000-0005-0000-0000-0000CE070000}"/>
    <cellStyle name="Comma 4 2 2 2 2 7 3" xfId="10881" xr:uid="{93F85895-9247-4740-8859-986BAA02A7FF}"/>
    <cellStyle name="Comma 4 2 2 2 2 7 4" xfId="15092" xr:uid="{C78EE95B-4AF0-46B2-841B-A2FBFA2174D9}"/>
    <cellStyle name="Comma 4 2 2 2 2 8" xfId="2381" xr:uid="{00000000-0005-0000-0000-0000CF070000}"/>
    <cellStyle name="Comma 4 2 2 2 2 9" xfId="2762" xr:uid="{00000000-0005-0000-0000-0000D0070000}"/>
    <cellStyle name="Comma 4 2 2 2 2 9 2" xfId="6987" xr:uid="{00000000-0005-0000-0000-0000D1070000}"/>
    <cellStyle name="Comma 4 2 2 2 2 9 3" xfId="11198" xr:uid="{F89422F8-7B57-4A4D-9B6D-0D8811E8A925}"/>
    <cellStyle name="Comma 4 2 2 2 2 9 4" xfId="15409" xr:uid="{AE8B8EF7-C84E-4AB6-904B-B85E6146CCED}"/>
    <cellStyle name="Comma 4 2 2 2 3" xfId="131" xr:uid="{00000000-0005-0000-0000-0000D2070000}"/>
    <cellStyle name="Comma 4 2 2 2 3 10" xfId="8817" xr:uid="{33EA36EF-C36D-4D7C-899B-2E1BA3207A66}"/>
    <cellStyle name="Comma 4 2 2 2 3 11" xfId="13028" xr:uid="{7940D4C7-6C6F-4D9D-9755-A7491F3F16E6}"/>
    <cellStyle name="Comma 4 2 2 2 3 2" xfId="670" xr:uid="{00000000-0005-0000-0000-0000D3070000}"/>
    <cellStyle name="Comma 4 2 2 2 3 2 2" xfId="2941" xr:uid="{00000000-0005-0000-0000-0000D4070000}"/>
    <cellStyle name="Comma 4 2 2 2 3 2 2 2" xfId="7165" xr:uid="{00000000-0005-0000-0000-0000D5070000}"/>
    <cellStyle name="Comma 4 2 2 2 3 2 2 3" xfId="11376" xr:uid="{63CCF6C7-1D38-40A5-82C3-8BAF41524464}"/>
    <cellStyle name="Comma 4 2 2 2 3 2 2 4" xfId="15587" xr:uid="{E0BC979F-C209-480F-8468-A4E537076D2F}"/>
    <cellStyle name="Comma 4 2 2 2 3 2 3" xfId="5020" xr:uid="{00000000-0005-0000-0000-0000D6070000}"/>
    <cellStyle name="Comma 4 2 2 2 3 2 4" xfId="9231" xr:uid="{D874D032-1376-4470-AB3A-8FE0AB620C36}"/>
    <cellStyle name="Comma 4 2 2 2 3 2 5" xfId="13442" xr:uid="{14604DA6-87C6-45E3-9F2C-1B1698AF5A04}"/>
    <cellStyle name="Comma 4 2 2 2 3 3" xfId="1123" xr:uid="{00000000-0005-0000-0000-0000D7070000}"/>
    <cellStyle name="Comma 4 2 2 2 3 3 2" xfId="3354" xr:uid="{00000000-0005-0000-0000-0000D8070000}"/>
    <cellStyle name="Comma 4 2 2 2 3 3 2 2" xfId="7578" xr:uid="{00000000-0005-0000-0000-0000D9070000}"/>
    <cellStyle name="Comma 4 2 2 2 3 3 2 3" xfId="11789" xr:uid="{F7AD9A50-74B7-4492-AF9F-10513236CFC7}"/>
    <cellStyle name="Comma 4 2 2 2 3 3 2 4" xfId="16000" xr:uid="{6E7E623E-45BA-402A-AF73-946775AF720C}"/>
    <cellStyle name="Comma 4 2 2 2 3 3 3" xfId="5433" xr:uid="{00000000-0005-0000-0000-0000DA070000}"/>
    <cellStyle name="Comma 4 2 2 2 3 3 4" xfId="9644" xr:uid="{92E1070D-FAC6-4F7E-9876-46B1822DAF89}"/>
    <cellStyle name="Comma 4 2 2 2 3 3 5" xfId="13855" xr:uid="{AB4EC8C7-8421-43B7-A34B-86C7BE3174C9}"/>
    <cellStyle name="Comma 4 2 2 2 3 4" xfId="1537" xr:uid="{00000000-0005-0000-0000-0000DB070000}"/>
    <cellStyle name="Comma 4 2 2 2 3 4 2" xfId="3767" xr:uid="{00000000-0005-0000-0000-0000DC070000}"/>
    <cellStyle name="Comma 4 2 2 2 3 4 2 2" xfId="7991" xr:uid="{00000000-0005-0000-0000-0000DD070000}"/>
    <cellStyle name="Comma 4 2 2 2 3 4 2 3" xfId="12202" xr:uid="{FAB8E4AF-360B-465A-8530-9FEC0BDFB132}"/>
    <cellStyle name="Comma 4 2 2 2 3 4 2 4" xfId="16413" xr:uid="{F3A89049-8111-46B7-B5FA-8E35C7F4B283}"/>
    <cellStyle name="Comma 4 2 2 2 3 4 3" xfId="5846" xr:uid="{00000000-0005-0000-0000-0000DE070000}"/>
    <cellStyle name="Comma 4 2 2 2 3 4 4" xfId="10057" xr:uid="{EAD2FDDD-147B-4665-BD67-B685CE296408}"/>
    <cellStyle name="Comma 4 2 2 2 3 4 5" xfId="14268" xr:uid="{26B10B40-891E-4DD1-B774-09E600073795}"/>
    <cellStyle name="Comma 4 2 2 2 3 5" xfId="1951" xr:uid="{00000000-0005-0000-0000-0000DF070000}"/>
    <cellStyle name="Comma 4 2 2 2 3 5 2" xfId="4180" xr:uid="{00000000-0005-0000-0000-0000E0070000}"/>
    <cellStyle name="Comma 4 2 2 2 3 5 2 2" xfId="8404" xr:uid="{00000000-0005-0000-0000-0000E1070000}"/>
    <cellStyle name="Comma 4 2 2 2 3 5 2 3" xfId="12615" xr:uid="{BF96293C-FD92-4DE7-9F7D-D27093C54471}"/>
    <cellStyle name="Comma 4 2 2 2 3 5 2 4" xfId="16826" xr:uid="{6DE9197B-ADF7-4B2A-A12F-8A1436CD67FF}"/>
    <cellStyle name="Comma 4 2 2 2 3 5 3" xfId="6259" xr:uid="{00000000-0005-0000-0000-0000E2070000}"/>
    <cellStyle name="Comma 4 2 2 2 3 5 4" xfId="10470" xr:uid="{F3B82EF8-7085-46AD-AC3D-3C579D65FA44}"/>
    <cellStyle name="Comma 4 2 2 2 3 5 5" xfId="14681" xr:uid="{26B3840E-D14F-485E-9552-B762115B3739}"/>
    <cellStyle name="Comma 4 2 2 2 3 6" xfId="2386" xr:uid="{00000000-0005-0000-0000-0000E3070000}"/>
    <cellStyle name="Comma 4 2 2 2 3 6 2" xfId="6672" xr:uid="{00000000-0005-0000-0000-0000E4070000}"/>
    <cellStyle name="Comma 4 2 2 2 3 6 3" xfId="10883" xr:uid="{97EB3280-D8A7-4E07-96FA-56901CAED592}"/>
    <cellStyle name="Comma 4 2 2 2 3 6 4" xfId="15094" xr:uid="{69068C92-E2D2-4978-8624-D3943F50AC1F}"/>
    <cellStyle name="Comma 4 2 2 2 3 7" xfId="2379" xr:uid="{00000000-0005-0000-0000-0000E5070000}"/>
    <cellStyle name="Comma 4 2 2 2 3 8" xfId="2764" xr:uid="{00000000-0005-0000-0000-0000E6070000}"/>
    <cellStyle name="Comma 4 2 2 2 3 8 2" xfId="6989" xr:uid="{00000000-0005-0000-0000-0000E7070000}"/>
    <cellStyle name="Comma 4 2 2 2 3 8 3" xfId="11200" xr:uid="{D9E9301F-B667-4E4A-BA05-FB3DD2B2360E}"/>
    <cellStyle name="Comma 4 2 2 2 3 8 4" xfId="15411" xr:uid="{1F35A13A-EB47-46C1-A9AA-71D17B76BAF7}"/>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2 3" xfId="11373" xr:uid="{E540A443-4E7A-4755-8397-C7DBD76138BE}"/>
    <cellStyle name="Comma 4 2 2 2 4 2 4" xfId="15584" xr:uid="{910BAA70-4546-4056-813A-4E9D86DED869}"/>
    <cellStyle name="Comma 4 2 2 2 4 3" xfId="5017" xr:uid="{00000000-0005-0000-0000-0000EC070000}"/>
    <cellStyle name="Comma 4 2 2 2 4 4" xfId="9228" xr:uid="{876D7275-6842-4767-AE6F-29B7465EC8EB}"/>
    <cellStyle name="Comma 4 2 2 2 4 5" xfId="13439" xr:uid="{B27C793B-CA11-4E88-B4D0-FBB477FBBDED}"/>
    <cellStyle name="Comma 4 2 2 2 5" xfId="1120" xr:uid="{00000000-0005-0000-0000-0000ED070000}"/>
    <cellStyle name="Comma 4 2 2 2 5 2" xfId="3351" xr:uid="{00000000-0005-0000-0000-0000EE070000}"/>
    <cellStyle name="Comma 4 2 2 2 5 2 2" xfId="7575" xr:uid="{00000000-0005-0000-0000-0000EF070000}"/>
    <cellStyle name="Comma 4 2 2 2 5 2 3" xfId="11786" xr:uid="{A1257D82-DBED-4452-A44A-898E0E255992}"/>
    <cellStyle name="Comma 4 2 2 2 5 2 4" xfId="15997" xr:uid="{1FECD8EB-B57F-400B-929F-57A23D310D86}"/>
    <cellStyle name="Comma 4 2 2 2 5 3" xfId="5430" xr:uid="{00000000-0005-0000-0000-0000F0070000}"/>
    <cellStyle name="Comma 4 2 2 2 5 4" xfId="9641" xr:uid="{B4256E62-8A2D-41E1-96A4-DD9D6BA27D26}"/>
    <cellStyle name="Comma 4 2 2 2 5 5" xfId="13852" xr:uid="{63EE5A3F-D0E9-466A-B257-7519E50008F4}"/>
    <cellStyle name="Comma 4 2 2 2 6" xfId="1534" xr:uid="{00000000-0005-0000-0000-0000F1070000}"/>
    <cellStyle name="Comma 4 2 2 2 6 2" xfId="3764" xr:uid="{00000000-0005-0000-0000-0000F2070000}"/>
    <cellStyle name="Comma 4 2 2 2 6 2 2" xfId="7988" xr:uid="{00000000-0005-0000-0000-0000F3070000}"/>
    <cellStyle name="Comma 4 2 2 2 6 2 3" xfId="12199" xr:uid="{34B8916D-9CE8-40E2-A215-31F2CECBE653}"/>
    <cellStyle name="Comma 4 2 2 2 6 2 4" xfId="16410" xr:uid="{65813979-C4E9-4FE9-881C-BBB040C82001}"/>
    <cellStyle name="Comma 4 2 2 2 6 3" xfId="5843" xr:uid="{00000000-0005-0000-0000-0000F4070000}"/>
    <cellStyle name="Comma 4 2 2 2 6 4" xfId="10054" xr:uid="{0769570F-9C1A-4D6A-8D8A-4F7629B6AE30}"/>
    <cellStyle name="Comma 4 2 2 2 6 5" xfId="14265" xr:uid="{A620D8C0-2682-4C4B-BF3A-1255D539FA78}"/>
    <cellStyle name="Comma 4 2 2 2 7" xfId="1948" xr:uid="{00000000-0005-0000-0000-0000F5070000}"/>
    <cellStyle name="Comma 4 2 2 2 7 2" xfId="4177" xr:uid="{00000000-0005-0000-0000-0000F6070000}"/>
    <cellStyle name="Comma 4 2 2 2 7 2 2" xfId="8401" xr:uid="{00000000-0005-0000-0000-0000F7070000}"/>
    <cellStyle name="Comma 4 2 2 2 7 2 3" xfId="12612" xr:uid="{E2746C3C-8144-43EB-A9CC-E159FF48AC10}"/>
    <cellStyle name="Comma 4 2 2 2 7 2 4" xfId="16823" xr:uid="{C5B6C0C0-073F-4C0F-894A-37E808FACBEE}"/>
    <cellStyle name="Comma 4 2 2 2 7 3" xfId="6256" xr:uid="{00000000-0005-0000-0000-0000F8070000}"/>
    <cellStyle name="Comma 4 2 2 2 7 4" xfId="10467" xr:uid="{774B1F50-B8A8-41E8-878C-5DB2BA32293B}"/>
    <cellStyle name="Comma 4 2 2 2 7 5" xfId="14678" xr:uid="{8F959B56-638D-46B9-B771-A8F56EC1C468}"/>
    <cellStyle name="Comma 4 2 2 2 8" xfId="2383" xr:uid="{00000000-0005-0000-0000-0000F9070000}"/>
    <cellStyle name="Comma 4 2 2 2 8 2" xfId="6669" xr:uid="{00000000-0005-0000-0000-0000FA070000}"/>
    <cellStyle name="Comma 4 2 2 2 8 3" xfId="10880" xr:uid="{46BA8066-C9ED-4AA3-978C-C15F7D1EA232}"/>
    <cellStyle name="Comma 4 2 2 2 8 4" xfId="15091" xr:uid="{410C5227-316A-4552-A84E-ECCCAA5C00AD}"/>
    <cellStyle name="Comma 4 2 2 2 9" xfId="2382" xr:uid="{00000000-0005-0000-0000-0000FB070000}"/>
    <cellStyle name="Comma 4 2 2 3" xfId="132" xr:uid="{00000000-0005-0000-0000-0000FC070000}"/>
    <cellStyle name="Comma 4 2 2 3 10" xfId="4607" xr:uid="{00000000-0005-0000-0000-0000FD070000}"/>
    <cellStyle name="Comma 4 2 2 3 11" xfId="8818" xr:uid="{E8CBBEDE-4CF8-4EAD-92BA-A27614A88A27}"/>
    <cellStyle name="Comma 4 2 2 3 12" xfId="13029" xr:uid="{17E75CBE-CFC7-426B-83D5-8319C4245678}"/>
    <cellStyle name="Comma 4 2 2 3 2" xfId="133" xr:uid="{00000000-0005-0000-0000-0000FE070000}"/>
    <cellStyle name="Comma 4 2 2 3 2 10" xfId="8819" xr:uid="{3A4C330B-C1A1-4ACD-A003-BE48CE3D5325}"/>
    <cellStyle name="Comma 4 2 2 3 2 11" xfId="13030" xr:uid="{77A432E1-5850-4270-8806-860651E7569A}"/>
    <cellStyle name="Comma 4 2 2 3 2 2" xfId="672" xr:uid="{00000000-0005-0000-0000-0000FF070000}"/>
    <cellStyle name="Comma 4 2 2 3 2 2 2" xfId="2943" xr:uid="{00000000-0005-0000-0000-000000080000}"/>
    <cellStyle name="Comma 4 2 2 3 2 2 2 2" xfId="7167" xr:uid="{00000000-0005-0000-0000-000001080000}"/>
    <cellStyle name="Comma 4 2 2 3 2 2 2 3" xfId="11378" xr:uid="{0F445BB7-C56D-432A-9308-9CC92A6ED3B4}"/>
    <cellStyle name="Comma 4 2 2 3 2 2 2 4" xfId="15589" xr:uid="{70780828-7FEB-4064-AD3E-82E5BB6D6EB9}"/>
    <cellStyle name="Comma 4 2 2 3 2 2 3" xfId="5022" xr:uid="{00000000-0005-0000-0000-000002080000}"/>
    <cellStyle name="Comma 4 2 2 3 2 2 4" xfId="9233" xr:uid="{BA0E0C6E-1545-45D1-AD29-4822514122B0}"/>
    <cellStyle name="Comma 4 2 2 3 2 2 5" xfId="13444" xr:uid="{AA43FBD4-BD87-48B7-85BD-A0D009E4675A}"/>
    <cellStyle name="Comma 4 2 2 3 2 3" xfId="1125" xr:uid="{00000000-0005-0000-0000-000003080000}"/>
    <cellStyle name="Comma 4 2 2 3 2 3 2" xfId="3356" xr:uid="{00000000-0005-0000-0000-000004080000}"/>
    <cellStyle name="Comma 4 2 2 3 2 3 2 2" xfId="7580" xr:uid="{00000000-0005-0000-0000-000005080000}"/>
    <cellStyle name="Comma 4 2 2 3 2 3 2 3" xfId="11791" xr:uid="{EA6CEF3D-25A5-4CB7-AE8D-9C79834C0CDE}"/>
    <cellStyle name="Comma 4 2 2 3 2 3 2 4" xfId="16002" xr:uid="{62FD56C2-21B3-4A75-9D50-E472CB83F8F6}"/>
    <cellStyle name="Comma 4 2 2 3 2 3 3" xfId="5435" xr:uid="{00000000-0005-0000-0000-000006080000}"/>
    <cellStyle name="Comma 4 2 2 3 2 3 4" xfId="9646" xr:uid="{A727BCC4-6589-41AB-B7F8-86C3A07049F6}"/>
    <cellStyle name="Comma 4 2 2 3 2 3 5" xfId="13857" xr:uid="{6B146B8D-762D-43D5-B002-C5F4BA605587}"/>
    <cellStyle name="Comma 4 2 2 3 2 4" xfId="1539" xr:uid="{00000000-0005-0000-0000-000007080000}"/>
    <cellStyle name="Comma 4 2 2 3 2 4 2" xfId="3769" xr:uid="{00000000-0005-0000-0000-000008080000}"/>
    <cellStyle name="Comma 4 2 2 3 2 4 2 2" xfId="7993" xr:uid="{00000000-0005-0000-0000-000009080000}"/>
    <cellStyle name="Comma 4 2 2 3 2 4 2 3" xfId="12204" xr:uid="{7F75A35B-F99B-4CAA-A67A-81D6895F408E}"/>
    <cellStyle name="Comma 4 2 2 3 2 4 2 4" xfId="16415" xr:uid="{95EB75CA-227A-49E5-A909-324545D561DE}"/>
    <cellStyle name="Comma 4 2 2 3 2 4 3" xfId="5848" xr:uid="{00000000-0005-0000-0000-00000A080000}"/>
    <cellStyle name="Comma 4 2 2 3 2 4 4" xfId="10059" xr:uid="{AA6F307E-1821-476B-A89F-5A001C9E8BEB}"/>
    <cellStyle name="Comma 4 2 2 3 2 4 5" xfId="14270" xr:uid="{D585478C-7B1F-4EFA-80AF-D3AACA33F3A5}"/>
    <cellStyle name="Comma 4 2 2 3 2 5" xfId="1953" xr:uid="{00000000-0005-0000-0000-00000B080000}"/>
    <cellStyle name="Comma 4 2 2 3 2 5 2" xfId="4182" xr:uid="{00000000-0005-0000-0000-00000C080000}"/>
    <cellStyle name="Comma 4 2 2 3 2 5 2 2" xfId="8406" xr:uid="{00000000-0005-0000-0000-00000D080000}"/>
    <cellStyle name="Comma 4 2 2 3 2 5 2 3" xfId="12617" xr:uid="{D02926B8-00D4-4C33-A78A-4173F91D53C2}"/>
    <cellStyle name="Comma 4 2 2 3 2 5 2 4" xfId="16828" xr:uid="{3D8C294C-D4D1-4EF3-9112-58BEBA5C7DD1}"/>
    <cellStyle name="Comma 4 2 2 3 2 5 3" xfId="6261" xr:uid="{00000000-0005-0000-0000-00000E080000}"/>
    <cellStyle name="Comma 4 2 2 3 2 5 4" xfId="10472" xr:uid="{2DF6AB30-D643-44B9-8943-0DE73F2DC3EF}"/>
    <cellStyle name="Comma 4 2 2 3 2 5 5" xfId="14683" xr:uid="{3A7E391C-CF73-4611-A3BB-F3C7ACC38A13}"/>
    <cellStyle name="Comma 4 2 2 3 2 6" xfId="2388" xr:uid="{00000000-0005-0000-0000-00000F080000}"/>
    <cellStyle name="Comma 4 2 2 3 2 6 2" xfId="6674" xr:uid="{00000000-0005-0000-0000-000010080000}"/>
    <cellStyle name="Comma 4 2 2 3 2 6 3" xfId="10885" xr:uid="{BAC92984-71EC-4FE8-BFE5-40B128C80FA5}"/>
    <cellStyle name="Comma 4 2 2 3 2 6 4" xfId="15096" xr:uid="{794751D8-4899-41F5-A5C6-44F585D2E147}"/>
    <cellStyle name="Comma 4 2 2 3 2 7" xfId="2377" xr:uid="{00000000-0005-0000-0000-000011080000}"/>
    <cellStyle name="Comma 4 2 2 3 2 8" xfId="2766" xr:uid="{00000000-0005-0000-0000-000012080000}"/>
    <cellStyle name="Comma 4 2 2 3 2 8 2" xfId="6991" xr:uid="{00000000-0005-0000-0000-000013080000}"/>
    <cellStyle name="Comma 4 2 2 3 2 8 3" xfId="11202" xr:uid="{49ADBF10-6A11-4930-BAC1-5B938DDCE440}"/>
    <cellStyle name="Comma 4 2 2 3 2 8 4" xfId="15413" xr:uid="{B425F9C6-EBA5-41DB-9CAD-B2633FB0544F}"/>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2 3" xfId="11377" xr:uid="{4728055A-F9A7-4D04-AE96-F4D154CE1765}"/>
    <cellStyle name="Comma 4 2 2 3 3 2 4" xfId="15588" xr:uid="{61123184-BCCC-4AF3-86DA-EC0B81A64250}"/>
    <cellStyle name="Comma 4 2 2 3 3 3" xfId="5021" xr:uid="{00000000-0005-0000-0000-000018080000}"/>
    <cellStyle name="Comma 4 2 2 3 3 4" xfId="9232" xr:uid="{2E01DF52-868D-452F-B101-C2A5AC7F00E8}"/>
    <cellStyle name="Comma 4 2 2 3 3 5" xfId="13443" xr:uid="{BE5C5A3F-0872-4C1E-9BCF-AE81B61751AE}"/>
    <cellStyle name="Comma 4 2 2 3 4" xfId="1124" xr:uid="{00000000-0005-0000-0000-000019080000}"/>
    <cellStyle name="Comma 4 2 2 3 4 2" xfId="3355" xr:uid="{00000000-0005-0000-0000-00001A080000}"/>
    <cellStyle name="Comma 4 2 2 3 4 2 2" xfId="7579" xr:uid="{00000000-0005-0000-0000-00001B080000}"/>
    <cellStyle name="Comma 4 2 2 3 4 2 3" xfId="11790" xr:uid="{145FD326-5970-454B-9C96-A637CD0290E6}"/>
    <cellStyle name="Comma 4 2 2 3 4 2 4" xfId="16001" xr:uid="{03856C23-CA85-4574-9FF6-F31D2819CA19}"/>
    <cellStyle name="Comma 4 2 2 3 4 3" xfId="5434" xr:uid="{00000000-0005-0000-0000-00001C080000}"/>
    <cellStyle name="Comma 4 2 2 3 4 4" xfId="9645" xr:uid="{1E5D3BDF-0639-482B-A28C-6DAEB5FF48EC}"/>
    <cellStyle name="Comma 4 2 2 3 4 5" xfId="13856" xr:uid="{CDB27F5A-18CB-4FFE-9367-3A7CA5E94FC9}"/>
    <cellStyle name="Comma 4 2 2 3 5" xfId="1538" xr:uid="{00000000-0005-0000-0000-00001D080000}"/>
    <cellStyle name="Comma 4 2 2 3 5 2" xfId="3768" xr:uid="{00000000-0005-0000-0000-00001E080000}"/>
    <cellStyle name="Comma 4 2 2 3 5 2 2" xfId="7992" xr:uid="{00000000-0005-0000-0000-00001F080000}"/>
    <cellStyle name="Comma 4 2 2 3 5 2 3" xfId="12203" xr:uid="{7BA38533-D4C6-4FFD-85A7-4FA32DAB3102}"/>
    <cellStyle name="Comma 4 2 2 3 5 2 4" xfId="16414" xr:uid="{1533D5BC-8543-4397-B1FD-B5265125A89F}"/>
    <cellStyle name="Comma 4 2 2 3 5 3" xfId="5847" xr:uid="{00000000-0005-0000-0000-000020080000}"/>
    <cellStyle name="Comma 4 2 2 3 5 4" xfId="10058" xr:uid="{B0DDAA24-25CB-47E4-9238-BE7FC89236D1}"/>
    <cellStyle name="Comma 4 2 2 3 5 5" xfId="14269" xr:uid="{68C079D8-50E2-4999-9B6D-D29676B8C5C4}"/>
    <cellStyle name="Comma 4 2 2 3 6" xfId="1952" xr:uid="{00000000-0005-0000-0000-000021080000}"/>
    <cellStyle name="Comma 4 2 2 3 6 2" xfId="4181" xr:uid="{00000000-0005-0000-0000-000022080000}"/>
    <cellStyle name="Comma 4 2 2 3 6 2 2" xfId="8405" xr:uid="{00000000-0005-0000-0000-000023080000}"/>
    <cellStyle name="Comma 4 2 2 3 6 2 3" xfId="12616" xr:uid="{3B64CE69-43A5-41E1-8C69-14026E37A0C7}"/>
    <cellStyle name="Comma 4 2 2 3 6 2 4" xfId="16827" xr:uid="{6752E012-9ED7-45FF-9D28-064E7A413C71}"/>
    <cellStyle name="Comma 4 2 2 3 6 3" xfId="6260" xr:uid="{00000000-0005-0000-0000-000024080000}"/>
    <cellStyle name="Comma 4 2 2 3 6 4" xfId="10471" xr:uid="{3EB8F3EC-0A3C-4886-81BA-E91B5507DF67}"/>
    <cellStyle name="Comma 4 2 2 3 6 5" xfId="14682" xr:uid="{9852B92B-ABE4-42E7-A0A4-07927D93910B}"/>
    <cellStyle name="Comma 4 2 2 3 7" xfId="2387" xr:uid="{00000000-0005-0000-0000-000025080000}"/>
    <cellStyle name="Comma 4 2 2 3 7 2" xfId="6673" xr:uid="{00000000-0005-0000-0000-000026080000}"/>
    <cellStyle name="Comma 4 2 2 3 7 3" xfId="10884" xr:uid="{B611338B-A521-4D01-8FB0-05A642FBC6F6}"/>
    <cellStyle name="Comma 4 2 2 3 7 4" xfId="15095" xr:uid="{05A53BD8-23FA-4165-B014-8FFC1642DDE4}"/>
    <cellStyle name="Comma 4 2 2 3 8" xfId="2378" xr:uid="{00000000-0005-0000-0000-000027080000}"/>
    <cellStyle name="Comma 4 2 2 3 9" xfId="2765" xr:uid="{00000000-0005-0000-0000-000028080000}"/>
    <cellStyle name="Comma 4 2 2 3 9 2" xfId="6990" xr:uid="{00000000-0005-0000-0000-000029080000}"/>
    <cellStyle name="Comma 4 2 2 3 9 3" xfId="11201" xr:uid="{4C11ECD5-A71B-4002-96FD-CAA418AF71DC}"/>
    <cellStyle name="Comma 4 2 2 3 9 4" xfId="15412" xr:uid="{088E70CA-7B7C-4A4E-BB27-BFA429CEC352}"/>
    <cellStyle name="Comma 4 2 2 4" xfId="134" xr:uid="{00000000-0005-0000-0000-00002A080000}"/>
    <cellStyle name="Comma 4 2 2 4 10" xfId="8820" xr:uid="{95A340EE-B1D6-4244-8E8E-4EDF040E3398}"/>
    <cellStyle name="Comma 4 2 2 4 11" xfId="13031" xr:uid="{45802B2C-5DE2-44A4-A801-4368E1E61EF0}"/>
    <cellStyle name="Comma 4 2 2 4 2" xfId="673" xr:uid="{00000000-0005-0000-0000-00002B080000}"/>
    <cellStyle name="Comma 4 2 2 4 2 2" xfId="2944" xr:uid="{00000000-0005-0000-0000-00002C080000}"/>
    <cellStyle name="Comma 4 2 2 4 2 2 2" xfId="7168" xr:uid="{00000000-0005-0000-0000-00002D080000}"/>
    <cellStyle name="Comma 4 2 2 4 2 2 3" xfId="11379" xr:uid="{6955A5C2-63CC-41CB-A61F-8531CC70DAE3}"/>
    <cellStyle name="Comma 4 2 2 4 2 2 4" xfId="15590" xr:uid="{AC07D7E2-B28E-4B5B-94DC-78A6ECD6FF5A}"/>
    <cellStyle name="Comma 4 2 2 4 2 3" xfId="5023" xr:uid="{00000000-0005-0000-0000-00002E080000}"/>
    <cellStyle name="Comma 4 2 2 4 2 4" xfId="9234" xr:uid="{22B59EBE-5615-4DB0-A24F-02E9577AD881}"/>
    <cellStyle name="Comma 4 2 2 4 2 5" xfId="13445" xr:uid="{FBF3E49B-8335-4291-AF1C-1ACCC8A41988}"/>
    <cellStyle name="Comma 4 2 2 4 3" xfId="1126" xr:uid="{00000000-0005-0000-0000-00002F080000}"/>
    <cellStyle name="Comma 4 2 2 4 3 2" xfId="3357" xr:uid="{00000000-0005-0000-0000-000030080000}"/>
    <cellStyle name="Comma 4 2 2 4 3 2 2" xfId="7581" xr:uid="{00000000-0005-0000-0000-000031080000}"/>
    <cellStyle name="Comma 4 2 2 4 3 2 3" xfId="11792" xr:uid="{9A66298B-B928-45BA-B994-94C2A59CA916}"/>
    <cellStyle name="Comma 4 2 2 4 3 2 4" xfId="16003" xr:uid="{D52216A2-78CA-4742-98B9-8EFDE73E47C6}"/>
    <cellStyle name="Comma 4 2 2 4 3 3" xfId="5436" xr:uid="{00000000-0005-0000-0000-000032080000}"/>
    <cellStyle name="Comma 4 2 2 4 3 4" xfId="9647" xr:uid="{C6EB2D61-47DD-42D8-BEA7-E0B0298436ED}"/>
    <cellStyle name="Comma 4 2 2 4 3 5" xfId="13858" xr:uid="{99554ADC-BFEA-426A-990A-3706AC3CE56E}"/>
    <cellStyle name="Comma 4 2 2 4 4" xfId="1540" xr:uid="{00000000-0005-0000-0000-000033080000}"/>
    <cellStyle name="Comma 4 2 2 4 4 2" xfId="3770" xr:uid="{00000000-0005-0000-0000-000034080000}"/>
    <cellStyle name="Comma 4 2 2 4 4 2 2" xfId="7994" xr:uid="{00000000-0005-0000-0000-000035080000}"/>
    <cellStyle name="Comma 4 2 2 4 4 2 3" xfId="12205" xr:uid="{30682FF2-CFB5-489F-ACEB-955BFA1EAF46}"/>
    <cellStyle name="Comma 4 2 2 4 4 2 4" xfId="16416" xr:uid="{0239D55B-F8DA-4FEE-BD08-3EA5FF5F4824}"/>
    <cellStyle name="Comma 4 2 2 4 4 3" xfId="5849" xr:uid="{00000000-0005-0000-0000-000036080000}"/>
    <cellStyle name="Comma 4 2 2 4 4 4" xfId="10060" xr:uid="{F14C6458-8AB1-427F-9117-1812188C83BD}"/>
    <cellStyle name="Comma 4 2 2 4 4 5" xfId="14271" xr:uid="{848DE1E9-AD0F-4020-89A0-B7FD91614BCE}"/>
    <cellStyle name="Comma 4 2 2 4 5" xfId="1954" xr:uid="{00000000-0005-0000-0000-000037080000}"/>
    <cellStyle name="Comma 4 2 2 4 5 2" xfId="4183" xr:uid="{00000000-0005-0000-0000-000038080000}"/>
    <cellStyle name="Comma 4 2 2 4 5 2 2" xfId="8407" xr:uid="{00000000-0005-0000-0000-000039080000}"/>
    <cellStyle name="Comma 4 2 2 4 5 2 3" xfId="12618" xr:uid="{5B2B39F7-A190-4259-B76D-65D52936C1E5}"/>
    <cellStyle name="Comma 4 2 2 4 5 2 4" xfId="16829" xr:uid="{8F5BCA07-1F5B-4576-A631-D15B7124041D}"/>
    <cellStyle name="Comma 4 2 2 4 5 3" xfId="6262" xr:uid="{00000000-0005-0000-0000-00003A080000}"/>
    <cellStyle name="Comma 4 2 2 4 5 4" xfId="10473" xr:uid="{DF20E57E-5E39-4D67-B419-923816619C35}"/>
    <cellStyle name="Comma 4 2 2 4 5 5" xfId="14684" xr:uid="{A9E93578-D0B6-4245-A012-91EBA63062E0}"/>
    <cellStyle name="Comma 4 2 2 4 6" xfId="2389" xr:uid="{00000000-0005-0000-0000-00003B080000}"/>
    <cellStyle name="Comma 4 2 2 4 6 2" xfId="6675" xr:uid="{00000000-0005-0000-0000-00003C080000}"/>
    <cellStyle name="Comma 4 2 2 4 6 3" xfId="10886" xr:uid="{D934AFB2-8C5B-4B11-8A15-83E029AB8ABF}"/>
    <cellStyle name="Comma 4 2 2 4 6 4" xfId="15097" xr:uid="{84B34329-8BE0-4333-B7E3-A1C7541BE17B}"/>
    <cellStyle name="Comma 4 2 2 4 7" xfId="2376" xr:uid="{00000000-0005-0000-0000-00003D080000}"/>
    <cellStyle name="Comma 4 2 2 4 8" xfId="2767" xr:uid="{00000000-0005-0000-0000-00003E080000}"/>
    <cellStyle name="Comma 4 2 2 4 8 2" xfId="6992" xr:uid="{00000000-0005-0000-0000-00003F080000}"/>
    <cellStyle name="Comma 4 2 2 4 8 3" xfId="11203" xr:uid="{4DE15EF8-4019-43D2-A998-6EFC92883D6F}"/>
    <cellStyle name="Comma 4 2 2 4 8 4" xfId="15414" xr:uid="{EB810D99-F931-4933-AADC-2DC76563E5F6}"/>
    <cellStyle name="Comma 4 2 2 4 9" xfId="4609" xr:uid="{00000000-0005-0000-0000-000040080000}"/>
    <cellStyle name="Comma 4 2 2 5" xfId="135" xr:uid="{00000000-0005-0000-0000-000041080000}"/>
    <cellStyle name="Comma 4 2 2 5 10" xfId="8821" xr:uid="{A081CEC9-7744-4B55-A71B-CBD1C1930A99}"/>
    <cellStyle name="Comma 4 2 2 5 11" xfId="13032" xr:uid="{D01BA6B5-AC91-47C5-9746-E93FC39B0998}"/>
    <cellStyle name="Comma 4 2 2 5 2" xfId="674" xr:uid="{00000000-0005-0000-0000-000042080000}"/>
    <cellStyle name="Comma 4 2 2 5 2 2" xfId="2945" xr:uid="{00000000-0005-0000-0000-000043080000}"/>
    <cellStyle name="Comma 4 2 2 5 2 2 2" xfId="7169" xr:uid="{00000000-0005-0000-0000-000044080000}"/>
    <cellStyle name="Comma 4 2 2 5 2 2 3" xfId="11380" xr:uid="{DCA95442-A5A8-49A3-8161-D8B67C254B85}"/>
    <cellStyle name="Comma 4 2 2 5 2 2 4" xfId="15591" xr:uid="{8686F146-82EC-48EB-9843-05F922A96B92}"/>
    <cellStyle name="Comma 4 2 2 5 2 3" xfId="5024" xr:uid="{00000000-0005-0000-0000-000045080000}"/>
    <cellStyle name="Comma 4 2 2 5 2 4" xfId="9235" xr:uid="{2843A288-9A61-4DE0-8797-A9D9E93879CD}"/>
    <cellStyle name="Comma 4 2 2 5 2 5" xfId="13446" xr:uid="{1AC012B5-249B-4576-B60F-46414BED6DFC}"/>
    <cellStyle name="Comma 4 2 2 5 3" xfId="1127" xr:uid="{00000000-0005-0000-0000-000046080000}"/>
    <cellStyle name="Comma 4 2 2 5 3 2" xfId="3358" xr:uid="{00000000-0005-0000-0000-000047080000}"/>
    <cellStyle name="Comma 4 2 2 5 3 2 2" xfId="7582" xr:uid="{00000000-0005-0000-0000-000048080000}"/>
    <cellStyle name="Comma 4 2 2 5 3 2 3" xfId="11793" xr:uid="{968BA529-40D9-4500-80A9-2E0A5C1D5DDD}"/>
    <cellStyle name="Comma 4 2 2 5 3 2 4" xfId="16004" xr:uid="{94C399ED-8D02-4491-8C8A-E759FD1C71B9}"/>
    <cellStyle name="Comma 4 2 2 5 3 3" xfId="5437" xr:uid="{00000000-0005-0000-0000-000049080000}"/>
    <cellStyle name="Comma 4 2 2 5 3 4" xfId="9648" xr:uid="{38B36E32-D1B2-40DE-B365-B7135A222922}"/>
    <cellStyle name="Comma 4 2 2 5 3 5" xfId="13859" xr:uid="{85BDAF17-772B-48E3-9F48-F4BBC175F365}"/>
    <cellStyle name="Comma 4 2 2 5 4" xfId="1541" xr:uid="{00000000-0005-0000-0000-00004A080000}"/>
    <cellStyle name="Comma 4 2 2 5 4 2" xfId="3771" xr:uid="{00000000-0005-0000-0000-00004B080000}"/>
    <cellStyle name="Comma 4 2 2 5 4 2 2" xfId="7995" xr:uid="{00000000-0005-0000-0000-00004C080000}"/>
    <cellStyle name="Comma 4 2 2 5 4 2 3" xfId="12206" xr:uid="{4CF26CD6-6C4F-4323-9CBD-C9D7387AB68F}"/>
    <cellStyle name="Comma 4 2 2 5 4 2 4" xfId="16417" xr:uid="{6DBB8A2D-8C61-4488-B09A-AE5C64FD2E18}"/>
    <cellStyle name="Comma 4 2 2 5 4 3" xfId="5850" xr:uid="{00000000-0005-0000-0000-00004D080000}"/>
    <cellStyle name="Comma 4 2 2 5 4 4" xfId="10061" xr:uid="{5AFAD05F-6503-48BE-A914-AF6B61D9F637}"/>
    <cellStyle name="Comma 4 2 2 5 4 5" xfId="14272" xr:uid="{B067077D-67B9-4A79-9F1B-4AEF6FB3E246}"/>
    <cellStyle name="Comma 4 2 2 5 5" xfId="1955" xr:uid="{00000000-0005-0000-0000-00004E080000}"/>
    <cellStyle name="Comma 4 2 2 5 5 2" xfId="4184" xr:uid="{00000000-0005-0000-0000-00004F080000}"/>
    <cellStyle name="Comma 4 2 2 5 5 2 2" xfId="8408" xr:uid="{00000000-0005-0000-0000-000050080000}"/>
    <cellStyle name="Comma 4 2 2 5 5 2 3" xfId="12619" xr:uid="{C12A3955-A34B-4AAC-AB53-3996133AEEEE}"/>
    <cellStyle name="Comma 4 2 2 5 5 2 4" xfId="16830" xr:uid="{467F41B3-1FA7-4D4D-A005-16509E8009CC}"/>
    <cellStyle name="Comma 4 2 2 5 5 3" xfId="6263" xr:uid="{00000000-0005-0000-0000-000051080000}"/>
    <cellStyle name="Comma 4 2 2 5 5 4" xfId="10474" xr:uid="{93B0DA0E-64B4-4025-8E0D-2C84E2007937}"/>
    <cellStyle name="Comma 4 2 2 5 5 5" xfId="14685" xr:uid="{EF8DC4CE-63E0-4FD5-B6BF-5DCDFB1C1D8F}"/>
    <cellStyle name="Comma 4 2 2 5 6" xfId="2390" xr:uid="{00000000-0005-0000-0000-000052080000}"/>
    <cellStyle name="Comma 4 2 2 5 6 2" xfId="6676" xr:uid="{00000000-0005-0000-0000-000053080000}"/>
    <cellStyle name="Comma 4 2 2 5 6 3" xfId="10887" xr:uid="{07F83DE0-2D23-4112-A588-EAFCF63BB319}"/>
    <cellStyle name="Comma 4 2 2 5 6 4" xfId="15098" xr:uid="{ECFE88C6-C5CD-4218-9251-10A9497D70B8}"/>
    <cellStyle name="Comma 4 2 2 5 7" xfId="2375" xr:uid="{00000000-0005-0000-0000-000054080000}"/>
    <cellStyle name="Comma 4 2 2 5 8" xfId="2768" xr:uid="{00000000-0005-0000-0000-000055080000}"/>
    <cellStyle name="Comma 4 2 2 5 8 2" xfId="6993" xr:uid="{00000000-0005-0000-0000-000056080000}"/>
    <cellStyle name="Comma 4 2 2 5 8 3" xfId="11204" xr:uid="{60B2401A-C0C5-4815-BF7F-B6CA5DE4F426}"/>
    <cellStyle name="Comma 4 2 2 5 8 4" xfId="15415" xr:uid="{2F5F4D77-DF01-436B-AA73-4E07CBBE94D2}"/>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0 3" xfId="11205" xr:uid="{7E24378E-01F5-41EB-AD6C-F623C38765A5}"/>
    <cellStyle name="Comma 4 2 3 10 4" xfId="15416" xr:uid="{F9709619-4311-4A9A-B2E9-F81747CC5A2F}"/>
    <cellStyle name="Comma 4 2 3 11" xfId="4611" xr:uid="{00000000-0005-0000-0000-00005B080000}"/>
    <cellStyle name="Comma 4 2 3 12" xfId="8822" xr:uid="{BEAB2EC0-F337-41EE-A3AA-35E6F3DC4BB4}"/>
    <cellStyle name="Comma 4 2 3 13" xfId="13033" xr:uid="{83560E04-CBFC-48DA-89D6-17DA70D19DAA}"/>
    <cellStyle name="Comma 4 2 3 2" xfId="137" xr:uid="{00000000-0005-0000-0000-00005C080000}"/>
    <cellStyle name="Comma 4 2 3 2 10" xfId="4612" xr:uid="{00000000-0005-0000-0000-00005D080000}"/>
    <cellStyle name="Comma 4 2 3 2 11" xfId="8823" xr:uid="{99DB3476-977B-4E90-A4A2-7F08593DD287}"/>
    <cellStyle name="Comma 4 2 3 2 12" xfId="13034" xr:uid="{619B08DA-9F7F-42CE-8701-854C0436C83D}"/>
    <cellStyle name="Comma 4 2 3 2 2" xfId="138" xr:uid="{00000000-0005-0000-0000-00005E080000}"/>
    <cellStyle name="Comma 4 2 3 2 2 10" xfId="8824" xr:uid="{71C87711-2FD0-4021-8C5B-19ED49BAC49E}"/>
    <cellStyle name="Comma 4 2 3 2 2 11" xfId="13035" xr:uid="{9EA50897-D509-4EBB-89F7-C3FEFC980D20}"/>
    <cellStyle name="Comma 4 2 3 2 2 2" xfId="677" xr:uid="{00000000-0005-0000-0000-00005F080000}"/>
    <cellStyle name="Comma 4 2 3 2 2 2 2" xfId="2948" xr:uid="{00000000-0005-0000-0000-000060080000}"/>
    <cellStyle name="Comma 4 2 3 2 2 2 2 2" xfId="7172" xr:uid="{00000000-0005-0000-0000-000061080000}"/>
    <cellStyle name="Comma 4 2 3 2 2 2 2 3" xfId="11383" xr:uid="{FF70208F-FDD5-4225-8FE8-065A2C700A11}"/>
    <cellStyle name="Comma 4 2 3 2 2 2 2 4" xfId="15594" xr:uid="{1E800527-AF82-477B-AA12-6E29ABFD792D}"/>
    <cellStyle name="Comma 4 2 3 2 2 2 3" xfId="5027" xr:uid="{00000000-0005-0000-0000-000062080000}"/>
    <cellStyle name="Comma 4 2 3 2 2 2 4" xfId="9238" xr:uid="{FD9824D6-CB69-4AAE-ACF0-B56466C489A3}"/>
    <cellStyle name="Comma 4 2 3 2 2 2 5" xfId="13449" xr:uid="{BC526B0E-D222-4759-A9E8-12D10AD0B4F0}"/>
    <cellStyle name="Comma 4 2 3 2 2 3" xfId="1130" xr:uid="{00000000-0005-0000-0000-000063080000}"/>
    <cellStyle name="Comma 4 2 3 2 2 3 2" xfId="3361" xr:uid="{00000000-0005-0000-0000-000064080000}"/>
    <cellStyle name="Comma 4 2 3 2 2 3 2 2" xfId="7585" xr:uid="{00000000-0005-0000-0000-000065080000}"/>
    <cellStyle name="Comma 4 2 3 2 2 3 2 3" xfId="11796" xr:uid="{FA0BD818-E3A2-4EFE-BC43-6571EDC71670}"/>
    <cellStyle name="Comma 4 2 3 2 2 3 2 4" xfId="16007" xr:uid="{72B9AEC7-50B2-48C0-B722-EA97EC5F892E}"/>
    <cellStyle name="Comma 4 2 3 2 2 3 3" xfId="5440" xr:uid="{00000000-0005-0000-0000-000066080000}"/>
    <cellStyle name="Comma 4 2 3 2 2 3 4" xfId="9651" xr:uid="{5C8C14E9-0B54-497A-B83E-C751E7E35219}"/>
    <cellStyle name="Comma 4 2 3 2 2 3 5" xfId="13862" xr:uid="{9EC5DC8E-BA87-4862-8CB8-9A46E59D2580}"/>
    <cellStyle name="Comma 4 2 3 2 2 4" xfId="1544" xr:uid="{00000000-0005-0000-0000-000067080000}"/>
    <cellStyle name="Comma 4 2 3 2 2 4 2" xfId="3774" xr:uid="{00000000-0005-0000-0000-000068080000}"/>
    <cellStyle name="Comma 4 2 3 2 2 4 2 2" xfId="7998" xr:uid="{00000000-0005-0000-0000-000069080000}"/>
    <cellStyle name="Comma 4 2 3 2 2 4 2 3" xfId="12209" xr:uid="{0D61CA1A-3AB0-48E3-A409-0A7495865BB9}"/>
    <cellStyle name="Comma 4 2 3 2 2 4 2 4" xfId="16420" xr:uid="{AD925234-A6FD-4FB9-A397-A1C8E79BAC13}"/>
    <cellStyle name="Comma 4 2 3 2 2 4 3" xfId="5853" xr:uid="{00000000-0005-0000-0000-00006A080000}"/>
    <cellStyle name="Comma 4 2 3 2 2 4 4" xfId="10064" xr:uid="{D935DD33-7A71-44C3-923F-95BAD5063E59}"/>
    <cellStyle name="Comma 4 2 3 2 2 4 5" xfId="14275" xr:uid="{FD7BFBBC-57EE-444C-9ABF-9472FC6B96F5}"/>
    <cellStyle name="Comma 4 2 3 2 2 5" xfId="1958" xr:uid="{00000000-0005-0000-0000-00006B080000}"/>
    <cellStyle name="Comma 4 2 3 2 2 5 2" xfId="4187" xr:uid="{00000000-0005-0000-0000-00006C080000}"/>
    <cellStyle name="Comma 4 2 3 2 2 5 2 2" xfId="8411" xr:uid="{00000000-0005-0000-0000-00006D080000}"/>
    <cellStyle name="Comma 4 2 3 2 2 5 2 3" xfId="12622" xr:uid="{33CB4F74-44CF-481E-8544-56C3842D0B49}"/>
    <cellStyle name="Comma 4 2 3 2 2 5 2 4" xfId="16833" xr:uid="{7B25FB0B-D27F-4D14-A76A-A4D358459A2F}"/>
    <cellStyle name="Comma 4 2 3 2 2 5 3" xfId="6266" xr:uid="{00000000-0005-0000-0000-00006E080000}"/>
    <cellStyle name="Comma 4 2 3 2 2 5 4" xfId="10477" xr:uid="{CA859A32-009D-42F8-8293-FC4CC05519FE}"/>
    <cellStyle name="Comma 4 2 3 2 2 5 5" xfId="14688" xr:uid="{4F4B5077-3541-4385-B64E-0FF4C22941FE}"/>
    <cellStyle name="Comma 4 2 3 2 2 6" xfId="2393" xr:uid="{00000000-0005-0000-0000-00006F080000}"/>
    <cellStyle name="Comma 4 2 3 2 2 6 2" xfId="6679" xr:uid="{00000000-0005-0000-0000-000070080000}"/>
    <cellStyle name="Comma 4 2 3 2 2 6 3" xfId="10890" xr:uid="{5DFE6108-8D3E-4409-B6F0-75FEBD767FB6}"/>
    <cellStyle name="Comma 4 2 3 2 2 6 4" xfId="15101" xr:uid="{D7611449-EC6F-4D43-A29C-0D7C36FA94C2}"/>
    <cellStyle name="Comma 4 2 3 2 2 7" xfId="2372" xr:uid="{00000000-0005-0000-0000-000071080000}"/>
    <cellStyle name="Comma 4 2 3 2 2 8" xfId="2771" xr:uid="{00000000-0005-0000-0000-000072080000}"/>
    <cellStyle name="Comma 4 2 3 2 2 8 2" xfId="6996" xr:uid="{00000000-0005-0000-0000-000073080000}"/>
    <cellStyle name="Comma 4 2 3 2 2 8 3" xfId="11207" xr:uid="{967C0E18-9454-4469-912B-15A0F70ECD43}"/>
    <cellStyle name="Comma 4 2 3 2 2 8 4" xfId="15418" xr:uid="{169278F0-D958-4619-A3BE-1DAFB47B943C}"/>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2 3" xfId="11382" xr:uid="{6D690DD3-F76C-4C2D-8104-6ABC87E04C98}"/>
    <cellStyle name="Comma 4 2 3 2 3 2 4" xfId="15593" xr:uid="{A61BE82C-5171-4960-9788-EFAF0BC7898B}"/>
    <cellStyle name="Comma 4 2 3 2 3 3" xfId="5026" xr:uid="{00000000-0005-0000-0000-000078080000}"/>
    <cellStyle name="Comma 4 2 3 2 3 4" xfId="9237" xr:uid="{D26521B1-EFE2-43E8-8855-663CD05BE63C}"/>
    <cellStyle name="Comma 4 2 3 2 3 5" xfId="13448" xr:uid="{02BD79DB-E60E-4BEF-B2B5-07AB6E693826}"/>
    <cellStyle name="Comma 4 2 3 2 4" xfId="1129" xr:uid="{00000000-0005-0000-0000-000079080000}"/>
    <cellStyle name="Comma 4 2 3 2 4 2" xfId="3360" xr:uid="{00000000-0005-0000-0000-00007A080000}"/>
    <cellStyle name="Comma 4 2 3 2 4 2 2" xfId="7584" xr:uid="{00000000-0005-0000-0000-00007B080000}"/>
    <cellStyle name="Comma 4 2 3 2 4 2 3" xfId="11795" xr:uid="{5C4629E2-30F5-43A8-BD45-87AE35E361DE}"/>
    <cellStyle name="Comma 4 2 3 2 4 2 4" xfId="16006" xr:uid="{67D01F51-825B-479A-965B-4D89F577EF19}"/>
    <cellStyle name="Comma 4 2 3 2 4 3" xfId="5439" xr:uid="{00000000-0005-0000-0000-00007C080000}"/>
    <cellStyle name="Comma 4 2 3 2 4 4" xfId="9650" xr:uid="{2E261CD4-B259-4054-93BF-6697999F127F}"/>
    <cellStyle name="Comma 4 2 3 2 4 5" xfId="13861" xr:uid="{F27B8F3A-E2E0-49DB-A3F9-02084F199F10}"/>
    <cellStyle name="Comma 4 2 3 2 5" xfId="1543" xr:uid="{00000000-0005-0000-0000-00007D080000}"/>
    <cellStyle name="Comma 4 2 3 2 5 2" xfId="3773" xr:uid="{00000000-0005-0000-0000-00007E080000}"/>
    <cellStyle name="Comma 4 2 3 2 5 2 2" xfId="7997" xr:uid="{00000000-0005-0000-0000-00007F080000}"/>
    <cellStyle name="Comma 4 2 3 2 5 2 3" xfId="12208" xr:uid="{13F306C9-AA52-4988-B40C-30E8D8E85063}"/>
    <cellStyle name="Comma 4 2 3 2 5 2 4" xfId="16419" xr:uid="{B993B46F-7F11-4515-BC9A-342D5BC65F36}"/>
    <cellStyle name="Comma 4 2 3 2 5 3" xfId="5852" xr:uid="{00000000-0005-0000-0000-000080080000}"/>
    <cellStyle name="Comma 4 2 3 2 5 4" xfId="10063" xr:uid="{C6931095-9B6F-4830-BF74-10D90C061F2E}"/>
    <cellStyle name="Comma 4 2 3 2 5 5" xfId="14274" xr:uid="{A89446BA-1691-4302-89CD-91020BC648FB}"/>
    <cellStyle name="Comma 4 2 3 2 6" xfId="1957" xr:uid="{00000000-0005-0000-0000-000081080000}"/>
    <cellStyle name="Comma 4 2 3 2 6 2" xfId="4186" xr:uid="{00000000-0005-0000-0000-000082080000}"/>
    <cellStyle name="Comma 4 2 3 2 6 2 2" xfId="8410" xr:uid="{00000000-0005-0000-0000-000083080000}"/>
    <cellStyle name="Comma 4 2 3 2 6 2 3" xfId="12621" xr:uid="{B817E97C-790C-4710-BA6C-9073B9FD2416}"/>
    <cellStyle name="Comma 4 2 3 2 6 2 4" xfId="16832" xr:uid="{7F86D153-0860-4F1C-B996-05A7D6DFB094}"/>
    <cellStyle name="Comma 4 2 3 2 6 3" xfId="6265" xr:uid="{00000000-0005-0000-0000-000084080000}"/>
    <cellStyle name="Comma 4 2 3 2 6 4" xfId="10476" xr:uid="{66735E61-89E9-43C9-B64D-BCA0EA1F045D}"/>
    <cellStyle name="Comma 4 2 3 2 6 5" xfId="14687" xr:uid="{3B6DDB6D-2854-4A68-B090-C52990905C5F}"/>
    <cellStyle name="Comma 4 2 3 2 7" xfId="2392" xr:uid="{00000000-0005-0000-0000-000085080000}"/>
    <cellStyle name="Comma 4 2 3 2 7 2" xfId="6678" xr:uid="{00000000-0005-0000-0000-000086080000}"/>
    <cellStyle name="Comma 4 2 3 2 7 3" xfId="10889" xr:uid="{33235686-84A2-400E-8CC7-F470E0AEEDEC}"/>
    <cellStyle name="Comma 4 2 3 2 7 4" xfId="15100" xr:uid="{9B5A9728-1202-421A-AE5E-5F54759F00E9}"/>
    <cellStyle name="Comma 4 2 3 2 8" xfId="2373" xr:uid="{00000000-0005-0000-0000-000087080000}"/>
    <cellStyle name="Comma 4 2 3 2 9" xfId="2770" xr:uid="{00000000-0005-0000-0000-000088080000}"/>
    <cellStyle name="Comma 4 2 3 2 9 2" xfId="6995" xr:uid="{00000000-0005-0000-0000-000089080000}"/>
    <cellStyle name="Comma 4 2 3 2 9 3" xfId="11206" xr:uid="{8E82DF0F-A131-4238-B983-8D560346F0D0}"/>
    <cellStyle name="Comma 4 2 3 2 9 4" xfId="15417" xr:uid="{8AFC3690-754B-4BA0-A6E2-1048636E2255}"/>
    <cellStyle name="Comma 4 2 3 3" xfId="139" xr:uid="{00000000-0005-0000-0000-00008A080000}"/>
    <cellStyle name="Comma 4 2 3 3 10" xfId="8825" xr:uid="{BE7F6DA7-B328-4841-8366-9A2D7179AD1C}"/>
    <cellStyle name="Comma 4 2 3 3 11" xfId="13036" xr:uid="{F993226E-9010-404D-87AD-416D9029BA18}"/>
    <cellStyle name="Comma 4 2 3 3 2" xfId="678" xr:uid="{00000000-0005-0000-0000-00008B080000}"/>
    <cellStyle name="Comma 4 2 3 3 2 2" xfId="2949" xr:uid="{00000000-0005-0000-0000-00008C080000}"/>
    <cellStyle name="Comma 4 2 3 3 2 2 2" xfId="7173" xr:uid="{00000000-0005-0000-0000-00008D080000}"/>
    <cellStyle name="Comma 4 2 3 3 2 2 3" xfId="11384" xr:uid="{0AFE1A76-C521-42A1-8FAD-E0A33A8B8555}"/>
    <cellStyle name="Comma 4 2 3 3 2 2 4" xfId="15595" xr:uid="{E0F9F430-83FC-4C69-B553-04A20ECF6E59}"/>
    <cellStyle name="Comma 4 2 3 3 2 3" xfId="5028" xr:uid="{00000000-0005-0000-0000-00008E080000}"/>
    <cellStyle name="Comma 4 2 3 3 2 4" xfId="9239" xr:uid="{B812A66A-2839-49B7-976D-519F53674A47}"/>
    <cellStyle name="Comma 4 2 3 3 2 5" xfId="13450" xr:uid="{FC084602-1FD9-4EF8-BD1C-E0CC25C2A464}"/>
    <cellStyle name="Comma 4 2 3 3 3" xfId="1131" xr:uid="{00000000-0005-0000-0000-00008F080000}"/>
    <cellStyle name="Comma 4 2 3 3 3 2" xfId="3362" xr:uid="{00000000-0005-0000-0000-000090080000}"/>
    <cellStyle name="Comma 4 2 3 3 3 2 2" xfId="7586" xr:uid="{00000000-0005-0000-0000-000091080000}"/>
    <cellStyle name="Comma 4 2 3 3 3 2 3" xfId="11797" xr:uid="{0EB3382E-9B08-426B-A6EE-B2BB713D2A8D}"/>
    <cellStyle name="Comma 4 2 3 3 3 2 4" xfId="16008" xr:uid="{95C2AD3E-5F6C-4DC1-87C0-D2E5CE6D2599}"/>
    <cellStyle name="Comma 4 2 3 3 3 3" xfId="5441" xr:uid="{00000000-0005-0000-0000-000092080000}"/>
    <cellStyle name="Comma 4 2 3 3 3 4" xfId="9652" xr:uid="{F3FBEE05-7700-40E6-B880-451164CD2C0D}"/>
    <cellStyle name="Comma 4 2 3 3 3 5" xfId="13863" xr:uid="{A0F5DFEB-1622-486A-BC4C-46D42357900D}"/>
    <cellStyle name="Comma 4 2 3 3 4" xfId="1545" xr:uid="{00000000-0005-0000-0000-000093080000}"/>
    <cellStyle name="Comma 4 2 3 3 4 2" xfId="3775" xr:uid="{00000000-0005-0000-0000-000094080000}"/>
    <cellStyle name="Comma 4 2 3 3 4 2 2" xfId="7999" xr:uid="{00000000-0005-0000-0000-000095080000}"/>
    <cellStyle name="Comma 4 2 3 3 4 2 3" xfId="12210" xr:uid="{869172FC-0E92-4E0C-9F53-9E580B7E00A4}"/>
    <cellStyle name="Comma 4 2 3 3 4 2 4" xfId="16421" xr:uid="{9D7567ED-66F3-4FD8-9EEA-F73D4CFFF779}"/>
    <cellStyle name="Comma 4 2 3 3 4 3" xfId="5854" xr:uid="{00000000-0005-0000-0000-000096080000}"/>
    <cellStyle name="Comma 4 2 3 3 4 4" xfId="10065" xr:uid="{0227ABDB-4916-4F2D-8DB7-55B7DC76A88A}"/>
    <cellStyle name="Comma 4 2 3 3 4 5" xfId="14276" xr:uid="{590CAFA7-68A0-41CA-A5C9-6C898165B2A1}"/>
    <cellStyle name="Comma 4 2 3 3 5" xfId="1959" xr:uid="{00000000-0005-0000-0000-000097080000}"/>
    <cellStyle name="Comma 4 2 3 3 5 2" xfId="4188" xr:uid="{00000000-0005-0000-0000-000098080000}"/>
    <cellStyle name="Comma 4 2 3 3 5 2 2" xfId="8412" xr:uid="{00000000-0005-0000-0000-000099080000}"/>
    <cellStyle name="Comma 4 2 3 3 5 2 3" xfId="12623" xr:uid="{097481E2-D94E-408F-B642-473C74283A8D}"/>
    <cellStyle name="Comma 4 2 3 3 5 2 4" xfId="16834" xr:uid="{C9B87F17-AE42-435A-992B-EE37D7AE2903}"/>
    <cellStyle name="Comma 4 2 3 3 5 3" xfId="6267" xr:uid="{00000000-0005-0000-0000-00009A080000}"/>
    <cellStyle name="Comma 4 2 3 3 5 4" xfId="10478" xr:uid="{DEF6FCF3-F8B3-4A31-B8C0-170074F0C7F7}"/>
    <cellStyle name="Comma 4 2 3 3 5 5" xfId="14689" xr:uid="{1E6BCF93-9CC6-428F-88AA-B51B94F96B69}"/>
    <cellStyle name="Comma 4 2 3 3 6" xfId="2394" xr:uid="{00000000-0005-0000-0000-00009B080000}"/>
    <cellStyle name="Comma 4 2 3 3 6 2" xfId="6680" xr:uid="{00000000-0005-0000-0000-00009C080000}"/>
    <cellStyle name="Comma 4 2 3 3 6 3" xfId="10891" xr:uid="{4669B57F-EF5F-471D-9FB0-F3564D054D13}"/>
    <cellStyle name="Comma 4 2 3 3 6 4" xfId="15102" xr:uid="{5273CA26-ABB5-4E8A-9158-49C690C7E6DD}"/>
    <cellStyle name="Comma 4 2 3 3 7" xfId="2371" xr:uid="{00000000-0005-0000-0000-00009D080000}"/>
    <cellStyle name="Comma 4 2 3 3 8" xfId="2772" xr:uid="{00000000-0005-0000-0000-00009E080000}"/>
    <cellStyle name="Comma 4 2 3 3 8 2" xfId="6997" xr:uid="{00000000-0005-0000-0000-00009F080000}"/>
    <cellStyle name="Comma 4 2 3 3 8 3" xfId="11208" xr:uid="{7D5F7E8C-DBAD-4F2D-91D0-0D40E3F1A504}"/>
    <cellStyle name="Comma 4 2 3 3 8 4" xfId="15419" xr:uid="{2D8B5405-F51C-4B71-BBDE-1DD7BD7FF5D5}"/>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2 3" xfId="11381" xr:uid="{B6D164E4-601A-4724-8913-BE3E647CBA08}"/>
    <cellStyle name="Comma 4 2 3 4 2 4" xfId="15592" xr:uid="{2EBFA803-D8EE-4F52-B37E-D73DCF0505A2}"/>
    <cellStyle name="Comma 4 2 3 4 3" xfId="5025" xr:uid="{00000000-0005-0000-0000-0000A4080000}"/>
    <cellStyle name="Comma 4 2 3 4 4" xfId="9236" xr:uid="{3B69930B-3DA5-4DD0-9D62-CAB44E4C36A9}"/>
    <cellStyle name="Comma 4 2 3 4 5" xfId="13447" xr:uid="{E4FB721E-E2F3-471D-9B7B-EC882ACB18FA}"/>
    <cellStyle name="Comma 4 2 3 5" xfId="1128" xr:uid="{00000000-0005-0000-0000-0000A5080000}"/>
    <cellStyle name="Comma 4 2 3 5 2" xfId="3359" xr:uid="{00000000-0005-0000-0000-0000A6080000}"/>
    <cellStyle name="Comma 4 2 3 5 2 2" xfId="7583" xr:uid="{00000000-0005-0000-0000-0000A7080000}"/>
    <cellStyle name="Comma 4 2 3 5 2 3" xfId="11794" xr:uid="{2F6F7B80-9B2A-4DC2-8483-C477145E9DCC}"/>
    <cellStyle name="Comma 4 2 3 5 2 4" xfId="16005" xr:uid="{FCA4E303-B9C3-49A4-8447-93DD90F7A6D9}"/>
    <cellStyle name="Comma 4 2 3 5 3" xfId="5438" xr:uid="{00000000-0005-0000-0000-0000A8080000}"/>
    <cellStyle name="Comma 4 2 3 5 4" xfId="9649" xr:uid="{8672C039-83E2-4F81-A250-832CEC248BA8}"/>
    <cellStyle name="Comma 4 2 3 5 5" xfId="13860" xr:uid="{FA7D8541-1BD4-43E6-AA71-3D490B47FE6F}"/>
    <cellStyle name="Comma 4 2 3 6" xfId="1542" xr:uid="{00000000-0005-0000-0000-0000A9080000}"/>
    <cellStyle name="Comma 4 2 3 6 2" xfId="3772" xr:uid="{00000000-0005-0000-0000-0000AA080000}"/>
    <cellStyle name="Comma 4 2 3 6 2 2" xfId="7996" xr:uid="{00000000-0005-0000-0000-0000AB080000}"/>
    <cellStyle name="Comma 4 2 3 6 2 3" xfId="12207" xr:uid="{7D08D649-9FB3-4C87-BD5C-E75FE11D62F9}"/>
    <cellStyle name="Comma 4 2 3 6 2 4" xfId="16418" xr:uid="{04266EF0-B921-4B26-BC57-5BD66CFEA9FE}"/>
    <cellStyle name="Comma 4 2 3 6 3" xfId="5851" xr:uid="{00000000-0005-0000-0000-0000AC080000}"/>
    <cellStyle name="Comma 4 2 3 6 4" xfId="10062" xr:uid="{8E4F235A-2400-42EC-83F8-5DE0E3EEC122}"/>
    <cellStyle name="Comma 4 2 3 6 5" xfId="14273" xr:uid="{1A8DEAC8-424D-41D4-A946-18218F95E1B3}"/>
    <cellStyle name="Comma 4 2 3 7" xfId="1956" xr:uid="{00000000-0005-0000-0000-0000AD080000}"/>
    <cellStyle name="Comma 4 2 3 7 2" xfId="4185" xr:uid="{00000000-0005-0000-0000-0000AE080000}"/>
    <cellStyle name="Comma 4 2 3 7 2 2" xfId="8409" xr:uid="{00000000-0005-0000-0000-0000AF080000}"/>
    <cellStyle name="Comma 4 2 3 7 2 3" xfId="12620" xr:uid="{03C154A8-EA67-42ED-AF69-FE70A737ACA5}"/>
    <cellStyle name="Comma 4 2 3 7 2 4" xfId="16831" xr:uid="{5FDEDB3C-F67D-4D21-8ADD-F7F19EFFC71D}"/>
    <cellStyle name="Comma 4 2 3 7 3" xfId="6264" xr:uid="{00000000-0005-0000-0000-0000B0080000}"/>
    <cellStyle name="Comma 4 2 3 7 4" xfId="10475" xr:uid="{51FF3C46-11A0-4D3D-98F9-59D66C716E49}"/>
    <cellStyle name="Comma 4 2 3 7 5" xfId="14686" xr:uid="{AA77D6E6-92A7-40E1-B739-67615FFBD378}"/>
    <cellStyle name="Comma 4 2 3 8" xfId="2391" xr:uid="{00000000-0005-0000-0000-0000B1080000}"/>
    <cellStyle name="Comma 4 2 3 8 2" xfId="6677" xr:uid="{00000000-0005-0000-0000-0000B2080000}"/>
    <cellStyle name="Comma 4 2 3 8 3" xfId="10888" xr:uid="{370EC639-4318-41DF-8D3D-0FB9BA332353}"/>
    <cellStyle name="Comma 4 2 3 8 4" xfId="15099" xr:uid="{067DC486-2F16-403A-93C6-466A11C30607}"/>
    <cellStyle name="Comma 4 2 3 9" xfId="2374" xr:uid="{00000000-0005-0000-0000-0000B3080000}"/>
    <cellStyle name="Comma 4 2 4" xfId="140" xr:uid="{00000000-0005-0000-0000-0000B4080000}"/>
    <cellStyle name="Comma 4 2 4 10" xfId="4615" xr:uid="{00000000-0005-0000-0000-0000B5080000}"/>
    <cellStyle name="Comma 4 2 4 11" xfId="8826" xr:uid="{DE8C7750-F74B-47E5-BBF9-8A5265CA87B9}"/>
    <cellStyle name="Comma 4 2 4 12" xfId="13037" xr:uid="{C451F85A-1645-4643-A1F4-BD3E11D2A355}"/>
    <cellStyle name="Comma 4 2 4 2" xfId="141" xr:uid="{00000000-0005-0000-0000-0000B6080000}"/>
    <cellStyle name="Comma 4 2 4 2 10" xfId="8827" xr:uid="{52FED247-B5CA-44C5-9DF3-0A41867A3CE6}"/>
    <cellStyle name="Comma 4 2 4 2 11" xfId="13038" xr:uid="{1383785D-5067-42B9-B18E-7958E1F394F0}"/>
    <cellStyle name="Comma 4 2 4 2 2" xfId="680" xr:uid="{00000000-0005-0000-0000-0000B7080000}"/>
    <cellStyle name="Comma 4 2 4 2 2 2" xfId="2951" xr:uid="{00000000-0005-0000-0000-0000B8080000}"/>
    <cellStyle name="Comma 4 2 4 2 2 2 2" xfId="7175" xr:uid="{00000000-0005-0000-0000-0000B9080000}"/>
    <cellStyle name="Comma 4 2 4 2 2 2 3" xfId="11386" xr:uid="{734A7B17-812F-4188-9BFA-5ABACEB1FC0B}"/>
    <cellStyle name="Comma 4 2 4 2 2 2 4" xfId="15597" xr:uid="{9F841964-B849-433E-AEFB-B664D629AD89}"/>
    <cellStyle name="Comma 4 2 4 2 2 3" xfId="5030" xr:uid="{00000000-0005-0000-0000-0000BA080000}"/>
    <cellStyle name="Comma 4 2 4 2 2 4" xfId="9241" xr:uid="{4C3EF1EF-7EE9-45CD-B523-DEC63B3DA71E}"/>
    <cellStyle name="Comma 4 2 4 2 2 5" xfId="13452" xr:uid="{7AC85C66-B92A-41C4-AFFB-33948091DB1E}"/>
    <cellStyle name="Comma 4 2 4 2 3" xfId="1133" xr:uid="{00000000-0005-0000-0000-0000BB080000}"/>
    <cellStyle name="Comma 4 2 4 2 3 2" xfId="3364" xr:uid="{00000000-0005-0000-0000-0000BC080000}"/>
    <cellStyle name="Comma 4 2 4 2 3 2 2" xfId="7588" xr:uid="{00000000-0005-0000-0000-0000BD080000}"/>
    <cellStyle name="Comma 4 2 4 2 3 2 3" xfId="11799" xr:uid="{42850774-280D-45DD-B954-9CAFB1235A14}"/>
    <cellStyle name="Comma 4 2 4 2 3 2 4" xfId="16010" xr:uid="{C27210CB-8A44-4185-9E58-9FE01362FD68}"/>
    <cellStyle name="Comma 4 2 4 2 3 3" xfId="5443" xr:uid="{00000000-0005-0000-0000-0000BE080000}"/>
    <cellStyle name="Comma 4 2 4 2 3 4" xfId="9654" xr:uid="{4D6B75A1-8D3B-49F6-9E6C-7568DCEE4A58}"/>
    <cellStyle name="Comma 4 2 4 2 3 5" xfId="13865" xr:uid="{A114010F-DC4B-4493-B0BD-36D6FF52D465}"/>
    <cellStyle name="Comma 4 2 4 2 4" xfId="1547" xr:uid="{00000000-0005-0000-0000-0000BF080000}"/>
    <cellStyle name="Comma 4 2 4 2 4 2" xfId="3777" xr:uid="{00000000-0005-0000-0000-0000C0080000}"/>
    <cellStyle name="Comma 4 2 4 2 4 2 2" xfId="8001" xr:uid="{00000000-0005-0000-0000-0000C1080000}"/>
    <cellStyle name="Comma 4 2 4 2 4 2 3" xfId="12212" xr:uid="{5F29E2E2-6436-4C48-8E1B-C061E3C4FDC1}"/>
    <cellStyle name="Comma 4 2 4 2 4 2 4" xfId="16423" xr:uid="{2E830DEA-E677-44D3-B8B8-25BEC4A72D97}"/>
    <cellStyle name="Comma 4 2 4 2 4 3" xfId="5856" xr:uid="{00000000-0005-0000-0000-0000C2080000}"/>
    <cellStyle name="Comma 4 2 4 2 4 4" xfId="10067" xr:uid="{2974B06F-942C-4E78-8183-9014315C284F}"/>
    <cellStyle name="Comma 4 2 4 2 4 5" xfId="14278" xr:uid="{CD9C1CD1-E1BC-4336-B62A-3EA4A6B1571C}"/>
    <cellStyle name="Comma 4 2 4 2 5" xfId="1961" xr:uid="{00000000-0005-0000-0000-0000C3080000}"/>
    <cellStyle name="Comma 4 2 4 2 5 2" xfId="4190" xr:uid="{00000000-0005-0000-0000-0000C4080000}"/>
    <cellStyle name="Comma 4 2 4 2 5 2 2" xfId="8414" xr:uid="{00000000-0005-0000-0000-0000C5080000}"/>
    <cellStyle name="Comma 4 2 4 2 5 2 3" xfId="12625" xr:uid="{1D654E7A-6CE7-4D59-BB3A-C185CF899961}"/>
    <cellStyle name="Comma 4 2 4 2 5 2 4" xfId="16836" xr:uid="{46929837-DB1D-4CC6-9194-11FD9357910D}"/>
    <cellStyle name="Comma 4 2 4 2 5 3" xfId="6269" xr:uid="{00000000-0005-0000-0000-0000C6080000}"/>
    <cellStyle name="Comma 4 2 4 2 5 4" xfId="10480" xr:uid="{087898E9-3E40-4530-9620-3FD153786D70}"/>
    <cellStyle name="Comma 4 2 4 2 5 5" xfId="14691" xr:uid="{8920D455-B4E9-4AB5-8794-5598AB043CE7}"/>
    <cellStyle name="Comma 4 2 4 2 6" xfId="2396" xr:uid="{00000000-0005-0000-0000-0000C7080000}"/>
    <cellStyle name="Comma 4 2 4 2 6 2" xfId="6682" xr:uid="{00000000-0005-0000-0000-0000C8080000}"/>
    <cellStyle name="Comma 4 2 4 2 6 3" xfId="10893" xr:uid="{023D9FD9-33CE-4E1D-B3D1-2BA82A3F3F5F}"/>
    <cellStyle name="Comma 4 2 4 2 6 4" xfId="15104" xr:uid="{8B72F1F4-0EBD-4DF2-A8A8-D99285208325}"/>
    <cellStyle name="Comma 4 2 4 2 7" xfId="2369" xr:uid="{00000000-0005-0000-0000-0000C9080000}"/>
    <cellStyle name="Comma 4 2 4 2 8" xfId="2774" xr:uid="{00000000-0005-0000-0000-0000CA080000}"/>
    <cellStyle name="Comma 4 2 4 2 8 2" xfId="6999" xr:uid="{00000000-0005-0000-0000-0000CB080000}"/>
    <cellStyle name="Comma 4 2 4 2 8 3" xfId="11210" xr:uid="{66E39CBD-2A35-40E2-9147-1B92F11B089E}"/>
    <cellStyle name="Comma 4 2 4 2 8 4" xfId="15421" xr:uid="{149049E5-8034-49C3-B4B3-77456F65D74B}"/>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2 3" xfId="11385" xr:uid="{D6189AF6-FCB5-45F7-8A51-0470F2DCF584}"/>
    <cellStyle name="Comma 4 2 4 3 2 4" xfId="15596" xr:uid="{F0813210-35E3-486F-B4C7-3B0D2EBE4EFB}"/>
    <cellStyle name="Comma 4 2 4 3 3" xfId="5029" xr:uid="{00000000-0005-0000-0000-0000D0080000}"/>
    <cellStyle name="Comma 4 2 4 3 4" xfId="9240" xr:uid="{96A197F7-6DC6-4118-8ADF-F2D45FB4826A}"/>
    <cellStyle name="Comma 4 2 4 3 5" xfId="13451" xr:uid="{AE5FB4FF-5DE6-477D-84CE-A4A0B630D289}"/>
    <cellStyle name="Comma 4 2 4 4" xfId="1132" xr:uid="{00000000-0005-0000-0000-0000D1080000}"/>
    <cellStyle name="Comma 4 2 4 4 2" xfId="3363" xr:uid="{00000000-0005-0000-0000-0000D2080000}"/>
    <cellStyle name="Comma 4 2 4 4 2 2" xfId="7587" xr:uid="{00000000-0005-0000-0000-0000D3080000}"/>
    <cellStyle name="Comma 4 2 4 4 2 3" xfId="11798" xr:uid="{35E0453C-297B-4E84-8F17-B98B3F81C4BC}"/>
    <cellStyle name="Comma 4 2 4 4 2 4" xfId="16009" xr:uid="{D6C5B627-54B9-4155-AE13-BFF45235CC55}"/>
    <cellStyle name="Comma 4 2 4 4 3" xfId="5442" xr:uid="{00000000-0005-0000-0000-0000D4080000}"/>
    <cellStyle name="Comma 4 2 4 4 4" xfId="9653" xr:uid="{CDE7BF2A-6E69-49A4-B2F5-F5B3C8D7C60D}"/>
    <cellStyle name="Comma 4 2 4 4 5" xfId="13864" xr:uid="{30755629-D157-40A7-880B-6D82A10E95F3}"/>
    <cellStyle name="Comma 4 2 4 5" xfId="1546" xr:uid="{00000000-0005-0000-0000-0000D5080000}"/>
    <cellStyle name="Comma 4 2 4 5 2" xfId="3776" xr:uid="{00000000-0005-0000-0000-0000D6080000}"/>
    <cellStyle name="Comma 4 2 4 5 2 2" xfId="8000" xr:uid="{00000000-0005-0000-0000-0000D7080000}"/>
    <cellStyle name="Comma 4 2 4 5 2 3" xfId="12211" xr:uid="{E2CEEF6A-3B7F-4359-8757-92B19A197163}"/>
    <cellStyle name="Comma 4 2 4 5 2 4" xfId="16422" xr:uid="{2AFC3041-81EF-42C1-A063-44B2D9F7AEF2}"/>
    <cellStyle name="Comma 4 2 4 5 3" xfId="5855" xr:uid="{00000000-0005-0000-0000-0000D8080000}"/>
    <cellStyle name="Comma 4 2 4 5 4" xfId="10066" xr:uid="{F90F3081-F6E2-4F5B-BFB9-6929E34877B4}"/>
    <cellStyle name="Comma 4 2 4 5 5" xfId="14277" xr:uid="{56993237-8D2A-45A3-9B03-181C2B26D509}"/>
    <cellStyle name="Comma 4 2 4 6" xfId="1960" xr:uid="{00000000-0005-0000-0000-0000D9080000}"/>
    <cellStyle name="Comma 4 2 4 6 2" xfId="4189" xr:uid="{00000000-0005-0000-0000-0000DA080000}"/>
    <cellStyle name="Comma 4 2 4 6 2 2" xfId="8413" xr:uid="{00000000-0005-0000-0000-0000DB080000}"/>
    <cellStyle name="Comma 4 2 4 6 2 3" xfId="12624" xr:uid="{39E698D1-6982-4DF6-8CAE-F94C4F701E9D}"/>
    <cellStyle name="Comma 4 2 4 6 2 4" xfId="16835" xr:uid="{41069FD4-F936-4C65-B706-06D21835A6F7}"/>
    <cellStyle name="Comma 4 2 4 6 3" xfId="6268" xr:uid="{00000000-0005-0000-0000-0000DC080000}"/>
    <cellStyle name="Comma 4 2 4 6 4" xfId="10479" xr:uid="{6D958850-55AD-44E5-948F-1D66A497C6FB}"/>
    <cellStyle name="Comma 4 2 4 6 5" xfId="14690" xr:uid="{D751B659-D53C-4B6A-9CF8-F89D4BBA0C3D}"/>
    <cellStyle name="Comma 4 2 4 7" xfId="2395" xr:uid="{00000000-0005-0000-0000-0000DD080000}"/>
    <cellStyle name="Comma 4 2 4 7 2" xfId="6681" xr:uid="{00000000-0005-0000-0000-0000DE080000}"/>
    <cellStyle name="Comma 4 2 4 7 3" xfId="10892" xr:uid="{E65E4571-72D7-4423-BB36-6725D1161DC0}"/>
    <cellStyle name="Comma 4 2 4 7 4" xfId="15103" xr:uid="{95570FB1-30DF-4041-954E-6C366F544EB9}"/>
    <cellStyle name="Comma 4 2 4 8" xfId="2370" xr:uid="{00000000-0005-0000-0000-0000DF080000}"/>
    <cellStyle name="Comma 4 2 4 9" xfId="2773" xr:uid="{00000000-0005-0000-0000-0000E0080000}"/>
    <cellStyle name="Comma 4 2 4 9 2" xfId="6998" xr:uid="{00000000-0005-0000-0000-0000E1080000}"/>
    <cellStyle name="Comma 4 2 4 9 3" xfId="11209" xr:uid="{B184634F-A37E-481F-910E-B44B504C73A1}"/>
    <cellStyle name="Comma 4 2 4 9 4" xfId="15420" xr:uid="{A7EDA91C-DC71-45AD-94B1-3699E7611237}"/>
    <cellStyle name="Comma 4 2 5" xfId="142" xr:uid="{00000000-0005-0000-0000-0000E2080000}"/>
    <cellStyle name="Comma 4 2 5 10" xfId="8828" xr:uid="{7574EBE5-84B2-4EEE-9B9D-0DA6F9BAEE8E}"/>
    <cellStyle name="Comma 4 2 5 11" xfId="13039" xr:uid="{6A923CBA-7BEB-43C4-A71A-0DD89D2ED00D}"/>
    <cellStyle name="Comma 4 2 5 2" xfId="681" xr:uid="{00000000-0005-0000-0000-0000E3080000}"/>
    <cellStyle name="Comma 4 2 5 2 2" xfId="2952" xr:uid="{00000000-0005-0000-0000-0000E4080000}"/>
    <cellStyle name="Comma 4 2 5 2 2 2" xfId="7176" xr:uid="{00000000-0005-0000-0000-0000E5080000}"/>
    <cellStyle name="Comma 4 2 5 2 2 3" xfId="11387" xr:uid="{6DDC5A23-B328-4084-9D8E-9B42AFEF17E8}"/>
    <cellStyle name="Comma 4 2 5 2 2 4" xfId="15598" xr:uid="{16E0C255-883B-4A6C-9B3F-6DF71BD66A14}"/>
    <cellStyle name="Comma 4 2 5 2 3" xfId="5031" xr:uid="{00000000-0005-0000-0000-0000E6080000}"/>
    <cellStyle name="Comma 4 2 5 2 4" xfId="9242" xr:uid="{E15EDF8D-2031-4D59-A294-D1302BF57689}"/>
    <cellStyle name="Comma 4 2 5 2 5" xfId="13453" xr:uid="{C1F0B3DB-946F-41E0-8A34-BAD6BCE0B6AB}"/>
    <cellStyle name="Comma 4 2 5 3" xfId="1134" xr:uid="{00000000-0005-0000-0000-0000E7080000}"/>
    <cellStyle name="Comma 4 2 5 3 2" xfId="3365" xr:uid="{00000000-0005-0000-0000-0000E8080000}"/>
    <cellStyle name="Comma 4 2 5 3 2 2" xfId="7589" xr:uid="{00000000-0005-0000-0000-0000E9080000}"/>
    <cellStyle name="Comma 4 2 5 3 2 3" xfId="11800" xr:uid="{6D1798D3-8A59-4589-B4B1-0DF867AF5A19}"/>
    <cellStyle name="Comma 4 2 5 3 2 4" xfId="16011" xr:uid="{F91D3327-7975-41E0-9166-7959AB03B66D}"/>
    <cellStyle name="Comma 4 2 5 3 3" xfId="5444" xr:uid="{00000000-0005-0000-0000-0000EA080000}"/>
    <cellStyle name="Comma 4 2 5 3 4" xfId="9655" xr:uid="{0B19177A-0CE5-4A6A-B7E6-B6B92DE0A9AF}"/>
    <cellStyle name="Comma 4 2 5 3 5" xfId="13866" xr:uid="{C28B5965-7AD5-4A2D-9C87-DA0A3F6FEC32}"/>
    <cellStyle name="Comma 4 2 5 4" xfId="1548" xr:uid="{00000000-0005-0000-0000-0000EB080000}"/>
    <cellStyle name="Comma 4 2 5 4 2" xfId="3778" xr:uid="{00000000-0005-0000-0000-0000EC080000}"/>
    <cellStyle name="Comma 4 2 5 4 2 2" xfId="8002" xr:uid="{00000000-0005-0000-0000-0000ED080000}"/>
    <cellStyle name="Comma 4 2 5 4 2 3" xfId="12213" xr:uid="{A005ACF7-180D-4E56-B07C-555A1321DF06}"/>
    <cellStyle name="Comma 4 2 5 4 2 4" xfId="16424" xr:uid="{82542222-D4F0-40F6-A614-521D0A281AD4}"/>
    <cellStyle name="Comma 4 2 5 4 3" xfId="5857" xr:uid="{00000000-0005-0000-0000-0000EE080000}"/>
    <cellStyle name="Comma 4 2 5 4 4" xfId="10068" xr:uid="{A74F2F90-3774-4245-BE6F-38F0FB9EFD46}"/>
    <cellStyle name="Comma 4 2 5 4 5" xfId="14279" xr:uid="{5F8C14AB-D046-4B78-A755-8379FEC0DFC0}"/>
    <cellStyle name="Comma 4 2 5 5" xfId="1962" xr:uid="{00000000-0005-0000-0000-0000EF080000}"/>
    <cellStyle name="Comma 4 2 5 5 2" xfId="4191" xr:uid="{00000000-0005-0000-0000-0000F0080000}"/>
    <cellStyle name="Comma 4 2 5 5 2 2" xfId="8415" xr:uid="{00000000-0005-0000-0000-0000F1080000}"/>
    <cellStyle name="Comma 4 2 5 5 2 3" xfId="12626" xr:uid="{3F9F3A6E-07B2-44F2-84D6-8DD8AB254CE8}"/>
    <cellStyle name="Comma 4 2 5 5 2 4" xfId="16837" xr:uid="{B9E68861-9ECB-4637-8EC2-5024824FFB69}"/>
    <cellStyle name="Comma 4 2 5 5 3" xfId="6270" xr:uid="{00000000-0005-0000-0000-0000F2080000}"/>
    <cellStyle name="Comma 4 2 5 5 4" xfId="10481" xr:uid="{1B938FF8-8D22-4F22-B873-8DF440FB560C}"/>
    <cellStyle name="Comma 4 2 5 5 5" xfId="14692" xr:uid="{5580B9B9-AAE9-44D0-862C-1A5D1DBEE2E0}"/>
    <cellStyle name="Comma 4 2 5 6" xfId="2397" xr:uid="{00000000-0005-0000-0000-0000F3080000}"/>
    <cellStyle name="Comma 4 2 5 6 2" xfId="6683" xr:uid="{00000000-0005-0000-0000-0000F4080000}"/>
    <cellStyle name="Comma 4 2 5 6 3" xfId="10894" xr:uid="{765D5017-A314-4B67-B6C1-6B9E0CAD442B}"/>
    <cellStyle name="Comma 4 2 5 6 4" xfId="15105" xr:uid="{5E82AD3C-D4F1-4C64-B663-23C2877D4411}"/>
    <cellStyle name="Comma 4 2 5 7" xfId="2368" xr:uid="{00000000-0005-0000-0000-0000F5080000}"/>
    <cellStyle name="Comma 4 2 5 8" xfId="2775" xr:uid="{00000000-0005-0000-0000-0000F6080000}"/>
    <cellStyle name="Comma 4 2 5 8 2" xfId="7000" xr:uid="{00000000-0005-0000-0000-0000F7080000}"/>
    <cellStyle name="Comma 4 2 5 8 3" xfId="11211" xr:uid="{9DB1559B-BD43-48A3-B9EF-35D3917893F2}"/>
    <cellStyle name="Comma 4 2 5 8 4" xfId="15422" xr:uid="{25DDD362-032C-482F-87C2-FD15C073463A}"/>
    <cellStyle name="Comma 4 2 5 9" xfId="4617" xr:uid="{00000000-0005-0000-0000-0000F8080000}"/>
    <cellStyle name="Comma 4 2 6" xfId="143" xr:uid="{00000000-0005-0000-0000-0000F9080000}"/>
    <cellStyle name="Comma 4 2 6 10" xfId="8829" xr:uid="{F5E5B81F-207C-4BD5-95C1-9CEC4C1D0EFB}"/>
    <cellStyle name="Comma 4 2 6 11" xfId="13040" xr:uid="{BCE00243-1D09-4FD4-98F8-96916248F2F1}"/>
    <cellStyle name="Comma 4 2 6 2" xfId="682" xr:uid="{00000000-0005-0000-0000-0000FA080000}"/>
    <cellStyle name="Comma 4 2 6 2 2" xfId="2953" xr:uid="{00000000-0005-0000-0000-0000FB080000}"/>
    <cellStyle name="Comma 4 2 6 2 2 2" xfId="7177" xr:uid="{00000000-0005-0000-0000-0000FC080000}"/>
    <cellStyle name="Comma 4 2 6 2 2 3" xfId="11388" xr:uid="{2FC57132-DC95-4020-A0C1-C727245A89E2}"/>
    <cellStyle name="Comma 4 2 6 2 2 4" xfId="15599" xr:uid="{5986DFEC-9B59-4CF0-A58D-BDA0398222A7}"/>
    <cellStyle name="Comma 4 2 6 2 3" xfId="5032" xr:uid="{00000000-0005-0000-0000-0000FD080000}"/>
    <cellStyle name="Comma 4 2 6 2 4" xfId="9243" xr:uid="{6B08FB05-0DF5-4FCD-801C-A7F21F50A569}"/>
    <cellStyle name="Comma 4 2 6 2 5" xfId="13454" xr:uid="{1F613278-0231-437E-A28D-7C6D344E45B8}"/>
    <cellStyle name="Comma 4 2 6 3" xfId="1135" xr:uid="{00000000-0005-0000-0000-0000FE080000}"/>
    <cellStyle name="Comma 4 2 6 3 2" xfId="3366" xr:uid="{00000000-0005-0000-0000-0000FF080000}"/>
    <cellStyle name="Comma 4 2 6 3 2 2" xfId="7590" xr:uid="{00000000-0005-0000-0000-000000090000}"/>
    <cellStyle name="Comma 4 2 6 3 2 3" xfId="11801" xr:uid="{8F23EF80-99F8-418B-B372-FA61C3B21D29}"/>
    <cellStyle name="Comma 4 2 6 3 2 4" xfId="16012" xr:uid="{7B87D881-591B-4BC6-A5D3-B7C27E52B0CB}"/>
    <cellStyle name="Comma 4 2 6 3 3" xfId="5445" xr:uid="{00000000-0005-0000-0000-000001090000}"/>
    <cellStyle name="Comma 4 2 6 3 4" xfId="9656" xr:uid="{BB89C158-E114-4E9D-851B-5D1649F22C08}"/>
    <cellStyle name="Comma 4 2 6 3 5" xfId="13867" xr:uid="{6B841BC2-1A9E-4DCB-A014-76374C02887E}"/>
    <cellStyle name="Comma 4 2 6 4" xfId="1549" xr:uid="{00000000-0005-0000-0000-000002090000}"/>
    <cellStyle name="Comma 4 2 6 4 2" xfId="3779" xr:uid="{00000000-0005-0000-0000-000003090000}"/>
    <cellStyle name="Comma 4 2 6 4 2 2" xfId="8003" xr:uid="{00000000-0005-0000-0000-000004090000}"/>
    <cellStyle name="Comma 4 2 6 4 2 3" xfId="12214" xr:uid="{74385703-7D22-43A0-808C-7A40830F88A5}"/>
    <cellStyle name="Comma 4 2 6 4 2 4" xfId="16425" xr:uid="{46B0466F-044B-4E01-BAF7-9E30770E255E}"/>
    <cellStyle name="Comma 4 2 6 4 3" xfId="5858" xr:uid="{00000000-0005-0000-0000-000005090000}"/>
    <cellStyle name="Comma 4 2 6 4 4" xfId="10069" xr:uid="{1FD97B59-2C90-421F-968D-7DE575E4D811}"/>
    <cellStyle name="Comma 4 2 6 4 5" xfId="14280" xr:uid="{902B7876-4C95-4B1C-AC13-FDA1B8249999}"/>
    <cellStyle name="Comma 4 2 6 5" xfId="1963" xr:uid="{00000000-0005-0000-0000-000006090000}"/>
    <cellStyle name="Comma 4 2 6 5 2" xfId="4192" xr:uid="{00000000-0005-0000-0000-000007090000}"/>
    <cellStyle name="Comma 4 2 6 5 2 2" xfId="8416" xr:uid="{00000000-0005-0000-0000-000008090000}"/>
    <cellStyle name="Comma 4 2 6 5 2 3" xfId="12627" xr:uid="{3B85FAAD-6238-4C2F-8F71-CF5F727F8B9F}"/>
    <cellStyle name="Comma 4 2 6 5 2 4" xfId="16838" xr:uid="{B1BBA046-5AE9-451F-A335-24B3C21FFDCA}"/>
    <cellStyle name="Comma 4 2 6 5 3" xfId="6271" xr:uid="{00000000-0005-0000-0000-000009090000}"/>
    <cellStyle name="Comma 4 2 6 5 4" xfId="10482" xr:uid="{E2E2D078-F943-4A9F-9845-B32EAF3D879B}"/>
    <cellStyle name="Comma 4 2 6 5 5" xfId="14693" xr:uid="{DD3BCC56-450E-40E0-973B-5292AC591787}"/>
    <cellStyle name="Comma 4 2 6 6" xfId="2398" xr:uid="{00000000-0005-0000-0000-00000A090000}"/>
    <cellStyle name="Comma 4 2 6 6 2" xfId="6684" xr:uid="{00000000-0005-0000-0000-00000B090000}"/>
    <cellStyle name="Comma 4 2 6 6 3" xfId="10895" xr:uid="{AFA4AEF2-7786-4DBB-9935-C103DB04B46A}"/>
    <cellStyle name="Comma 4 2 6 6 4" xfId="15106" xr:uid="{DB4DBA7E-0188-4D8E-A4A8-BE502511806D}"/>
    <cellStyle name="Comma 4 2 6 7" xfId="2367" xr:uid="{00000000-0005-0000-0000-00000C090000}"/>
    <cellStyle name="Comma 4 2 6 8" xfId="2776" xr:uid="{00000000-0005-0000-0000-00000D090000}"/>
    <cellStyle name="Comma 4 2 6 8 2" xfId="7001" xr:uid="{00000000-0005-0000-0000-00000E090000}"/>
    <cellStyle name="Comma 4 2 6 8 3" xfId="11212" xr:uid="{91E5B9CA-FAB5-4C4E-B74B-508AE918FBDF}"/>
    <cellStyle name="Comma 4 2 6 8 4" xfId="15423" xr:uid="{AF7A92D4-BC34-42E0-AE0E-61A7E8522638}"/>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0 3" xfId="11213" xr:uid="{9E025E4E-D2BA-4136-B84E-BA15257DEFD9}"/>
    <cellStyle name="Comma 4 3 2 10 4" xfId="15424" xr:uid="{27D4C6BD-D195-4660-88EC-89FE2099E7FC}"/>
    <cellStyle name="Comma 4 3 2 11" xfId="4619" xr:uid="{00000000-0005-0000-0000-000014090000}"/>
    <cellStyle name="Comma 4 3 2 12" xfId="8830" xr:uid="{9C3AA9AA-B48F-468B-A3B0-A15CA5D22F81}"/>
    <cellStyle name="Comma 4 3 2 13" xfId="13041" xr:uid="{BE875D24-C853-4798-8F59-6AD5E4B98431}"/>
    <cellStyle name="Comma 4 3 2 2" xfId="146" xr:uid="{00000000-0005-0000-0000-000015090000}"/>
    <cellStyle name="Comma 4 3 2 2 10" xfId="4620" xr:uid="{00000000-0005-0000-0000-000016090000}"/>
    <cellStyle name="Comma 4 3 2 2 11" xfId="8831" xr:uid="{C4C442FF-878E-427B-BD50-B799822F3AD8}"/>
    <cellStyle name="Comma 4 3 2 2 12" xfId="13042" xr:uid="{EF0078C4-7C50-4292-B96B-155E2E083576}"/>
    <cellStyle name="Comma 4 3 2 2 2" xfId="147" xr:uid="{00000000-0005-0000-0000-000017090000}"/>
    <cellStyle name="Comma 4 3 2 2 2 10" xfId="8832" xr:uid="{6520E100-DF78-442B-A9D8-6912EE5A57F5}"/>
    <cellStyle name="Comma 4 3 2 2 2 11" xfId="13043" xr:uid="{44078A99-178A-4994-80BC-23ACC94C4CC6}"/>
    <cellStyle name="Comma 4 3 2 2 2 2" xfId="685" xr:uid="{00000000-0005-0000-0000-000018090000}"/>
    <cellStyle name="Comma 4 3 2 2 2 2 2" xfId="2956" xr:uid="{00000000-0005-0000-0000-000019090000}"/>
    <cellStyle name="Comma 4 3 2 2 2 2 2 2" xfId="7180" xr:uid="{00000000-0005-0000-0000-00001A090000}"/>
    <cellStyle name="Comma 4 3 2 2 2 2 2 3" xfId="11391" xr:uid="{CCE58DF0-EF64-4B40-8A01-B982263FE554}"/>
    <cellStyle name="Comma 4 3 2 2 2 2 2 4" xfId="15602" xr:uid="{C08D7672-625B-4481-9C27-48BAB54061A7}"/>
    <cellStyle name="Comma 4 3 2 2 2 2 3" xfId="5035" xr:uid="{00000000-0005-0000-0000-00001B090000}"/>
    <cellStyle name="Comma 4 3 2 2 2 2 4" xfId="9246" xr:uid="{7E1A9C72-67E2-4E89-9000-6BBD0D096434}"/>
    <cellStyle name="Comma 4 3 2 2 2 2 5" xfId="13457" xr:uid="{E6CE28CF-5B83-4667-9775-1D0A687D330E}"/>
    <cellStyle name="Comma 4 3 2 2 2 3" xfId="1138" xr:uid="{00000000-0005-0000-0000-00001C090000}"/>
    <cellStyle name="Comma 4 3 2 2 2 3 2" xfId="3369" xr:uid="{00000000-0005-0000-0000-00001D090000}"/>
    <cellStyle name="Comma 4 3 2 2 2 3 2 2" xfId="7593" xr:uid="{00000000-0005-0000-0000-00001E090000}"/>
    <cellStyle name="Comma 4 3 2 2 2 3 2 3" xfId="11804" xr:uid="{4CE6039E-1B24-46FF-8E6E-A4AE9BD94637}"/>
    <cellStyle name="Comma 4 3 2 2 2 3 2 4" xfId="16015" xr:uid="{8708A4E4-CFFD-4A50-BF54-0F45CC45A3D2}"/>
    <cellStyle name="Comma 4 3 2 2 2 3 3" xfId="5448" xr:uid="{00000000-0005-0000-0000-00001F090000}"/>
    <cellStyle name="Comma 4 3 2 2 2 3 4" xfId="9659" xr:uid="{1AAB465F-15B8-464C-856B-912D64C8B30D}"/>
    <cellStyle name="Comma 4 3 2 2 2 3 5" xfId="13870" xr:uid="{E65122A2-7071-41E7-ADA4-0C0C4871305B}"/>
    <cellStyle name="Comma 4 3 2 2 2 4" xfId="1552" xr:uid="{00000000-0005-0000-0000-000020090000}"/>
    <cellStyle name="Comma 4 3 2 2 2 4 2" xfId="3782" xr:uid="{00000000-0005-0000-0000-000021090000}"/>
    <cellStyle name="Comma 4 3 2 2 2 4 2 2" xfId="8006" xr:uid="{00000000-0005-0000-0000-000022090000}"/>
    <cellStyle name="Comma 4 3 2 2 2 4 2 3" xfId="12217" xr:uid="{C6828755-527E-4AAD-B9EF-8F4E260CAAA8}"/>
    <cellStyle name="Comma 4 3 2 2 2 4 2 4" xfId="16428" xr:uid="{6B62D682-C3F4-44E9-A290-0AB146CD46D9}"/>
    <cellStyle name="Comma 4 3 2 2 2 4 3" xfId="5861" xr:uid="{00000000-0005-0000-0000-000023090000}"/>
    <cellStyle name="Comma 4 3 2 2 2 4 4" xfId="10072" xr:uid="{CEF03055-0902-41B7-A509-37AB2F93A3A1}"/>
    <cellStyle name="Comma 4 3 2 2 2 4 5" xfId="14283" xr:uid="{FE7018B3-EE5C-4002-8992-36BFAC4AFA1F}"/>
    <cellStyle name="Comma 4 3 2 2 2 5" xfId="1966" xr:uid="{00000000-0005-0000-0000-000024090000}"/>
    <cellStyle name="Comma 4 3 2 2 2 5 2" xfId="4195" xr:uid="{00000000-0005-0000-0000-000025090000}"/>
    <cellStyle name="Comma 4 3 2 2 2 5 2 2" xfId="8419" xr:uid="{00000000-0005-0000-0000-000026090000}"/>
    <cellStyle name="Comma 4 3 2 2 2 5 2 3" xfId="12630" xr:uid="{08308866-B185-46BC-B47D-B6E0FB667FE5}"/>
    <cellStyle name="Comma 4 3 2 2 2 5 2 4" xfId="16841" xr:uid="{3C20827E-352A-48B7-B191-B32ED4E276F9}"/>
    <cellStyle name="Comma 4 3 2 2 2 5 3" xfId="6274" xr:uid="{00000000-0005-0000-0000-000027090000}"/>
    <cellStyle name="Comma 4 3 2 2 2 5 4" xfId="10485" xr:uid="{4ACEA3BC-5EB6-48D4-8838-44422D3AB883}"/>
    <cellStyle name="Comma 4 3 2 2 2 5 5" xfId="14696" xr:uid="{52C2060F-3A09-4828-A101-CF80A2DAA13D}"/>
    <cellStyle name="Comma 4 3 2 2 2 6" xfId="2401" xr:uid="{00000000-0005-0000-0000-000028090000}"/>
    <cellStyle name="Comma 4 3 2 2 2 6 2" xfId="6687" xr:uid="{00000000-0005-0000-0000-000029090000}"/>
    <cellStyle name="Comma 4 3 2 2 2 6 3" xfId="10898" xr:uid="{6BE64B18-520C-42AE-B644-B7F77A69A9C6}"/>
    <cellStyle name="Comma 4 3 2 2 2 6 4" xfId="15109" xr:uid="{327321AB-CD8D-4664-9D94-CD38959DF0A4}"/>
    <cellStyle name="Comma 4 3 2 2 2 7" xfId="2364" xr:uid="{00000000-0005-0000-0000-00002A090000}"/>
    <cellStyle name="Comma 4 3 2 2 2 8" xfId="2779" xr:uid="{00000000-0005-0000-0000-00002B090000}"/>
    <cellStyle name="Comma 4 3 2 2 2 8 2" xfId="7004" xr:uid="{00000000-0005-0000-0000-00002C090000}"/>
    <cellStyle name="Comma 4 3 2 2 2 8 3" xfId="11215" xr:uid="{78859F34-D965-4226-8CE9-BDDF8BDD4F33}"/>
    <cellStyle name="Comma 4 3 2 2 2 8 4" xfId="15426" xr:uid="{0B363B8D-57C9-4EA5-9CE7-86226A36153B}"/>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2 3" xfId="11390" xr:uid="{D71CDCF4-4830-4CF7-998B-50657F36BE90}"/>
    <cellStyle name="Comma 4 3 2 2 3 2 4" xfId="15601" xr:uid="{3A525446-63F2-403A-B99C-1BD49FAD76E0}"/>
    <cellStyle name="Comma 4 3 2 2 3 3" xfId="5034" xr:uid="{00000000-0005-0000-0000-000031090000}"/>
    <cellStyle name="Comma 4 3 2 2 3 4" xfId="9245" xr:uid="{68DDAC71-B088-44C2-A7DE-084AD8093D9F}"/>
    <cellStyle name="Comma 4 3 2 2 3 5" xfId="13456" xr:uid="{6E406B14-8C2D-4B6C-9224-4BFA47FC456E}"/>
    <cellStyle name="Comma 4 3 2 2 4" xfId="1137" xr:uid="{00000000-0005-0000-0000-000032090000}"/>
    <cellStyle name="Comma 4 3 2 2 4 2" xfId="3368" xr:uid="{00000000-0005-0000-0000-000033090000}"/>
    <cellStyle name="Comma 4 3 2 2 4 2 2" xfId="7592" xr:uid="{00000000-0005-0000-0000-000034090000}"/>
    <cellStyle name="Comma 4 3 2 2 4 2 3" xfId="11803" xr:uid="{840286DF-C2B2-4B9C-A1D5-1ADB4E94B98D}"/>
    <cellStyle name="Comma 4 3 2 2 4 2 4" xfId="16014" xr:uid="{B97D194B-1B8E-4331-973A-EF25391505AE}"/>
    <cellStyle name="Comma 4 3 2 2 4 3" xfId="5447" xr:uid="{00000000-0005-0000-0000-000035090000}"/>
    <cellStyle name="Comma 4 3 2 2 4 4" xfId="9658" xr:uid="{E1B90810-0E2F-4D53-8CD1-E721E8857FA8}"/>
    <cellStyle name="Comma 4 3 2 2 4 5" xfId="13869" xr:uid="{151D5647-F106-4796-85DB-F8ECC8E0E1D6}"/>
    <cellStyle name="Comma 4 3 2 2 5" xfId="1551" xr:uid="{00000000-0005-0000-0000-000036090000}"/>
    <cellStyle name="Comma 4 3 2 2 5 2" xfId="3781" xr:uid="{00000000-0005-0000-0000-000037090000}"/>
    <cellStyle name="Comma 4 3 2 2 5 2 2" xfId="8005" xr:uid="{00000000-0005-0000-0000-000038090000}"/>
    <cellStyle name="Comma 4 3 2 2 5 2 3" xfId="12216" xr:uid="{A0353A12-54FA-49A6-9B60-92B68708D927}"/>
    <cellStyle name="Comma 4 3 2 2 5 2 4" xfId="16427" xr:uid="{799B27DB-02DC-4039-BD27-D5AC2EF3AF27}"/>
    <cellStyle name="Comma 4 3 2 2 5 3" xfId="5860" xr:uid="{00000000-0005-0000-0000-000039090000}"/>
    <cellStyle name="Comma 4 3 2 2 5 4" xfId="10071" xr:uid="{809D39DF-CFC2-43F4-860F-0AAE44BA20BC}"/>
    <cellStyle name="Comma 4 3 2 2 5 5" xfId="14282" xr:uid="{815D208B-8B1E-43AD-8FEB-A7B7B80B4550}"/>
    <cellStyle name="Comma 4 3 2 2 6" xfId="1965" xr:uid="{00000000-0005-0000-0000-00003A090000}"/>
    <cellStyle name="Comma 4 3 2 2 6 2" xfId="4194" xr:uid="{00000000-0005-0000-0000-00003B090000}"/>
    <cellStyle name="Comma 4 3 2 2 6 2 2" xfId="8418" xr:uid="{00000000-0005-0000-0000-00003C090000}"/>
    <cellStyle name="Comma 4 3 2 2 6 2 3" xfId="12629" xr:uid="{BBA84ACE-0B3D-43FA-8054-A5FCFC36A634}"/>
    <cellStyle name="Comma 4 3 2 2 6 2 4" xfId="16840" xr:uid="{6BC7BDCE-1D8D-4422-8D64-E036474D41AB}"/>
    <cellStyle name="Comma 4 3 2 2 6 3" xfId="6273" xr:uid="{00000000-0005-0000-0000-00003D090000}"/>
    <cellStyle name="Comma 4 3 2 2 6 4" xfId="10484" xr:uid="{7D1AE976-670B-44FE-8891-236F68088BEA}"/>
    <cellStyle name="Comma 4 3 2 2 6 5" xfId="14695" xr:uid="{9915AAB8-7BBF-40CB-BF8A-5D50F801F847}"/>
    <cellStyle name="Comma 4 3 2 2 7" xfId="2400" xr:uid="{00000000-0005-0000-0000-00003E090000}"/>
    <cellStyle name="Comma 4 3 2 2 7 2" xfId="6686" xr:uid="{00000000-0005-0000-0000-00003F090000}"/>
    <cellStyle name="Comma 4 3 2 2 7 3" xfId="10897" xr:uid="{5157724E-5681-4B1A-B12A-5704EC88B406}"/>
    <cellStyle name="Comma 4 3 2 2 7 4" xfId="15108" xr:uid="{BC30336A-F7EB-49FE-B5EB-CD97DC318478}"/>
    <cellStyle name="Comma 4 3 2 2 8" xfId="2365" xr:uid="{00000000-0005-0000-0000-000040090000}"/>
    <cellStyle name="Comma 4 3 2 2 9" xfId="2778" xr:uid="{00000000-0005-0000-0000-000041090000}"/>
    <cellStyle name="Comma 4 3 2 2 9 2" xfId="7003" xr:uid="{00000000-0005-0000-0000-000042090000}"/>
    <cellStyle name="Comma 4 3 2 2 9 3" xfId="11214" xr:uid="{5CA25274-8D3F-4F44-ACAB-B307AEB321B6}"/>
    <cellStyle name="Comma 4 3 2 2 9 4" xfId="15425" xr:uid="{DFC34CA7-93A8-4E53-AF71-56833075377A}"/>
    <cellStyle name="Comma 4 3 2 3" xfId="148" xr:uid="{00000000-0005-0000-0000-000043090000}"/>
    <cellStyle name="Comma 4 3 2 3 10" xfId="8833" xr:uid="{9EADDAA8-F580-4E2F-B1D0-AA6BD4588E80}"/>
    <cellStyle name="Comma 4 3 2 3 11" xfId="13044" xr:uid="{20E34784-5FC1-432D-B8E4-46B59446674A}"/>
    <cellStyle name="Comma 4 3 2 3 2" xfId="686" xr:uid="{00000000-0005-0000-0000-000044090000}"/>
    <cellStyle name="Comma 4 3 2 3 2 2" xfId="2957" xr:uid="{00000000-0005-0000-0000-000045090000}"/>
    <cellStyle name="Comma 4 3 2 3 2 2 2" xfId="7181" xr:uid="{00000000-0005-0000-0000-000046090000}"/>
    <cellStyle name="Comma 4 3 2 3 2 2 3" xfId="11392" xr:uid="{2D997F65-D281-457E-883E-222E5D5E248B}"/>
    <cellStyle name="Comma 4 3 2 3 2 2 4" xfId="15603" xr:uid="{F8C5CDE4-C3F3-4EBB-985F-5323C8740E7D}"/>
    <cellStyle name="Comma 4 3 2 3 2 3" xfId="5036" xr:uid="{00000000-0005-0000-0000-000047090000}"/>
    <cellStyle name="Comma 4 3 2 3 2 4" xfId="9247" xr:uid="{8C6DBE71-E4BF-4E57-8BB4-FD28857001C1}"/>
    <cellStyle name="Comma 4 3 2 3 2 5" xfId="13458" xr:uid="{FA671C67-D300-4AD3-BB4E-70BA7E63D608}"/>
    <cellStyle name="Comma 4 3 2 3 3" xfId="1139" xr:uid="{00000000-0005-0000-0000-000048090000}"/>
    <cellStyle name="Comma 4 3 2 3 3 2" xfId="3370" xr:uid="{00000000-0005-0000-0000-000049090000}"/>
    <cellStyle name="Comma 4 3 2 3 3 2 2" xfId="7594" xr:uid="{00000000-0005-0000-0000-00004A090000}"/>
    <cellStyle name="Comma 4 3 2 3 3 2 3" xfId="11805" xr:uid="{E32415D6-B860-4F9F-B7CE-855291A57258}"/>
    <cellStyle name="Comma 4 3 2 3 3 2 4" xfId="16016" xr:uid="{5D14D71C-52AD-41C8-8138-00F7D371BCCD}"/>
    <cellStyle name="Comma 4 3 2 3 3 3" xfId="5449" xr:uid="{00000000-0005-0000-0000-00004B090000}"/>
    <cellStyle name="Comma 4 3 2 3 3 4" xfId="9660" xr:uid="{0B6AA915-ACD6-44AE-AB20-E27582F3635B}"/>
    <cellStyle name="Comma 4 3 2 3 3 5" xfId="13871" xr:uid="{5B33177F-88E5-4477-9C41-E45DAEF76888}"/>
    <cellStyle name="Comma 4 3 2 3 4" xfId="1553" xr:uid="{00000000-0005-0000-0000-00004C090000}"/>
    <cellStyle name="Comma 4 3 2 3 4 2" xfId="3783" xr:uid="{00000000-0005-0000-0000-00004D090000}"/>
    <cellStyle name="Comma 4 3 2 3 4 2 2" xfId="8007" xr:uid="{00000000-0005-0000-0000-00004E090000}"/>
    <cellStyle name="Comma 4 3 2 3 4 2 3" xfId="12218" xr:uid="{EAC725D5-3C8B-4222-A871-71FDC9B7365C}"/>
    <cellStyle name="Comma 4 3 2 3 4 2 4" xfId="16429" xr:uid="{300E8E10-8BF7-44F1-8EDB-886DC638AA4E}"/>
    <cellStyle name="Comma 4 3 2 3 4 3" xfId="5862" xr:uid="{00000000-0005-0000-0000-00004F090000}"/>
    <cellStyle name="Comma 4 3 2 3 4 4" xfId="10073" xr:uid="{764B936F-F995-4A8D-AAA3-B8E3A9F53F25}"/>
    <cellStyle name="Comma 4 3 2 3 4 5" xfId="14284" xr:uid="{75C775E9-652F-4CC1-B67F-336E6029B938}"/>
    <cellStyle name="Comma 4 3 2 3 5" xfId="1967" xr:uid="{00000000-0005-0000-0000-000050090000}"/>
    <cellStyle name="Comma 4 3 2 3 5 2" xfId="4196" xr:uid="{00000000-0005-0000-0000-000051090000}"/>
    <cellStyle name="Comma 4 3 2 3 5 2 2" xfId="8420" xr:uid="{00000000-0005-0000-0000-000052090000}"/>
    <cellStyle name="Comma 4 3 2 3 5 2 3" xfId="12631" xr:uid="{13C932A3-0A5B-4B40-BF68-807FE8536E43}"/>
    <cellStyle name="Comma 4 3 2 3 5 2 4" xfId="16842" xr:uid="{076322E1-C788-4D5D-9171-5C9727CAC515}"/>
    <cellStyle name="Comma 4 3 2 3 5 3" xfId="6275" xr:uid="{00000000-0005-0000-0000-000053090000}"/>
    <cellStyle name="Comma 4 3 2 3 5 4" xfId="10486" xr:uid="{0F058B1C-DF52-4776-9E9D-30D30C6EEFB9}"/>
    <cellStyle name="Comma 4 3 2 3 5 5" xfId="14697" xr:uid="{0A6C4AC8-9B99-4CB4-ACAC-BA38EDFF43EA}"/>
    <cellStyle name="Comma 4 3 2 3 6" xfId="2402" xr:uid="{00000000-0005-0000-0000-000054090000}"/>
    <cellStyle name="Comma 4 3 2 3 6 2" xfId="6688" xr:uid="{00000000-0005-0000-0000-000055090000}"/>
    <cellStyle name="Comma 4 3 2 3 6 3" xfId="10899" xr:uid="{9FF59D60-31E3-455A-AC55-91D91242A271}"/>
    <cellStyle name="Comma 4 3 2 3 6 4" xfId="15110" xr:uid="{82FFDB21-77DA-4140-AC0C-6779098380BD}"/>
    <cellStyle name="Comma 4 3 2 3 7" xfId="2363" xr:uid="{00000000-0005-0000-0000-000056090000}"/>
    <cellStyle name="Comma 4 3 2 3 8" xfId="2780" xr:uid="{00000000-0005-0000-0000-000057090000}"/>
    <cellStyle name="Comma 4 3 2 3 8 2" xfId="7005" xr:uid="{00000000-0005-0000-0000-000058090000}"/>
    <cellStyle name="Comma 4 3 2 3 8 3" xfId="11216" xr:uid="{8DA0F5AA-003D-4A33-AC0E-4490919FD4D3}"/>
    <cellStyle name="Comma 4 3 2 3 8 4" xfId="15427" xr:uid="{3F52BCB2-6066-4501-AB7A-C1B045EA4FAF}"/>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2 3" xfId="11389" xr:uid="{0EB7213E-557C-4052-9521-C35EF3EAFEB9}"/>
    <cellStyle name="Comma 4 3 2 4 2 4" xfId="15600" xr:uid="{0E3E4FB3-9D88-43B5-B594-B6E4AF241F58}"/>
    <cellStyle name="Comma 4 3 2 4 3" xfId="5033" xr:uid="{00000000-0005-0000-0000-00005D090000}"/>
    <cellStyle name="Comma 4 3 2 4 4" xfId="9244" xr:uid="{FAA9ABAA-2AE8-4342-B9A0-F91B2E840C74}"/>
    <cellStyle name="Comma 4 3 2 4 5" xfId="13455" xr:uid="{4222D075-5235-4043-BB6B-72CBA8BBAA45}"/>
    <cellStyle name="Comma 4 3 2 5" xfId="1136" xr:uid="{00000000-0005-0000-0000-00005E090000}"/>
    <cellStyle name="Comma 4 3 2 5 2" xfId="3367" xr:uid="{00000000-0005-0000-0000-00005F090000}"/>
    <cellStyle name="Comma 4 3 2 5 2 2" xfId="7591" xr:uid="{00000000-0005-0000-0000-000060090000}"/>
    <cellStyle name="Comma 4 3 2 5 2 3" xfId="11802" xr:uid="{0723302B-93C1-4C84-ACBE-A401E454C5A1}"/>
    <cellStyle name="Comma 4 3 2 5 2 4" xfId="16013" xr:uid="{FA7C5C15-39CC-4FE1-8BF0-8BF6F34B83FA}"/>
    <cellStyle name="Comma 4 3 2 5 3" xfId="5446" xr:uid="{00000000-0005-0000-0000-000061090000}"/>
    <cellStyle name="Comma 4 3 2 5 4" xfId="9657" xr:uid="{8A362D46-189D-4D18-A5FC-D76A34B7AF39}"/>
    <cellStyle name="Comma 4 3 2 5 5" xfId="13868" xr:uid="{7420D5F8-3189-47BE-9273-163483AB67D7}"/>
    <cellStyle name="Comma 4 3 2 6" xfId="1550" xr:uid="{00000000-0005-0000-0000-000062090000}"/>
    <cellStyle name="Comma 4 3 2 6 2" xfId="3780" xr:uid="{00000000-0005-0000-0000-000063090000}"/>
    <cellStyle name="Comma 4 3 2 6 2 2" xfId="8004" xr:uid="{00000000-0005-0000-0000-000064090000}"/>
    <cellStyle name="Comma 4 3 2 6 2 3" xfId="12215" xr:uid="{6D3A2A36-EF3A-420C-9E58-3B003A9E2193}"/>
    <cellStyle name="Comma 4 3 2 6 2 4" xfId="16426" xr:uid="{C724A672-1565-4C82-B05B-731A9181E6E2}"/>
    <cellStyle name="Comma 4 3 2 6 3" xfId="5859" xr:uid="{00000000-0005-0000-0000-000065090000}"/>
    <cellStyle name="Comma 4 3 2 6 4" xfId="10070" xr:uid="{269D5F0F-0F92-4D1B-B2E8-B14A0F568FB6}"/>
    <cellStyle name="Comma 4 3 2 6 5" xfId="14281" xr:uid="{3804B865-9B71-4A1E-BDC7-0F6842B5940C}"/>
    <cellStyle name="Comma 4 3 2 7" xfId="1964" xr:uid="{00000000-0005-0000-0000-000066090000}"/>
    <cellStyle name="Comma 4 3 2 7 2" xfId="4193" xr:uid="{00000000-0005-0000-0000-000067090000}"/>
    <cellStyle name="Comma 4 3 2 7 2 2" xfId="8417" xr:uid="{00000000-0005-0000-0000-000068090000}"/>
    <cellStyle name="Comma 4 3 2 7 2 3" xfId="12628" xr:uid="{93F31CCF-1F86-4C57-92E9-2A19F6B0A225}"/>
    <cellStyle name="Comma 4 3 2 7 2 4" xfId="16839" xr:uid="{085ACBD2-6EA7-41D2-A612-4A5F6F74DD23}"/>
    <cellStyle name="Comma 4 3 2 7 3" xfId="6272" xr:uid="{00000000-0005-0000-0000-000069090000}"/>
    <cellStyle name="Comma 4 3 2 7 4" xfId="10483" xr:uid="{65E2C043-E8ED-45D9-85D1-0E64F84D2822}"/>
    <cellStyle name="Comma 4 3 2 7 5" xfId="14694" xr:uid="{1137A43C-9871-4296-94E4-007669162A8F}"/>
    <cellStyle name="Comma 4 3 2 8" xfId="2399" xr:uid="{00000000-0005-0000-0000-00006A090000}"/>
    <cellStyle name="Comma 4 3 2 8 2" xfId="6685" xr:uid="{00000000-0005-0000-0000-00006B090000}"/>
    <cellStyle name="Comma 4 3 2 8 3" xfId="10896" xr:uid="{8EB0EA3E-2106-4DE2-B000-CF5627DA4003}"/>
    <cellStyle name="Comma 4 3 2 8 4" xfId="15107" xr:uid="{03A7AF0B-3FF1-4320-8346-8002360DCBA1}"/>
    <cellStyle name="Comma 4 3 2 9" xfId="2366" xr:uid="{00000000-0005-0000-0000-00006C090000}"/>
    <cellStyle name="Comma 4 3 3" xfId="149" xr:uid="{00000000-0005-0000-0000-00006D090000}"/>
    <cellStyle name="Comma 4 3 3 10" xfId="4623" xr:uid="{00000000-0005-0000-0000-00006E090000}"/>
    <cellStyle name="Comma 4 3 3 11" xfId="8834" xr:uid="{4F803F52-BC83-4A0D-B8D8-E15B3F3BE2A7}"/>
    <cellStyle name="Comma 4 3 3 12" xfId="13045" xr:uid="{55D2FC26-320B-4661-897C-CBB725EF0850}"/>
    <cellStyle name="Comma 4 3 3 2" xfId="150" xr:uid="{00000000-0005-0000-0000-00006F090000}"/>
    <cellStyle name="Comma 4 3 3 2 10" xfId="8835" xr:uid="{16DCE03E-D6B3-4BFC-803E-553497E74326}"/>
    <cellStyle name="Comma 4 3 3 2 11" xfId="13046" xr:uid="{62F379FD-2DDB-487C-9130-229AC47CD4B4}"/>
    <cellStyle name="Comma 4 3 3 2 2" xfId="688" xr:uid="{00000000-0005-0000-0000-000070090000}"/>
    <cellStyle name="Comma 4 3 3 2 2 2" xfId="2959" xr:uid="{00000000-0005-0000-0000-000071090000}"/>
    <cellStyle name="Comma 4 3 3 2 2 2 2" xfId="7183" xr:uid="{00000000-0005-0000-0000-000072090000}"/>
    <cellStyle name="Comma 4 3 3 2 2 2 3" xfId="11394" xr:uid="{DC7FC266-4ED3-4E45-814F-FB9D225EF594}"/>
    <cellStyle name="Comma 4 3 3 2 2 2 4" xfId="15605" xr:uid="{130BB61A-6E4F-4C63-BE42-5A334AA9E2CD}"/>
    <cellStyle name="Comma 4 3 3 2 2 3" xfId="5038" xr:uid="{00000000-0005-0000-0000-000073090000}"/>
    <cellStyle name="Comma 4 3 3 2 2 4" xfId="9249" xr:uid="{BF99107A-F006-4263-B89A-7540A162CCDF}"/>
    <cellStyle name="Comma 4 3 3 2 2 5" xfId="13460" xr:uid="{48B38EC8-5F37-4E8F-A484-8E297F1F401C}"/>
    <cellStyle name="Comma 4 3 3 2 3" xfId="1141" xr:uid="{00000000-0005-0000-0000-000074090000}"/>
    <cellStyle name="Comma 4 3 3 2 3 2" xfId="3372" xr:uid="{00000000-0005-0000-0000-000075090000}"/>
    <cellStyle name="Comma 4 3 3 2 3 2 2" xfId="7596" xr:uid="{00000000-0005-0000-0000-000076090000}"/>
    <cellStyle name="Comma 4 3 3 2 3 2 3" xfId="11807" xr:uid="{B81816CA-71D3-4665-817B-1F9302465560}"/>
    <cellStyle name="Comma 4 3 3 2 3 2 4" xfId="16018" xr:uid="{F8282C4E-1714-4098-BC25-B716BAE70769}"/>
    <cellStyle name="Comma 4 3 3 2 3 3" xfId="5451" xr:uid="{00000000-0005-0000-0000-000077090000}"/>
    <cellStyle name="Comma 4 3 3 2 3 4" xfId="9662" xr:uid="{3A5178F3-A48F-4EC9-A0A9-B159BA48ABB7}"/>
    <cellStyle name="Comma 4 3 3 2 3 5" xfId="13873" xr:uid="{CA38D95B-903D-4BB8-B1A2-9369B2F337D7}"/>
    <cellStyle name="Comma 4 3 3 2 4" xfId="1555" xr:uid="{00000000-0005-0000-0000-000078090000}"/>
    <cellStyle name="Comma 4 3 3 2 4 2" xfId="3785" xr:uid="{00000000-0005-0000-0000-000079090000}"/>
    <cellStyle name="Comma 4 3 3 2 4 2 2" xfId="8009" xr:uid="{00000000-0005-0000-0000-00007A090000}"/>
    <cellStyle name="Comma 4 3 3 2 4 2 3" xfId="12220" xr:uid="{4E79E706-35D8-488F-893E-B2B3A13AA812}"/>
    <cellStyle name="Comma 4 3 3 2 4 2 4" xfId="16431" xr:uid="{07E6612D-2BAA-4FF0-974D-23E0C4AC3992}"/>
    <cellStyle name="Comma 4 3 3 2 4 3" xfId="5864" xr:uid="{00000000-0005-0000-0000-00007B090000}"/>
    <cellStyle name="Comma 4 3 3 2 4 4" xfId="10075" xr:uid="{E7C7F5C5-7791-461B-80DE-B56DBE5DC629}"/>
    <cellStyle name="Comma 4 3 3 2 4 5" xfId="14286" xr:uid="{19892A24-26E1-43A9-82B0-10E34D3221DE}"/>
    <cellStyle name="Comma 4 3 3 2 5" xfId="1969" xr:uid="{00000000-0005-0000-0000-00007C090000}"/>
    <cellStyle name="Comma 4 3 3 2 5 2" xfId="4198" xr:uid="{00000000-0005-0000-0000-00007D090000}"/>
    <cellStyle name="Comma 4 3 3 2 5 2 2" xfId="8422" xr:uid="{00000000-0005-0000-0000-00007E090000}"/>
    <cellStyle name="Comma 4 3 3 2 5 2 3" xfId="12633" xr:uid="{39721DE7-1198-4930-A1C5-1390C1BEEC21}"/>
    <cellStyle name="Comma 4 3 3 2 5 2 4" xfId="16844" xr:uid="{FDF49EAD-6296-41CD-AD09-7E3ADC0A8629}"/>
    <cellStyle name="Comma 4 3 3 2 5 3" xfId="6277" xr:uid="{00000000-0005-0000-0000-00007F090000}"/>
    <cellStyle name="Comma 4 3 3 2 5 4" xfId="10488" xr:uid="{AEDB3F21-F312-4D90-9755-982585591E79}"/>
    <cellStyle name="Comma 4 3 3 2 5 5" xfId="14699" xr:uid="{990C75A5-1854-4C25-8686-5F93FE50AD76}"/>
    <cellStyle name="Comma 4 3 3 2 6" xfId="2404" xr:uid="{00000000-0005-0000-0000-000080090000}"/>
    <cellStyle name="Comma 4 3 3 2 6 2" xfId="6690" xr:uid="{00000000-0005-0000-0000-000081090000}"/>
    <cellStyle name="Comma 4 3 3 2 6 3" xfId="10901" xr:uid="{E351FA01-6A98-439F-B6E7-E616CF8ABB7D}"/>
    <cellStyle name="Comma 4 3 3 2 6 4" xfId="15112" xr:uid="{A8A2F8CA-1144-42C9-86FC-3CCD8B835C37}"/>
    <cellStyle name="Comma 4 3 3 2 7" xfId="2361" xr:uid="{00000000-0005-0000-0000-000082090000}"/>
    <cellStyle name="Comma 4 3 3 2 8" xfId="2782" xr:uid="{00000000-0005-0000-0000-000083090000}"/>
    <cellStyle name="Comma 4 3 3 2 8 2" xfId="7007" xr:uid="{00000000-0005-0000-0000-000084090000}"/>
    <cellStyle name="Comma 4 3 3 2 8 3" xfId="11218" xr:uid="{AFC0EB83-79E0-430A-B20A-515B5A69F6DC}"/>
    <cellStyle name="Comma 4 3 3 2 8 4" xfId="15429" xr:uid="{4776F099-E8B5-4555-8CB9-8BD62E2DEFBA}"/>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2 3" xfId="11393" xr:uid="{838104C7-10DC-4BE7-9B47-BC9370B29392}"/>
    <cellStyle name="Comma 4 3 3 3 2 4" xfId="15604" xr:uid="{4B770126-0E49-41C7-BFBF-CCD06984EA4B}"/>
    <cellStyle name="Comma 4 3 3 3 3" xfId="5037" xr:uid="{00000000-0005-0000-0000-000089090000}"/>
    <cellStyle name="Comma 4 3 3 3 4" xfId="9248" xr:uid="{CAF418CF-CF68-4DD0-ACDB-F79DB67882A7}"/>
    <cellStyle name="Comma 4 3 3 3 5" xfId="13459" xr:uid="{754E5064-D81E-4D98-8C4B-2B8FFA2B816A}"/>
    <cellStyle name="Comma 4 3 3 4" xfId="1140" xr:uid="{00000000-0005-0000-0000-00008A090000}"/>
    <cellStyle name="Comma 4 3 3 4 2" xfId="3371" xr:uid="{00000000-0005-0000-0000-00008B090000}"/>
    <cellStyle name="Comma 4 3 3 4 2 2" xfId="7595" xr:uid="{00000000-0005-0000-0000-00008C090000}"/>
    <cellStyle name="Comma 4 3 3 4 2 3" xfId="11806" xr:uid="{BE20F2E4-52AB-4747-9504-80F8E02EA4C5}"/>
    <cellStyle name="Comma 4 3 3 4 2 4" xfId="16017" xr:uid="{660C9CB9-C05C-41EA-8420-6A346C0593E7}"/>
    <cellStyle name="Comma 4 3 3 4 3" xfId="5450" xr:uid="{00000000-0005-0000-0000-00008D090000}"/>
    <cellStyle name="Comma 4 3 3 4 4" xfId="9661" xr:uid="{43479029-FFE5-4EB9-949D-80BB06B7728E}"/>
    <cellStyle name="Comma 4 3 3 4 5" xfId="13872" xr:uid="{42D06CB2-D77B-48AA-A565-2220517F2889}"/>
    <cellStyle name="Comma 4 3 3 5" xfId="1554" xr:uid="{00000000-0005-0000-0000-00008E090000}"/>
    <cellStyle name="Comma 4 3 3 5 2" xfId="3784" xr:uid="{00000000-0005-0000-0000-00008F090000}"/>
    <cellStyle name="Comma 4 3 3 5 2 2" xfId="8008" xr:uid="{00000000-0005-0000-0000-000090090000}"/>
    <cellStyle name="Comma 4 3 3 5 2 3" xfId="12219" xr:uid="{59AE1062-9D0F-495C-81E0-341E2C090CB4}"/>
    <cellStyle name="Comma 4 3 3 5 2 4" xfId="16430" xr:uid="{DBE69137-BB70-4162-BBD5-2D7ADA7F78DD}"/>
    <cellStyle name="Comma 4 3 3 5 3" xfId="5863" xr:uid="{00000000-0005-0000-0000-000091090000}"/>
    <cellStyle name="Comma 4 3 3 5 4" xfId="10074" xr:uid="{AA924358-00B1-4FB6-AA74-95BA2C642E58}"/>
    <cellStyle name="Comma 4 3 3 5 5" xfId="14285" xr:uid="{C6064CA0-D660-408D-88D1-38585A9B559A}"/>
    <cellStyle name="Comma 4 3 3 6" xfId="1968" xr:uid="{00000000-0005-0000-0000-000092090000}"/>
    <cellStyle name="Comma 4 3 3 6 2" xfId="4197" xr:uid="{00000000-0005-0000-0000-000093090000}"/>
    <cellStyle name="Comma 4 3 3 6 2 2" xfId="8421" xr:uid="{00000000-0005-0000-0000-000094090000}"/>
    <cellStyle name="Comma 4 3 3 6 2 3" xfId="12632" xr:uid="{D9E1F895-7CBF-4504-813C-0AB9AAFEA957}"/>
    <cellStyle name="Comma 4 3 3 6 2 4" xfId="16843" xr:uid="{2FAE53B5-A656-433E-B335-76C0F0721168}"/>
    <cellStyle name="Comma 4 3 3 6 3" xfId="6276" xr:uid="{00000000-0005-0000-0000-000095090000}"/>
    <cellStyle name="Comma 4 3 3 6 4" xfId="10487" xr:uid="{74B7C15D-6916-443D-8C72-CB13095A7AC4}"/>
    <cellStyle name="Comma 4 3 3 6 5" xfId="14698" xr:uid="{BA6812BF-3A08-441D-A7AE-AB6D9E171987}"/>
    <cellStyle name="Comma 4 3 3 7" xfId="2403" xr:uid="{00000000-0005-0000-0000-000096090000}"/>
    <cellStyle name="Comma 4 3 3 7 2" xfId="6689" xr:uid="{00000000-0005-0000-0000-000097090000}"/>
    <cellStyle name="Comma 4 3 3 7 3" xfId="10900" xr:uid="{6AEC7713-B153-4279-8807-A0596A0F9CFE}"/>
    <cellStyle name="Comma 4 3 3 7 4" xfId="15111" xr:uid="{CE1801E2-3F7A-402F-8A9D-6CD46B4F8453}"/>
    <cellStyle name="Comma 4 3 3 8" xfId="2362" xr:uid="{00000000-0005-0000-0000-000098090000}"/>
    <cellStyle name="Comma 4 3 3 9" xfId="2781" xr:uid="{00000000-0005-0000-0000-000099090000}"/>
    <cellStyle name="Comma 4 3 3 9 2" xfId="7006" xr:uid="{00000000-0005-0000-0000-00009A090000}"/>
    <cellStyle name="Comma 4 3 3 9 3" xfId="11217" xr:uid="{C76C1A27-6A3F-4661-9332-82CB100E2729}"/>
    <cellStyle name="Comma 4 3 3 9 4" xfId="15428" xr:uid="{98BA469B-2FE2-4E41-B931-24037CCB40AF}"/>
    <cellStyle name="Comma 4 3 4" xfId="151" xr:uid="{00000000-0005-0000-0000-00009B090000}"/>
    <cellStyle name="Comma 4 3 4 10" xfId="8836" xr:uid="{9EE68816-0DD3-46E0-A5DA-1832663F7428}"/>
    <cellStyle name="Comma 4 3 4 11" xfId="13047" xr:uid="{358FD896-4AEA-490B-80B3-0F7F2FDCF946}"/>
    <cellStyle name="Comma 4 3 4 2" xfId="689" xr:uid="{00000000-0005-0000-0000-00009C090000}"/>
    <cellStyle name="Comma 4 3 4 2 2" xfId="2960" xr:uid="{00000000-0005-0000-0000-00009D090000}"/>
    <cellStyle name="Comma 4 3 4 2 2 2" xfId="7184" xr:uid="{00000000-0005-0000-0000-00009E090000}"/>
    <cellStyle name="Comma 4 3 4 2 2 3" xfId="11395" xr:uid="{D39DDDC9-3258-4EA7-A235-604E8CACDD72}"/>
    <cellStyle name="Comma 4 3 4 2 2 4" xfId="15606" xr:uid="{E5C3C8CF-4799-4643-840C-A89405EAE12E}"/>
    <cellStyle name="Comma 4 3 4 2 3" xfId="5039" xr:uid="{00000000-0005-0000-0000-00009F090000}"/>
    <cellStyle name="Comma 4 3 4 2 4" xfId="9250" xr:uid="{C67F131C-BC43-4346-AA53-B03CC7956C3D}"/>
    <cellStyle name="Comma 4 3 4 2 5" xfId="13461" xr:uid="{7D319850-E649-447C-8082-D079089CD9BA}"/>
    <cellStyle name="Comma 4 3 4 3" xfId="1142" xr:uid="{00000000-0005-0000-0000-0000A0090000}"/>
    <cellStyle name="Comma 4 3 4 3 2" xfId="3373" xr:uid="{00000000-0005-0000-0000-0000A1090000}"/>
    <cellStyle name="Comma 4 3 4 3 2 2" xfId="7597" xr:uid="{00000000-0005-0000-0000-0000A2090000}"/>
    <cellStyle name="Comma 4 3 4 3 2 3" xfId="11808" xr:uid="{4188BEDE-DDC6-4AFF-B20D-E7238F243731}"/>
    <cellStyle name="Comma 4 3 4 3 2 4" xfId="16019" xr:uid="{C2BFDBED-0FA1-4000-87B9-31B1F2B6BEB6}"/>
    <cellStyle name="Comma 4 3 4 3 3" xfId="5452" xr:uid="{00000000-0005-0000-0000-0000A3090000}"/>
    <cellStyle name="Comma 4 3 4 3 4" xfId="9663" xr:uid="{D225AC04-42AF-47E3-B2FB-F4DF206FFF32}"/>
    <cellStyle name="Comma 4 3 4 3 5" xfId="13874" xr:uid="{224C3EDF-0E6E-474E-A6B2-317B822EEFD4}"/>
    <cellStyle name="Comma 4 3 4 4" xfId="1556" xr:uid="{00000000-0005-0000-0000-0000A4090000}"/>
    <cellStyle name="Comma 4 3 4 4 2" xfId="3786" xr:uid="{00000000-0005-0000-0000-0000A5090000}"/>
    <cellStyle name="Comma 4 3 4 4 2 2" xfId="8010" xr:uid="{00000000-0005-0000-0000-0000A6090000}"/>
    <cellStyle name="Comma 4 3 4 4 2 3" xfId="12221" xr:uid="{807C7FE4-3DE8-448C-90EE-83538FAE8D43}"/>
    <cellStyle name="Comma 4 3 4 4 2 4" xfId="16432" xr:uid="{F32C9355-630E-4EA7-8A9E-396B29EA0D5A}"/>
    <cellStyle name="Comma 4 3 4 4 3" xfId="5865" xr:uid="{00000000-0005-0000-0000-0000A7090000}"/>
    <cellStyle name="Comma 4 3 4 4 4" xfId="10076" xr:uid="{63E57777-0CC2-45D2-9915-A9DD98A20C75}"/>
    <cellStyle name="Comma 4 3 4 4 5" xfId="14287" xr:uid="{B539761E-72CD-40BE-822B-3CE1E41E930F}"/>
    <cellStyle name="Comma 4 3 4 5" xfId="1970" xr:uid="{00000000-0005-0000-0000-0000A8090000}"/>
    <cellStyle name="Comma 4 3 4 5 2" xfId="4199" xr:uid="{00000000-0005-0000-0000-0000A9090000}"/>
    <cellStyle name="Comma 4 3 4 5 2 2" xfId="8423" xr:uid="{00000000-0005-0000-0000-0000AA090000}"/>
    <cellStyle name="Comma 4 3 4 5 2 3" xfId="12634" xr:uid="{0A2CD43E-8CDF-4307-85BA-8B92057D3690}"/>
    <cellStyle name="Comma 4 3 4 5 2 4" xfId="16845" xr:uid="{C7371B67-0367-4C5E-808B-B44102A9D955}"/>
    <cellStyle name="Comma 4 3 4 5 3" xfId="6278" xr:uid="{00000000-0005-0000-0000-0000AB090000}"/>
    <cellStyle name="Comma 4 3 4 5 4" xfId="10489" xr:uid="{9541E4D4-611C-4EA7-B122-5963A72F2D5B}"/>
    <cellStyle name="Comma 4 3 4 5 5" xfId="14700" xr:uid="{9E01D5D4-D3CE-4FEA-8092-1374C123ECA7}"/>
    <cellStyle name="Comma 4 3 4 6" xfId="2405" xr:uid="{00000000-0005-0000-0000-0000AC090000}"/>
    <cellStyle name="Comma 4 3 4 6 2" xfId="6691" xr:uid="{00000000-0005-0000-0000-0000AD090000}"/>
    <cellStyle name="Comma 4 3 4 6 3" xfId="10902" xr:uid="{799D27A3-CEAB-41C5-A415-FFD1D5404457}"/>
    <cellStyle name="Comma 4 3 4 6 4" xfId="15113" xr:uid="{6F750922-0C59-4406-9BDC-6F17BD8744DF}"/>
    <cellStyle name="Comma 4 3 4 7" xfId="2701" xr:uid="{00000000-0005-0000-0000-0000AE090000}"/>
    <cellStyle name="Comma 4 3 4 8" xfId="2783" xr:uid="{00000000-0005-0000-0000-0000AF090000}"/>
    <cellStyle name="Comma 4 3 4 8 2" xfId="7008" xr:uid="{00000000-0005-0000-0000-0000B0090000}"/>
    <cellStyle name="Comma 4 3 4 8 3" xfId="11219" xr:uid="{70180E65-2B21-4B49-ACF3-59A37ACCFBAA}"/>
    <cellStyle name="Comma 4 3 4 8 4" xfId="15430" xr:uid="{39ED3E8F-5483-4E46-8821-69EA70BB5B39}"/>
    <cellStyle name="Comma 4 3 4 9" xfId="4625" xr:uid="{00000000-0005-0000-0000-0000B1090000}"/>
    <cellStyle name="Comma 4 3 5" xfId="152" xr:uid="{00000000-0005-0000-0000-0000B2090000}"/>
    <cellStyle name="Comma 4 3 5 10" xfId="8837" xr:uid="{7F11CF01-98F7-4F08-BB4C-81CC7C112F13}"/>
    <cellStyle name="Comma 4 3 5 11" xfId="13048" xr:uid="{1925C807-31CF-4005-BF0C-10D72D52A3CA}"/>
    <cellStyle name="Comma 4 3 5 2" xfId="690" xr:uid="{00000000-0005-0000-0000-0000B3090000}"/>
    <cellStyle name="Comma 4 3 5 2 2" xfId="2961" xr:uid="{00000000-0005-0000-0000-0000B4090000}"/>
    <cellStyle name="Comma 4 3 5 2 2 2" xfId="7185" xr:uid="{00000000-0005-0000-0000-0000B5090000}"/>
    <cellStyle name="Comma 4 3 5 2 2 3" xfId="11396" xr:uid="{2E440AF6-ED71-4281-9923-A2A440207C10}"/>
    <cellStyle name="Comma 4 3 5 2 2 4" xfId="15607" xr:uid="{5A4F0B33-B385-4EEF-9B2C-048B1CA7FEC4}"/>
    <cellStyle name="Comma 4 3 5 2 3" xfId="5040" xr:uid="{00000000-0005-0000-0000-0000B6090000}"/>
    <cellStyle name="Comma 4 3 5 2 4" xfId="9251" xr:uid="{BE851D1C-F386-4B7F-9390-F04A2C3ADB79}"/>
    <cellStyle name="Comma 4 3 5 2 5" xfId="13462" xr:uid="{262A2738-2269-49B6-BB82-D30D3E5134CD}"/>
    <cellStyle name="Comma 4 3 5 3" xfId="1143" xr:uid="{00000000-0005-0000-0000-0000B7090000}"/>
    <cellStyle name="Comma 4 3 5 3 2" xfId="3374" xr:uid="{00000000-0005-0000-0000-0000B8090000}"/>
    <cellStyle name="Comma 4 3 5 3 2 2" xfId="7598" xr:uid="{00000000-0005-0000-0000-0000B9090000}"/>
    <cellStyle name="Comma 4 3 5 3 2 3" xfId="11809" xr:uid="{19C0820E-62DA-43E3-AA4B-2133D38E3A28}"/>
    <cellStyle name="Comma 4 3 5 3 2 4" xfId="16020" xr:uid="{6627EF59-1800-4A9F-8877-EC3547913AF5}"/>
    <cellStyle name="Comma 4 3 5 3 3" xfId="5453" xr:uid="{00000000-0005-0000-0000-0000BA090000}"/>
    <cellStyle name="Comma 4 3 5 3 4" xfId="9664" xr:uid="{2C9C94A0-9E44-4C02-A335-49EB1CE2E86C}"/>
    <cellStyle name="Comma 4 3 5 3 5" xfId="13875" xr:uid="{5CFED919-A02A-4DA6-805B-5276294E38BA}"/>
    <cellStyle name="Comma 4 3 5 4" xfId="1557" xr:uid="{00000000-0005-0000-0000-0000BB090000}"/>
    <cellStyle name="Comma 4 3 5 4 2" xfId="3787" xr:uid="{00000000-0005-0000-0000-0000BC090000}"/>
    <cellStyle name="Comma 4 3 5 4 2 2" xfId="8011" xr:uid="{00000000-0005-0000-0000-0000BD090000}"/>
    <cellStyle name="Comma 4 3 5 4 2 3" xfId="12222" xr:uid="{2931079D-7045-47FB-9F37-E363ABF4D27C}"/>
    <cellStyle name="Comma 4 3 5 4 2 4" xfId="16433" xr:uid="{D4B86510-C1D3-4EB2-BD24-77A4FB32E6B6}"/>
    <cellStyle name="Comma 4 3 5 4 3" xfId="5866" xr:uid="{00000000-0005-0000-0000-0000BE090000}"/>
    <cellStyle name="Comma 4 3 5 4 4" xfId="10077" xr:uid="{3795D474-D574-4103-A114-B21C7138BC1E}"/>
    <cellStyle name="Comma 4 3 5 4 5" xfId="14288" xr:uid="{A8DCBDFC-8610-4B6D-AB88-FF32FB3875C6}"/>
    <cellStyle name="Comma 4 3 5 5" xfId="1971" xr:uid="{00000000-0005-0000-0000-0000BF090000}"/>
    <cellStyle name="Comma 4 3 5 5 2" xfId="4200" xr:uid="{00000000-0005-0000-0000-0000C0090000}"/>
    <cellStyle name="Comma 4 3 5 5 2 2" xfId="8424" xr:uid="{00000000-0005-0000-0000-0000C1090000}"/>
    <cellStyle name="Comma 4 3 5 5 2 3" xfId="12635" xr:uid="{2D80376B-61CE-4DC0-BA31-80D283B38D16}"/>
    <cellStyle name="Comma 4 3 5 5 2 4" xfId="16846" xr:uid="{88461012-A7BA-4F3A-AE5F-C4249764B05D}"/>
    <cellStyle name="Comma 4 3 5 5 3" xfId="6279" xr:uid="{00000000-0005-0000-0000-0000C2090000}"/>
    <cellStyle name="Comma 4 3 5 5 4" xfId="10490" xr:uid="{E8CADBA7-8E73-4C66-A095-42BE4D608DD1}"/>
    <cellStyle name="Comma 4 3 5 5 5" xfId="14701" xr:uid="{D415B0D6-5EBE-4042-88F5-A95982508E46}"/>
    <cellStyle name="Comma 4 3 5 6" xfId="2406" xr:uid="{00000000-0005-0000-0000-0000C3090000}"/>
    <cellStyle name="Comma 4 3 5 6 2" xfId="6692" xr:uid="{00000000-0005-0000-0000-0000C4090000}"/>
    <cellStyle name="Comma 4 3 5 6 3" xfId="10903" xr:uid="{0A337793-7F98-4033-8A3C-2620D4CB2BE5}"/>
    <cellStyle name="Comma 4 3 5 6 4" xfId="15114" xr:uid="{15843040-7076-4AD8-93DA-43121E6F7E80}"/>
    <cellStyle name="Comma 4 3 5 7" xfId="2702" xr:uid="{00000000-0005-0000-0000-0000C5090000}"/>
    <cellStyle name="Comma 4 3 5 8" xfId="2784" xr:uid="{00000000-0005-0000-0000-0000C6090000}"/>
    <cellStyle name="Comma 4 3 5 8 2" xfId="7009" xr:uid="{00000000-0005-0000-0000-0000C7090000}"/>
    <cellStyle name="Comma 4 3 5 8 3" xfId="11220" xr:uid="{B97CB68B-C919-44AD-9BCF-AE2C6BBD1011}"/>
    <cellStyle name="Comma 4 3 5 8 4" xfId="15431" xr:uid="{873ED930-4934-47F8-9540-76428142EBC8}"/>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0 3" xfId="11221" xr:uid="{6D73AE51-2247-4617-A77D-75B66C4D70E6}"/>
    <cellStyle name="Comma 4 4 10 4" xfId="15432" xr:uid="{070C5736-9F2C-4B14-864F-EDA0F0850DB3}"/>
    <cellStyle name="Comma 4 4 11" xfId="4627" xr:uid="{00000000-0005-0000-0000-0000CC090000}"/>
    <cellStyle name="Comma 4 4 12" xfId="8838" xr:uid="{B5ED1CCF-C6B3-47B2-9A37-1335BEF33681}"/>
    <cellStyle name="Comma 4 4 13" xfId="13049" xr:uid="{BEDF849C-4907-477A-80E7-BA8E59A7F897}"/>
    <cellStyle name="Comma 4 4 2" xfId="154" xr:uid="{00000000-0005-0000-0000-0000CD090000}"/>
    <cellStyle name="Comma 4 4 2 10" xfId="4628" xr:uid="{00000000-0005-0000-0000-0000CE090000}"/>
    <cellStyle name="Comma 4 4 2 11" xfId="8839" xr:uid="{7D5DA291-9486-4FF6-AE37-A54048CE7671}"/>
    <cellStyle name="Comma 4 4 2 12" xfId="13050" xr:uid="{1AF29A79-AD42-4738-B0AD-110E5EB59639}"/>
    <cellStyle name="Comma 4 4 2 2" xfId="155" xr:uid="{00000000-0005-0000-0000-0000CF090000}"/>
    <cellStyle name="Comma 4 4 2 2 10" xfId="8840" xr:uid="{45DC519D-2950-44D5-98A8-4F41386A168C}"/>
    <cellStyle name="Comma 4 4 2 2 11" xfId="13051" xr:uid="{A419FBE5-5F76-49B8-A9B6-557EC74DEE3A}"/>
    <cellStyle name="Comma 4 4 2 2 2" xfId="693" xr:uid="{00000000-0005-0000-0000-0000D0090000}"/>
    <cellStyle name="Comma 4 4 2 2 2 2" xfId="2964" xr:uid="{00000000-0005-0000-0000-0000D1090000}"/>
    <cellStyle name="Comma 4 4 2 2 2 2 2" xfId="7188" xr:uid="{00000000-0005-0000-0000-0000D2090000}"/>
    <cellStyle name="Comma 4 4 2 2 2 2 3" xfId="11399" xr:uid="{2F0184DC-E6C4-4600-ACD4-B86702466CD5}"/>
    <cellStyle name="Comma 4 4 2 2 2 2 4" xfId="15610" xr:uid="{23B9FA18-F818-4696-AE27-FCB2F2C525E1}"/>
    <cellStyle name="Comma 4 4 2 2 2 3" xfId="5043" xr:uid="{00000000-0005-0000-0000-0000D3090000}"/>
    <cellStyle name="Comma 4 4 2 2 2 4" xfId="9254" xr:uid="{CA935EAD-5492-4D87-87C6-2AF7D127DBB4}"/>
    <cellStyle name="Comma 4 4 2 2 2 5" xfId="13465" xr:uid="{20B5575D-A409-416D-94D3-FB921941F572}"/>
    <cellStyle name="Comma 4 4 2 2 3" xfId="1146" xr:uid="{00000000-0005-0000-0000-0000D4090000}"/>
    <cellStyle name="Comma 4 4 2 2 3 2" xfId="3377" xr:uid="{00000000-0005-0000-0000-0000D5090000}"/>
    <cellStyle name="Comma 4 4 2 2 3 2 2" xfId="7601" xr:uid="{00000000-0005-0000-0000-0000D6090000}"/>
    <cellStyle name="Comma 4 4 2 2 3 2 3" xfId="11812" xr:uid="{6FE7948B-54E2-4D9C-B018-97A1CA436F9F}"/>
    <cellStyle name="Comma 4 4 2 2 3 2 4" xfId="16023" xr:uid="{953301E3-41DA-497E-8022-91BFD1092517}"/>
    <cellStyle name="Comma 4 4 2 2 3 3" xfId="5456" xr:uid="{00000000-0005-0000-0000-0000D7090000}"/>
    <cellStyle name="Comma 4 4 2 2 3 4" xfId="9667" xr:uid="{19F3C8CC-EB7C-4F37-8B9C-7FB3EF614B97}"/>
    <cellStyle name="Comma 4 4 2 2 3 5" xfId="13878" xr:uid="{FABE81E0-A57A-47F8-B508-B19AE587A21D}"/>
    <cellStyle name="Comma 4 4 2 2 4" xfId="1560" xr:uid="{00000000-0005-0000-0000-0000D8090000}"/>
    <cellStyle name="Comma 4 4 2 2 4 2" xfId="3790" xr:uid="{00000000-0005-0000-0000-0000D9090000}"/>
    <cellStyle name="Comma 4 4 2 2 4 2 2" xfId="8014" xr:uid="{00000000-0005-0000-0000-0000DA090000}"/>
    <cellStyle name="Comma 4 4 2 2 4 2 3" xfId="12225" xr:uid="{096A7BBA-3196-4368-854C-A458AFC3F210}"/>
    <cellStyle name="Comma 4 4 2 2 4 2 4" xfId="16436" xr:uid="{BD52C68C-9225-433C-9969-66230A4C70BA}"/>
    <cellStyle name="Comma 4 4 2 2 4 3" xfId="5869" xr:uid="{00000000-0005-0000-0000-0000DB090000}"/>
    <cellStyle name="Comma 4 4 2 2 4 4" xfId="10080" xr:uid="{DF02DC8D-47FA-496F-B3BB-A61BA64635E4}"/>
    <cellStyle name="Comma 4 4 2 2 4 5" xfId="14291" xr:uid="{D8DB8B86-5708-465F-816F-0512C52BB18D}"/>
    <cellStyle name="Comma 4 4 2 2 5" xfId="1974" xr:uid="{00000000-0005-0000-0000-0000DC090000}"/>
    <cellStyle name="Comma 4 4 2 2 5 2" xfId="4203" xr:uid="{00000000-0005-0000-0000-0000DD090000}"/>
    <cellStyle name="Comma 4 4 2 2 5 2 2" xfId="8427" xr:uid="{00000000-0005-0000-0000-0000DE090000}"/>
    <cellStyle name="Comma 4 4 2 2 5 2 3" xfId="12638" xr:uid="{795A94CF-AB3E-4815-9C14-364218B9C330}"/>
    <cellStyle name="Comma 4 4 2 2 5 2 4" xfId="16849" xr:uid="{A4DCD2CD-9128-4D1A-9429-437A7DBD59A9}"/>
    <cellStyle name="Comma 4 4 2 2 5 3" xfId="6282" xr:uid="{00000000-0005-0000-0000-0000DF090000}"/>
    <cellStyle name="Comma 4 4 2 2 5 4" xfId="10493" xr:uid="{4036B478-EE34-4200-B9B9-7CC61360DE35}"/>
    <cellStyle name="Comma 4 4 2 2 5 5" xfId="14704" xr:uid="{D1B6E9DD-60B2-4CB1-88D9-5DCE3C4843C9}"/>
    <cellStyle name="Comma 4 4 2 2 6" xfId="2409" xr:uid="{00000000-0005-0000-0000-0000E0090000}"/>
    <cellStyle name="Comma 4 4 2 2 6 2" xfId="6695" xr:uid="{00000000-0005-0000-0000-0000E1090000}"/>
    <cellStyle name="Comma 4 4 2 2 6 3" xfId="10906" xr:uid="{85163119-289C-4591-95FE-3B681B6CAF8D}"/>
    <cellStyle name="Comma 4 4 2 2 6 4" xfId="15117" xr:uid="{38D38694-5662-4A4B-8074-D32F996BBA68}"/>
    <cellStyle name="Comma 4 4 2 2 7" xfId="2705" xr:uid="{00000000-0005-0000-0000-0000E2090000}"/>
    <cellStyle name="Comma 4 4 2 2 8" xfId="2787" xr:uid="{00000000-0005-0000-0000-0000E3090000}"/>
    <cellStyle name="Comma 4 4 2 2 8 2" xfId="7012" xr:uid="{00000000-0005-0000-0000-0000E4090000}"/>
    <cellStyle name="Comma 4 4 2 2 8 3" xfId="11223" xr:uid="{BF547FD3-0B15-45DB-B416-D2CB2D068781}"/>
    <cellStyle name="Comma 4 4 2 2 8 4" xfId="15434" xr:uid="{B56A9935-DF47-437E-A4F8-48713B09DCDE}"/>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2 3" xfId="11398" xr:uid="{BB8BAAD0-3172-422C-9779-8184A073A486}"/>
    <cellStyle name="Comma 4 4 2 3 2 4" xfId="15609" xr:uid="{F3E9BA89-5345-4B2B-9394-F9E343A04222}"/>
    <cellStyle name="Comma 4 4 2 3 3" xfId="5042" xr:uid="{00000000-0005-0000-0000-0000E9090000}"/>
    <cellStyle name="Comma 4 4 2 3 4" xfId="9253" xr:uid="{04894B0C-9738-4E86-B418-1D187EBD7C83}"/>
    <cellStyle name="Comma 4 4 2 3 5" xfId="13464" xr:uid="{E8616A45-97C5-4820-B787-51030ED7FACA}"/>
    <cellStyle name="Comma 4 4 2 4" xfId="1145" xr:uid="{00000000-0005-0000-0000-0000EA090000}"/>
    <cellStyle name="Comma 4 4 2 4 2" xfId="3376" xr:uid="{00000000-0005-0000-0000-0000EB090000}"/>
    <cellStyle name="Comma 4 4 2 4 2 2" xfId="7600" xr:uid="{00000000-0005-0000-0000-0000EC090000}"/>
    <cellStyle name="Comma 4 4 2 4 2 3" xfId="11811" xr:uid="{24D943B5-DB0F-4CE3-BA76-AD22268FAF47}"/>
    <cellStyle name="Comma 4 4 2 4 2 4" xfId="16022" xr:uid="{18286F70-CA48-4D63-9558-143E1439D9A1}"/>
    <cellStyle name="Comma 4 4 2 4 3" xfId="5455" xr:uid="{00000000-0005-0000-0000-0000ED090000}"/>
    <cellStyle name="Comma 4 4 2 4 4" xfId="9666" xr:uid="{9AD91C81-0574-4389-B5EC-5CB8434BF45E}"/>
    <cellStyle name="Comma 4 4 2 4 5" xfId="13877" xr:uid="{64DBED50-C2FE-4D3D-BDCB-68ED81C89820}"/>
    <cellStyle name="Comma 4 4 2 5" xfId="1559" xr:uid="{00000000-0005-0000-0000-0000EE090000}"/>
    <cellStyle name="Comma 4 4 2 5 2" xfId="3789" xr:uid="{00000000-0005-0000-0000-0000EF090000}"/>
    <cellStyle name="Comma 4 4 2 5 2 2" xfId="8013" xr:uid="{00000000-0005-0000-0000-0000F0090000}"/>
    <cellStyle name="Comma 4 4 2 5 2 3" xfId="12224" xr:uid="{7B669455-DE56-4EF0-8EDA-6908E6F85AA1}"/>
    <cellStyle name="Comma 4 4 2 5 2 4" xfId="16435" xr:uid="{A5DC8647-BB6E-4859-B02D-C55AF299BF91}"/>
    <cellStyle name="Comma 4 4 2 5 3" xfId="5868" xr:uid="{00000000-0005-0000-0000-0000F1090000}"/>
    <cellStyle name="Comma 4 4 2 5 4" xfId="10079" xr:uid="{8A7E11DC-90A5-4C39-9693-93754A259428}"/>
    <cellStyle name="Comma 4 4 2 5 5" xfId="14290" xr:uid="{C5B37270-0E5A-467E-9D61-9EB224861151}"/>
    <cellStyle name="Comma 4 4 2 6" xfId="1973" xr:uid="{00000000-0005-0000-0000-0000F2090000}"/>
    <cellStyle name="Comma 4 4 2 6 2" xfId="4202" xr:uid="{00000000-0005-0000-0000-0000F3090000}"/>
    <cellStyle name="Comma 4 4 2 6 2 2" xfId="8426" xr:uid="{00000000-0005-0000-0000-0000F4090000}"/>
    <cellStyle name="Comma 4 4 2 6 2 3" xfId="12637" xr:uid="{C92DDA44-4999-4D84-8B0E-6716DDB7C1D8}"/>
    <cellStyle name="Comma 4 4 2 6 2 4" xfId="16848" xr:uid="{C7CE57DE-2246-42BB-B438-754557336CF5}"/>
    <cellStyle name="Comma 4 4 2 6 3" xfId="6281" xr:uid="{00000000-0005-0000-0000-0000F5090000}"/>
    <cellStyle name="Comma 4 4 2 6 4" xfId="10492" xr:uid="{BD05C06C-BF21-40C0-99F0-1661364DA782}"/>
    <cellStyle name="Comma 4 4 2 6 5" xfId="14703" xr:uid="{8D6F08DA-ACA1-440F-9084-0EE2F614E746}"/>
    <cellStyle name="Comma 4 4 2 7" xfId="2408" xr:uid="{00000000-0005-0000-0000-0000F6090000}"/>
    <cellStyle name="Comma 4 4 2 7 2" xfId="6694" xr:uid="{00000000-0005-0000-0000-0000F7090000}"/>
    <cellStyle name="Comma 4 4 2 7 3" xfId="10905" xr:uid="{BFB166CC-4093-48F6-AA62-D4DF946D0872}"/>
    <cellStyle name="Comma 4 4 2 7 4" xfId="15116" xr:uid="{A1EA25CB-59BF-4325-ADDE-BC3570464269}"/>
    <cellStyle name="Comma 4 4 2 8" xfId="2704" xr:uid="{00000000-0005-0000-0000-0000F8090000}"/>
    <cellStyle name="Comma 4 4 2 9" xfId="2786" xr:uid="{00000000-0005-0000-0000-0000F9090000}"/>
    <cellStyle name="Comma 4 4 2 9 2" xfId="7011" xr:uid="{00000000-0005-0000-0000-0000FA090000}"/>
    <cellStyle name="Comma 4 4 2 9 3" xfId="11222" xr:uid="{686D8929-4347-40A0-BA15-BFFC6949D04B}"/>
    <cellStyle name="Comma 4 4 2 9 4" xfId="15433" xr:uid="{893178E6-E81A-46CA-8999-2AF576FD0BB8}"/>
    <cellStyle name="Comma 4 4 3" xfId="156" xr:uid="{00000000-0005-0000-0000-0000FB090000}"/>
    <cellStyle name="Comma 4 4 3 10" xfId="8841" xr:uid="{B55B05E0-A750-4DAB-A29A-FF111C6ED252}"/>
    <cellStyle name="Comma 4 4 3 11" xfId="13052" xr:uid="{B72F40A6-D39C-4E1E-A8FC-64BB6CCD50E6}"/>
    <cellStyle name="Comma 4 4 3 2" xfId="694" xr:uid="{00000000-0005-0000-0000-0000FC090000}"/>
    <cellStyle name="Comma 4 4 3 2 2" xfId="2965" xr:uid="{00000000-0005-0000-0000-0000FD090000}"/>
    <cellStyle name="Comma 4 4 3 2 2 2" xfId="7189" xr:uid="{00000000-0005-0000-0000-0000FE090000}"/>
    <cellStyle name="Comma 4 4 3 2 2 3" xfId="11400" xr:uid="{1A25D857-18CF-4E4C-A906-CD0079ACE27A}"/>
    <cellStyle name="Comma 4 4 3 2 2 4" xfId="15611" xr:uid="{083A6649-8968-492F-A8DF-8F39542B74EA}"/>
    <cellStyle name="Comma 4 4 3 2 3" xfId="5044" xr:uid="{00000000-0005-0000-0000-0000FF090000}"/>
    <cellStyle name="Comma 4 4 3 2 4" xfId="9255" xr:uid="{CC7CECFB-C4A8-473C-A76F-F8258B0D91A9}"/>
    <cellStyle name="Comma 4 4 3 2 5" xfId="13466" xr:uid="{B9F10BF5-4E2F-49A4-A0A8-6F42B32777B3}"/>
    <cellStyle name="Comma 4 4 3 3" xfId="1147" xr:uid="{00000000-0005-0000-0000-0000000A0000}"/>
    <cellStyle name="Comma 4 4 3 3 2" xfId="3378" xr:uid="{00000000-0005-0000-0000-0000010A0000}"/>
    <cellStyle name="Comma 4 4 3 3 2 2" xfId="7602" xr:uid="{00000000-0005-0000-0000-0000020A0000}"/>
    <cellStyle name="Comma 4 4 3 3 2 3" xfId="11813" xr:uid="{FEB2ADDA-44D8-4A47-885B-664B9A91B238}"/>
    <cellStyle name="Comma 4 4 3 3 2 4" xfId="16024" xr:uid="{C037E7D1-4D51-4823-8748-6C691608784C}"/>
    <cellStyle name="Comma 4 4 3 3 3" xfId="5457" xr:uid="{00000000-0005-0000-0000-0000030A0000}"/>
    <cellStyle name="Comma 4 4 3 3 4" xfId="9668" xr:uid="{C57CC6C8-6660-44EC-96FF-F8B914270E13}"/>
    <cellStyle name="Comma 4 4 3 3 5" xfId="13879" xr:uid="{18F616B7-5BC1-4A8D-ABB6-12D2FFA448CC}"/>
    <cellStyle name="Comma 4 4 3 4" xfId="1561" xr:uid="{00000000-0005-0000-0000-0000040A0000}"/>
    <cellStyle name="Comma 4 4 3 4 2" xfId="3791" xr:uid="{00000000-0005-0000-0000-0000050A0000}"/>
    <cellStyle name="Comma 4 4 3 4 2 2" xfId="8015" xr:uid="{00000000-0005-0000-0000-0000060A0000}"/>
    <cellStyle name="Comma 4 4 3 4 2 3" xfId="12226" xr:uid="{971907E8-195D-4FF7-BD26-1204ECB051B4}"/>
    <cellStyle name="Comma 4 4 3 4 2 4" xfId="16437" xr:uid="{93B2CFA7-AAAF-4234-BCB8-F11D450A49F6}"/>
    <cellStyle name="Comma 4 4 3 4 3" xfId="5870" xr:uid="{00000000-0005-0000-0000-0000070A0000}"/>
    <cellStyle name="Comma 4 4 3 4 4" xfId="10081" xr:uid="{33A13959-DC76-4698-83F9-CA9C7F30F801}"/>
    <cellStyle name="Comma 4 4 3 4 5" xfId="14292" xr:uid="{4E095703-33FD-42E3-B762-AC912BE328BD}"/>
    <cellStyle name="Comma 4 4 3 5" xfId="1975" xr:uid="{00000000-0005-0000-0000-0000080A0000}"/>
    <cellStyle name="Comma 4 4 3 5 2" xfId="4204" xr:uid="{00000000-0005-0000-0000-0000090A0000}"/>
    <cellStyle name="Comma 4 4 3 5 2 2" xfId="8428" xr:uid="{00000000-0005-0000-0000-00000A0A0000}"/>
    <cellStyle name="Comma 4 4 3 5 2 3" xfId="12639" xr:uid="{6DDF3BBB-503C-40CD-884B-E104DC36D56E}"/>
    <cellStyle name="Comma 4 4 3 5 2 4" xfId="16850" xr:uid="{E39CC69A-DC31-4BA3-B543-270F1E56771E}"/>
    <cellStyle name="Comma 4 4 3 5 3" xfId="6283" xr:uid="{00000000-0005-0000-0000-00000B0A0000}"/>
    <cellStyle name="Comma 4 4 3 5 4" xfId="10494" xr:uid="{5A91C426-38D7-4C04-B7F1-2E9A680D152B}"/>
    <cellStyle name="Comma 4 4 3 5 5" xfId="14705" xr:uid="{E54F9EF4-6FCD-476A-8409-F054EBD0166B}"/>
    <cellStyle name="Comma 4 4 3 6" xfId="2410" xr:uid="{00000000-0005-0000-0000-00000C0A0000}"/>
    <cellStyle name="Comma 4 4 3 6 2" xfId="6696" xr:uid="{00000000-0005-0000-0000-00000D0A0000}"/>
    <cellStyle name="Comma 4 4 3 6 3" xfId="10907" xr:uid="{931C8C1B-F140-4DD8-81B6-A8CEB10056DA}"/>
    <cellStyle name="Comma 4 4 3 6 4" xfId="15118" xr:uid="{F3CF972E-C1BA-4200-AF31-97E092AC738C}"/>
    <cellStyle name="Comma 4 4 3 7" xfId="2706" xr:uid="{00000000-0005-0000-0000-00000E0A0000}"/>
    <cellStyle name="Comma 4 4 3 8" xfId="2788" xr:uid="{00000000-0005-0000-0000-00000F0A0000}"/>
    <cellStyle name="Comma 4 4 3 8 2" xfId="7013" xr:uid="{00000000-0005-0000-0000-0000100A0000}"/>
    <cellStyle name="Comma 4 4 3 8 3" xfId="11224" xr:uid="{AF40C4F2-4B1C-4C2E-A251-AC16F9212B96}"/>
    <cellStyle name="Comma 4 4 3 8 4" xfId="15435" xr:uid="{68B92F10-0B09-4768-AA78-F067D500DA67}"/>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2 3" xfId="11397" xr:uid="{E8B04C69-2B11-4D6A-AC6C-AB928B45AF78}"/>
    <cellStyle name="Comma 4 4 4 2 4" xfId="15608" xr:uid="{1A669515-0EBD-4EEE-AE32-D0D2512B8DB7}"/>
    <cellStyle name="Comma 4 4 4 3" xfId="5041" xr:uid="{00000000-0005-0000-0000-0000150A0000}"/>
    <cellStyle name="Comma 4 4 4 4" xfId="9252" xr:uid="{038CCD8A-182F-4D1C-BA51-87327D43B635}"/>
    <cellStyle name="Comma 4 4 4 5" xfId="13463" xr:uid="{ED2C72E1-64CC-4431-867F-9C2EBCAE793A}"/>
    <cellStyle name="Comma 4 4 5" xfId="1144" xr:uid="{00000000-0005-0000-0000-0000160A0000}"/>
    <cellStyle name="Comma 4 4 5 2" xfId="3375" xr:uid="{00000000-0005-0000-0000-0000170A0000}"/>
    <cellStyle name="Comma 4 4 5 2 2" xfId="7599" xr:uid="{00000000-0005-0000-0000-0000180A0000}"/>
    <cellStyle name="Comma 4 4 5 2 3" xfId="11810" xr:uid="{3A842239-1674-4E0E-BD7E-E885FD805580}"/>
    <cellStyle name="Comma 4 4 5 2 4" xfId="16021" xr:uid="{21E05AD6-5BDA-43CA-8A3E-2C58DA865DE0}"/>
    <cellStyle name="Comma 4 4 5 3" xfId="5454" xr:uid="{00000000-0005-0000-0000-0000190A0000}"/>
    <cellStyle name="Comma 4 4 5 4" xfId="9665" xr:uid="{5FBFD78F-8A12-432D-9692-3372AA9442F8}"/>
    <cellStyle name="Comma 4 4 5 5" xfId="13876" xr:uid="{E74278FA-3731-4D3B-BB33-739D90C4D01A}"/>
    <cellStyle name="Comma 4 4 6" xfId="1558" xr:uid="{00000000-0005-0000-0000-00001A0A0000}"/>
    <cellStyle name="Comma 4 4 6 2" xfId="3788" xr:uid="{00000000-0005-0000-0000-00001B0A0000}"/>
    <cellStyle name="Comma 4 4 6 2 2" xfId="8012" xr:uid="{00000000-0005-0000-0000-00001C0A0000}"/>
    <cellStyle name="Comma 4 4 6 2 3" xfId="12223" xr:uid="{6AB833FE-8E64-409D-A5CA-767EA22544CE}"/>
    <cellStyle name="Comma 4 4 6 2 4" xfId="16434" xr:uid="{3AB3EF16-7AA1-402D-B925-FD621F768087}"/>
    <cellStyle name="Comma 4 4 6 3" xfId="5867" xr:uid="{00000000-0005-0000-0000-00001D0A0000}"/>
    <cellStyle name="Comma 4 4 6 4" xfId="10078" xr:uid="{0117C435-D206-4100-A034-47D9212DC525}"/>
    <cellStyle name="Comma 4 4 6 5" xfId="14289" xr:uid="{E33B3147-9EDB-45BB-BA33-F8984211543A}"/>
    <cellStyle name="Comma 4 4 7" xfId="1972" xr:uid="{00000000-0005-0000-0000-00001E0A0000}"/>
    <cellStyle name="Comma 4 4 7 2" xfId="4201" xr:uid="{00000000-0005-0000-0000-00001F0A0000}"/>
    <cellStyle name="Comma 4 4 7 2 2" xfId="8425" xr:uid="{00000000-0005-0000-0000-0000200A0000}"/>
    <cellStyle name="Comma 4 4 7 2 3" xfId="12636" xr:uid="{9BD7B969-F615-4639-A7E9-E3F5AFD0FE0F}"/>
    <cellStyle name="Comma 4 4 7 2 4" xfId="16847" xr:uid="{6471E46B-E05B-46D9-AC78-DFAC9762555B}"/>
    <cellStyle name="Comma 4 4 7 3" xfId="6280" xr:uid="{00000000-0005-0000-0000-0000210A0000}"/>
    <cellStyle name="Comma 4 4 7 4" xfId="10491" xr:uid="{FBCD08FC-7FF9-426D-9D05-07E040787F5B}"/>
    <cellStyle name="Comma 4 4 7 5" xfId="14702" xr:uid="{CEF342F2-DE75-40AD-B645-80BD666B10A2}"/>
    <cellStyle name="Comma 4 4 8" xfId="2407" xr:uid="{00000000-0005-0000-0000-0000220A0000}"/>
    <cellStyle name="Comma 4 4 8 2" xfId="6693" xr:uid="{00000000-0005-0000-0000-0000230A0000}"/>
    <cellStyle name="Comma 4 4 8 3" xfId="10904" xr:uid="{90552BFC-BFF1-4719-95F9-E01D976B4F41}"/>
    <cellStyle name="Comma 4 4 8 4" xfId="15115" xr:uid="{333751C0-F39C-4121-87D7-DEAB8FFECD62}"/>
    <cellStyle name="Comma 4 4 9" xfId="2703" xr:uid="{00000000-0005-0000-0000-0000240A0000}"/>
    <cellStyle name="Comma 4 5" xfId="157" xr:uid="{00000000-0005-0000-0000-0000250A0000}"/>
    <cellStyle name="Comma 4 5 10" xfId="4631" xr:uid="{00000000-0005-0000-0000-0000260A0000}"/>
    <cellStyle name="Comma 4 5 11" xfId="8842" xr:uid="{4EFB367B-F536-4929-99ED-0B28C80FBC5C}"/>
    <cellStyle name="Comma 4 5 12" xfId="13053" xr:uid="{0F9EE05E-CC21-4824-BBEE-5F68378F47BA}"/>
    <cellStyle name="Comma 4 5 2" xfId="158" xr:uid="{00000000-0005-0000-0000-0000270A0000}"/>
    <cellStyle name="Comma 4 5 2 10" xfId="8843" xr:uid="{0D3BF33F-B398-4C8A-A607-8AB6A1BC1828}"/>
    <cellStyle name="Comma 4 5 2 11" xfId="13054" xr:uid="{36255482-B78F-4A78-80D4-8B020E717389}"/>
    <cellStyle name="Comma 4 5 2 2" xfId="696" xr:uid="{00000000-0005-0000-0000-0000280A0000}"/>
    <cellStyle name="Comma 4 5 2 2 2" xfId="2967" xr:uid="{00000000-0005-0000-0000-0000290A0000}"/>
    <cellStyle name="Comma 4 5 2 2 2 2" xfId="7191" xr:uid="{00000000-0005-0000-0000-00002A0A0000}"/>
    <cellStyle name="Comma 4 5 2 2 2 3" xfId="11402" xr:uid="{CB71D4A5-E696-4056-821E-A12C93E9FD64}"/>
    <cellStyle name="Comma 4 5 2 2 2 4" xfId="15613" xr:uid="{2F0BB46C-037B-4905-A9A3-177ABE093081}"/>
    <cellStyle name="Comma 4 5 2 2 3" xfId="5046" xr:uid="{00000000-0005-0000-0000-00002B0A0000}"/>
    <cellStyle name="Comma 4 5 2 2 4" xfId="9257" xr:uid="{CDBB0816-AE1A-42B4-B2C2-184A6C6A48BD}"/>
    <cellStyle name="Comma 4 5 2 2 5" xfId="13468" xr:uid="{88A82600-222A-4FC9-A565-D13A44E6E740}"/>
    <cellStyle name="Comma 4 5 2 3" xfId="1149" xr:uid="{00000000-0005-0000-0000-00002C0A0000}"/>
    <cellStyle name="Comma 4 5 2 3 2" xfId="3380" xr:uid="{00000000-0005-0000-0000-00002D0A0000}"/>
    <cellStyle name="Comma 4 5 2 3 2 2" xfId="7604" xr:uid="{00000000-0005-0000-0000-00002E0A0000}"/>
    <cellStyle name="Comma 4 5 2 3 2 3" xfId="11815" xr:uid="{F8094C4C-7546-4306-B4B0-3163BF618944}"/>
    <cellStyle name="Comma 4 5 2 3 2 4" xfId="16026" xr:uid="{999DA94E-1A53-4359-A04E-0BFD50625F6F}"/>
    <cellStyle name="Comma 4 5 2 3 3" xfId="5459" xr:uid="{00000000-0005-0000-0000-00002F0A0000}"/>
    <cellStyle name="Comma 4 5 2 3 4" xfId="9670" xr:uid="{AD5EFA0D-BC77-43AB-BC62-F356C3C7B97B}"/>
    <cellStyle name="Comma 4 5 2 3 5" xfId="13881" xr:uid="{B8ACA04A-53F1-4407-B774-1B653CCD03B4}"/>
    <cellStyle name="Comma 4 5 2 4" xfId="1563" xr:uid="{00000000-0005-0000-0000-0000300A0000}"/>
    <cellStyle name="Comma 4 5 2 4 2" xfId="3793" xr:uid="{00000000-0005-0000-0000-0000310A0000}"/>
    <cellStyle name="Comma 4 5 2 4 2 2" xfId="8017" xr:uid="{00000000-0005-0000-0000-0000320A0000}"/>
    <cellStyle name="Comma 4 5 2 4 2 3" xfId="12228" xr:uid="{096586E6-69B3-46F1-BC2A-7C905F15F3EE}"/>
    <cellStyle name="Comma 4 5 2 4 2 4" xfId="16439" xr:uid="{9340416F-0CA5-4D11-8D53-867EDD92599F}"/>
    <cellStyle name="Comma 4 5 2 4 3" xfId="5872" xr:uid="{00000000-0005-0000-0000-0000330A0000}"/>
    <cellStyle name="Comma 4 5 2 4 4" xfId="10083" xr:uid="{59655B48-1E75-452A-AA7B-DCA1EB1A39B6}"/>
    <cellStyle name="Comma 4 5 2 4 5" xfId="14294" xr:uid="{97C382F2-F182-44D9-97E3-117D188A9350}"/>
    <cellStyle name="Comma 4 5 2 5" xfId="1977" xr:uid="{00000000-0005-0000-0000-0000340A0000}"/>
    <cellStyle name="Comma 4 5 2 5 2" xfId="4206" xr:uid="{00000000-0005-0000-0000-0000350A0000}"/>
    <cellStyle name="Comma 4 5 2 5 2 2" xfId="8430" xr:uid="{00000000-0005-0000-0000-0000360A0000}"/>
    <cellStyle name="Comma 4 5 2 5 2 3" xfId="12641" xr:uid="{27A03BA2-58CE-43EB-862E-FA4F19B42C9A}"/>
    <cellStyle name="Comma 4 5 2 5 2 4" xfId="16852" xr:uid="{A3E038D7-11F3-4423-8AF3-693C47942220}"/>
    <cellStyle name="Comma 4 5 2 5 3" xfId="6285" xr:uid="{00000000-0005-0000-0000-0000370A0000}"/>
    <cellStyle name="Comma 4 5 2 5 4" xfId="10496" xr:uid="{99FC0AD8-AC14-491A-B518-745DF21A84FE}"/>
    <cellStyle name="Comma 4 5 2 5 5" xfId="14707" xr:uid="{3C6BAF47-7A57-48D9-B13D-0C5986099713}"/>
    <cellStyle name="Comma 4 5 2 6" xfId="2412" xr:uid="{00000000-0005-0000-0000-0000380A0000}"/>
    <cellStyle name="Comma 4 5 2 6 2" xfId="6698" xr:uid="{00000000-0005-0000-0000-0000390A0000}"/>
    <cellStyle name="Comma 4 5 2 6 3" xfId="10909" xr:uid="{6DFA632E-DE8E-4C34-9E31-DF15BDAE89AD}"/>
    <cellStyle name="Comma 4 5 2 6 4" xfId="15120" xr:uid="{358E9F9E-46A2-4E93-9FB9-1F8740886EF2}"/>
    <cellStyle name="Comma 4 5 2 7" xfId="2708" xr:uid="{00000000-0005-0000-0000-00003A0A0000}"/>
    <cellStyle name="Comma 4 5 2 8" xfId="2790" xr:uid="{00000000-0005-0000-0000-00003B0A0000}"/>
    <cellStyle name="Comma 4 5 2 8 2" xfId="7015" xr:uid="{00000000-0005-0000-0000-00003C0A0000}"/>
    <cellStyle name="Comma 4 5 2 8 3" xfId="11226" xr:uid="{CB32B1A5-47B1-4903-B6A4-0A92DE7C9BD4}"/>
    <cellStyle name="Comma 4 5 2 8 4" xfId="15437" xr:uid="{9901A8FC-D2E8-4BC8-A5F1-CA70E3725E4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2 3" xfId="11401" xr:uid="{3158CCD4-8553-43FA-988A-2F2952E052E7}"/>
    <cellStyle name="Comma 4 5 3 2 4" xfId="15612" xr:uid="{CE4B6DAD-1E83-402E-BB61-06356F7F900F}"/>
    <cellStyle name="Comma 4 5 3 3" xfId="5045" xr:uid="{00000000-0005-0000-0000-0000410A0000}"/>
    <cellStyle name="Comma 4 5 3 4" xfId="9256" xr:uid="{FBEC3B77-A429-4895-B8E0-C2F7EFC0B5AA}"/>
    <cellStyle name="Comma 4 5 3 5" xfId="13467" xr:uid="{3918BA4E-3BDA-4303-A22A-EDC3D6AB2FC9}"/>
    <cellStyle name="Comma 4 5 4" xfId="1148" xr:uid="{00000000-0005-0000-0000-0000420A0000}"/>
    <cellStyle name="Comma 4 5 4 2" xfId="3379" xr:uid="{00000000-0005-0000-0000-0000430A0000}"/>
    <cellStyle name="Comma 4 5 4 2 2" xfId="7603" xr:uid="{00000000-0005-0000-0000-0000440A0000}"/>
    <cellStyle name="Comma 4 5 4 2 3" xfId="11814" xr:uid="{A7040803-FCD1-4946-86D7-155B5CF18A9B}"/>
    <cellStyle name="Comma 4 5 4 2 4" xfId="16025" xr:uid="{73073F6E-387D-4A79-96D9-BB1E82B86DF2}"/>
    <cellStyle name="Comma 4 5 4 3" xfId="5458" xr:uid="{00000000-0005-0000-0000-0000450A0000}"/>
    <cellStyle name="Comma 4 5 4 4" xfId="9669" xr:uid="{B1024148-E48D-4E38-8496-3751A8A7DDDE}"/>
    <cellStyle name="Comma 4 5 4 5" xfId="13880" xr:uid="{2E2BC2AA-46E0-4B21-8BB0-FAD9DAB330EF}"/>
    <cellStyle name="Comma 4 5 5" xfId="1562" xr:uid="{00000000-0005-0000-0000-0000460A0000}"/>
    <cellStyle name="Comma 4 5 5 2" xfId="3792" xr:uid="{00000000-0005-0000-0000-0000470A0000}"/>
    <cellStyle name="Comma 4 5 5 2 2" xfId="8016" xr:uid="{00000000-0005-0000-0000-0000480A0000}"/>
    <cellStyle name="Comma 4 5 5 2 3" xfId="12227" xr:uid="{B7FA4757-375C-435F-A612-C010B255CD0E}"/>
    <cellStyle name="Comma 4 5 5 2 4" xfId="16438" xr:uid="{569D0E41-7666-47EA-A21D-0E80A88FF30C}"/>
    <cellStyle name="Comma 4 5 5 3" xfId="5871" xr:uid="{00000000-0005-0000-0000-0000490A0000}"/>
    <cellStyle name="Comma 4 5 5 4" xfId="10082" xr:uid="{615DC479-8ED4-42ED-95FB-1BA24748F0C8}"/>
    <cellStyle name="Comma 4 5 5 5" xfId="14293" xr:uid="{FAED75B3-982C-438B-BB45-62EDCCB23ED1}"/>
    <cellStyle name="Comma 4 5 6" xfId="1976" xr:uid="{00000000-0005-0000-0000-00004A0A0000}"/>
    <cellStyle name="Comma 4 5 6 2" xfId="4205" xr:uid="{00000000-0005-0000-0000-00004B0A0000}"/>
    <cellStyle name="Comma 4 5 6 2 2" xfId="8429" xr:uid="{00000000-0005-0000-0000-00004C0A0000}"/>
    <cellStyle name="Comma 4 5 6 2 3" xfId="12640" xr:uid="{954EC7B8-3EF7-46FE-ACEF-38B656731549}"/>
    <cellStyle name="Comma 4 5 6 2 4" xfId="16851" xr:uid="{F0C3531D-BE66-4EF7-8578-44F0CF46985E}"/>
    <cellStyle name="Comma 4 5 6 3" xfId="6284" xr:uid="{00000000-0005-0000-0000-00004D0A0000}"/>
    <cellStyle name="Comma 4 5 6 4" xfId="10495" xr:uid="{DDAA5B5E-C6FF-4495-86BD-B266BF467A79}"/>
    <cellStyle name="Comma 4 5 6 5" xfId="14706" xr:uid="{0EC66AFE-6628-4CC8-B3AA-3FBF21FC2A5A}"/>
    <cellStyle name="Comma 4 5 7" xfId="2411" xr:uid="{00000000-0005-0000-0000-00004E0A0000}"/>
    <cellStyle name="Comma 4 5 7 2" xfId="6697" xr:uid="{00000000-0005-0000-0000-00004F0A0000}"/>
    <cellStyle name="Comma 4 5 7 3" xfId="10908" xr:uid="{C5752264-1E22-4DF3-BFB9-CB8C421FE8C9}"/>
    <cellStyle name="Comma 4 5 7 4" xfId="15119" xr:uid="{7D53E1D4-5516-4D95-B8D1-A5E7017B7D2D}"/>
    <cellStyle name="Comma 4 5 8" xfId="2707" xr:uid="{00000000-0005-0000-0000-0000500A0000}"/>
    <cellStyle name="Comma 4 5 9" xfId="2789" xr:uid="{00000000-0005-0000-0000-0000510A0000}"/>
    <cellStyle name="Comma 4 5 9 2" xfId="7014" xr:uid="{00000000-0005-0000-0000-0000520A0000}"/>
    <cellStyle name="Comma 4 5 9 3" xfId="11225" xr:uid="{4737FDF0-175A-4C46-BECC-CCBF2C4AA492}"/>
    <cellStyle name="Comma 4 5 9 4" xfId="15436" xr:uid="{338B21D0-07DF-4E1F-A266-269A4D5F487A}"/>
    <cellStyle name="Comma 4 6" xfId="159" xr:uid="{00000000-0005-0000-0000-0000530A0000}"/>
    <cellStyle name="Comma 4 6 10" xfId="8844" xr:uid="{5E9ACCA6-6DD4-48C4-BFE4-DCC2865B597D}"/>
    <cellStyle name="Comma 4 6 11" xfId="13055" xr:uid="{D2ECFA10-8FAE-41E2-B9F2-E11FBDDA1472}"/>
    <cellStyle name="Comma 4 6 2" xfId="697" xr:uid="{00000000-0005-0000-0000-0000540A0000}"/>
    <cellStyle name="Comma 4 6 2 2" xfId="2968" xr:uid="{00000000-0005-0000-0000-0000550A0000}"/>
    <cellStyle name="Comma 4 6 2 2 2" xfId="7192" xr:uid="{00000000-0005-0000-0000-0000560A0000}"/>
    <cellStyle name="Comma 4 6 2 2 3" xfId="11403" xr:uid="{68C1ABBD-A0BE-4CD8-8079-28E5B4B1147C}"/>
    <cellStyle name="Comma 4 6 2 2 4" xfId="15614" xr:uid="{56E259A8-4342-4FD4-BF22-C8F1EC13A4A1}"/>
    <cellStyle name="Comma 4 6 2 3" xfId="5047" xr:uid="{00000000-0005-0000-0000-0000570A0000}"/>
    <cellStyle name="Comma 4 6 2 4" xfId="9258" xr:uid="{58CE0135-1992-4C72-89BC-901706B9DE47}"/>
    <cellStyle name="Comma 4 6 2 5" xfId="13469" xr:uid="{15651EA7-70DF-46A2-91DA-D2A3104D9CA5}"/>
    <cellStyle name="Comma 4 6 3" xfId="1150" xr:uid="{00000000-0005-0000-0000-0000580A0000}"/>
    <cellStyle name="Comma 4 6 3 2" xfId="3381" xr:uid="{00000000-0005-0000-0000-0000590A0000}"/>
    <cellStyle name="Comma 4 6 3 2 2" xfId="7605" xr:uid="{00000000-0005-0000-0000-00005A0A0000}"/>
    <cellStyle name="Comma 4 6 3 2 3" xfId="11816" xr:uid="{ADC7E15F-16AD-4CB7-8F8E-6CBB325ACBFF}"/>
    <cellStyle name="Comma 4 6 3 2 4" xfId="16027" xr:uid="{C766D761-9E28-457D-B5DB-5FDE6F586095}"/>
    <cellStyle name="Comma 4 6 3 3" xfId="5460" xr:uid="{00000000-0005-0000-0000-00005B0A0000}"/>
    <cellStyle name="Comma 4 6 3 4" xfId="9671" xr:uid="{57CA592C-2ECF-46FA-ADA7-37F50CDF7ABE}"/>
    <cellStyle name="Comma 4 6 3 5" xfId="13882" xr:uid="{F6856F61-2DA4-46FA-B83D-DA69A216DF24}"/>
    <cellStyle name="Comma 4 6 4" xfId="1564" xr:uid="{00000000-0005-0000-0000-00005C0A0000}"/>
    <cellStyle name="Comma 4 6 4 2" xfId="3794" xr:uid="{00000000-0005-0000-0000-00005D0A0000}"/>
    <cellStyle name="Comma 4 6 4 2 2" xfId="8018" xr:uid="{00000000-0005-0000-0000-00005E0A0000}"/>
    <cellStyle name="Comma 4 6 4 2 3" xfId="12229" xr:uid="{FE164F85-558E-4CA1-A4AC-2E3D4E3206E9}"/>
    <cellStyle name="Comma 4 6 4 2 4" xfId="16440" xr:uid="{6F6AF6D1-51FD-4E20-B85A-6B8BCD23B265}"/>
    <cellStyle name="Comma 4 6 4 3" xfId="5873" xr:uid="{00000000-0005-0000-0000-00005F0A0000}"/>
    <cellStyle name="Comma 4 6 4 4" xfId="10084" xr:uid="{34D87CD6-1114-4641-AE7B-42420B40ED4E}"/>
    <cellStyle name="Comma 4 6 4 5" xfId="14295" xr:uid="{C147C5EC-5899-4748-8EF0-4B500FC4AFA4}"/>
    <cellStyle name="Comma 4 6 5" xfId="1978" xr:uid="{00000000-0005-0000-0000-0000600A0000}"/>
    <cellStyle name="Comma 4 6 5 2" xfId="4207" xr:uid="{00000000-0005-0000-0000-0000610A0000}"/>
    <cellStyle name="Comma 4 6 5 2 2" xfId="8431" xr:uid="{00000000-0005-0000-0000-0000620A0000}"/>
    <cellStyle name="Comma 4 6 5 2 3" xfId="12642" xr:uid="{626AC5A1-BD30-41A7-AA0F-7B484917EF20}"/>
    <cellStyle name="Comma 4 6 5 2 4" xfId="16853" xr:uid="{6B87BF5A-D86E-4546-8766-9AA583864AE2}"/>
    <cellStyle name="Comma 4 6 5 3" xfId="6286" xr:uid="{00000000-0005-0000-0000-0000630A0000}"/>
    <cellStyle name="Comma 4 6 5 4" xfId="10497" xr:uid="{7601EE56-C47F-496C-945B-14AA060B2395}"/>
    <cellStyle name="Comma 4 6 5 5" xfId="14708" xr:uid="{0BBD8CD5-B1C8-424C-8250-06A0AF3FF0BE}"/>
    <cellStyle name="Comma 4 6 6" xfId="2413" xr:uid="{00000000-0005-0000-0000-0000640A0000}"/>
    <cellStyle name="Comma 4 6 6 2" xfId="6699" xr:uid="{00000000-0005-0000-0000-0000650A0000}"/>
    <cellStyle name="Comma 4 6 6 3" xfId="10910" xr:uid="{1966D5E7-7E06-401D-8703-BF981A437CAC}"/>
    <cellStyle name="Comma 4 6 6 4" xfId="15121" xr:uid="{9081B1C7-DB54-410E-AF88-5F9C0CFFF7C2}"/>
    <cellStyle name="Comma 4 6 7" xfId="2709" xr:uid="{00000000-0005-0000-0000-0000660A0000}"/>
    <cellStyle name="Comma 4 6 8" xfId="2791" xr:uid="{00000000-0005-0000-0000-0000670A0000}"/>
    <cellStyle name="Comma 4 6 8 2" xfId="7016" xr:uid="{00000000-0005-0000-0000-0000680A0000}"/>
    <cellStyle name="Comma 4 6 8 3" xfId="11227" xr:uid="{4B3DB723-CAAE-4529-AE17-A01DD8199B1C}"/>
    <cellStyle name="Comma 4 6 8 4" xfId="15438" xr:uid="{C56AE139-3ACF-4D4F-A193-5BFBDC2D25C7}"/>
    <cellStyle name="Comma 4 6 9" xfId="4633" xr:uid="{00000000-0005-0000-0000-0000690A0000}"/>
    <cellStyle name="Comma 4 7" xfId="160" xr:uid="{00000000-0005-0000-0000-00006A0A0000}"/>
    <cellStyle name="Comma 4 7 10" xfId="8845" xr:uid="{17BF8952-7A0B-4E8C-9713-73654D398733}"/>
    <cellStyle name="Comma 4 7 11" xfId="13056" xr:uid="{F7448486-0C0B-4511-B7FA-CFF52D5193BD}"/>
    <cellStyle name="Comma 4 7 2" xfId="698" xr:uid="{00000000-0005-0000-0000-00006B0A0000}"/>
    <cellStyle name="Comma 4 7 2 2" xfId="2969" xr:uid="{00000000-0005-0000-0000-00006C0A0000}"/>
    <cellStyle name="Comma 4 7 2 2 2" xfId="7193" xr:uid="{00000000-0005-0000-0000-00006D0A0000}"/>
    <cellStyle name="Comma 4 7 2 2 3" xfId="11404" xr:uid="{70E38827-1C79-47BF-BE67-9900CAB16CB7}"/>
    <cellStyle name="Comma 4 7 2 2 4" xfId="15615" xr:uid="{D4F89595-0D47-4991-A3E8-85CA449751D2}"/>
    <cellStyle name="Comma 4 7 2 3" xfId="5048" xr:uid="{00000000-0005-0000-0000-00006E0A0000}"/>
    <cellStyle name="Comma 4 7 2 4" xfId="9259" xr:uid="{77AD817A-35DA-4879-842C-34AD5575B510}"/>
    <cellStyle name="Comma 4 7 2 5" xfId="13470" xr:uid="{DD03CBD3-7C06-4BE3-A870-3BCEEFF98A6B}"/>
    <cellStyle name="Comma 4 7 3" xfId="1151" xr:uid="{00000000-0005-0000-0000-00006F0A0000}"/>
    <cellStyle name="Comma 4 7 3 2" xfId="3382" xr:uid="{00000000-0005-0000-0000-0000700A0000}"/>
    <cellStyle name="Comma 4 7 3 2 2" xfId="7606" xr:uid="{00000000-0005-0000-0000-0000710A0000}"/>
    <cellStyle name="Comma 4 7 3 2 3" xfId="11817" xr:uid="{5BBF0AC8-8BED-46DC-86E9-CDE2F7299BD0}"/>
    <cellStyle name="Comma 4 7 3 2 4" xfId="16028" xr:uid="{8EB20F2C-8CA2-44F6-97D6-838830B9B499}"/>
    <cellStyle name="Comma 4 7 3 3" xfId="5461" xr:uid="{00000000-0005-0000-0000-0000720A0000}"/>
    <cellStyle name="Comma 4 7 3 4" xfId="9672" xr:uid="{D1F94534-FAC3-46ED-ACD4-47B1B8D2BAB5}"/>
    <cellStyle name="Comma 4 7 3 5" xfId="13883" xr:uid="{78575DCF-3323-4DE0-BBC9-08DE46B11178}"/>
    <cellStyle name="Comma 4 7 4" xfId="1565" xr:uid="{00000000-0005-0000-0000-0000730A0000}"/>
    <cellStyle name="Comma 4 7 4 2" xfId="3795" xr:uid="{00000000-0005-0000-0000-0000740A0000}"/>
    <cellStyle name="Comma 4 7 4 2 2" xfId="8019" xr:uid="{00000000-0005-0000-0000-0000750A0000}"/>
    <cellStyle name="Comma 4 7 4 2 3" xfId="12230" xr:uid="{ED0634A5-BAE2-4103-99E3-9352EC7A73BD}"/>
    <cellStyle name="Comma 4 7 4 2 4" xfId="16441" xr:uid="{E67F4103-49FA-41FF-853D-ECB2D2F9634B}"/>
    <cellStyle name="Comma 4 7 4 3" xfId="5874" xr:uid="{00000000-0005-0000-0000-0000760A0000}"/>
    <cellStyle name="Comma 4 7 4 4" xfId="10085" xr:uid="{064092F2-3CC8-443C-AAB4-CE9EBF862ECC}"/>
    <cellStyle name="Comma 4 7 4 5" xfId="14296" xr:uid="{328F8F78-82EF-4CF0-BD1B-4379D2EC9244}"/>
    <cellStyle name="Comma 4 7 5" xfId="1979" xr:uid="{00000000-0005-0000-0000-0000770A0000}"/>
    <cellStyle name="Comma 4 7 5 2" xfId="4208" xr:uid="{00000000-0005-0000-0000-0000780A0000}"/>
    <cellStyle name="Comma 4 7 5 2 2" xfId="8432" xr:uid="{00000000-0005-0000-0000-0000790A0000}"/>
    <cellStyle name="Comma 4 7 5 2 3" xfId="12643" xr:uid="{A36AF553-A34F-4D49-9178-9B49FBAC4462}"/>
    <cellStyle name="Comma 4 7 5 2 4" xfId="16854" xr:uid="{2ABCF433-FA78-4A1C-A9C6-B2587D5ADBB2}"/>
    <cellStyle name="Comma 4 7 5 3" xfId="6287" xr:uid="{00000000-0005-0000-0000-00007A0A0000}"/>
    <cellStyle name="Comma 4 7 5 4" xfId="10498" xr:uid="{F0C421E1-80E7-43D7-B170-FF098F5B44A5}"/>
    <cellStyle name="Comma 4 7 5 5" xfId="14709" xr:uid="{5802143F-7789-4612-B12C-96D96C4347B7}"/>
    <cellStyle name="Comma 4 7 6" xfId="2414" xr:uid="{00000000-0005-0000-0000-00007B0A0000}"/>
    <cellStyle name="Comma 4 7 6 2" xfId="6700" xr:uid="{00000000-0005-0000-0000-00007C0A0000}"/>
    <cellStyle name="Comma 4 7 6 3" xfId="10911" xr:uid="{A9DFA69F-26EB-49D6-B406-F0FA18B6C438}"/>
    <cellStyle name="Comma 4 7 6 4" xfId="15122" xr:uid="{755A18B4-5917-405C-921B-C1BDA6AE2DF0}"/>
    <cellStyle name="Comma 4 7 7" xfId="2710" xr:uid="{00000000-0005-0000-0000-00007D0A0000}"/>
    <cellStyle name="Comma 4 7 8" xfId="2792" xr:uid="{00000000-0005-0000-0000-00007E0A0000}"/>
    <cellStyle name="Comma 4 7 8 2" xfId="7017" xr:uid="{00000000-0005-0000-0000-00007F0A0000}"/>
    <cellStyle name="Comma 4 7 8 3" xfId="11228" xr:uid="{8FE52935-A6D0-4A4D-846D-3568F11EF790}"/>
    <cellStyle name="Comma 4 7 8 4" xfId="15439" xr:uid="{CFEA312C-FCEC-4D69-8A16-789235D367B9}"/>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0 3" xfId="11229" xr:uid="{7CD3FB5B-BAE6-4BD2-A716-D9BE25804797}"/>
    <cellStyle name="Currency 3 2 2 10 4" xfId="15440" xr:uid="{9D8BF5DD-6C65-4D34-83C9-37D686E8D30F}"/>
    <cellStyle name="Currency 3 2 2 11" xfId="4635" xr:uid="{00000000-0005-0000-0000-0000A50A0000}"/>
    <cellStyle name="Currency 3 2 2 12" xfId="8846" xr:uid="{00E8FFF7-FC62-417A-A146-AF77E04DFF48}"/>
    <cellStyle name="Currency 3 2 2 13" xfId="13057" xr:uid="{AC393689-A212-4103-9598-36CC05EA58A6}"/>
    <cellStyle name="Currency 3 2 2 2" xfId="179" xr:uid="{00000000-0005-0000-0000-0000A60A0000}"/>
    <cellStyle name="Currency 3 2 2 2 10" xfId="4636" xr:uid="{00000000-0005-0000-0000-0000A70A0000}"/>
    <cellStyle name="Currency 3 2 2 2 11" xfId="8847" xr:uid="{226BD70F-64A6-4F5E-94F6-AF446E0B6D68}"/>
    <cellStyle name="Currency 3 2 2 2 12" xfId="13058" xr:uid="{86A34157-C34E-4FF2-95DF-8A7CE854E550}"/>
    <cellStyle name="Currency 3 2 2 2 2" xfId="180" xr:uid="{00000000-0005-0000-0000-0000A80A0000}"/>
    <cellStyle name="Currency 3 2 2 2 2 10" xfId="8848" xr:uid="{83FC4357-E4A6-460C-8FA8-251771319DDD}"/>
    <cellStyle name="Currency 3 2 2 2 2 11" xfId="13059" xr:uid="{950C2A90-00EA-48CB-B772-F4DCE012EED7}"/>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2 3" xfId="11407" xr:uid="{83AF9F8A-0521-415B-8BE5-E5E7BA4D40DE}"/>
    <cellStyle name="Currency 3 2 2 2 2 2 2 4" xfId="15618" xr:uid="{1EAF2E4B-1047-4583-BD59-555504646DAD}"/>
    <cellStyle name="Currency 3 2 2 2 2 2 3" xfId="5051" xr:uid="{00000000-0005-0000-0000-0000AC0A0000}"/>
    <cellStyle name="Currency 3 2 2 2 2 2 4" xfId="9262" xr:uid="{FA466B02-22E3-4EFF-8E10-D8017363F509}"/>
    <cellStyle name="Currency 3 2 2 2 2 2 5" xfId="13473" xr:uid="{A5454E5E-EFCF-4114-B23D-68FF439E39E1}"/>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2 3" xfId="11820" xr:uid="{B74F9822-8079-42DE-8343-F1486FF25141}"/>
    <cellStyle name="Currency 3 2 2 2 2 3 2 4" xfId="16031" xr:uid="{B869FC4B-12DA-4700-8472-8FB2319E8CF4}"/>
    <cellStyle name="Currency 3 2 2 2 2 3 3" xfId="5464" xr:uid="{00000000-0005-0000-0000-0000B00A0000}"/>
    <cellStyle name="Currency 3 2 2 2 2 3 4" xfId="9675" xr:uid="{7C854F3F-43EB-4428-B349-B90F42CA00F8}"/>
    <cellStyle name="Currency 3 2 2 2 2 3 5" xfId="13886" xr:uid="{D37DBE24-27D8-43EF-A590-5804A5EBDC8C}"/>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2 3" xfId="12233" xr:uid="{2E0F29CE-6C65-4630-B0D4-E6F04CCB1412}"/>
    <cellStyle name="Currency 3 2 2 2 2 4 2 4" xfId="16444" xr:uid="{7D09AFB5-1041-4EEF-8EA0-0791732BB07F}"/>
    <cellStyle name="Currency 3 2 2 2 2 4 3" xfId="5877" xr:uid="{00000000-0005-0000-0000-0000B40A0000}"/>
    <cellStyle name="Currency 3 2 2 2 2 4 4" xfId="10088" xr:uid="{365D72BF-1FCE-47FD-BFA2-D8A4A9DAD999}"/>
    <cellStyle name="Currency 3 2 2 2 2 4 5" xfId="14299" xr:uid="{DD7BC861-6F2E-431F-9636-08029E2BF9B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2 3" xfId="12646" xr:uid="{B706766E-D06C-48B7-8FD8-8B2EEB0D27D8}"/>
    <cellStyle name="Currency 3 2 2 2 2 5 2 4" xfId="16857" xr:uid="{3F6A623E-C04B-45E1-A7C4-69952A1BA5F7}"/>
    <cellStyle name="Currency 3 2 2 2 2 5 3" xfId="6290" xr:uid="{00000000-0005-0000-0000-0000B80A0000}"/>
    <cellStyle name="Currency 3 2 2 2 2 5 4" xfId="10501" xr:uid="{34654FCE-171B-4102-A3E2-B91B916C2D56}"/>
    <cellStyle name="Currency 3 2 2 2 2 5 5" xfId="14712" xr:uid="{77F91F32-4FFB-47F1-A3D3-A0C8F0663070}"/>
    <cellStyle name="Currency 3 2 2 2 2 6" xfId="2417" xr:uid="{00000000-0005-0000-0000-0000B90A0000}"/>
    <cellStyle name="Currency 3 2 2 2 2 6 2" xfId="6703" xr:uid="{00000000-0005-0000-0000-0000BA0A0000}"/>
    <cellStyle name="Currency 3 2 2 2 2 6 3" xfId="10914" xr:uid="{1051FDFB-578A-47D8-AC8B-2769ADAA3C83}"/>
    <cellStyle name="Currency 3 2 2 2 2 6 4" xfId="15125" xr:uid="{362E670D-8B2C-4504-BB4B-FBB8909725E6}"/>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8 3" xfId="11231" xr:uid="{296D4343-3FEE-4698-8125-81EA0DBEDC3D}"/>
    <cellStyle name="Currency 3 2 2 2 2 8 4" xfId="15442" xr:uid="{286F7E76-0D9B-45DC-B8E1-92101F05088F}"/>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2 3" xfId="11406" xr:uid="{BE0CA1F6-CA93-4784-8D33-DFB4318B258F}"/>
    <cellStyle name="Currency 3 2 2 2 3 2 4" xfId="15617" xr:uid="{87CAA377-E0CE-46F5-AE8D-EB1526A5A776}"/>
    <cellStyle name="Currency 3 2 2 2 3 3" xfId="5050" xr:uid="{00000000-0005-0000-0000-0000C20A0000}"/>
    <cellStyle name="Currency 3 2 2 2 3 4" xfId="9261" xr:uid="{31AAD676-C7B9-44C1-A00B-FCAF4222EFA2}"/>
    <cellStyle name="Currency 3 2 2 2 3 5" xfId="13472" xr:uid="{277DE88D-6E0A-453F-8538-D5301657C978}"/>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2 3" xfId="11819" xr:uid="{51B843C4-70A7-4F37-B59B-76B72C379908}"/>
    <cellStyle name="Currency 3 2 2 2 4 2 4" xfId="16030" xr:uid="{D552D9F5-16E4-4BB2-99CD-2CAC2027447A}"/>
    <cellStyle name="Currency 3 2 2 2 4 3" xfId="5463" xr:uid="{00000000-0005-0000-0000-0000C60A0000}"/>
    <cellStyle name="Currency 3 2 2 2 4 4" xfId="9674" xr:uid="{3179088D-0044-45FF-BCC6-41AB26A97217}"/>
    <cellStyle name="Currency 3 2 2 2 4 5" xfId="13885" xr:uid="{7A3F053A-BBB5-4B5A-99B9-4C81FA5129BF}"/>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2 3" xfId="12232" xr:uid="{21E085E1-1A6D-4F0D-9AA4-6A0DEBBFDA11}"/>
    <cellStyle name="Currency 3 2 2 2 5 2 4" xfId="16443" xr:uid="{B40A27BB-9566-49FB-992F-008390B01688}"/>
    <cellStyle name="Currency 3 2 2 2 5 3" xfId="5876" xr:uid="{00000000-0005-0000-0000-0000CA0A0000}"/>
    <cellStyle name="Currency 3 2 2 2 5 4" xfId="10087" xr:uid="{ABE15D3F-B971-4BBB-975F-9874A564C5C1}"/>
    <cellStyle name="Currency 3 2 2 2 5 5" xfId="14298" xr:uid="{63D4184A-6FE6-4137-94DC-9597A65D2ED2}"/>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2 3" xfId="12645" xr:uid="{A9D93732-70F9-4DDE-B763-9087C9155099}"/>
    <cellStyle name="Currency 3 2 2 2 6 2 4" xfId="16856" xr:uid="{05C05164-B527-4F32-844C-F3ADBCA270EE}"/>
    <cellStyle name="Currency 3 2 2 2 6 3" xfId="6289" xr:uid="{00000000-0005-0000-0000-0000CE0A0000}"/>
    <cellStyle name="Currency 3 2 2 2 6 4" xfId="10500" xr:uid="{663D76F0-4C72-4A5F-8E3E-51D0F4EFCF99}"/>
    <cellStyle name="Currency 3 2 2 2 6 5" xfId="14711" xr:uid="{ED6DDD1D-22C5-48EC-8C01-6D145EFDB4F9}"/>
    <cellStyle name="Currency 3 2 2 2 7" xfId="2416" xr:uid="{00000000-0005-0000-0000-0000CF0A0000}"/>
    <cellStyle name="Currency 3 2 2 2 7 2" xfId="6702" xr:uid="{00000000-0005-0000-0000-0000D00A0000}"/>
    <cellStyle name="Currency 3 2 2 2 7 3" xfId="10913" xr:uid="{981EF82D-5717-43FE-8D8F-66832B1299AB}"/>
    <cellStyle name="Currency 3 2 2 2 7 4" xfId="15124" xr:uid="{9F29D497-E141-4939-BE2E-A1BC568ABDB8}"/>
    <cellStyle name="Currency 3 2 2 2 8" xfId="2713" xr:uid="{00000000-0005-0000-0000-0000D10A0000}"/>
    <cellStyle name="Currency 3 2 2 2 9" xfId="2794" xr:uid="{00000000-0005-0000-0000-0000D20A0000}"/>
    <cellStyle name="Currency 3 2 2 2 9 2" xfId="7019" xr:uid="{00000000-0005-0000-0000-0000D30A0000}"/>
    <cellStyle name="Currency 3 2 2 2 9 3" xfId="11230" xr:uid="{86AAC1C0-3F18-4535-9710-3BD8303EFEB0}"/>
    <cellStyle name="Currency 3 2 2 2 9 4" xfId="15441" xr:uid="{3ABA8964-1EB4-403E-BDF3-5FF069C6CC11}"/>
    <cellStyle name="Currency 3 2 2 3" xfId="181" xr:uid="{00000000-0005-0000-0000-0000D40A0000}"/>
    <cellStyle name="Currency 3 2 2 3 10" xfId="8849" xr:uid="{B46F4C44-7701-4A15-AFB4-911A2217E04F}"/>
    <cellStyle name="Currency 3 2 2 3 11" xfId="13060" xr:uid="{239ED12F-4CA3-4AD2-BC77-264D32E0192C}"/>
    <cellStyle name="Currency 3 2 2 3 2" xfId="712" xr:uid="{00000000-0005-0000-0000-0000D50A0000}"/>
    <cellStyle name="Currency 3 2 2 3 2 2" xfId="2973" xr:uid="{00000000-0005-0000-0000-0000D60A0000}"/>
    <cellStyle name="Currency 3 2 2 3 2 2 2" xfId="7197" xr:uid="{00000000-0005-0000-0000-0000D70A0000}"/>
    <cellStyle name="Currency 3 2 2 3 2 2 3" xfId="11408" xr:uid="{348D3C1D-C66C-4D2A-8A39-780576706734}"/>
    <cellStyle name="Currency 3 2 2 3 2 2 4" xfId="15619" xr:uid="{0A3A6E5A-20C6-45E5-8B2B-C55B29704D8D}"/>
    <cellStyle name="Currency 3 2 2 3 2 3" xfId="5052" xr:uid="{00000000-0005-0000-0000-0000D80A0000}"/>
    <cellStyle name="Currency 3 2 2 3 2 4" xfId="9263" xr:uid="{689A1C00-5248-48A4-B3EA-3D461EED9C02}"/>
    <cellStyle name="Currency 3 2 2 3 2 5" xfId="13474" xr:uid="{3441FE6C-4E12-42CA-AA8C-C1DBC0C8E4A9}"/>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2 3" xfId="11821" xr:uid="{6DBDCC51-9F51-46C8-8712-DEFFFAE68C87}"/>
    <cellStyle name="Currency 3 2 2 3 3 2 4" xfId="16032" xr:uid="{1F162125-382D-4546-B0E7-387791CC68B2}"/>
    <cellStyle name="Currency 3 2 2 3 3 3" xfId="5465" xr:uid="{00000000-0005-0000-0000-0000DC0A0000}"/>
    <cellStyle name="Currency 3 2 2 3 3 4" xfId="9676" xr:uid="{30693665-5E42-418D-90A8-39D4C9FD0910}"/>
    <cellStyle name="Currency 3 2 2 3 3 5" xfId="13887" xr:uid="{7CE92A4C-17B9-47E7-B956-C537047FDB75}"/>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2 3" xfId="12234" xr:uid="{ED064F8C-C896-4FC0-A4A7-77F457C25D83}"/>
    <cellStyle name="Currency 3 2 2 3 4 2 4" xfId="16445" xr:uid="{908568C8-4A5A-4FC4-AC65-164ADF53AABD}"/>
    <cellStyle name="Currency 3 2 2 3 4 3" xfId="5878" xr:uid="{00000000-0005-0000-0000-0000E00A0000}"/>
    <cellStyle name="Currency 3 2 2 3 4 4" xfId="10089" xr:uid="{1582A752-5C26-43BF-8EE1-1F956B0D3067}"/>
    <cellStyle name="Currency 3 2 2 3 4 5" xfId="14300" xr:uid="{8EB596F3-64D4-497B-B567-514649FBEB3A}"/>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2 3" xfId="12647" xr:uid="{5C09251D-DFBC-4ECF-9C38-D09CCDE5B2D4}"/>
    <cellStyle name="Currency 3 2 2 3 5 2 4" xfId="16858" xr:uid="{94211EFF-8BBF-43E3-B9D9-426B0467B452}"/>
    <cellStyle name="Currency 3 2 2 3 5 3" xfId="6291" xr:uid="{00000000-0005-0000-0000-0000E40A0000}"/>
    <cellStyle name="Currency 3 2 2 3 5 4" xfId="10502" xr:uid="{4ED370C9-29AB-4289-9101-025B32DC9A81}"/>
    <cellStyle name="Currency 3 2 2 3 5 5" xfId="14713" xr:uid="{68F21B09-CBA5-439F-B631-8807325A3F27}"/>
    <cellStyle name="Currency 3 2 2 3 6" xfId="2418" xr:uid="{00000000-0005-0000-0000-0000E50A0000}"/>
    <cellStyle name="Currency 3 2 2 3 6 2" xfId="6704" xr:uid="{00000000-0005-0000-0000-0000E60A0000}"/>
    <cellStyle name="Currency 3 2 2 3 6 3" xfId="10915" xr:uid="{B52F32D1-2B5F-4383-A03C-00E293219804}"/>
    <cellStyle name="Currency 3 2 2 3 6 4" xfId="15126" xr:uid="{38B92BDC-AB5F-4CD2-B0B4-7875A2E4890E}"/>
    <cellStyle name="Currency 3 2 2 3 7" xfId="2715" xr:uid="{00000000-0005-0000-0000-0000E70A0000}"/>
    <cellStyle name="Currency 3 2 2 3 8" xfId="2796" xr:uid="{00000000-0005-0000-0000-0000E80A0000}"/>
    <cellStyle name="Currency 3 2 2 3 8 2" xfId="7021" xr:uid="{00000000-0005-0000-0000-0000E90A0000}"/>
    <cellStyle name="Currency 3 2 2 3 8 3" xfId="11232" xr:uid="{6276E409-FA32-4129-AA02-30AC478916E4}"/>
    <cellStyle name="Currency 3 2 2 3 8 4" xfId="15443" xr:uid="{8FDD5957-6BBB-4277-B647-631A42B8EF37}"/>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2 3" xfId="11405" xr:uid="{F48AE0F8-84FC-4B71-B757-3DC14D96C56E}"/>
    <cellStyle name="Currency 3 2 2 4 2 4" xfId="15616" xr:uid="{CD6A2B54-8270-4EB7-A3D6-E76C11798540}"/>
    <cellStyle name="Currency 3 2 2 4 3" xfId="5049" xr:uid="{00000000-0005-0000-0000-0000EE0A0000}"/>
    <cellStyle name="Currency 3 2 2 4 4" xfId="9260" xr:uid="{AB1F2BC7-370D-4D96-AA90-C8EBB6DC58D2}"/>
    <cellStyle name="Currency 3 2 2 4 5" xfId="13471" xr:uid="{67987CFC-CA15-4A30-977C-990D0D9ABACA}"/>
    <cellStyle name="Currency 3 2 2 5" xfId="1152" xr:uid="{00000000-0005-0000-0000-0000EF0A0000}"/>
    <cellStyle name="Currency 3 2 2 5 2" xfId="3383" xr:uid="{00000000-0005-0000-0000-0000F00A0000}"/>
    <cellStyle name="Currency 3 2 2 5 2 2" xfId="7607" xr:uid="{00000000-0005-0000-0000-0000F10A0000}"/>
    <cellStyle name="Currency 3 2 2 5 2 3" xfId="11818" xr:uid="{DE813D48-2C06-4F05-B8AD-BB5908F70542}"/>
    <cellStyle name="Currency 3 2 2 5 2 4" xfId="16029" xr:uid="{6F01CA14-DBDE-4DAF-B857-82E9D7FD72CE}"/>
    <cellStyle name="Currency 3 2 2 5 3" xfId="5462" xr:uid="{00000000-0005-0000-0000-0000F20A0000}"/>
    <cellStyle name="Currency 3 2 2 5 4" xfId="9673" xr:uid="{94777F9D-02A6-4007-82E6-4BB68D53C548}"/>
    <cellStyle name="Currency 3 2 2 5 5" xfId="13884" xr:uid="{9A74D029-D040-430F-9844-25B650858B1B}"/>
    <cellStyle name="Currency 3 2 2 6" xfId="1566" xr:uid="{00000000-0005-0000-0000-0000F30A0000}"/>
    <cellStyle name="Currency 3 2 2 6 2" xfId="3796" xr:uid="{00000000-0005-0000-0000-0000F40A0000}"/>
    <cellStyle name="Currency 3 2 2 6 2 2" xfId="8020" xr:uid="{00000000-0005-0000-0000-0000F50A0000}"/>
    <cellStyle name="Currency 3 2 2 6 2 3" xfId="12231" xr:uid="{B9E425D0-5771-4E17-AD89-D5A5396A91B6}"/>
    <cellStyle name="Currency 3 2 2 6 2 4" xfId="16442" xr:uid="{2E04E80F-85AE-41D1-8553-951364DBD440}"/>
    <cellStyle name="Currency 3 2 2 6 3" xfId="5875" xr:uid="{00000000-0005-0000-0000-0000F60A0000}"/>
    <cellStyle name="Currency 3 2 2 6 4" xfId="10086" xr:uid="{BB13A585-5354-457C-9409-AFE3F8F954E1}"/>
    <cellStyle name="Currency 3 2 2 6 5" xfId="14297" xr:uid="{0B3C87A5-4D3F-4F8C-A578-574397BFC7C8}"/>
    <cellStyle name="Currency 3 2 2 7" xfId="1980" xr:uid="{00000000-0005-0000-0000-0000F70A0000}"/>
    <cellStyle name="Currency 3 2 2 7 2" xfId="4209" xr:uid="{00000000-0005-0000-0000-0000F80A0000}"/>
    <cellStyle name="Currency 3 2 2 7 2 2" xfId="8433" xr:uid="{00000000-0005-0000-0000-0000F90A0000}"/>
    <cellStyle name="Currency 3 2 2 7 2 3" xfId="12644" xr:uid="{9489365E-E01E-46B8-B8D4-9A3A6338706D}"/>
    <cellStyle name="Currency 3 2 2 7 2 4" xfId="16855" xr:uid="{A0B9F60D-A907-45CD-A210-D5F2EA6A506C}"/>
    <cellStyle name="Currency 3 2 2 7 3" xfId="6288" xr:uid="{00000000-0005-0000-0000-0000FA0A0000}"/>
    <cellStyle name="Currency 3 2 2 7 4" xfId="10499" xr:uid="{70E50167-87A3-4B0F-913E-49628D84F88F}"/>
    <cellStyle name="Currency 3 2 2 7 5" xfId="14710" xr:uid="{BFB1933A-915A-4550-B778-F2FB7B09C9CC}"/>
    <cellStyle name="Currency 3 2 2 8" xfId="2415" xr:uid="{00000000-0005-0000-0000-0000FB0A0000}"/>
    <cellStyle name="Currency 3 2 2 8 2" xfId="6701" xr:uid="{00000000-0005-0000-0000-0000FC0A0000}"/>
    <cellStyle name="Currency 3 2 2 8 3" xfId="10912" xr:uid="{80140DA3-AFF9-40AF-9268-4A06BB47E6A2}"/>
    <cellStyle name="Currency 3 2 2 8 4" xfId="15123" xr:uid="{2CB42DCF-4AD7-452B-8E98-A2A46D9B3187}"/>
    <cellStyle name="Currency 3 2 2 9" xfId="2712" xr:uid="{00000000-0005-0000-0000-0000FD0A0000}"/>
    <cellStyle name="Currency 3 2 3" xfId="182" xr:uid="{00000000-0005-0000-0000-0000FE0A0000}"/>
    <cellStyle name="Currency 3 2 3 10" xfId="4639" xr:uid="{00000000-0005-0000-0000-0000FF0A0000}"/>
    <cellStyle name="Currency 3 2 3 11" xfId="8850" xr:uid="{4E78661D-FD72-401C-AFD1-4D55476FFB39}"/>
    <cellStyle name="Currency 3 2 3 12" xfId="13061" xr:uid="{5E82B732-2095-4A98-98B0-81A96EED7DF9}"/>
    <cellStyle name="Currency 3 2 3 2" xfId="183" xr:uid="{00000000-0005-0000-0000-0000000B0000}"/>
    <cellStyle name="Currency 3 2 3 2 10" xfId="8851" xr:uid="{C391D90C-0421-4C8F-B2C1-FCECFA68B162}"/>
    <cellStyle name="Currency 3 2 3 2 11" xfId="13062" xr:uid="{3D276CFB-E393-4903-8773-1C6CBBB2CC2E}"/>
    <cellStyle name="Currency 3 2 3 2 2" xfId="714" xr:uid="{00000000-0005-0000-0000-0000010B0000}"/>
    <cellStyle name="Currency 3 2 3 2 2 2" xfId="2975" xr:uid="{00000000-0005-0000-0000-0000020B0000}"/>
    <cellStyle name="Currency 3 2 3 2 2 2 2" xfId="7199" xr:uid="{00000000-0005-0000-0000-0000030B0000}"/>
    <cellStyle name="Currency 3 2 3 2 2 2 3" xfId="11410" xr:uid="{DBA70700-5009-45CE-B359-0AA702278273}"/>
    <cellStyle name="Currency 3 2 3 2 2 2 4" xfId="15621" xr:uid="{7ECECAE3-A153-4302-8B48-807A47EAC554}"/>
    <cellStyle name="Currency 3 2 3 2 2 3" xfId="5054" xr:uid="{00000000-0005-0000-0000-0000040B0000}"/>
    <cellStyle name="Currency 3 2 3 2 2 4" xfId="9265" xr:uid="{B85B5ACF-4DED-491D-8FF1-403A09F1F6CA}"/>
    <cellStyle name="Currency 3 2 3 2 2 5" xfId="13476" xr:uid="{2C5FC876-9564-4915-98CA-E17004ED207D}"/>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2 3" xfId="11823" xr:uid="{058A9FB3-9FEF-4EE8-9BDE-2D37D0240475}"/>
    <cellStyle name="Currency 3 2 3 2 3 2 4" xfId="16034" xr:uid="{2736A350-36D1-4588-9A75-7A8615C40FA2}"/>
    <cellStyle name="Currency 3 2 3 2 3 3" xfId="5467" xr:uid="{00000000-0005-0000-0000-0000080B0000}"/>
    <cellStyle name="Currency 3 2 3 2 3 4" xfId="9678" xr:uid="{FEEEEA4F-2211-4FAD-B2A7-829B572BF975}"/>
    <cellStyle name="Currency 3 2 3 2 3 5" xfId="13889" xr:uid="{F390F5F7-5245-4C01-9FDC-74D3E25BD808}"/>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2 3" xfId="12236" xr:uid="{668E1240-B4A5-40A6-B227-071242A48A8F}"/>
    <cellStyle name="Currency 3 2 3 2 4 2 4" xfId="16447" xr:uid="{18F43573-05B9-4055-96E7-15F872B77556}"/>
    <cellStyle name="Currency 3 2 3 2 4 3" xfId="5880" xr:uid="{00000000-0005-0000-0000-00000C0B0000}"/>
    <cellStyle name="Currency 3 2 3 2 4 4" xfId="10091" xr:uid="{77CB7A6A-890F-4C68-BA42-A7DFFD26EA2A}"/>
    <cellStyle name="Currency 3 2 3 2 4 5" xfId="14302" xr:uid="{A151F2EF-6D5A-4DEF-B385-8B46975695FE}"/>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2 3" xfId="12649" xr:uid="{476EB4D8-80CF-45E6-82AD-BE20EA63075B}"/>
    <cellStyle name="Currency 3 2 3 2 5 2 4" xfId="16860" xr:uid="{2D7522D9-E2E5-4330-BCAB-C55FA0E640CF}"/>
    <cellStyle name="Currency 3 2 3 2 5 3" xfId="6293" xr:uid="{00000000-0005-0000-0000-0000100B0000}"/>
    <cellStyle name="Currency 3 2 3 2 5 4" xfId="10504" xr:uid="{7CF2EE62-D374-46F5-9DDA-F99D2E25FDDC}"/>
    <cellStyle name="Currency 3 2 3 2 5 5" xfId="14715" xr:uid="{1CD681E3-000E-4D04-BA06-84FF475487DB}"/>
    <cellStyle name="Currency 3 2 3 2 6" xfId="2420" xr:uid="{00000000-0005-0000-0000-0000110B0000}"/>
    <cellStyle name="Currency 3 2 3 2 6 2" xfId="6706" xr:uid="{00000000-0005-0000-0000-0000120B0000}"/>
    <cellStyle name="Currency 3 2 3 2 6 3" xfId="10917" xr:uid="{E2E1D87C-3538-4102-8FBF-196A1FE6E547}"/>
    <cellStyle name="Currency 3 2 3 2 6 4" xfId="15128" xr:uid="{A63155F8-F404-4F2D-8F9F-EA3A99CB3921}"/>
    <cellStyle name="Currency 3 2 3 2 7" xfId="2717" xr:uid="{00000000-0005-0000-0000-0000130B0000}"/>
    <cellStyle name="Currency 3 2 3 2 8" xfId="2798" xr:uid="{00000000-0005-0000-0000-0000140B0000}"/>
    <cellStyle name="Currency 3 2 3 2 8 2" xfId="7023" xr:uid="{00000000-0005-0000-0000-0000150B0000}"/>
    <cellStyle name="Currency 3 2 3 2 8 3" xfId="11234" xr:uid="{07E0AA92-D3B8-4294-A50A-BC854FD53A9D}"/>
    <cellStyle name="Currency 3 2 3 2 8 4" xfId="15445" xr:uid="{953D8291-6B71-4D7C-B8C6-DAB6FD537FB8}"/>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2 3" xfId="11409" xr:uid="{0DF4E1A4-5225-487C-A6EA-C5EC13D83798}"/>
    <cellStyle name="Currency 3 2 3 3 2 4" xfId="15620" xr:uid="{0789A916-742A-499B-9929-B247E1D9773F}"/>
    <cellStyle name="Currency 3 2 3 3 3" xfId="5053" xr:uid="{00000000-0005-0000-0000-00001A0B0000}"/>
    <cellStyle name="Currency 3 2 3 3 4" xfId="9264" xr:uid="{A297302A-6FDA-4380-A42A-13DF242CE9FD}"/>
    <cellStyle name="Currency 3 2 3 3 5" xfId="13475" xr:uid="{1F352930-2051-4B31-9922-75DF9CCD4FC6}"/>
    <cellStyle name="Currency 3 2 3 4" xfId="1156" xr:uid="{00000000-0005-0000-0000-00001B0B0000}"/>
    <cellStyle name="Currency 3 2 3 4 2" xfId="3387" xr:uid="{00000000-0005-0000-0000-00001C0B0000}"/>
    <cellStyle name="Currency 3 2 3 4 2 2" xfId="7611" xr:uid="{00000000-0005-0000-0000-00001D0B0000}"/>
    <cellStyle name="Currency 3 2 3 4 2 3" xfId="11822" xr:uid="{0F808265-0243-43FC-AE52-F1B153116BB4}"/>
    <cellStyle name="Currency 3 2 3 4 2 4" xfId="16033" xr:uid="{C4166CA9-3567-42FB-905A-BD860516A23C}"/>
    <cellStyle name="Currency 3 2 3 4 3" xfId="5466" xr:uid="{00000000-0005-0000-0000-00001E0B0000}"/>
    <cellStyle name="Currency 3 2 3 4 4" xfId="9677" xr:uid="{43E599DB-33BB-4EBD-946F-FB117CDB3DA2}"/>
    <cellStyle name="Currency 3 2 3 4 5" xfId="13888" xr:uid="{D63B744E-1024-4EEF-82BF-856F69EEB3ED}"/>
    <cellStyle name="Currency 3 2 3 5" xfId="1570" xr:uid="{00000000-0005-0000-0000-00001F0B0000}"/>
    <cellStyle name="Currency 3 2 3 5 2" xfId="3800" xr:uid="{00000000-0005-0000-0000-0000200B0000}"/>
    <cellStyle name="Currency 3 2 3 5 2 2" xfId="8024" xr:uid="{00000000-0005-0000-0000-0000210B0000}"/>
    <cellStyle name="Currency 3 2 3 5 2 3" xfId="12235" xr:uid="{6C086155-8F68-48DC-9762-DACC634628A7}"/>
    <cellStyle name="Currency 3 2 3 5 2 4" xfId="16446" xr:uid="{6C79FB4D-2C2E-411F-BA37-D1F82849168E}"/>
    <cellStyle name="Currency 3 2 3 5 3" xfId="5879" xr:uid="{00000000-0005-0000-0000-0000220B0000}"/>
    <cellStyle name="Currency 3 2 3 5 4" xfId="10090" xr:uid="{ED9245E6-CAAE-4441-8AE7-F6676594CA60}"/>
    <cellStyle name="Currency 3 2 3 5 5" xfId="14301" xr:uid="{C43CD5CA-456C-4B2E-935E-6B78E1F3D94F}"/>
    <cellStyle name="Currency 3 2 3 6" xfId="1984" xr:uid="{00000000-0005-0000-0000-0000230B0000}"/>
    <cellStyle name="Currency 3 2 3 6 2" xfId="4213" xr:uid="{00000000-0005-0000-0000-0000240B0000}"/>
    <cellStyle name="Currency 3 2 3 6 2 2" xfId="8437" xr:uid="{00000000-0005-0000-0000-0000250B0000}"/>
    <cellStyle name="Currency 3 2 3 6 2 3" xfId="12648" xr:uid="{2DEE9E7E-4349-44A7-BED9-709276D3E05D}"/>
    <cellStyle name="Currency 3 2 3 6 2 4" xfId="16859" xr:uid="{CAEE5F4A-828B-4F42-8617-379272E76ADD}"/>
    <cellStyle name="Currency 3 2 3 6 3" xfId="6292" xr:uid="{00000000-0005-0000-0000-0000260B0000}"/>
    <cellStyle name="Currency 3 2 3 6 4" xfId="10503" xr:uid="{90946FB9-9702-4F99-8EDC-D11F515BD887}"/>
    <cellStyle name="Currency 3 2 3 6 5" xfId="14714" xr:uid="{165811EB-6E0D-463A-9A3E-7495E71E04E9}"/>
    <cellStyle name="Currency 3 2 3 7" xfId="2419" xr:uid="{00000000-0005-0000-0000-0000270B0000}"/>
    <cellStyle name="Currency 3 2 3 7 2" xfId="6705" xr:uid="{00000000-0005-0000-0000-0000280B0000}"/>
    <cellStyle name="Currency 3 2 3 7 3" xfId="10916" xr:uid="{D1405307-898D-46D9-AF99-79A8AC14F128}"/>
    <cellStyle name="Currency 3 2 3 7 4" xfId="15127" xr:uid="{73F6F111-AE88-447D-A8AD-DEA94798901D}"/>
    <cellStyle name="Currency 3 2 3 8" xfId="2716" xr:uid="{00000000-0005-0000-0000-0000290B0000}"/>
    <cellStyle name="Currency 3 2 3 9" xfId="2797" xr:uid="{00000000-0005-0000-0000-00002A0B0000}"/>
    <cellStyle name="Currency 3 2 3 9 2" xfId="7022" xr:uid="{00000000-0005-0000-0000-00002B0B0000}"/>
    <cellStyle name="Currency 3 2 3 9 3" xfId="11233" xr:uid="{33ED9E96-0092-4BBB-92E1-B6E429B3E778}"/>
    <cellStyle name="Currency 3 2 3 9 4" xfId="15444" xr:uid="{2343CC67-A66C-4D23-B4DB-627CBF6538A2}"/>
    <cellStyle name="Currency 3 2 4" xfId="184" xr:uid="{00000000-0005-0000-0000-00002C0B0000}"/>
    <cellStyle name="Currency 3 2 4 10" xfId="8852" xr:uid="{239CEF40-6779-40A0-A01B-D5254671C743}"/>
    <cellStyle name="Currency 3 2 4 11" xfId="13063" xr:uid="{35CA3FEF-6D84-4B3C-AB5A-499ABD0178B9}"/>
    <cellStyle name="Currency 3 2 4 2" xfId="715" xr:uid="{00000000-0005-0000-0000-00002D0B0000}"/>
    <cellStyle name="Currency 3 2 4 2 2" xfId="2976" xr:uid="{00000000-0005-0000-0000-00002E0B0000}"/>
    <cellStyle name="Currency 3 2 4 2 2 2" xfId="7200" xr:uid="{00000000-0005-0000-0000-00002F0B0000}"/>
    <cellStyle name="Currency 3 2 4 2 2 3" xfId="11411" xr:uid="{147C7AAA-9B6F-4AA5-A847-248932A17898}"/>
    <cellStyle name="Currency 3 2 4 2 2 4" xfId="15622" xr:uid="{1F77FD7A-40AC-466E-B367-123E7A6126BC}"/>
    <cellStyle name="Currency 3 2 4 2 3" xfId="5055" xr:uid="{00000000-0005-0000-0000-0000300B0000}"/>
    <cellStyle name="Currency 3 2 4 2 4" xfId="9266" xr:uid="{019DF007-DC20-4816-A1F6-69ECED52AA6D}"/>
    <cellStyle name="Currency 3 2 4 2 5" xfId="13477" xr:uid="{6D6B1D3C-F3DF-40E1-9AFA-24B7492CA24B}"/>
    <cellStyle name="Currency 3 2 4 3" xfId="1158" xr:uid="{00000000-0005-0000-0000-0000310B0000}"/>
    <cellStyle name="Currency 3 2 4 3 2" xfId="3389" xr:uid="{00000000-0005-0000-0000-0000320B0000}"/>
    <cellStyle name="Currency 3 2 4 3 2 2" xfId="7613" xr:uid="{00000000-0005-0000-0000-0000330B0000}"/>
    <cellStyle name="Currency 3 2 4 3 2 3" xfId="11824" xr:uid="{303AD2DD-2B90-4C9F-9466-36D487EF9A4D}"/>
    <cellStyle name="Currency 3 2 4 3 2 4" xfId="16035" xr:uid="{C63630C5-0C45-45FE-835C-079A61E4C9BA}"/>
    <cellStyle name="Currency 3 2 4 3 3" xfId="5468" xr:uid="{00000000-0005-0000-0000-0000340B0000}"/>
    <cellStyle name="Currency 3 2 4 3 4" xfId="9679" xr:uid="{A7559AF4-48CA-48E8-9F3B-2AC30AD29AD3}"/>
    <cellStyle name="Currency 3 2 4 3 5" xfId="13890" xr:uid="{D1498DE6-AE3D-4021-A88B-7D62792344C3}"/>
    <cellStyle name="Currency 3 2 4 4" xfId="1572" xr:uid="{00000000-0005-0000-0000-0000350B0000}"/>
    <cellStyle name="Currency 3 2 4 4 2" xfId="3802" xr:uid="{00000000-0005-0000-0000-0000360B0000}"/>
    <cellStyle name="Currency 3 2 4 4 2 2" xfId="8026" xr:uid="{00000000-0005-0000-0000-0000370B0000}"/>
    <cellStyle name="Currency 3 2 4 4 2 3" xfId="12237" xr:uid="{AAFF9D10-FD5A-4217-AFC1-BE119E7DEE32}"/>
    <cellStyle name="Currency 3 2 4 4 2 4" xfId="16448" xr:uid="{6628C846-65DF-44F0-BCDA-64B259957416}"/>
    <cellStyle name="Currency 3 2 4 4 3" xfId="5881" xr:uid="{00000000-0005-0000-0000-0000380B0000}"/>
    <cellStyle name="Currency 3 2 4 4 4" xfId="10092" xr:uid="{FC741B0D-371A-46D3-86C1-0AA943223DE6}"/>
    <cellStyle name="Currency 3 2 4 4 5" xfId="14303" xr:uid="{E2D15ABD-6890-4FED-BC79-68D7FA3D17C3}"/>
    <cellStyle name="Currency 3 2 4 5" xfId="1986" xr:uid="{00000000-0005-0000-0000-0000390B0000}"/>
    <cellStyle name="Currency 3 2 4 5 2" xfId="4215" xr:uid="{00000000-0005-0000-0000-00003A0B0000}"/>
    <cellStyle name="Currency 3 2 4 5 2 2" xfId="8439" xr:uid="{00000000-0005-0000-0000-00003B0B0000}"/>
    <cellStyle name="Currency 3 2 4 5 2 3" xfId="12650" xr:uid="{2F7C5014-7683-42E1-91D5-11061901D484}"/>
    <cellStyle name="Currency 3 2 4 5 2 4" xfId="16861" xr:uid="{A0CA50C9-0C74-4717-A72D-41AA858995E9}"/>
    <cellStyle name="Currency 3 2 4 5 3" xfId="6294" xr:uid="{00000000-0005-0000-0000-00003C0B0000}"/>
    <cellStyle name="Currency 3 2 4 5 4" xfId="10505" xr:uid="{EAB6E55C-90C5-4952-A673-D1F4D8FAFF66}"/>
    <cellStyle name="Currency 3 2 4 5 5" xfId="14716" xr:uid="{3EE15EC5-F4AA-46B8-9563-F65848F2AEAF}"/>
    <cellStyle name="Currency 3 2 4 6" xfId="2421" xr:uid="{00000000-0005-0000-0000-00003D0B0000}"/>
    <cellStyle name="Currency 3 2 4 6 2" xfId="6707" xr:uid="{00000000-0005-0000-0000-00003E0B0000}"/>
    <cellStyle name="Currency 3 2 4 6 3" xfId="10918" xr:uid="{7F2FA86E-F95C-4727-BA02-EB380203678B}"/>
    <cellStyle name="Currency 3 2 4 6 4" xfId="15129" xr:uid="{F7150183-3591-4FE5-BC7E-251A4A503E64}"/>
    <cellStyle name="Currency 3 2 4 7" xfId="2718" xr:uid="{00000000-0005-0000-0000-00003F0B0000}"/>
    <cellStyle name="Currency 3 2 4 8" xfId="2799" xr:uid="{00000000-0005-0000-0000-0000400B0000}"/>
    <cellStyle name="Currency 3 2 4 8 2" xfId="7024" xr:uid="{00000000-0005-0000-0000-0000410B0000}"/>
    <cellStyle name="Currency 3 2 4 8 3" xfId="11235" xr:uid="{207865ED-C726-4DF8-A98B-2A6C2EE0A8F3}"/>
    <cellStyle name="Currency 3 2 4 8 4" xfId="15446" xr:uid="{710E2180-6DB0-4DF6-9F8D-5163A93B1CBB}"/>
    <cellStyle name="Currency 3 2 4 9" xfId="4641" xr:uid="{00000000-0005-0000-0000-0000420B0000}"/>
    <cellStyle name="Currency 3 2 5" xfId="185" xr:uid="{00000000-0005-0000-0000-0000430B0000}"/>
    <cellStyle name="Currency 3 2 5 10" xfId="8853" xr:uid="{DC964647-DCAE-4932-BF02-CB1020B14151}"/>
    <cellStyle name="Currency 3 2 5 11" xfId="13064" xr:uid="{E31CEB0B-B892-4FAD-B094-00F37E8E65BB}"/>
    <cellStyle name="Currency 3 2 5 2" xfId="716" xr:uid="{00000000-0005-0000-0000-0000440B0000}"/>
    <cellStyle name="Currency 3 2 5 2 2" xfId="2977" xr:uid="{00000000-0005-0000-0000-0000450B0000}"/>
    <cellStyle name="Currency 3 2 5 2 2 2" xfId="7201" xr:uid="{00000000-0005-0000-0000-0000460B0000}"/>
    <cellStyle name="Currency 3 2 5 2 2 3" xfId="11412" xr:uid="{4CAE1518-F95C-4839-B636-C7E8878B5133}"/>
    <cellStyle name="Currency 3 2 5 2 2 4" xfId="15623" xr:uid="{D7C39226-18F4-4F8B-9357-666C15478165}"/>
    <cellStyle name="Currency 3 2 5 2 3" xfId="5056" xr:uid="{00000000-0005-0000-0000-0000470B0000}"/>
    <cellStyle name="Currency 3 2 5 2 4" xfId="9267" xr:uid="{2C19E735-F684-4F11-9569-E0030F423089}"/>
    <cellStyle name="Currency 3 2 5 2 5" xfId="13478" xr:uid="{646567DE-4243-4403-ACD4-7DCB04B03249}"/>
    <cellStyle name="Currency 3 2 5 3" xfId="1159" xr:uid="{00000000-0005-0000-0000-0000480B0000}"/>
    <cellStyle name="Currency 3 2 5 3 2" xfId="3390" xr:uid="{00000000-0005-0000-0000-0000490B0000}"/>
    <cellStyle name="Currency 3 2 5 3 2 2" xfId="7614" xr:uid="{00000000-0005-0000-0000-00004A0B0000}"/>
    <cellStyle name="Currency 3 2 5 3 2 3" xfId="11825" xr:uid="{C37245D7-805D-4967-A735-569D09CC1E26}"/>
    <cellStyle name="Currency 3 2 5 3 2 4" xfId="16036" xr:uid="{33BC0E19-3004-4985-AD0F-FED31C873978}"/>
    <cellStyle name="Currency 3 2 5 3 3" xfId="5469" xr:uid="{00000000-0005-0000-0000-00004B0B0000}"/>
    <cellStyle name="Currency 3 2 5 3 4" xfId="9680" xr:uid="{206C4FB0-8DE9-4829-A41D-56EB3A689EEB}"/>
    <cellStyle name="Currency 3 2 5 3 5" xfId="13891" xr:uid="{4B4420FE-BF4E-4FDE-B9B0-23FEAF49CCAC}"/>
    <cellStyle name="Currency 3 2 5 4" xfId="1573" xr:uid="{00000000-0005-0000-0000-00004C0B0000}"/>
    <cellStyle name="Currency 3 2 5 4 2" xfId="3803" xr:uid="{00000000-0005-0000-0000-00004D0B0000}"/>
    <cellStyle name="Currency 3 2 5 4 2 2" xfId="8027" xr:uid="{00000000-0005-0000-0000-00004E0B0000}"/>
    <cellStyle name="Currency 3 2 5 4 2 3" xfId="12238" xr:uid="{ECC50B3B-DA10-4FD5-9572-E0243B12B10B}"/>
    <cellStyle name="Currency 3 2 5 4 2 4" xfId="16449" xr:uid="{6ABB850C-A253-4780-B8BC-72B21A170DEF}"/>
    <cellStyle name="Currency 3 2 5 4 3" xfId="5882" xr:uid="{00000000-0005-0000-0000-00004F0B0000}"/>
    <cellStyle name="Currency 3 2 5 4 4" xfId="10093" xr:uid="{51969B41-6768-4CE4-995C-F7D8D1668969}"/>
    <cellStyle name="Currency 3 2 5 4 5" xfId="14304" xr:uid="{3E479435-8D1D-43F4-A06C-BBC70A381F8A}"/>
    <cellStyle name="Currency 3 2 5 5" xfId="1987" xr:uid="{00000000-0005-0000-0000-0000500B0000}"/>
    <cellStyle name="Currency 3 2 5 5 2" xfId="4216" xr:uid="{00000000-0005-0000-0000-0000510B0000}"/>
    <cellStyle name="Currency 3 2 5 5 2 2" xfId="8440" xr:uid="{00000000-0005-0000-0000-0000520B0000}"/>
    <cellStyle name="Currency 3 2 5 5 2 3" xfId="12651" xr:uid="{02485773-3E5F-464F-98A7-171E5E262CCD}"/>
    <cellStyle name="Currency 3 2 5 5 2 4" xfId="16862" xr:uid="{2F2B9A7A-E198-47AC-9AE0-F305869E42E5}"/>
    <cellStyle name="Currency 3 2 5 5 3" xfId="6295" xr:uid="{00000000-0005-0000-0000-0000530B0000}"/>
    <cellStyle name="Currency 3 2 5 5 4" xfId="10506" xr:uid="{3EAB0C7D-EFBE-434B-A993-6E224C9699D2}"/>
    <cellStyle name="Currency 3 2 5 5 5" xfId="14717" xr:uid="{98665B0E-B06F-4EF9-A8C2-53DE8F7BEAE0}"/>
    <cellStyle name="Currency 3 2 5 6" xfId="2422" xr:uid="{00000000-0005-0000-0000-0000540B0000}"/>
    <cellStyle name="Currency 3 2 5 6 2" xfId="6708" xr:uid="{00000000-0005-0000-0000-0000550B0000}"/>
    <cellStyle name="Currency 3 2 5 6 3" xfId="10919" xr:uid="{3733D259-8D1F-43C3-AD52-89E8ABA8CA55}"/>
    <cellStyle name="Currency 3 2 5 6 4" xfId="15130" xr:uid="{A0A14FA8-CAEC-486B-A44F-275C3C702055}"/>
    <cellStyle name="Currency 3 2 5 7" xfId="2719" xr:uid="{00000000-0005-0000-0000-0000560B0000}"/>
    <cellStyle name="Currency 3 2 5 8" xfId="2800" xr:uid="{00000000-0005-0000-0000-0000570B0000}"/>
    <cellStyle name="Currency 3 2 5 8 2" xfId="7025" xr:uid="{00000000-0005-0000-0000-0000580B0000}"/>
    <cellStyle name="Currency 3 2 5 8 3" xfId="11236" xr:uid="{F1BEF95C-3ECE-4FB4-BDB3-EE02F8F8225F}"/>
    <cellStyle name="Currency 3 2 5 8 4" xfId="15447" xr:uid="{E72DD2D1-2F5A-4FAF-8790-F22F7EFEF3BC}"/>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0 3" xfId="11237" xr:uid="{E35F03C4-8D49-4BF1-BD13-5FB405660FA9}"/>
    <cellStyle name="Currency 5 2 2 2 10 4" xfId="15448" xr:uid="{046EEEF0-749F-4BAE-9A3D-11E09DD46969}"/>
    <cellStyle name="Currency 5 2 2 2 11" xfId="4643" xr:uid="{00000000-0005-0000-0000-00006C0B0000}"/>
    <cellStyle name="Currency 5 2 2 2 12" xfId="8854" xr:uid="{E09E451B-9430-4B6C-92C7-9DE377309863}"/>
    <cellStyle name="Currency 5 2 2 2 13" xfId="13065" xr:uid="{7292195E-364A-4918-9FEF-E7B5F67B09A7}"/>
    <cellStyle name="Currency 5 2 2 2 2" xfId="197" xr:uid="{00000000-0005-0000-0000-00006D0B0000}"/>
    <cellStyle name="Currency 5 2 2 2 2 10" xfId="4644" xr:uid="{00000000-0005-0000-0000-00006E0B0000}"/>
    <cellStyle name="Currency 5 2 2 2 2 11" xfId="8855" xr:uid="{05B38EA3-921B-4F78-AAD1-8E05B8DB670B}"/>
    <cellStyle name="Currency 5 2 2 2 2 12" xfId="13066" xr:uid="{290D548F-024A-4895-BFBA-6887907BC51B}"/>
    <cellStyle name="Currency 5 2 2 2 2 2" xfId="198" xr:uid="{00000000-0005-0000-0000-00006F0B0000}"/>
    <cellStyle name="Currency 5 2 2 2 2 2 10" xfId="8856" xr:uid="{E868C427-B2B5-45A6-95B9-BDED444B9441}"/>
    <cellStyle name="Currency 5 2 2 2 2 2 11" xfId="13067" xr:uid="{8CDE9E74-733E-40CF-A6AF-2F795CF62FA4}"/>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2 3" xfId="11415" xr:uid="{51B8927C-30FC-41CF-AD07-7636405062C3}"/>
    <cellStyle name="Currency 5 2 2 2 2 2 2 2 4" xfId="15626" xr:uid="{89E13308-741C-4CA0-8199-21ED3ABE4CB4}"/>
    <cellStyle name="Currency 5 2 2 2 2 2 2 3" xfId="5059" xr:uid="{00000000-0005-0000-0000-0000730B0000}"/>
    <cellStyle name="Currency 5 2 2 2 2 2 2 4" xfId="9270" xr:uid="{FDC52203-3C74-4D5B-AD95-323790E053E7}"/>
    <cellStyle name="Currency 5 2 2 2 2 2 2 5" xfId="13481" xr:uid="{E330A1DF-3897-4938-A676-C004925DC623}"/>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2 3" xfId="11828" xr:uid="{BB0937B1-CD24-425B-A310-8961C935ED15}"/>
    <cellStyle name="Currency 5 2 2 2 2 2 3 2 4" xfId="16039" xr:uid="{9A5D3B74-6CB6-4A6A-8200-C23139C18377}"/>
    <cellStyle name="Currency 5 2 2 2 2 2 3 3" xfId="5472" xr:uid="{00000000-0005-0000-0000-0000770B0000}"/>
    <cellStyle name="Currency 5 2 2 2 2 2 3 4" xfId="9683" xr:uid="{522A6FC4-0686-4DA2-81E4-71BB22A7DA3B}"/>
    <cellStyle name="Currency 5 2 2 2 2 2 3 5" xfId="13894" xr:uid="{276F8517-A6F0-4D1C-9B0F-1049B54B3BFC}"/>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2 3" xfId="12241" xr:uid="{267B8519-96E2-4F93-BBFE-23F2BC8BB953}"/>
    <cellStyle name="Currency 5 2 2 2 2 2 4 2 4" xfId="16452" xr:uid="{B1978AF6-4BE2-42A8-9804-9AB0881E22BA}"/>
    <cellStyle name="Currency 5 2 2 2 2 2 4 3" xfId="5885" xr:uid="{00000000-0005-0000-0000-00007B0B0000}"/>
    <cellStyle name="Currency 5 2 2 2 2 2 4 4" xfId="10096" xr:uid="{1F1C0670-80B4-4C9D-BC39-1D8C6F019638}"/>
    <cellStyle name="Currency 5 2 2 2 2 2 4 5" xfId="14307" xr:uid="{F87D6001-5404-473A-B7AC-62CC467C02CF}"/>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2 3" xfId="12654" xr:uid="{ED2D2104-CEE7-491D-9C4C-ED9C7B093E64}"/>
    <cellStyle name="Currency 5 2 2 2 2 2 5 2 4" xfId="16865" xr:uid="{56DB24C8-382C-4272-9D49-412D60F5A748}"/>
    <cellStyle name="Currency 5 2 2 2 2 2 5 3" xfId="6298" xr:uid="{00000000-0005-0000-0000-00007F0B0000}"/>
    <cellStyle name="Currency 5 2 2 2 2 2 5 4" xfId="10509" xr:uid="{0ECE4700-B8D5-4F01-A2CF-0BDECB2CF049}"/>
    <cellStyle name="Currency 5 2 2 2 2 2 5 5" xfId="14720" xr:uid="{A5F39B5C-432B-4FA2-88B0-DF80745D0D5A}"/>
    <cellStyle name="Currency 5 2 2 2 2 2 6" xfId="2425" xr:uid="{00000000-0005-0000-0000-0000800B0000}"/>
    <cellStyle name="Currency 5 2 2 2 2 2 6 2" xfId="6711" xr:uid="{00000000-0005-0000-0000-0000810B0000}"/>
    <cellStyle name="Currency 5 2 2 2 2 2 6 3" xfId="10922" xr:uid="{0928EE43-A64D-469C-9268-3E19982A52CD}"/>
    <cellStyle name="Currency 5 2 2 2 2 2 6 4" xfId="15133" xr:uid="{F9F28883-877C-4D11-BB56-3FDBC24F01A8}"/>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8 3" xfId="11239" xr:uid="{88B97593-211E-48FB-9CE9-8DAE18FA1A51}"/>
    <cellStyle name="Currency 5 2 2 2 2 2 8 4" xfId="15450" xr:uid="{F18F0B17-88A5-4C14-8195-92E8B73118A7}"/>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2 3" xfId="11414" xr:uid="{3F3524CD-DB69-481D-A55E-6653928ACB95}"/>
    <cellStyle name="Currency 5 2 2 2 2 3 2 4" xfId="15625" xr:uid="{4DB14C60-B99F-4E56-AE6E-96D71AEEB147}"/>
    <cellStyle name="Currency 5 2 2 2 2 3 3" xfId="5058" xr:uid="{00000000-0005-0000-0000-0000890B0000}"/>
    <cellStyle name="Currency 5 2 2 2 2 3 4" xfId="9269" xr:uid="{8CB0FFEB-6154-4BC4-BABF-D40F4D7A9FF5}"/>
    <cellStyle name="Currency 5 2 2 2 2 3 5" xfId="13480" xr:uid="{058DCF1F-8C45-469C-A41A-876728D9BE5A}"/>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2 3" xfId="11827" xr:uid="{79F08477-168A-4191-8314-C55E8F405EF4}"/>
    <cellStyle name="Currency 5 2 2 2 2 4 2 4" xfId="16038" xr:uid="{1209C926-17E0-4D32-AE3D-37BA0B97FB25}"/>
    <cellStyle name="Currency 5 2 2 2 2 4 3" xfId="5471" xr:uid="{00000000-0005-0000-0000-00008D0B0000}"/>
    <cellStyle name="Currency 5 2 2 2 2 4 4" xfId="9682" xr:uid="{45BBA57C-ED7A-49E6-8D2A-389A8C6DA76C}"/>
    <cellStyle name="Currency 5 2 2 2 2 4 5" xfId="13893" xr:uid="{A271D5E3-1E1B-432E-8621-69E89D6051F1}"/>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2 3" xfId="12240" xr:uid="{8C0222F0-DB1C-4B54-ABB8-F32109790A32}"/>
    <cellStyle name="Currency 5 2 2 2 2 5 2 4" xfId="16451" xr:uid="{73801306-659C-4497-AF00-7AB8F5800948}"/>
    <cellStyle name="Currency 5 2 2 2 2 5 3" xfId="5884" xr:uid="{00000000-0005-0000-0000-0000910B0000}"/>
    <cellStyle name="Currency 5 2 2 2 2 5 4" xfId="10095" xr:uid="{D7C76765-3557-457A-B4E4-1A55E36B743A}"/>
    <cellStyle name="Currency 5 2 2 2 2 5 5" xfId="14306" xr:uid="{29432EC9-38BE-4E40-B81A-826F21F320F5}"/>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2 3" xfId="12653" xr:uid="{3DCF9E50-131E-4A77-B7CC-B35FDBEC8E86}"/>
    <cellStyle name="Currency 5 2 2 2 2 6 2 4" xfId="16864" xr:uid="{E832DAAC-4101-41E3-8A6D-3CB8F16C7AC3}"/>
    <cellStyle name="Currency 5 2 2 2 2 6 3" xfId="6297" xr:uid="{00000000-0005-0000-0000-0000950B0000}"/>
    <cellStyle name="Currency 5 2 2 2 2 6 4" xfId="10508" xr:uid="{0DD34075-012C-48DF-B948-58E8F534D583}"/>
    <cellStyle name="Currency 5 2 2 2 2 6 5" xfId="14719" xr:uid="{6346727D-7F51-43D7-8BEE-FC76C2C11FFC}"/>
    <cellStyle name="Currency 5 2 2 2 2 7" xfId="2424" xr:uid="{00000000-0005-0000-0000-0000960B0000}"/>
    <cellStyle name="Currency 5 2 2 2 2 7 2" xfId="6710" xr:uid="{00000000-0005-0000-0000-0000970B0000}"/>
    <cellStyle name="Currency 5 2 2 2 2 7 3" xfId="10921" xr:uid="{DA48B047-3F37-4110-B7E0-9A954EA13AD3}"/>
    <cellStyle name="Currency 5 2 2 2 2 7 4" xfId="15132" xr:uid="{58A7EEE3-C5EE-4B86-BFD2-C794336F7E21}"/>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2 9 3" xfId="11238" xr:uid="{2E54E219-E1A4-4E3F-BB73-30887BD7CC58}"/>
    <cellStyle name="Currency 5 2 2 2 2 9 4" xfId="15449" xr:uid="{DCC38938-E652-4243-BCE7-3EA7457C3335}"/>
    <cellStyle name="Currency 5 2 2 2 3" xfId="199" xr:uid="{00000000-0005-0000-0000-00009B0B0000}"/>
    <cellStyle name="Currency 5 2 2 2 3 10" xfId="8857" xr:uid="{9C1E3DB2-3707-44C5-A07A-0FE1B23CB9F3}"/>
    <cellStyle name="Currency 5 2 2 2 3 11" xfId="13068" xr:uid="{73104D59-D760-404E-9E70-2A300022C826}"/>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2 3" xfId="11416" xr:uid="{52F112C8-2984-4B5F-8DCC-5337FC366C17}"/>
    <cellStyle name="Currency 5 2 2 2 3 2 2 4" xfId="15627" xr:uid="{9A6D9907-D698-494B-8E9B-E8C80849EF6E}"/>
    <cellStyle name="Currency 5 2 2 2 3 2 3" xfId="5060" xr:uid="{00000000-0005-0000-0000-00009F0B0000}"/>
    <cellStyle name="Currency 5 2 2 2 3 2 4" xfId="9271" xr:uid="{6B50B189-5AF5-4329-9442-586E9478F51F}"/>
    <cellStyle name="Currency 5 2 2 2 3 2 5" xfId="13482" xr:uid="{D4BB8DD3-ED00-4FE7-94FD-B3E0EC407B8A}"/>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2 3" xfId="11829" xr:uid="{91CC8791-6937-4205-AFC9-AC94802ABC45}"/>
    <cellStyle name="Currency 5 2 2 2 3 3 2 4" xfId="16040" xr:uid="{9A6F1994-A7AD-4ECB-B442-9ED14AA04028}"/>
    <cellStyle name="Currency 5 2 2 2 3 3 3" xfId="5473" xr:uid="{00000000-0005-0000-0000-0000A30B0000}"/>
    <cellStyle name="Currency 5 2 2 2 3 3 4" xfId="9684" xr:uid="{1EA0C187-924C-43DC-88C2-E217FF3F3E1B}"/>
    <cellStyle name="Currency 5 2 2 2 3 3 5" xfId="13895" xr:uid="{CC485324-B3B8-405F-AA4F-DD5E0BDFA52F}"/>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2 3" xfId="12242" xr:uid="{61326297-2C14-4A9D-941C-100E619BF1C0}"/>
    <cellStyle name="Currency 5 2 2 2 3 4 2 4" xfId="16453" xr:uid="{84ADF6A8-886B-4102-A258-82168FD5215D}"/>
    <cellStyle name="Currency 5 2 2 2 3 4 3" xfId="5886" xr:uid="{00000000-0005-0000-0000-0000A70B0000}"/>
    <cellStyle name="Currency 5 2 2 2 3 4 4" xfId="10097" xr:uid="{5B362FAB-0303-4589-BD89-4DF9421C8E30}"/>
    <cellStyle name="Currency 5 2 2 2 3 4 5" xfId="14308" xr:uid="{BAF58C23-6DA6-4339-A6BF-4190D980ACB2}"/>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2 3" xfId="12655" xr:uid="{F266AB7F-50FB-414D-9DA0-B7E6E1682AF7}"/>
    <cellStyle name="Currency 5 2 2 2 3 5 2 4" xfId="16866" xr:uid="{9549FE24-2A44-4D53-9AEB-87633C14DBB3}"/>
    <cellStyle name="Currency 5 2 2 2 3 5 3" xfId="6299" xr:uid="{00000000-0005-0000-0000-0000AB0B0000}"/>
    <cellStyle name="Currency 5 2 2 2 3 5 4" xfId="10510" xr:uid="{71B8E8F6-545B-46AA-992D-774B4081A965}"/>
    <cellStyle name="Currency 5 2 2 2 3 5 5" xfId="14721" xr:uid="{5E5C039D-4BE4-4CAE-B66F-B21575A1247A}"/>
    <cellStyle name="Currency 5 2 2 2 3 6" xfId="2426" xr:uid="{00000000-0005-0000-0000-0000AC0B0000}"/>
    <cellStyle name="Currency 5 2 2 2 3 6 2" xfId="6712" xr:uid="{00000000-0005-0000-0000-0000AD0B0000}"/>
    <cellStyle name="Currency 5 2 2 2 3 6 3" xfId="10923" xr:uid="{862DE92F-4C78-46A3-A645-86059297882C}"/>
    <cellStyle name="Currency 5 2 2 2 3 6 4" xfId="15134" xr:uid="{49396E80-1D23-4F59-A968-406EB8EB65C4}"/>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8 3" xfId="11240" xr:uid="{AD1B5C83-6B4A-455D-92DE-1464A675BDD0}"/>
    <cellStyle name="Currency 5 2 2 2 3 8 4" xfId="15451" xr:uid="{05B915EF-3439-4FB5-8982-1BA534CF4469}"/>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2 3" xfId="11413" xr:uid="{CD2C7477-8755-42E0-94FD-98498F592788}"/>
    <cellStyle name="Currency 5 2 2 2 4 2 4" xfId="15624" xr:uid="{9099AD2C-B544-4A14-B273-C197930575CA}"/>
    <cellStyle name="Currency 5 2 2 2 4 3" xfId="5057" xr:uid="{00000000-0005-0000-0000-0000B50B0000}"/>
    <cellStyle name="Currency 5 2 2 2 4 4" xfId="9268" xr:uid="{F5DC7FA1-6501-4A19-8269-7C85DB2E53A6}"/>
    <cellStyle name="Currency 5 2 2 2 4 5" xfId="13479" xr:uid="{5C99BB4B-7903-429E-8270-DD19F543E3D5}"/>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2 3" xfId="11826" xr:uid="{C090300C-9947-4008-8CDE-A2C5D378A212}"/>
    <cellStyle name="Currency 5 2 2 2 5 2 4" xfId="16037" xr:uid="{4C9CD7D3-9A68-4EEF-81B2-27F4C675D103}"/>
    <cellStyle name="Currency 5 2 2 2 5 3" xfId="5470" xr:uid="{00000000-0005-0000-0000-0000B90B0000}"/>
    <cellStyle name="Currency 5 2 2 2 5 4" xfId="9681" xr:uid="{F9DE1ED9-CD59-4861-9A5B-B6DD9A885202}"/>
    <cellStyle name="Currency 5 2 2 2 5 5" xfId="13892" xr:uid="{E4E8F4C5-156C-4EE1-91C2-ED516ABBC45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2 3" xfId="12239" xr:uid="{08223C4C-F0FB-4324-AD40-F751C8502D9A}"/>
    <cellStyle name="Currency 5 2 2 2 6 2 4" xfId="16450" xr:uid="{05E0C85F-137F-4024-B97F-ABE0E8CE7B7A}"/>
    <cellStyle name="Currency 5 2 2 2 6 3" xfId="5883" xr:uid="{00000000-0005-0000-0000-0000BD0B0000}"/>
    <cellStyle name="Currency 5 2 2 2 6 4" xfId="10094" xr:uid="{60DB39AC-CC12-4B98-BA9B-AAFE800C6806}"/>
    <cellStyle name="Currency 5 2 2 2 6 5" xfId="14305" xr:uid="{7ED13DD3-BF82-4F62-A911-897B44C1307D}"/>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2 3" xfId="12652" xr:uid="{AF59812B-33E2-4343-B58D-08EC445099B9}"/>
    <cellStyle name="Currency 5 2 2 2 7 2 4" xfId="16863" xr:uid="{35E1B98C-3944-4181-8F6F-1399D9B37ED6}"/>
    <cellStyle name="Currency 5 2 2 2 7 3" xfId="6296" xr:uid="{00000000-0005-0000-0000-0000C10B0000}"/>
    <cellStyle name="Currency 5 2 2 2 7 4" xfId="10507" xr:uid="{EF92D508-A1F0-49DB-9A23-B5B1FB1578B7}"/>
    <cellStyle name="Currency 5 2 2 2 7 5" xfId="14718" xr:uid="{F0E8FCC6-4B64-4A85-9C72-5B5DF2782D45}"/>
    <cellStyle name="Currency 5 2 2 2 8" xfId="2423" xr:uid="{00000000-0005-0000-0000-0000C20B0000}"/>
    <cellStyle name="Currency 5 2 2 2 8 2" xfId="6709" xr:uid="{00000000-0005-0000-0000-0000C30B0000}"/>
    <cellStyle name="Currency 5 2 2 2 8 3" xfId="10920" xr:uid="{A1ADB0BF-46C4-45E6-A40D-DB4D097251FF}"/>
    <cellStyle name="Currency 5 2 2 2 8 4" xfId="15131" xr:uid="{AB19B9F1-56A5-42CF-929B-4D010651AED5}"/>
    <cellStyle name="Currency 5 2 2 2 9" xfId="2720" xr:uid="{00000000-0005-0000-0000-0000C40B0000}"/>
    <cellStyle name="Currency 5 2 2 3" xfId="200" xr:uid="{00000000-0005-0000-0000-0000C50B0000}"/>
    <cellStyle name="Currency 5 2 2 3 10" xfId="4647" xr:uid="{00000000-0005-0000-0000-0000C60B0000}"/>
    <cellStyle name="Currency 5 2 2 3 11" xfId="8858" xr:uid="{1F035A95-5F4F-447F-8C7A-95CD3B20272D}"/>
    <cellStyle name="Currency 5 2 2 3 12" xfId="13069" xr:uid="{1B868587-F5AC-48DD-B7FD-EC4933946CF3}"/>
    <cellStyle name="Currency 5 2 2 3 2" xfId="201" xr:uid="{00000000-0005-0000-0000-0000C70B0000}"/>
    <cellStyle name="Currency 5 2 2 3 2 10" xfId="8859" xr:uid="{B63B78A3-6267-4A42-99B7-2249C09508E6}"/>
    <cellStyle name="Currency 5 2 2 3 2 11" xfId="13070" xr:uid="{0C61219C-69E8-4B58-9976-91A0F17E3B18}"/>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2 3" xfId="11418" xr:uid="{09A45B6F-69C5-4FF1-BC57-A50E9A2190EF}"/>
    <cellStyle name="Currency 5 2 2 3 2 2 2 4" xfId="15629" xr:uid="{34089A26-C110-41CE-8F55-1E1D8529BAD6}"/>
    <cellStyle name="Currency 5 2 2 3 2 2 3" xfId="5062" xr:uid="{00000000-0005-0000-0000-0000CB0B0000}"/>
    <cellStyle name="Currency 5 2 2 3 2 2 4" xfId="9273" xr:uid="{9D7E14E0-F98C-44E4-98D2-4E5C89B655E7}"/>
    <cellStyle name="Currency 5 2 2 3 2 2 5" xfId="13484" xr:uid="{7ED251A3-751E-4A41-8A66-3E1D82D87174}"/>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2 3" xfId="11831" xr:uid="{D308AD2B-4AA1-4AFE-BD48-85B55414B817}"/>
    <cellStyle name="Currency 5 2 2 3 2 3 2 4" xfId="16042" xr:uid="{6105A358-85F4-4EE9-A37A-60588200AE5A}"/>
    <cellStyle name="Currency 5 2 2 3 2 3 3" xfId="5475" xr:uid="{00000000-0005-0000-0000-0000CF0B0000}"/>
    <cellStyle name="Currency 5 2 2 3 2 3 4" xfId="9686" xr:uid="{0C65AF47-AD2E-4F8A-BADA-73A6C4C629DC}"/>
    <cellStyle name="Currency 5 2 2 3 2 3 5" xfId="13897" xr:uid="{41E1FB0B-4DA0-474D-951F-B0377D83F833}"/>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2 3" xfId="12244" xr:uid="{2B14C0C7-BD5A-4F21-98B7-18850C8DC1BB}"/>
    <cellStyle name="Currency 5 2 2 3 2 4 2 4" xfId="16455" xr:uid="{5F5BD3AB-E199-42CE-97A2-F25BA0977FDE}"/>
    <cellStyle name="Currency 5 2 2 3 2 4 3" xfId="5888" xr:uid="{00000000-0005-0000-0000-0000D30B0000}"/>
    <cellStyle name="Currency 5 2 2 3 2 4 4" xfId="10099" xr:uid="{5372ADB5-59CB-4343-A508-81764135CB9A}"/>
    <cellStyle name="Currency 5 2 2 3 2 4 5" xfId="14310" xr:uid="{15DDC9C5-055C-467D-A6F0-EE501A26DC18}"/>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2 3" xfId="12657" xr:uid="{0F93B3DE-8E5A-4712-8BD1-42E5D5196823}"/>
    <cellStyle name="Currency 5 2 2 3 2 5 2 4" xfId="16868" xr:uid="{B325654C-1058-43D4-AC8B-4733441D5CAD}"/>
    <cellStyle name="Currency 5 2 2 3 2 5 3" xfId="6301" xr:uid="{00000000-0005-0000-0000-0000D70B0000}"/>
    <cellStyle name="Currency 5 2 2 3 2 5 4" xfId="10512" xr:uid="{A57D8241-2B6E-4E5D-AF6E-3C4761CEC2A0}"/>
    <cellStyle name="Currency 5 2 2 3 2 5 5" xfId="14723" xr:uid="{963C853A-2F1F-4804-A9B5-D6D501C5ABEF}"/>
    <cellStyle name="Currency 5 2 2 3 2 6" xfId="2428" xr:uid="{00000000-0005-0000-0000-0000D80B0000}"/>
    <cellStyle name="Currency 5 2 2 3 2 6 2" xfId="6714" xr:uid="{00000000-0005-0000-0000-0000D90B0000}"/>
    <cellStyle name="Currency 5 2 2 3 2 6 3" xfId="10925" xr:uid="{D840415D-C93E-4A71-8C0C-9067A97498D0}"/>
    <cellStyle name="Currency 5 2 2 3 2 6 4" xfId="15136" xr:uid="{DEC6935B-E397-4783-8978-196B629C2AA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8 3" xfId="11242" xr:uid="{F525DC5E-E0D6-4A5A-9C7A-61129ED010EF}"/>
    <cellStyle name="Currency 5 2 2 3 2 8 4" xfId="15453" xr:uid="{670D9CD5-08D8-4CF8-B21D-5D4286FE9D7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2 3" xfId="11417" xr:uid="{367F2F70-5507-4EE2-B297-FFC53916CB22}"/>
    <cellStyle name="Currency 5 2 2 3 3 2 4" xfId="15628" xr:uid="{F108412C-FBE6-4CF7-B17B-297F3DA2701C}"/>
    <cellStyle name="Currency 5 2 2 3 3 3" xfId="5061" xr:uid="{00000000-0005-0000-0000-0000E10B0000}"/>
    <cellStyle name="Currency 5 2 2 3 3 4" xfId="9272" xr:uid="{DE6580CF-2E4B-4550-A7CF-4E9B3BD7E5A4}"/>
    <cellStyle name="Currency 5 2 2 3 3 5" xfId="13483" xr:uid="{2EEC004D-171C-46EC-8DD1-DC91C8B2A49A}"/>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2 3" xfId="11830" xr:uid="{951CD85B-3F5E-428A-92FA-DA21AA639B35}"/>
    <cellStyle name="Currency 5 2 2 3 4 2 4" xfId="16041" xr:uid="{15D21AD9-954D-4A7F-8DA8-CB55BDAC4690}"/>
    <cellStyle name="Currency 5 2 2 3 4 3" xfId="5474" xr:uid="{00000000-0005-0000-0000-0000E50B0000}"/>
    <cellStyle name="Currency 5 2 2 3 4 4" xfId="9685" xr:uid="{1013EF6C-39F5-4404-8016-6C63CA8679B5}"/>
    <cellStyle name="Currency 5 2 2 3 4 5" xfId="13896" xr:uid="{E4541C41-2496-4A68-8F3B-387328CBB5D9}"/>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2 3" xfId="12243" xr:uid="{DECF246E-AE22-4FF4-8919-DBBADE973552}"/>
    <cellStyle name="Currency 5 2 2 3 5 2 4" xfId="16454" xr:uid="{447C124C-06C5-4ACC-99E5-EC5A3A1AF5F3}"/>
    <cellStyle name="Currency 5 2 2 3 5 3" xfId="5887" xr:uid="{00000000-0005-0000-0000-0000E90B0000}"/>
    <cellStyle name="Currency 5 2 2 3 5 4" xfId="10098" xr:uid="{F2FD21EB-667E-440A-B8EC-445F78E00193}"/>
    <cellStyle name="Currency 5 2 2 3 5 5" xfId="14309" xr:uid="{DF4FE8B9-C4C8-4750-8995-35C0D3BAF751}"/>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2 3" xfId="12656" xr:uid="{3323BEC0-B9E6-4128-AB3D-A7A770CF52B8}"/>
    <cellStyle name="Currency 5 2 2 3 6 2 4" xfId="16867" xr:uid="{E29E0A9D-8117-4540-9BC1-1CABA14DE10A}"/>
    <cellStyle name="Currency 5 2 2 3 6 3" xfId="6300" xr:uid="{00000000-0005-0000-0000-0000ED0B0000}"/>
    <cellStyle name="Currency 5 2 2 3 6 4" xfId="10511" xr:uid="{C3C460BE-1A87-42F0-B243-26E32FCE52E7}"/>
    <cellStyle name="Currency 5 2 2 3 6 5" xfId="14722" xr:uid="{9B546C9C-0D78-497E-A2AA-FE84BA01F75D}"/>
    <cellStyle name="Currency 5 2 2 3 7" xfId="2427" xr:uid="{00000000-0005-0000-0000-0000EE0B0000}"/>
    <cellStyle name="Currency 5 2 2 3 7 2" xfId="6713" xr:uid="{00000000-0005-0000-0000-0000EF0B0000}"/>
    <cellStyle name="Currency 5 2 2 3 7 3" xfId="10924" xr:uid="{DF1C3165-26C7-4F12-A465-39F767BD5D94}"/>
    <cellStyle name="Currency 5 2 2 3 7 4" xfId="15135" xr:uid="{7B343C53-649C-4641-B78E-73F31D1366B6}"/>
    <cellStyle name="Currency 5 2 2 3 8" xfId="2724" xr:uid="{00000000-0005-0000-0000-0000F00B0000}"/>
    <cellStyle name="Currency 5 2 2 3 9" xfId="2805" xr:uid="{00000000-0005-0000-0000-0000F10B0000}"/>
    <cellStyle name="Currency 5 2 2 3 9 2" xfId="7030" xr:uid="{00000000-0005-0000-0000-0000F20B0000}"/>
    <cellStyle name="Currency 5 2 2 3 9 3" xfId="11241" xr:uid="{1BCF83E7-79F9-4A1B-9661-D087BC7C5E39}"/>
    <cellStyle name="Currency 5 2 2 3 9 4" xfId="15452" xr:uid="{FF71CDF1-AF6C-41D3-8A6B-0DC46CD61B57}"/>
    <cellStyle name="Currency 5 2 2 4" xfId="202" xr:uid="{00000000-0005-0000-0000-0000F30B0000}"/>
    <cellStyle name="Currency 5 2 2 4 10" xfId="8860" xr:uid="{7701D73A-A9D6-4663-AECC-E35722531549}"/>
    <cellStyle name="Currency 5 2 2 4 11" xfId="13071" xr:uid="{C3CFE227-CF3A-4313-8B20-B794DA4977ED}"/>
    <cellStyle name="Currency 5 2 2 4 2" xfId="730" xr:uid="{00000000-0005-0000-0000-0000F40B0000}"/>
    <cellStyle name="Currency 5 2 2 4 2 2" xfId="2984" xr:uid="{00000000-0005-0000-0000-0000F50B0000}"/>
    <cellStyle name="Currency 5 2 2 4 2 2 2" xfId="7208" xr:uid="{00000000-0005-0000-0000-0000F60B0000}"/>
    <cellStyle name="Currency 5 2 2 4 2 2 3" xfId="11419" xr:uid="{9C83C48D-ED8D-4905-9CB8-7A4790679BEC}"/>
    <cellStyle name="Currency 5 2 2 4 2 2 4" xfId="15630" xr:uid="{68673437-3CDB-480C-A33F-2FA2F9EF3998}"/>
    <cellStyle name="Currency 5 2 2 4 2 3" xfId="5063" xr:uid="{00000000-0005-0000-0000-0000F70B0000}"/>
    <cellStyle name="Currency 5 2 2 4 2 4" xfId="9274" xr:uid="{FDAECD3E-DB03-42B7-9746-EC052C77C140}"/>
    <cellStyle name="Currency 5 2 2 4 2 5" xfId="13485" xr:uid="{0EC64204-FF6B-466A-B7A1-97FE85004E08}"/>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2 3" xfId="11832" xr:uid="{2F9938A6-C42E-4288-BFD0-5A069E99C066}"/>
    <cellStyle name="Currency 5 2 2 4 3 2 4" xfId="16043" xr:uid="{CC41C538-0CC5-418C-B3A0-D9A725BAB36A}"/>
    <cellStyle name="Currency 5 2 2 4 3 3" xfId="5476" xr:uid="{00000000-0005-0000-0000-0000FB0B0000}"/>
    <cellStyle name="Currency 5 2 2 4 3 4" xfId="9687" xr:uid="{B6598FC4-6465-4C2E-8F70-85FBA56B52A3}"/>
    <cellStyle name="Currency 5 2 2 4 3 5" xfId="13898" xr:uid="{9F5E3B69-7E9D-4C76-A224-73E0433FCC12}"/>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2 3" xfId="12245" xr:uid="{912B4ADB-BA02-46EA-82C1-537FEDF73E65}"/>
    <cellStyle name="Currency 5 2 2 4 4 2 4" xfId="16456" xr:uid="{F8637DBF-3703-4B59-89DC-0CF5A9500F57}"/>
    <cellStyle name="Currency 5 2 2 4 4 3" xfId="5889" xr:uid="{00000000-0005-0000-0000-0000FF0B0000}"/>
    <cellStyle name="Currency 5 2 2 4 4 4" xfId="10100" xr:uid="{277A2B08-FA4D-4731-8967-37787ADDAB44}"/>
    <cellStyle name="Currency 5 2 2 4 4 5" xfId="14311" xr:uid="{8761282A-35D4-42A4-98FE-FC3F66A88F63}"/>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2 3" xfId="12658" xr:uid="{5E49EB03-6B75-4B20-8E9B-C01401B30E7C}"/>
    <cellStyle name="Currency 5 2 2 4 5 2 4" xfId="16869" xr:uid="{111A04E2-60BA-44B3-A61D-112FDA944726}"/>
    <cellStyle name="Currency 5 2 2 4 5 3" xfId="6302" xr:uid="{00000000-0005-0000-0000-0000030C0000}"/>
    <cellStyle name="Currency 5 2 2 4 5 4" xfId="10513" xr:uid="{50E30ADD-0F7D-46DA-807B-79F3D6314329}"/>
    <cellStyle name="Currency 5 2 2 4 5 5" xfId="14724" xr:uid="{034AA2AF-2510-485A-9132-31C97B1EEE9E}"/>
    <cellStyle name="Currency 5 2 2 4 6" xfId="2429" xr:uid="{00000000-0005-0000-0000-0000040C0000}"/>
    <cellStyle name="Currency 5 2 2 4 6 2" xfId="6715" xr:uid="{00000000-0005-0000-0000-0000050C0000}"/>
    <cellStyle name="Currency 5 2 2 4 6 3" xfId="10926" xr:uid="{04901735-D259-4DDB-93E2-CADFF6D51F67}"/>
    <cellStyle name="Currency 5 2 2 4 6 4" xfId="15137" xr:uid="{90EDDCA9-2626-4501-A92D-B3E844022791}"/>
    <cellStyle name="Currency 5 2 2 4 7" xfId="2726" xr:uid="{00000000-0005-0000-0000-0000060C0000}"/>
    <cellStyle name="Currency 5 2 2 4 8" xfId="2807" xr:uid="{00000000-0005-0000-0000-0000070C0000}"/>
    <cellStyle name="Currency 5 2 2 4 8 2" xfId="7032" xr:uid="{00000000-0005-0000-0000-0000080C0000}"/>
    <cellStyle name="Currency 5 2 2 4 8 3" xfId="11243" xr:uid="{10B458BC-A1E5-4169-9700-5C7ECC6A7F08}"/>
    <cellStyle name="Currency 5 2 2 4 8 4" xfId="15454" xr:uid="{3D5D47E0-0946-4512-ABB5-176796B1C846}"/>
    <cellStyle name="Currency 5 2 2 4 9" xfId="4649" xr:uid="{00000000-0005-0000-0000-0000090C0000}"/>
    <cellStyle name="Currency 5 2 2 5" xfId="203" xr:uid="{00000000-0005-0000-0000-00000A0C0000}"/>
    <cellStyle name="Currency 5 2 2 5 10" xfId="8861" xr:uid="{A4664D66-17F5-4419-B115-B16312E0A8C3}"/>
    <cellStyle name="Currency 5 2 2 5 11" xfId="13072" xr:uid="{DEA37F62-5D16-4778-819A-213EF5FB3917}"/>
    <cellStyle name="Currency 5 2 2 5 2" xfId="731" xr:uid="{00000000-0005-0000-0000-00000B0C0000}"/>
    <cellStyle name="Currency 5 2 2 5 2 2" xfId="2985" xr:uid="{00000000-0005-0000-0000-00000C0C0000}"/>
    <cellStyle name="Currency 5 2 2 5 2 2 2" xfId="7209" xr:uid="{00000000-0005-0000-0000-00000D0C0000}"/>
    <cellStyle name="Currency 5 2 2 5 2 2 3" xfId="11420" xr:uid="{6C9B03EC-B6B5-4356-9526-CE2B1029DC5B}"/>
    <cellStyle name="Currency 5 2 2 5 2 2 4" xfId="15631" xr:uid="{456FC5DE-4842-4A53-85C3-EBED2475CC57}"/>
    <cellStyle name="Currency 5 2 2 5 2 3" xfId="5064" xr:uid="{00000000-0005-0000-0000-00000E0C0000}"/>
    <cellStyle name="Currency 5 2 2 5 2 4" xfId="9275" xr:uid="{7D0A0136-F963-40C2-9C55-EEB3DED6E975}"/>
    <cellStyle name="Currency 5 2 2 5 2 5" xfId="13486" xr:uid="{00BEC883-D432-41B8-BD3E-521221D4DBB4}"/>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2 3" xfId="11833" xr:uid="{8A3D3623-24B4-4A21-8AC6-77630510A2C1}"/>
    <cellStyle name="Currency 5 2 2 5 3 2 4" xfId="16044" xr:uid="{891C4079-7F9B-49AC-BC84-8B8297666392}"/>
    <cellStyle name="Currency 5 2 2 5 3 3" xfId="5477" xr:uid="{00000000-0005-0000-0000-0000120C0000}"/>
    <cellStyle name="Currency 5 2 2 5 3 4" xfId="9688" xr:uid="{3220EF3B-8BBD-4AB8-8045-6CD657069215}"/>
    <cellStyle name="Currency 5 2 2 5 3 5" xfId="13899" xr:uid="{651A8A6C-8A05-4BB6-B8E0-F9792D84F424}"/>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2 3" xfId="12246" xr:uid="{EF357A05-8BA2-4D6C-B34B-4E71280143F1}"/>
    <cellStyle name="Currency 5 2 2 5 4 2 4" xfId="16457" xr:uid="{72E738EC-1B6E-495D-A078-99D55F24EC6A}"/>
    <cellStyle name="Currency 5 2 2 5 4 3" xfId="5890" xr:uid="{00000000-0005-0000-0000-0000160C0000}"/>
    <cellStyle name="Currency 5 2 2 5 4 4" xfId="10101" xr:uid="{10BAFB06-86D1-49B2-9008-16F15E1304C7}"/>
    <cellStyle name="Currency 5 2 2 5 4 5" xfId="14312" xr:uid="{94493958-A146-4F19-BB9E-0CEC360A187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2 3" xfId="12659" xr:uid="{57F28227-46BC-4F5B-A965-4CE1CC084BFA}"/>
    <cellStyle name="Currency 5 2 2 5 5 2 4" xfId="16870" xr:uid="{588FB734-8674-4FF4-B57A-A969CA5611CE}"/>
    <cellStyle name="Currency 5 2 2 5 5 3" xfId="6303" xr:uid="{00000000-0005-0000-0000-00001A0C0000}"/>
    <cellStyle name="Currency 5 2 2 5 5 4" xfId="10514" xr:uid="{2F597C11-D6C1-4C5B-8921-F4F2C61311D5}"/>
    <cellStyle name="Currency 5 2 2 5 5 5" xfId="14725" xr:uid="{D2E1BE97-0BD4-4805-B3B4-E8537EC1ECB9}"/>
    <cellStyle name="Currency 5 2 2 5 6" xfId="2430" xr:uid="{00000000-0005-0000-0000-00001B0C0000}"/>
    <cellStyle name="Currency 5 2 2 5 6 2" xfId="6716" xr:uid="{00000000-0005-0000-0000-00001C0C0000}"/>
    <cellStyle name="Currency 5 2 2 5 6 3" xfId="10927" xr:uid="{D302E601-9494-4AF9-9B7E-4D7CAABA675A}"/>
    <cellStyle name="Currency 5 2 2 5 6 4" xfId="15138" xr:uid="{D649DE72-9B3A-4704-9410-C24E3F3601B3}"/>
    <cellStyle name="Currency 5 2 2 5 7" xfId="2727" xr:uid="{00000000-0005-0000-0000-00001D0C0000}"/>
    <cellStyle name="Currency 5 2 2 5 8" xfId="2808" xr:uid="{00000000-0005-0000-0000-00001E0C0000}"/>
    <cellStyle name="Currency 5 2 2 5 8 2" xfId="7033" xr:uid="{00000000-0005-0000-0000-00001F0C0000}"/>
    <cellStyle name="Currency 5 2 2 5 8 3" xfId="11244" xr:uid="{46715ECD-EA89-4BF3-838A-7FBC0A7F11B9}"/>
    <cellStyle name="Currency 5 2 2 5 8 4" xfId="15455" xr:uid="{8497DDE3-EFCA-4639-ABC9-90E8D8951692}"/>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11" xfId="8862" xr:uid="{04C30CD6-CE57-4C73-B8E0-8C0A14085623}"/>
    <cellStyle name="Currency 5 2 4 12" xfId="13073" xr:uid="{98D4D0F8-1889-458A-B412-92BB75441D13}"/>
    <cellStyle name="Currency 5 2 4 2" xfId="206" xr:uid="{00000000-0005-0000-0000-0000250C0000}"/>
    <cellStyle name="Currency 5 2 4 2 10" xfId="8863" xr:uid="{566BC3EC-0D4B-4735-B05A-485604EA454B}"/>
    <cellStyle name="Currency 5 2 4 2 11" xfId="13074" xr:uid="{ED5FFB76-8EF5-45FE-87BC-ED8893D4ABB9}"/>
    <cellStyle name="Currency 5 2 4 2 2" xfId="734" xr:uid="{00000000-0005-0000-0000-0000260C0000}"/>
    <cellStyle name="Currency 5 2 4 2 2 2" xfId="2987" xr:uid="{00000000-0005-0000-0000-0000270C0000}"/>
    <cellStyle name="Currency 5 2 4 2 2 2 2" xfId="7211" xr:uid="{00000000-0005-0000-0000-0000280C0000}"/>
    <cellStyle name="Currency 5 2 4 2 2 2 3" xfId="11422" xr:uid="{1CD75058-0931-40CD-AFEB-6954C8528CAB}"/>
    <cellStyle name="Currency 5 2 4 2 2 2 4" xfId="15633" xr:uid="{8BAF94C4-595A-4BC9-8B62-B83CB4DE47C0}"/>
    <cellStyle name="Currency 5 2 4 2 2 3" xfId="5066" xr:uid="{00000000-0005-0000-0000-0000290C0000}"/>
    <cellStyle name="Currency 5 2 4 2 2 4" xfId="9277" xr:uid="{C8707A42-34E5-477E-8CC9-5221FCBE1DDF}"/>
    <cellStyle name="Currency 5 2 4 2 2 5" xfId="13488" xr:uid="{8E246B41-709E-4541-BF3B-4F7E68607931}"/>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2 3" xfId="11835" xr:uid="{00C1E684-DB7D-40B2-9F77-569C058145F3}"/>
    <cellStyle name="Currency 5 2 4 2 3 2 4" xfId="16046" xr:uid="{4A2BBE3E-5804-4037-B0DB-1C0F297E855B}"/>
    <cellStyle name="Currency 5 2 4 2 3 3" xfId="5479" xr:uid="{00000000-0005-0000-0000-00002D0C0000}"/>
    <cellStyle name="Currency 5 2 4 2 3 4" xfId="9690" xr:uid="{C44AD067-1A66-4588-94D8-E0DAD7F1F693}"/>
    <cellStyle name="Currency 5 2 4 2 3 5" xfId="13901" xr:uid="{DAD16605-2DEA-4078-BEC4-3952C7FB6C85}"/>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2 3" xfId="12248" xr:uid="{0ABA26A4-27B8-4483-902F-7B617D0C1D41}"/>
    <cellStyle name="Currency 5 2 4 2 4 2 4" xfId="16459" xr:uid="{8B45C37A-C7F5-4A17-AF69-C332A36B80E9}"/>
    <cellStyle name="Currency 5 2 4 2 4 3" xfId="5892" xr:uid="{00000000-0005-0000-0000-0000310C0000}"/>
    <cellStyle name="Currency 5 2 4 2 4 4" xfId="10103" xr:uid="{3FEB7BBF-2FEC-4B63-81FE-5BE24E8E32F3}"/>
    <cellStyle name="Currency 5 2 4 2 4 5" xfId="14314" xr:uid="{7036B8AF-3414-4FE0-9757-67B06D5B5D74}"/>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2 3" xfId="12661" xr:uid="{3B3CC2AC-0EAB-4A60-B9FB-2662A6AEF2DA}"/>
    <cellStyle name="Currency 5 2 4 2 5 2 4" xfId="16872" xr:uid="{8CE4BDB0-9E51-4E90-8386-AFD6711AFB61}"/>
    <cellStyle name="Currency 5 2 4 2 5 3" xfId="6305" xr:uid="{00000000-0005-0000-0000-0000350C0000}"/>
    <cellStyle name="Currency 5 2 4 2 5 4" xfId="10516" xr:uid="{3D07B138-6F51-4ED9-BF8D-DBA3EC1BCCFF}"/>
    <cellStyle name="Currency 5 2 4 2 5 5" xfId="14727" xr:uid="{C80BC727-2191-4894-8BCE-8F34D3E66F4F}"/>
    <cellStyle name="Currency 5 2 4 2 6" xfId="2432" xr:uid="{00000000-0005-0000-0000-0000360C0000}"/>
    <cellStyle name="Currency 5 2 4 2 6 2" xfId="6718" xr:uid="{00000000-0005-0000-0000-0000370C0000}"/>
    <cellStyle name="Currency 5 2 4 2 6 3" xfId="10929" xr:uid="{DE62B981-D145-47FB-8F3C-8F31B10B68D7}"/>
    <cellStyle name="Currency 5 2 4 2 6 4" xfId="15140" xr:uid="{5D268B84-7D5A-4951-B334-A79DDF5B4FEB}"/>
    <cellStyle name="Currency 5 2 4 2 7" xfId="2729" xr:uid="{00000000-0005-0000-0000-0000380C0000}"/>
    <cellStyle name="Currency 5 2 4 2 8" xfId="2810" xr:uid="{00000000-0005-0000-0000-0000390C0000}"/>
    <cellStyle name="Currency 5 2 4 2 8 2" xfId="7035" xr:uid="{00000000-0005-0000-0000-00003A0C0000}"/>
    <cellStyle name="Currency 5 2 4 2 8 3" xfId="11246" xr:uid="{D3D54DF0-056B-4453-ABE7-C5DDCC31AD80}"/>
    <cellStyle name="Currency 5 2 4 2 8 4" xfId="15457" xr:uid="{46C8C83E-8F15-4939-B51C-8714172B05E3}"/>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2 3" xfId="11421" xr:uid="{EA3E0B37-03A9-4507-B058-176B2155B992}"/>
    <cellStyle name="Currency 5 2 4 3 2 4" xfId="15632" xr:uid="{0C295193-41A5-4C2F-9FF5-943EACEC1B25}"/>
    <cellStyle name="Currency 5 2 4 3 3" xfId="5065" xr:uid="{00000000-0005-0000-0000-00003F0C0000}"/>
    <cellStyle name="Currency 5 2 4 3 4" xfId="9276" xr:uid="{5DF965BC-3A6E-4055-9375-E7AC059E1881}"/>
    <cellStyle name="Currency 5 2 4 3 5" xfId="13487" xr:uid="{98465E50-1F96-40BC-B259-A44C95FC9416}"/>
    <cellStyle name="Currency 5 2 4 4" xfId="1168" xr:uid="{00000000-0005-0000-0000-0000400C0000}"/>
    <cellStyle name="Currency 5 2 4 4 2" xfId="3399" xr:uid="{00000000-0005-0000-0000-0000410C0000}"/>
    <cellStyle name="Currency 5 2 4 4 2 2" xfId="7623" xr:uid="{00000000-0005-0000-0000-0000420C0000}"/>
    <cellStyle name="Currency 5 2 4 4 2 3" xfId="11834" xr:uid="{C974DF9B-63B4-4CFF-B09A-D08B1E700F67}"/>
    <cellStyle name="Currency 5 2 4 4 2 4" xfId="16045" xr:uid="{924E702D-FA0C-4DC5-920A-263EDD0B812E}"/>
    <cellStyle name="Currency 5 2 4 4 3" xfId="5478" xr:uid="{00000000-0005-0000-0000-0000430C0000}"/>
    <cellStyle name="Currency 5 2 4 4 4" xfId="9689" xr:uid="{7FCBAF04-1175-4649-B73C-83859E30DB25}"/>
    <cellStyle name="Currency 5 2 4 4 5" xfId="13900" xr:uid="{2CC7D1AB-5BD6-43BF-A66F-7FC1ED260A3C}"/>
    <cellStyle name="Currency 5 2 4 5" xfId="1582" xr:uid="{00000000-0005-0000-0000-0000440C0000}"/>
    <cellStyle name="Currency 5 2 4 5 2" xfId="3812" xr:uid="{00000000-0005-0000-0000-0000450C0000}"/>
    <cellStyle name="Currency 5 2 4 5 2 2" xfId="8036" xr:uid="{00000000-0005-0000-0000-0000460C0000}"/>
    <cellStyle name="Currency 5 2 4 5 2 3" xfId="12247" xr:uid="{0246DBC9-6C8F-4582-905C-9098D9CD0601}"/>
    <cellStyle name="Currency 5 2 4 5 2 4" xfId="16458" xr:uid="{7E22A891-FB95-4E63-989D-2911A6FBA37A}"/>
    <cellStyle name="Currency 5 2 4 5 3" xfId="5891" xr:uid="{00000000-0005-0000-0000-0000470C0000}"/>
    <cellStyle name="Currency 5 2 4 5 4" xfId="10102" xr:uid="{062549D6-61A7-40A3-9396-434FE4905A0E}"/>
    <cellStyle name="Currency 5 2 4 5 5" xfId="14313" xr:uid="{80933B2C-08BD-4715-BE2D-BD4CB14478C7}"/>
    <cellStyle name="Currency 5 2 4 6" xfId="1996" xr:uid="{00000000-0005-0000-0000-0000480C0000}"/>
    <cellStyle name="Currency 5 2 4 6 2" xfId="4225" xr:uid="{00000000-0005-0000-0000-0000490C0000}"/>
    <cellStyle name="Currency 5 2 4 6 2 2" xfId="8449" xr:uid="{00000000-0005-0000-0000-00004A0C0000}"/>
    <cellStyle name="Currency 5 2 4 6 2 3" xfId="12660" xr:uid="{BC06A594-DE55-42F1-AE6E-E5DA7D96B1E0}"/>
    <cellStyle name="Currency 5 2 4 6 2 4" xfId="16871" xr:uid="{CF36EB07-CDB4-4428-BEAD-229A5F8988A5}"/>
    <cellStyle name="Currency 5 2 4 6 3" xfId="6304" xr:uid="{00000000-0005-0000-0000-00004B0C0000}"/>
    <cellStyle name="Currency 5 2 4 6 4" xfId="10515" xr:uid="{A98DCD6D-4A6A-4B8C-B6B0-0382AC0A15F5}"/>
    <cellStyle name="Currency 5 2 4 6 5" xfId="14726" xr:uid="{9819BE39-190B-43E9-B2D1-BEC01685CD01}"/>
    <cellStyle name="Currency 5 2 4 7" xfId="2431" xr:uid="{00000000-0005-0000-0000-00004C0C0000}"/>
    <cellStyle name="Currency 5 2 4 7 2" xfId="6717" xr:uid="{00000000-0005-0000-0000-00004D0C0000}"/>
    <cellStyle name="Currency 5 2 4 7 3" xfId="10928" xr:uid="{4A765BCA-F656-4944-8676-EE94CC502967}"/>
    <cellStyle name="Currency 5 2 4 7 4" xfId="15139" xr:uid="{33C3CE45-AD5A-4FAC-9809-1DB2DC5CCB16}"/>
    <cellStyle name="Currency 5 2 4 8" xfId="2728" xr:uid="{00000000-0005-0000-0000-00004E0C0000}"/>
    <cellStyle name="Currency 5 2 4 9" xfId="2809" xr:uid="{00000000-0005-0000-0000-00004F0C0000}"/>
    <cellStyle name="Currency 5 2 4 9 2" xfId="7034" xr:uid="{00000000-0005-0000-0000-0000500C0000}"/>
    <cellStyle name="Currency 5 2 4 9 3" xfId="11245" xr:uid="{F1808596-6AF0-4112-8575-F59627E3A848}"/>
    <cellStyle name="Currency 5 2 4 9 4" xfId="15456" xr:uid="{A84CFFA1-0C9E-482E-A70A-A0487182221C}"/>
    <cellStyle name="Currency 5 2 5" xfId="207" xr:uid="{00000000-0005-0000-0000-0000510C0000}"/>
    <cellStyle name="Currency 5 2 5 10" xfId="8864" xr:uid="{DBF999AA-2D4B-4C5D-9533-BE83424696B4}"/>
    <cellStyle name="Currency 5 2 5 11" xfId="13075" xr:uid="{AEAC7BB1-AD96-4414-955D-1AE5447FF405}"/>
    <cellStyle name="Currency 5 2 5 2" xfId="735" xr:uid="{00000000-0005-0000-0000-0000520C0000}"/>
    <cellStyle name="Currency 5 2 5 2 2" xfId="2988" xr:uid="{00000000-0005-0000-0000-0000530C0000}"/>
    <cellStyle name="Currency 5 2 5 2 2 2" xfId="7212" xr:uid="{00000000-0005-0000-0000-0000540C0000}"/>
    <cellStyle name="Currency 5 2 5 2 2 3" xfId="11423" xr:uid="{B31829F2-F34C-4A5A-88A2-30168510650C}"/>
    <cellStyle name="Currency 5 2 5 2 2 4" xfId="15634" xr:uid="{9BC444D5-3D49-400D-A245-D8866391781C}"/>
    <cellStyle name="Currency 5 2 5 2 3" xfId="5067" xr:uid="{00000000-0005-0000-0000-0000550C0000}"/>
    <cellStyle name="Currency 5 2 5 2 4" xfId="9278" xr:uid="{9EDD39D2-2DB5-4000-8168-9BACBBCE91E6}"/>
    <cellStyle name="Currency 5 2 5 2 5" xfId="13489" xr:uid="{C6E5CCFD-8044-4F2F-8D88-69BEEFBD7069}"/>
    <cellStyle name="Currency 5 2 5 3" xfId="1170" xr:uid="{00000000-0005-0000-0000-0000560C0000}"/>
    <cellStyle name="Currency 5 2 5 3 2" xfId="3401" xr:uid="{00000000-0005-0000-0000-0000570C0000}"/>
    <cellStyle name="Currency 5 2 5 3 2 2" xfId="7625" xr:uid="{00000000-0005-0000-0000-0000580C0000}"/>
    <cellStyle name="Currency 5 2 5 3 2 3" xfId="11836" xr:uid="{BCC77367-DE94-47D5-AF6F-A84F664B9052}"/>
    <cellStyle name="Currency 5 2 5 3 2 4" xfId="16047" xr:uid="{418E79DC-BD02-4FEC-80BA-E64D3A3C933E}"/>
    <cellStyle name="Currency 5 2 5 3 3" xfId="5480" xr:uid="{00000000-0005-0000-0000-0000590C0000}"/>
    <cellStyle name="Currency 5 2 5 3 4" xfId="9691" xr:uid="{A0F6C04E-4901-4BEB-825C-691C65C9ECDC}"/>
    <cellStyle name="Currency 5 2 5 3 5" xfId="13902" xr:uid="{6EFCEBA6-6F04-4812-AC98-17AACEBDDE77}"/>
    <cellStyle name="Currency 5 2 5 4" xfId="1584" xr:uid="{00000000-0005-0000-0000-00005A0C0000}"/>
    <cellStyle name="Currency 5 2 5 4 2" xfId="3814" xr:uid="{00000000-0005-0000-0000-00005B0C0000}"/>
    <cellStyle name="Currency 5 2 5 4 2 2" xfId="8038" xr:uid="{00000000-0005-0000-0000-00005C0C0000}"/>
    <cellStyle name="Currency 5 2 5 4 2 3" xfId="12249" xr:uid="{F77D9A71-500E-42BA-9116-1A2131E77087}"/>
    <cellStyle name="Currency 5 2 5 4 2 4" xfId="16460" xr:uid="{17691D36-2E6B-484B-8E92-CBDCC7A022A9}"/>
    <cellStyle name="Currency 5 2 5 4 3" xfId="5893" xr:uid="{00000000-0005-0000-0000-00005D0C0000}"/>
    <cellStyle name="Currency 5 2 5 4 4" xfId="10104" xr:uid="{77424410-BA2A-49D4-BAF8-4170B3026EA6}"/>
    <cellStyle name="Currency 5 2 5 4 5" xfId="14315" xr:uid="{208CB7AD-1897-4638-A0B9-8732978FB889}"/>
    <cellStyle name="Currency 5 2 5 5" xfId="1998" xr:uid="{00000000-0005-0000-0000-00005E0C0000}"/>
    <cellStyle name="Currency 5 2 5 5 2" xfId="4227" xr:uid="{00000000-0005-0000-0000-00005F0C0000}"/>
    <cellStyle name="Currency 5 2 5 5 2 2" xfId="8451" xr:uid="{00000000-0005-0000-0000-0000600C0000}"/>
    <cellStyle name="Currency 5 2 5 5 2 3" xfId="12662" xr:uid="{342BFF98-4524-4F69-825F-72449E736711}"/>
    <cellStyle name="Currency 5 2 5 5 2 4" xfId="16873" xr:uid="{260F7D88-E0A7-433B-A7BC-FFC3DC46D790}"/>
    <cellStyle name="Currency 5 2 5 5 3" xfId="6306" xr:uid="{00000000-0005-0000-0000-0000610C0000}"/>
    <cellStyle name="Currency 5 2 5 5 4" xfId="10517" xr:uid="{93B8AB30-2988-4081-879C-3F8DC3C31F28}"/>
    <cellStyle name="Currency 5 2 5 5 5" xfId="14728" xr:uid="{4CF4C491-2159-4BAA-9819-B631CC1996B1}"/>
    <cellStyle name="Currency 5 2 5 6" xfId="2433" xr:uid="{00000000-0005-0000-0000-0000620C0000}"/>
    <cellStyle name="Currency 5 2 5 6 2" xfId="6719" xr:uid="{00000000-0005-0000-0000-0000630C0000}"/>
    <cellStyle name="Currency 5 2 5 6 3" xfId="10930" xr:uid="{D8547B7E-5A5D-4E35-BBF9-B24432D82124}"/>
    <cellStyle name="Currency 5 2 5 6 4" xfId="15141" xr:uid="{0495D965-3BC2-4E1A-9005-879F3C09C18D}"/>
    <cellStyle name="Currency 5 2 5 7" xfId="2730" xr:uid="{00000000-0005-0000-0000-0000640C0000}"/>
    <cellStyle name="Currency 5 2 5 8" xfId="2811" xr:uid="{00000000-0005-0000-0000-0000650C0000}"/>
    <cellStyle name="Currency 5 2 5 8 2" xfId="7036" xr:uid="{00000000-0005-0000-0000-0000660C0000}"/>
    <cellStyle name="Currency 5 2 5 8 3" xfId="11247" xr:uid="{CCCC8224-188C-41F2-AFCD-D291B31ADA92}"/>
    <cellStyle name="Currency 5 2 5 8 4" xfId="15458" xr:uid="{026248E7-6F6B-48F0-BE00-C3AACC8E782A}"/>
    <cellStyle name="Currency 5 2 5 9" xfId="4653" xr:uid="{00000000-0005-0000-0000-0000670C0000}"/>
    <cellStyle name="Currency 5 2 6" xfId="208" xr:uid="{00000000-0005-0000-0000-0000680C0000}"/>
    <cellStyle name="Currency 5 2 6 10" xfId="8865" xr:uid="{29BD17C3-F7A5-4240-802B-63D4086077C9}"/>
    <cellStyle name="Currency 5 2 6 11" xfId="13076" xr:uid="{4D7BDA48-950D-4782-B155-CE2F22A7B864}"/>
    <cellStyle name="Currency 5 2 6 2" xfId="736" xr:uid="{00000000-0005-0000-0000-0000690C0000}"/>
    <cellStyle name="Currency 5 2 6 2 2" xfId="2989" xr:uid="{00000000-0005-0000-0000-00006A0C0000}"/>
    <cellStyle name="Currency 5 2 6 2 2 2" xfId="7213" xr:uid="{00000000-0005-0000-0000-00006B0C0000}"/>
    <cellStyle name="Currency 5 2 6 2 2 3" xfId="11424" xr:uid="{43E8B610-270C-4145-B02C-9B231BD3914D}"/>
    <cellStyle name="Currency 5 2 6 2 2 4" xfId="15635" xr:uid="{EBCE0140-7D50-49AF-82AE-70139A3740BE}"/>
    <cellStyle name="Currency 5 2 6 2 3" xfId="5068" xr:uid="{00000000-0005-0000-0000-00006C0C0000}"/>
    <cellStyle name="Currency 5 2 6 2 4" xfId="9279" xr:uid="{A92ED5D8-9789-43D2-9754-CC7F5C9CE198}"/>
    <cellStyle name="Currency 5 2 6 2 5" xfId="13490" xr:uid="{4F0033FE-4F74-4AFB-8739-E00EED7A8371}"/>
    <cellStyle name="Currency 5 2 6 3" xfId="1171" xr:uid="{00000000-0005-0000-0000-00006D0C0000}"/>
    <cellStyle name="Currency 5 2 6 3 2" xfId="3402" xr:uid="{00000000-0005-0000-0000-00006E0C0000}"/>
    <cellStyle name="Currency 5 2 6 3 2 2" xfId="7626" xr:uid="{00000000-0005-0000-0000-00006F0C0000}"/>
    <cellStyle name="Currency 5 2 6 3 2 3" xfId="11837" xr:uid="{EA41F404-E1E2-4E3F-B3E8-44057AD8FA6E}"/>
    <cellStyle name="Currency 5 2 6 3 2 4" xfId="16048" xr:uid="{F2976BD8-65D3-441D-928B-3684A7B44CFB}"/>
    <cellStyle name="Currency 5 2 6 3 3" xfId="5481" xr:uid="{00000000-0005-0000-0000-0000700C0000}"/>
    <cellStyle name="Currency 5 2 6 3 4" xfId="9692" xr:uid="{5AAB987F-23FF-4218-BEBF-236365C51F2D}"/>
    <cellStyle name="Currency 5 2 6 3 5" xfId="13903" xr:uid="{CB78C83E-829C-4EDB-BD41-C221AC7E0186}"/>
    <cellStyle name="Currency 5 2 6 4" xfId="1585" xr:uid="{00000000-0005-0000-0000-0000710C0000}"/>
    <cellStyle name="Currency 5 2 6 4 2" xfId="3815" xr:uid="{00000000-0005-0000-0000-0000720C0000}"/>
    <cellStyle name="Currency 5 2 6 4 2 2" xfId="8039" xr:uid="{00000000-0005-0000-0000-0000730C0000}"/>
    <cellStyle name="Currency 5 2 6 4 2 3" xfId="12250" xr:uid="{D7C9C716-C8E1-4FE6-A0B8-99A456A45755}"/>
    <cellStyle name="Currency 5 2 6 4 2 4" xfId="16461" xr:uid="{E2C955A9-78B3-49D0-886B-C12D4B80BDFD}"/>
    <cellStyle name="Currency 5 2 6 4 3" xfId="5894" xr:uid="{00000000-0005-0000-0000-0000740C0000}"/>
    <cellStyle name="Currency 5 2 6 4 4" xfId="10105" xr:uid="{4A4DD063-C791-4DC9-BB6C-D2A4CDBADA19}"/>
    <cellStyle name="Currency 5 2 6 4 5" xfId="14316" xr:uid="{85585A78-B0EE-48E2-B19B-FD5C2DDA3FDC}"/>
    <cellStyle name="Currency 5 2 6 5" xfId="1999" xr:uid="{00000000-0005-0000-0000-0000750C0000}"/>
    <cellStyle name="Currency 5 2 6 5 2" xfId="4228" xr:uid="{00000000-0005-0000-0000-0000760C0000}"/>
    <cellStyle name="Currency 5 2 6 5 2 2" xfId="8452" xr:uid="{00000000-0005-0000-0000-0000770C0000}"/>
    <cellStyle name="Currency 5 2 6 5 2 3" xfId="12663" xr:uid="{AA4652C9-FDD9-451A-A2BE-ECA5D5CC1F84}"/>
    <cellStyle name="Currency 5 2 6 5 2 4" xfId="16874" xr:uid="{D9FE0ED8-E260-4FAA-BAA8-B7D888A1FBFC}"/>
    <cellStyle name="Currency 5 2 6 5 3" xfId="6307" xr:uid="{00000000-0005-0000-0000-0000780C0000}"/>
    <cellStyle name="Currency 5 2 6 5 4" xfId="10518" xr:uid="{EB6F3EB8-DC9B-4A9E-BB96-04808996D442}"/>
    <cellStyle name="Currency 5 2 6 5 5" xfId="14729" xr:uid="{9AC9E27D-5AB3-4074-9120-A55AA3E8A859}"/>
    <cellStyle name="Currency 5 2 6 6" xfId="2434" xr:uid="{00000000-0005-0000-0000-0000790C0000}"/>
    <cellStyle name="Currency 5 2 6 6 2" xfId="6720" xr:uid="{00000000-0005-0000-0000-00007A0C0000}"/>
    <cellStyle name="Currency 5 2 6 6 3" xfId="10931" xr:uid="{082092CE-542E-4FB2-91FC-FCAA68CFD8AC}"/>
    <cellStyle name="Currency 5 2 6 6 4" xfId="15142" xr:uid="{E4B6DC5E-91FD-4B3F-8C42-C03E2A4B86D1}"/>
    <cellStyle name="Currency 5 2 6 7" xfId="2731" xr:uid="{00000000-0005-0000-0000-00007B0C0000}"/>
    <cellStyle name="Currency 5 2 6 8" xfId="2812" xr:uid="{00000000-0005-0000-0000-00007C0C0000}"/>
    <cellStyle name="Currency 5 2 6 8 2" xfId="7037" xr:uid="{00000000-0005-0000-0000-00007D0C0000}"/>
    <cellStyle name="Currency 5 2 6 8 3" xfId="11248" xr:uid="{46C1276C-6A42-4D99-9AE4-D986B14B00FD}"/>
    <cellStyle name="Currency 5 2 6 8 4" xfId="15459" xr:uid="{E15496EA-8EB9-45E4-B4FF-B92EAEF5F86B}"/>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0 3" xfId="11249" xr:uid="{921CA348-5020-496E-B201-80E986DDFDE5}"/>
    <cellStyle name="Currency 5 3 2 10 4" xfId="15460" xr:uid="{597C3826-1958-4631-9A1F-B3A161061BB2}"/>
    <cellStyle name="Currency 5 3 2 11" xfId="4655" xr:uid="{00000000-0005-0000-0000-0000840C0000}"/>
    <cellStyle name="Currency 5 3 2 12" xfId="8866" xr:uid="{AEEEC186-E4D4-4978-A968-F8FB62810B31}"/>
    <cellStyle name="Currency 5 3 2 13" xfId="13077" xr:uid="{9370AA40-C441-4E4F-82F7-5A7BBE17F442}"/>
    <cellStyle name="Currency 5 3 2 2" xfId="211" xr:uid="{00000000-0005-0000-0000-0000850C0000}"/>
    <cellStyle name="Currency 5 3 2 2 10" xfId="4656" xr:uid="{00000000-0005-0000-0000-0000860C0000}"/>
    <cellStyle name="Currency 5 3 2 2 11" xfId="8867" xr:uid="{DB701718-6E57-46F3-95AC-9E084BA40B26}"/>
    <cellStyle name="Currency 5 3 2 2 12" xfId="13078" xr:uid="{C0DD373F-D9F1-4926-9E5A-CE7E4B1293B9}"/>
    <cellStyle name="Currency 5 3 2 2 2" xfId="212" xr:uid="{00000000-0005-0000-0000-0000870C0000}"/>
    <cellStyle name="Currency 5 3 2 2 2 10" xfId="8868" xr:uid="{BB5C5165-AC8E-42B7-86C3-38B77397D171}"/>
    <cellStyle name="Currency 5 3 2 2 2 11" xfId="13079" xr:uid="{85C7E0AA-05BF-4F78-8F83-D25F53E1D583}"/>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2 3" xfId="11427" xr:uid="{23ABE3BB-763F-407C-A061-0E99261562F4}"/>
    <cellStyle name="Currency 5 3 2 2 2 2 2 4" xfId="15638" xr:uid="{8E26BE3B-FB23-41E5-9F75-8BB264C4C66B}"/>
    <cellStyle name="Currency 5 3 2 2 2 2 3" xfId="5071" xr:uid="{00000000-0005-0000-0000-00008B0C0000}"/>
    <cellStyle name="Currency 5 3 2 2 2 2 4" xfId="9282" xr:uid="{0B540C19-9456-463B-A2F0-CCD226E70C38}"/>
    <cellStyle name="Currency 5 3 2 2 2 2 5" xfId="13493" xr:uid="{9315893E-D909-45A3-9CA5-227F40B1C46C}"/>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2 3" xfId="11840" xr:uid="{63C1550B-BDFF-4AB8-97F0-ED721A156CF0}"/>
    <cellStyle name="Currency 5 3 2 2 2 3 2 4" xfId="16051" xr:uid="{B0CDC4D9-7FAE-4624-B972-D094DB0DAC12}"/>
    <cellStyle name="Currency 5 3 2 2 2 3 3" xfId="5484" xr:uid="{00000000-0005-0000-0000-00008F0C0000}"/>
    <cellStyle name="Currency 5 3 2 2 2 3 4" xfId="9695" xr:uid="{28231547-1853-43B4-B030-157F02E6A82E}"/>
    <cellStyle name="Currency 5 3 2 2 2 3 5" xfId="13906" xr:uid="{33EFCFE2-9146-4D57-BDB4-634D1C54E40D}"/>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2 3" xfId="12253" xr:uid="{63090F3E-ABC1-46EB-A924-CB087943E372}"/>
    <cellStyle name="Currency 5 3 2 2 2 4 2 4" xfId="16464" xr:uid="{6D403275-9B79-4015-B7BA-A4ADF4638401}"/>
    <cellStyle name="Currency 5 3 2 2 2 4 3" xfId="5897" xr:uid="{00000000-0005-0000-0000-0000930C0000}"/>
    <cellStyle name="Currency 5 3 2 2 2 4 4" xfId="10108" xr:uid="{A2965F72-9BA2-42D6-8302-A929EC0A7855}"/>
    <cellStyle name="Currency 5 3 2 2 2 4 5" xfId="14319" xr:uid="{568AA685-8480-4DE0-9655-04AFD4F3FA4C}"/>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2 3" xfId="12666" xr:uid="{D345E37F-2FD9-4058-9DFB-C384C50115BC}"/>
    <cellStyle name="Currency 5 3 2 2 2 5 2 4" xfId="16877" xr:uid="{20CBD247-CD54-4615-AAE7-7EE0FAFD2D1E}"/>
    <cellStyle name="Currency 5 3 2 2 2 5 3" xfId="6310" xr:uid="{00000000-0005-0000-0000-0000970C0000}"/>
    <cellStyle name="Currency 5 3 2 2 2 5 4" xfId="10521" xr:uid="{12F54402-76B9-4F94-B0BE-F560953EFD35}"/>
    <cellStyle name="Currency 5 3 2 2 2 5 5" xfId="14732" xr:uid="{6DFF59A1-D9D9-4BBB-B155-003702B6A898}"/>
    <cellStyle name="Currency 5 3 2 2 2 6" xfId="2437" xr:uid="{00000000-0005-0000-0000-0000980C0000}"/>
    <cellStyle name="Currency 5 3 2 2 2 6 2" xfId="6723" xr:uid="{00000000-0005-0000-0000-0000990C0000}"/>
    <cellStyle name="Currency 5 3 2 2 2 6 3" xfId="10934" xr:uid="{3D8A64C8-D5DC-48A5-AE98-384DF51B1BD8}"/>
    <cellStyle name="Currency 5 3 2 2 2 6 4" xfId="15145" xr:uid="{9EAB1664-C8A1-46DC-A3E4-75E62B0F2B9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8 3" xfId="11251" xr:uid="{2F61B274-AC5B-4C6D-B028-CF6936B3A9A7}"/>
    <cellStyle name="Currency 5 3 2 2 2 8 4" xfId="15462" xr:uid="{8A8FE519-64FC-49A8-9921-7146DB36C374}"/>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2 3" xfId="11426" xr:uid="{1B63D694-269B-45CB-95D5-1E0D937F5132}"/>
    <cellStyle name="Currency 5 3 2 2 3 2 4" xfId="15637" xr:uid="{8FC463BC-0729-4E58-8836-2282B4CF189E}"/>
    <cellStyle name="Currency 5 3 2 2 3 3" xfId="5070" xr:uid="{00000000-0005-0000-0000-0000A10C0000}"/>
    <cellStyle name="Currency 5 3 2 2 3 4" xfId="9281" xr:uid="{DBFB36A5-AA4D-47DF-B0A6-22C8636FCF4B}"/>
    <cellStyle name="Currency 5 3 2 2 3 5" xfId="13492" xr:uid="{FBFDD0B4-0A12-4A1E-811B-CDF955A8C137}"/>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2 3" xfId="11839" xr:uid="{09B73DD8-8A69-41EA-8F4E-664DB428A0E5}"/>
    <cellStyle name="Currency 5 3 2 2 4 2 4" xfId="16050" xr:uid="{16CDA4EA-2443-48AC-BA3B-AA6DA8AAB84F}"/>
    <cellStyle name="Currency 5 3 2 2 4 3" xfId="5483" xr:uid="{00000000-0005-0000-0000-0000A50C0000}"/>
    <cellStyle name="Currency 5 3 2 2 4 4" xfId="9694" xr:uid="{6BCB0AC1-5E23-41A4-9E98-C36E29B79D36}"/>
    <cellStyle name="Currency 5 3 2 2 4 5" xfId="13905" xr:uid="{84B7BAA4-8F6A-4ABC-92F9-812472089009}"/>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2 3" xfId="12252" xr:uid="{613CE3A1-DA6A-4675-B463-4864078B4261}"/>
    <cellStyle name="Currency 5 3 2 2 5 2 4" xfId="16463" xr:uid="{23995A59-5C96-47E8-8221-8D2E70C4D2F3}"/>
    <cellStyle name="Currency 5 3 2 2 5 3" xfId="5896" xr:uid="{00000000-0005-0000-0000-0000A90C0000}"/>
    <cellStyle name="Currency 5 3 2 2 5 4" xfId="10107" xr:uid="{72BEDAF4-4EE1-4351-9D26-FE5667B10A55}"/>
    <cellStyle name="Currency 5 3 2 2 5 5" xfId="14318" xr:uid="{94DDAB85-04B1-402A-906F-9916F85FD616}"/>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2 3" xfId="12665" xr:uid="{8821EBC5-47FA-4B84-B93B-6035C2CE9A34}"/>
    <cellStyle name="Currency 5 3 2 2 6 2 4" xfId="16876" xr:uid="{C2144011-C83C-42D6-A83A-B228E9B17BC0}"/>
    <cellStyle name="Currency 5 3 2 2 6 3" xfId="6309" xr:uid="{00000000-0005-0000-0000-0000AD0C0000}"/>
    <cellStyle name="Currency 5 3 2 2 6 4" xfId="10520" xr:uid="{0E80D377-48CD-4C6B-A40F-03858700608C}"/>
    <cellStyle name="Currency 5 3 2 2 6 5" xfId="14731" xr:uid="{B1BC2596-22B0-4C10-9095-736B0517AFEF}"/>
    <cellStyle name="Currency 5 3 2 2 7" xfId="2436" xr:uid="{00000000-0005-0000-0000-0000AE0C0000}"/>
    <cellStyle name="Currency 5 3 2 2 7 2" xfId="6722" xr:uid="{00000000-0005-0000-0000-0000AF0C0000}"/>
    <cellStyle name="Currency 5 3 2 2 7 3" xfId="10933" xr:uid="{1237460F-B5C6-4FBC-B364-8B74742CEFAE}"/>
    <cellStyle name="Currency 5 3 2 2 7 4" xfId="15144" xr:uid="{EA1F4EB0-5159-440A-8925-94A252B68B5C}"/>
    <cellStyle name="Currency 5 3 2 2 8" xfId="2733" xr:uid="{00000000-0005-0000-0000-0000B00C0000}"/>
    <cellStyle name="Currency 5 3 2 2 9" xfId="2814" xr:uid="{00000000-0005-0000-0000-0000B10C0000}"/>
    <cellStyle name="Currency 5 3 2 2 9 2" xfId="7039" xr:uid="{00000000-0005-0000-0000-0000B20C0000}"/>
    <cellStyle name="Currency 5 3 2 2 9 3" xfId="11250" xr:uid="{B365560F-3C1A-4F64-8DE8-BA4810865851}"/>
    <cellStyle name="Currency 5 3 2 2 9 4" xfId="15461" xr:uid="{B55D16F3-E059-4062-BB83-8D3741B8D425}"/>
    <cellStyle name="Currency 5 3 2 3" xfId="213" xr:uid="{00000000-0005-0000-0000-0000B30C0000}"/>
    <cellStyle name="Currency 5 3 2 3 10" xfId="8869" xr:uid="{62D319C3-EDE9-488E-9759-7177D4D00A27}"/>
    <cellStyle name="Currency 5 3 2 3 11" xfId="13080" xr:uid="{8322027F-2B16-4B4A-9DE2-F5335586D6A4}"/>
    <cellStyle name="Currency 5 3 2 3 2" xfId="740" xr:uid="{00000000-0005-0000-0000-0000B40C0000}"/>
    <cellStyle name="Currency 5 3 2 3 2 2" xfId="2993" xr:uid="{00000000-0005-0000-0000-0000B50C0000}"/>
    <cellStyle name="Currency 5 3 2 3 2 2 2" xfId="7217" xr:uid="{00000000-0005-0000-0000-0000B60C0000}"/>
    <cellStyle name="Currency 5 3 2 3 2 2 3" xfId="11428" xr:uid="{9F1963DD-CFCE-45E8-90C4-3FDD985516B7}"/>
    <cellStyle name="Currency 5 3 2 3 2 2 4" xfId="15639" xr:uid="{6F68EB47-16D3-4580-8ADC-9D11FDAD9CDB}"/>
    <cellStyle name="Currency 5 3 2 3 2 3" xfId="5072" xr:uid="{00000000-0005-0000-0000-0000B70C0000}"/>
    <cellStyle name="Currency 5 3 2 3 2 4" xfId="9283" xr:uid="{B228068A-FD89-406F-B8F8-8FC5FC0AC5B9}"/>
    <cellStyle name="Currency 5 3 2 3 2 5" xfId="13494" xr:uid="{7F666D25-2A59-4A56-9964-99E943DB526F}"/>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2 3" xfId="11841" xr:uid="{FA2099B9-496F-4174-A3DE-4000DFF0BB39}"/>
    <cellStyle name="Currency 5 3 2 3 3 2 4" xfId="16052" xr:uid="{16CBD122-45D2-478D-B09B-94A16A6E28CF}"/>
    <cellStyle name="Currency 5 3 2 3 3 3" xfId="5485" xr:uid="{00000000-0005-0000-0000-0000BB0C0000}"/>
    <cellStyle name="Currency 5 3 2 3 3 4" xfId="9696" xr:uid="{90D55D23-1850-4080-9E27-77E593D93415}"/>
    <cellStyle name="Currency 5 3 2 3 3 5" xfId="13907" xr:uid="{67AD3929-DD55-4BDE-AC11-D3744A472292}"/>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2 3" xfId="12254" xr:uid="{94113DAE-8117-45BB-8F19-97D4392470CD}"/>
    <cellStyle name="Currency 5 3 2 3 4 2 4" xfId="16465" xr:uid="{ACCF30BB-D1D5-4D0E-83F4-46552A108800}"/>
    <cellStyle name="Currency 5 3 2 3 4 3" xfId="5898" xr:uid="{00000000-0005-0000-0000-0000BF0C0000}"/>
    <cellStyle name="Currency 5 3 2 3 4 4" xfId="10109" xr:uid="{F2DDE689-32E6-44F0-AB07-C65C4A1BF701}"/>
    <cellStyle name="Currency 5 3 2 3 4 5" xfId="14320" xr:uid="{9BBEC0C8-7D20-4E86-817A-651357B5B4FB}"/>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2 3" xfId="12667" xr:uid="{61D11CA2-2E06-42C4-964D-8821F955E50A}"/>
    <cellStyle name="Currency 5 3 2 3 5 2 4" xfId="16878" xr:uid="{27643D61-3DF4-4AF0-931A-BA1F52A05CAF}"/>
    <cellStyle name="Currency 5 3 2 3 5 3" xfId="6311" xr:uid="{00000000-0005-0000-0000-0000C30C0000}"/>
    <cellStyle name="Currency 5 3 2 3 5 4" xfId="10522" xr:uid="{55AFE13E-57A4-4FD3-8D6E-D05AF0A28C5D}"/>
    <cellStyle name="Currency 5 3 2 3 5 5" xfId="14733" xr:uid="{2CC90BDB-0299-44C0-94DF-AB1D0B87DFC6}"/>
    <cellStyle name="Currency 5 3 2 3 6" xfId="2438" xr:uid="{00000000-0005-0000-0000-0000C40C0000}"/>
    <cellStyle name="Currency 5 3 2 3 6 2" xfId="6724" xr:uid="{00000000-0005-0000-0000-0000C50C0000}"/>
    <cellStyle name="Currency 5 3 2 3 6 3" xfId="10935" xr:uid="{CA960940-E1B4-4EF9-917F-AD514A7B38DD}"/>
    <cellStyle name="Currency 5 3 2 3 6 4" xfId="15146" xr:uid="{97460B1B-72CC-474A-86AF-A633BB57BA06}"/>
    <cellStyle name="Currency 5 3 2 3 7" xfId="2735" xr:uid="{00000000-0005-0000-0000-0000C60C0000}"/>
    <cellStyle name="Currency 5 3 2 3 8" xfId="2816" xr:uid="{00000000-0005-0000-0000-0000C70C0000}"/>
    <cellStyle name="Currency 5 3 2 3 8 2" xfId="7041" xr:uid="{00000000-0005-0000-0000-0000C80C0000}"/>
    <cellStyle name="Currency 5 3 2 3 8 3" xfId="11252" xr:uid="{BC507000-15FD-4A96-92DA-BCDA38D3CD70}"/>
    <cellStyle name="Currency 5 3 2 3 8 4" xfId="15463" xr:uid="{6EA7FBF6-836A-407F-9275-49EB8213193E}"/>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2 3" xfId="11425" xr:uid="{000A8551-1464-4D86-B2EC-B9937DCE0319}"/>
    <cellStyle name="Currency 5 3 2 4 2 4" xfId="15636" xr:uid="{6790C029-721B-49E1-A2C3-E9F5D4F67B77}"/>
    <cellStyle name="Currency 5 3 2 4 3" xfId="5069" xr:uid="{00000000-0005-0000-0000-0000CD0C0000}"/>
    <cellStyle name="Currency 5 3 2 4 4" xfId="9280" xr:uid="{17DC5150-9C8C-44D2-8A84-DEB693578643}"/>
    <cellStyle name="Currency 5 3 2 4 5" xfId="13491" xr:uid="{0897C6EF-271E-426A-971C-5A689C3B8C7F}"/>
    <cellStyle name="Currency 5 3 2 5" xfId="1172" xr:uid="{00000000-0005-0000-0000-0000CE0C0000}"/>
    <cellStyle name="Currency 5 3 2 5 2" xfId="3403" xr:uid="{00000000-0005-0000-0000-0000CF0C0000}"/>
    <cellStyle name="Currency 5 3 2 5 2 2" xfId="7627" xr:uid="{00000000-0005-0000-0000-0000D00C0000}"/>
    <cellStyle name="Currency 5 3 2 5 2 3" xfId="11838" xr:uid="{3C41E9CC-2E53-4566-AF75-E143C364D1D9}"/>
    <cellStyle name="Currency 5 3 2 5 2 4" xfId="16049" xr:uid="{EF76BE40-7B2D-4AE8-9FEC-0833459326A4}"/>
    <cellStyle name="Currency 5 3 2 5 3" xfId="5482" xr:uid="{00000000-0005-0000-0000-0000D10C0000}"/>
    <cellStyle name="Currency 5 3 2 5 4" xfId="9693" xr:uid="{8E284750-9863-43DA-9343-ED80B1302CC3}"/>
    <cellStyle name="Currency 5 3 2 5 5" xfId="13904" xr:uid="{1EBF876E-A130-42FD-A162-93FD7817A59C}"/>
    <cellStyle name="Currency 5 3 2 6" xfId="1586" xr:uid="{00000000-0005-0000-0000-0000D20C0000}"/>
    <cellStyle name="Currency 5 3 2 6 2" xfId="3816" xr:uid="{00000000-0005-0000-0000-0000D30C0000}"/>
    <cellStyle name="Currency 5 3 2 6 2 2" xfId="8040" xr:uid="{00000000-0005-0000-0000-0000D40C0000}"/>
    <cellStyle name="Currency 5 3 2 6 2 3" xfId="12251" xr:uid="{AFF9765C-6247-44E3-80B8-2DA2404FD66B}"/>
    <cellStyle name="Currency 5 3 2 6 2 4" xfId="16462" xr:uid="{8881A10D-51C8-4B64-BA96-89E67EDD3F0A}"/>
    <cellStyle name="Currency 5 3 2 6 3" xfId="5895" xr:uid="{00000000-0005-0000-0000-0000D50C0000}"/>
    <cellStyle name="Currency 5 3 2 6 4" xfId="10106" xr:uid="{2CA8203C-2E2C-4FE4-9025-0FB11FB4514F}"/>
    <cellStyle name="Currency 5 3 2 6 5" xfId="14317" xr:uid="{6623C7D1-DABC-4B98-8ECD-4958BA9437BC}"/>
    <cellStyle name="Currency 5 3 2 7" xfId="2000" xr:uid="{00000000-0005-0000-0000-0000D60C0000}"/>
    <cellStyle name="Currency 5 3 2 7 2" xfId="4229" xr:uid="{00000000-0005-0000-0000-0000D70C0000}"/>
    <cellStyle name="Currency 5 3 2 7 2 2" xfId="8453" xr:uid="{00000000-0005-0000-0000-0000D80C0000}"/>
    <cellStyle name="Currency 5 3 2 7 2 3" xfId="12664" xr:uid="{A4445986-E48A-4BE7-AA51-F9FFD90D359A}"/>
    <cellStyle name="Currency 5 3 2 7 2 4" xfId="16875" xr:uid="{DC648798-253E-4B36-B541-F4350C181B99}"/>
    <cellStyle name="Currency 5 3 2 7 3" xfId="6308" xr:uid="{00000000-0005-0000-0000-0000D90C0000}"/>
    <cellStyle name="Currency 5 3 2 7 4" xfId="10519" xr:uid="{C2AA3D64-69B1-4CE0-BE97-2F8941D71984}"/>
    <cellStyle name="Currency 5 3 2 7 5" xfId="14730" xr:uid="{97E0B78B-68B9-4ECB-A61D-0FFA0B187C75}"/>
    <cellStyle name="Currency 5 3 2 8" xfId="2435" xr:uid="{00000000-0005-0000-0000-0000DA0C0000}"/>
    <cellStyle name="Currency 5 3 2 8 2" xfId="6721" xr:uid="{00000000-0005-0000-0000-0000DB0C0000}"/>
    <cellStyle name="Currency 5 3 2 8 3" xfId="10932" xr:uid="{6E6D861D-AC0C-417B-8535-872FF2F4A1EC}"/>
    <cellStyle name="Currency 5 3 2 8 4" xfId="15143" xr:uid="{9523B21F-0945-4FC1-B05F-6ACEB6DCDE9A}"/>
    <cellStyle name="Currency 5 3 2 9" xfId="2732" xr:uid="{00000000-0005-0000-0000-0000DC0C0000}"/>
    <cellStyle name="Currency 5 3 3" xfId="214" xr:uid="{00000000-0005-0000-0000-0000DD0C0000}"/>
    <cellStyle name="Currency 5 3 3 10" xfId="4659" xr:uid="{00000000-0005-0000-0000-0000DE0C0000}"/>
    <cellStyle name="Currency 5 3 3 11" xfId="8870" xr:uid="{255E1471-4500-46EF-8377-5D48AF8204CE}"/>
    <cellStyle name="Currency 5 3 3 12" xfId="13081" xr:uid="{B8A8EAE4-B1F2-4360-AFBE-4AB66A51970E}"/>
    <cellStyle name="Currency 5 3 3 2" xfId="215" xr:uid="{00000000-0005-0000-0000-0000DF0C0000}"/>
    <cellStyle name="Currency 5 3 3 2 10" xfId="8871" xr:uid="{BA805AAF-336B-4D6F-A9CF-5EB5C5262B80}"/>
    <cellStyle name="Currency 5 3 3 2 11" xfId="13082" xr:uid="{B6682E2D-E489-4E88-8C3D-395A62CDAB84}"/>
    <cellStyle name="Currency 5 3 3 2 2" xfId="742" xr:uid="{00000000-0005-0000-0000-0000E00C0000}"/>
    <cellStyle name="Currency 5 3 3 2 2 2" xfId="2995" xr:uid="{00000000-0005-0000-0000-0000E10C0000}"/>
    <cellStyle name="Currency 5 3 3 2 2 2 2" xfId="7219" xr:uid="{00000000-0005-0000-0000-0000E20C0000}"/>
    <cellStyle name="Currency 5 3 3 2 2 2 3" xfId="11430" xr:uid="{9CFC4AFE-BC50-46A1-8001-C6BFB796DE7E}"/>
    <cellStyle name="Currency 5 3 3 2 2 2 4" xfId="15641" xr:uid="{CCD2A8D8-08E2-475F-9120-B92683ECB804}"/>
    <cellStyle name="Currency 5 3 3 2 2 3" xfId="5074" xr:uid="{00000000-0005-0000-0000-0000E30C0000}"/>
    <cellStyle name="Currency 5 3 3 2 2 4" xfId="9285" xr:uid="{4E4B8221-27E4-488B-83F0-4A4EFFD64DF5}"/>
    <cellStyle name="Currency 5 3 3 2 2 5" xfId="13496" xr:uid="{36C1AA1E-0618-4A3E-A2F2-5DE749D2B7F2}"/>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2 3" xfId="11843" xr:uid="{1D77A58D-8D1A-4053-9B2A-A4941B3AB102}"/>
    <cellStyle name="Currency 5 3 3 2 3 2 4" xfId="16054" xr:uid="{A61A18F9-73F6-4D41-AD8A-DA5624603295}"/>
    <cellStyle name="Currency 5 3 3 2 3 3" xfId="5487" xr:uid="{00000000-0005-0000-0000-0000E70C0000}"/>
    <cellStyle name="Currency 5 3 3 2 3 4" xfId="9698" xr:uid="{85539100-DDF5-47EC-BBD4-383B35B25CBD}"/>
    <cellStyle name="Currency 5 3 3 2 3 5" xfId="13909" xr:uid="{5A76A6AF-1860-4A5A-9FE0-24C8AA6A399D}"/>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2 3" xfId="12256" xr:uid="{0E05B434-60CB-4CAB-A575-4057A9050733}"/>
    <cellStyle name="Currency 5 3 3 2 4 2 4" xfId="16467" xr:uid="{71E9C77B-A8BF-4094-9159-D5D9688B7ADD}"/>
    <cellStyle name="Currency 5 3 3 2 4 3" xfId="5900" xr:uid="{00000000-0005-0000-0000-0000EB0C0000}"/>
    <cellStyle name="Currency 5 3 3 2 4 4" xfId="10111" xr:uid="{E9952A6E-8885-497C-B7FE-EEE6D2BDA157}"/>
    <cellStyle name="Currency 5 3 3 2 4 5" xfId="14322" xr:uid="{C8BD3B62-DB8D-4A37-A98E-8E6DB5E1BF0D}"/>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2 3" xfId="12669" xr:uid="{D5F9E130-32E0-4A84-9B82-1C5A612D00B7}"/>
    <cellStyle name="Currency 5 3 3 2 5 2 4" xfId="16880" xr:uid="{6CA1F2CA-A8C2-4139-BC5E-ADCFF25EC4A3}"/>
    <cellStyle name="Currency 5 3 3 2 5 3" xfId="6313" xr:uid="{00000000-0005-0000-0000-0000EF0C0000}"/>
    <cellStyle name="Currency 5 3 3 2 5 4" xfId="10524" xr:uid="{41BC2580-5788-4476-BAF3-AE3DA50E11EA}"/>
    <cellStyle name="Currency 5 3 3 2 5 5" xfId="14735" xr:uid="{874A4781-3F2F-4726-BCD5-036BBEBA8EAC}"/>
    <cellStyle name="Currency 5 3 3 2 6" xfId="2440" xr:uid="{00000000-0005-0000-0000-0000F00C0000}"/>
    <cellStyle name="Currency 5 3 3 2 6 2" xfId="6726" xr:uid="{00000000-0005-0000-0000-0000F10C0000}"/>
    <cellStyle name="Currency 5 3 3 2 6 3" xfId="10937" xr:uid="{C160975A-C0E2-406A-8D9A-272EEC805C1B}"/>
    <cellStyle name="Currency 5 3 3 2 6 4" xfId="15148" xr:uid="{0E7FB362-6A83-4796-9796-88830510CF1B}"/>
    <cellStyle name="Currency 5 3 3 2 7" xfId="2737" xr:uid="{00000000-0005-0000-0000-0000F20C0000}"/>
    <cellStyle name="Currency 5 3 3 2 8" xfId="2818" xr:uid="{00000000-0005-0000-0000-0000F30C0000}"/>
    <cellStyle name="Currency 5 3 3 2 8 2" xfId="7043" xr:uid="{00000000-0005-0000-0000-0000F40C0000}"/>
    <cellStyle name="Currency 5 3 3 2 8 3" xfId="11254" xr:uid="{9A356766-5E6E-4F86-A949-463BFFEE3A52}"/>
    <cellStyle name="Currency 5 3 3 2 8 4" xfId="15465" xr:uid="{5BCD425D-774C-4DCE-B192-5EDE4B71069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2 3" xfId="11429" xr:uid="{91F64B10-D6BB-42EC-BE97-45E6920676D0}"/>
    <cellStyle name="Currency 5 3 3 3 2 4" xfId="15640" xr:uid="{D96B89E9-6699-43E7-9AA4-A45B5D2CB16B}"/>
    <cellStyle name="Currency 5 3 3 3 3" xfId="5073" xr:uid="{00000000-0005-0000-0000-0000F90C0000}"/>
    <cellStyle name="Currency 5 3 3 3 4" xfId="9284" xr:uid="{73650E87-8853-4A0B-A270-0BAC60947416}"/>
    <cellStyle name="Currency 5 3 3 3 5" xfId="13495" xr:uid="{C399E352-FCB0-4304-9997-6A1912EE4172}"/>
    <cellStyle name="Currency 5 3 3 4" xfId="1176" xr:uid="{00000000-0005-0000-0000-0000FA0C0000}"/>
    <cellStyle name="Currency 5 3 3 4 2" xfId="3407" xr:uid="{00000000-0005-0000-0000-0000FB0C0000}"/>
    <cellStyle name="Currency 5 3 3 4 2 2" xfId="7631" xr:uid="{00000000-0005-0000-0000-0000FC0C0000}"/>
    <cellStyle name="Currency 5 3 3 4 2 3" xfId="11842" xr:uid="{1B762E2D-60E6-46FF-842E-43084C1E6267}"/>
    <cellStyle name="Currency 5 3 3 4 2 4" xfId="16053" xr:uid="{A54CD007-FCB7-4883-9F54-7246934F3786}"/>
    <cellStyle name="Currency 5 3 3 4 3" xfId="5486" xr:uid="{00000000-0005-0000-0000-0000FD0C0000}"/>
    <cellStyle name="Currency 5 3 3 4 4" xfId="9697" xr:uid="{B3B7533A-7449-440F-A940-6038677B5A8E}"/>
    <cellStyle name="Currency 5 3 3 4 5" xfId="13908" xr:uid="{CA272046-4129-4247-83F5-B6FAEF4D9173}"/>
    <cellStyle name="Currency 5 3 3 5" xfId="1590" xr:uid="{00000000-0005-0000-0000-0000FE0C0000}"/>
    <cellStyle name="Currency 5 3 3 5 2" xfId="3820" xr:uid="{00000000-0005-0000-0000-0000FF0C0000}"/>
    <cellStyle name="Currency 5 3 3 5 2 2" xfId="8044" xr:uid="{00000000-0005-0000-0000-0000000D0000}"/>
    <cellStyle name="Currency 5 3 3 5 2 3" xfId="12255" xr:uid="{25788FD2-CE63-4705-9F65-AABEBB758E10}"/>
    <cellStyle name="Currency 5 3 3 5 2 4" xfId="16466" xr:uid="{BFF2D8F8-3E51-4F09-A455-980CE3E7BDB7}"/>
    <cellStyle name="Currency 5 3 3 5 3" xfId="5899" xr:uid="{00000000-0005-0000-0000-0000010D0000}"/>
    <cellStyle name="Currency 5 3 3 5 4" xfId="10110" xr:uid="{0D7586A1-354C-4024-A85C-D79687E68DBD}"/>
    <cellStyle name="Currency 5 3 3 5 5" xfId="14321" xr:uid="{DE32A0AC-8F72-4A10-9ACF-9A1EF4CFD1FF}"/>
    <cellStyle name="Currency 5 3 3 6" xfId="2004" xr:uid="{00000000-0005-0000-0000-0000020D0000}"/>
    <cellStyle name="Currency 5 3 3 6 2" xfId="4233" xr:uid="{00000000-0005-0000-0000-0000030D0000}"/>
    <cellStyle name="Currency 5 3 3 6 2 2" xfId="8457" xr:uid="{00000000-0005-0000-0000-0000040D0000}"/>
    <cellStyle name="Currency 5 3 3 6 2 3" xfId="12668" xr:uid="{0E6D3679-EEEB-43F6-A7FF-5B8BFFCC9564}"/>
    <cellStyle name="Currency 5 3 3 6 2 4" xfId="16879" xr:uid="{CA1F261A-1C97-4E62-964D-595D7C1EB93F}"/>
    <cellStyle name="Currency 5 3 3 6 3" xfId="6312" xr:uid="{00000000-0005-0000-0000-0000050D0000}"/>
    <cellStyle name="Currency 5 3 3 6 4" xfId="10523" xr:uid="{4212698B-AFCA-4C10-83E1-D36FBED8993E}"/>
    <cellStyle name="Currency 5 3 3 6 5" xfId="14734" xr:uid="{7D63A350-4577-4B87-8C1B-1D143819D72D}"/>
    <cellStyle name="Currency 5 3 3 7" xfId="2439" xr:uid="{00000000-0005-0000-0000-0000060D0000}"/>
    <cellStyle name="Currency 5 3 3 7 2" xfId="6725" xr:uid="{00000000-0005-0000-0000-0000070D0000}"/>
    <cellStyle name="Currency 5 3 3 7 3" xfId="10936" xr:uid="{62F2FD18-B066-4413-B961-A43D261BF4D5}"/>
    <cellStyle name="Currency 5 3 3 7 4" xfId="15147" xr:uid="{5394C4F6-6967-4B7D-92CA-F0AAA5921957}"/>
    <cellStyle name="Currency 5 3 3 8" xfId="2736" xr:uid="{00000000-0005-0000-0000-0000080D0000}"/>
    <cellStyle name="Currency 5 3 3 9" xfId="2817" xr:uid="{00000000-0005-0000-0000-0000090D0000}"/>
    <cellStyle name="Currency 5 3 3 9 2" xfId="7042" xr:uid="{00000000-0005-0000-0000-00000A0D0000}"/>
    <cellStyle name="Currency 5 3 3 9 3" xfId="11253" xr:uid="{1377A57B-EAEF-446F-A51E-16D77B90B73D}"/>
    <cellStyle name="Currency 5 3 3 9 4" xfId="15464" xr:uid="{3532CE9F-EC6F-4112-8296-66E13ED298E6}"/>
    <cellStyle name="Currency 5 3 4" xfId="216" xr:uid="{00000000-0005-0000-0000-00000B0D0000}"/>
    <cellStyle name="Currency 5 3 4 10" xfId="8872" xr:uid="{11784C69-D7DE-4DF5-8035-AF48F7D33E04}"/>
    <cellStyle name="Currency 5 3 4 11" xfId="13083" xr:uid="{49CEBDC2-3D87-46A1-A72B-1E82CEFDDBAE}"/>
    <cellStyle name="Currency 5 3 4 2" xfId="743" xr:uid="{00000000-0005-0000-0000-00000C0D0000}"/>
    <cellStyle name="Currency 5 3 4 2 2" xfId="2996" xr:uid="{00000000-0005-0000-0000-00000D0D0000}"/>
    <cellStyle name="Currency 5 3 4 2 2 2" xfId="7220" xr:uid="{00000000-0005-0000-0000-00000E0D0000}"/>
    <cellStyle name="Currency 5 3 4 2 2 3" xfId="11431" xr:uid="{361EA311-AA91-456E-86F9-81BB90F60EAD}"/>
    <cellStyle name="Currency 5 3 4 2 2 4" xfId="15642" xr:uid="{B23C94FD-EBE0-450C-80D6-89F1240EA24A}"/>
    <cellStyle name="Currency 5 3 4 2 3" xfId="5075" xr:uid="{00000000-0005-0000-0000-00000F0D0000}"/>
    <cellStyle name="Currency 5 3 4 2 4" xfId="9286" xr:uid="{EF631FDE-9480-4776-9454-B578FDED4E63}"/>
    <cellStyle name="Currency 5 3 4 2 5" xfId="13497" xr:uid="{C19F6476-193A-4227-87B4-656487B03DA9}"/>
    <cellStyle name="Currency 5 3 4 3" xfId="1178" xr:uid="{00000000-0005-0000-0000-0000100D0000}"/>
    <cellStyle name="Currency 5 3 4 3 2" xfId="3409" xr:uid="{00000000-0005-0000-0000-0000110D0000}"/>
    <cellStyle name="Currency 5 3 4 3 2 2" xfId="7633" xr:uid="{00000000-0005-0000-0000-0000120D0000}"/>
    <cellStyle name="Currency 5 3 4 3 2 3" xfId="11844" xr:uid="{6B73332D-6DB0-48DF-8D48-4DD5117E7DAA}"/>
    <cellStyle name="Currency 5 3 4 3 2 4" xfId="16055" xr:uid="{4220F3BC-057C-4028-93BE-8CBB9239FB7D}"/>
    <cellStyle name="Currency 5 3 4 3 3" xfId="5488" xr:uid="{00000000-0005-0000-0000-0000130D0000}"/>
    <cellStyle name="Currency 5 3 4 3 4" xfId="9699" xr:uid="{81F6B922-1680-4BBB-BB9F-D89F860BF8FB}"/>
    <cellStyle name="Currency 5 3 4 3 5" xfId="13910" xr:uid="{C5507224-8C15-439E-B5B9-FD90DC5EB785}"/>
    <cellStyle name="Currency 5 3 4 4" xfId="1592" xr:uid="{00000000-0005-0000-0000-0000140D0000}"/>
    <cellStyle name="Currency 5 3 4 4 2" xfId="3822" xr:uid="{00000000-0005-0000-0000-0000150D0000}"/>
    <cellStyle name="Currency 5 3 4 4 2 2" xfId="8046" xr:uid="{00000000-0005-0000-0000-0000160D0000}"/>
    <cellStyle name="Currency 5 3 4 4 2 3" xfId="12257" xr:uid="{96ED8BCE-C935-48B5-9B5B-533A426BD549}"/>
    <cellStyle name="Currency 5 3 4 4 2 4" xfId="16468" xr:uid="{30B71F0E-ABC3-49A0-94DE-704FA55EAAF8}"/>
    <cellStyle name="Currency 5 3 4 4 3" xfId="5901" xr:uid="{00000000-0005-0000-0000-0000170D0000}"/>
    <cellStyle name="Currency 5 3 4 4 4" xfId="10112" xr:uid="{A1B8EF91-34A0-40F1-9B42-410B078035D8}"/>
    <cellStyle name="Currency 5 3 4 4 5" xfId="14323" xr:uid="{29C53A92-6659-4171-9880-5B3F3778FA47}"/>
    <cellStyle name="Currency 5 3 4 5" xfId="2006" xr:uid="{00000000-0005-0000-0000-0000180D0000}"/>
    <cellStyle name="Currency 5 3 4 5 2" xfId="4235" xr:uid="{00000000-0005-0000-0000-0000190D0000}"/>
    <cellStyle name="Currency 5 3 4 5 2 2" xfId="8459" xr:uid="{00000000-0005-0000-0000-00001A0D0000}"/>
    <cellStyle name="Currency 5 3 4 5 2 3" xfId="12670" xr:uid="{3B3FCCBC-9AB4-4803-B579-B0E80C7562FB}"/>
    <cellStyle name="Currency 5 3 4 5 2 4" xfId="16881" xr:uid="{CCCC30EA-77CD-45D6-9467-0E2585342B0B}"/>
    <cellStyle name="Currency 5 3 4 5 3" xfId="6314" xr:uid="{00000000-0005-0000-0000-00001B0D0000}"/>
    <cellStyle name="Currency 5 3 4 5 4" xfId="10525" xr:uid="{EE06A795-5D0E-4614-B055-822DB8EB4705}"/>
    <cellStyle name="Currency 5 3 4 5 5" xfId="14736" xr:uid="{82E5A471-F1E8-4876-AA4E-A7B3664DF437}"/>
    <cellStyle name="Currency 5 3 4 6" xfId="2441" xr:uid="{00000000-0005-0000-0000-00001C0D0000}"/>
    <cellStyle name="Currency 5 3 4 6 2" xfId="6727" xr:uid="{00000000-0005-0000-0000-00001D0D0000}"/>
    <cellStyle name="Currency 5 3 4 6 3" xfId="10938" xr:uid="{1C72F12A-B830-4F01-88A3-DA42CDD8D7A0}"/>
    <cellStyle name="Currency 5 3 4 6 4" xfId="15149" xr:uid="{A10E22A3-4EF5-4C56-B649-B58A3BE3C16B}"/>
    <cellStyle name="Currency 5 3 4 7" xfId="2738" xr:uid="{00000000-0005-0000-0000-00001E0D0000}"/>
    <cellStyle name="Currency 5 3 4 8" xfId="2819" xr:uid="{00000000-0005-0000-0000-00001F0D0000}"/>
    <cellStyle name="Currency 5 3 4 8 2" xfId="7044" xr:uid="{00000000-0005-0000-0000-0000200D0000}"/>
    <cellStyle name="Currency 5 3 4 8 3" xfId="11255" xr:uid="{9E4307CF-DABC-4347-972C-88687EB5F086}"/>
    <cellStyle name="Currency 5 3 4 8 4" xfId="15466" xr:uid="{EBE24D61-E07E-49C6-8838-8EF71A4F14F7}"/>
    <cellStyle name="Currency 5 3 4 9" xfId="4661" xr:uid="{00000000-0005-0000-0000-0000210D0000}"/>
    <cellStyle name="Currency 5 3 5" xfId="217" xr:uid="{00000000-0005-0000-0000-0000220D0000}"/>
    <cellStyle name="Currency 5 3 5 10" xfId="8873" xr:uid="{1A4361CF-0725-4C02-A518-BDE0A6305886}"/>
    <cellStyle name="Currency 5 3 5 11" xfId="13084" xr:uid="{511700C3-1A93-4435-BA55-F23D7F3B44C4}"/>
    <cellStyle name="Currency 5 3 5 2" xfId="744" xr:uid="{00000000-0005-0000-0000-0000230D0000}"/>
    <cellStyle name="Currency 5 3 5 2 2" xfId="2997" xr:uid="{00000000-0005-0000-0000-0000240D0000}"/>
    <cellStyle name="Currency 5 3 5 2 2 2" xfId="7221" xr:uid="{00000000-0005-0000-0000-0000250D0000}"/>
    <cellStyle name="Currency 5 3 5 2 2 3" xfId="11432" xr:uid="{2ACF8F31-986E-4656-9F54-A00165F1C010}"/>
    <cellStyle name="Currency 5 3 5 2 2 4" xfId="15643" xr:uid="{82BE2B56-3FF7-4531-A30B-BEC1028CBFCA}"/>
    <cellStyle name="Currency 5 3 5 2 3" xfId="5076" xr:uid="{00000000-0005-0000-0000-0000260D0000}"/>
    <cellStyle name="Currency 5 3 5 2 4" xfId="9287" xr:uid="{AADCEBA8-ACA5-4E6C-BF97-B8B5B7AFC7AC}"/>
    <cellStyle name="Currency 5 3 5 2 5" xfId="13498" xr:uid="{A073A58C-0980-4742-A170-DE407F3E0D1A}"/>
    <cellStyle name="Currency 5 3 5 3" xfId="1179" xr:uid="{00000000-0005-0000-0000-0000270D0000}"/>
    <cellStyle name="Currency 5 3 5 3 2" xfId="3410" xr:uid="{00000000-0005-0000-0000-0000280D0000}"/>
    <cellStyle name="Currency 5 3 5 3 2 2" xfId="7634" xr:uid="{00000000-0005-0000-0000-0000290D0000}"/>
    <cellStyle name="Currency 5 3 5 3 2 3" xfId="11845" xr:uid="{A2E8E62C-66D2-4E19-BC81-187E740CAE6C}"/>
    <cellStyle name="Currency 5 3 5 3 2 4" xfId="16056" xr:uid="{4DA24B6C-A2ED-40C7-9F17-D7646E0B5F66}"/>
    <cellStyle name="Currency 5 3 5 3 3" xfId="5489" xr:uid="{00000000-0005-0000-0000-00002A0D0000}"/>
    <cellStyle name="Currency 5 3 5 3 4" xfId="9700" xr:uid="{83E2A3D3-4F75-4803-950F-788A4CE61BE1}"/>
    <cellStyle name="Currency 5 3 5 3 5" xfId="13911" xr:uid="{A1B26CB3-B118-4570-AC7A-E9EBA17CA82B}"/>
    <cellStyle name="Currency 5 3 5 4" xfId="1593" xr:uid="{00000000-0005-0000-0000-00002B0D0000}"/>
    <cellStyle name="Currency 5 3 5 4 2" xfId="3823" xr:uid="{00000000-0005-0000-0000-00002C0D0000}"/>
    <cellStyle name="Currency 5 3 5 4 2 2" xfId="8047" xr:uid="{00000000-0005-0000-0000-00002D0D0000}"/>
    <cellStyle name="Currency 5 3 5 4 2 3" xfId="12258" xr:uid="{1906BC6D-248F-4E9D-A7C3-AC27AF08F48E}"/>
    <cellStyle name="Currency 5 3 5 4 2 4" xfId="16469" xr:uid="{BD1AF791-D865-46D1-B29F-DC6E79A7C43A}"/>
    <cellStyle name="Currency 5 3 5 4 3" xfId="5902" xr:uid="{00000000-0005-0000-0000-00002E0D0000}"/>
    <cellStyle name="Currency 5 3 5 4 4" xfId="10113" xr:uid="{6754C0CF-9512-4F16-BA09-DA2E723A9D64}"/>
    <cellStyle name="Currency 5 3 5 4 5" xfId="14324" xr:uid="{DF1DF4C7-4267-4CD6-8E38-C88920082861}"/>
    <cellStyle name="Currency 5 3 5 5" xfId="2007" xr:uid="{00000000-0005-0000-0000-00002F0D0000}"/>
    <cellStyle name="Currency 5 3 5 5 2" xfId="4236" xr:uid="{00000000-0005-0000-0000-0000300D0000}"/>
    <cellStyle name="Currency 5 3 5 5 2 2" xfId="8460" xr:uid="{00000000-0005-0000-0000-0000310D0000}"/>
    <cellStyle name="Currency 5 3 5 5 2 3" xfId="12671" xr:uid="{2F729698-FC77-4333-81FF-69938E3CF711}"/>
    <cellStyle name="Currency 5 3 5 5 2 4" xfId="16882" xr:uid="{3560BB87-6D21-4960-ABC5-F668FCF2F787}"/>
    <cellStyle name="Currency 5 3 5 5 3" xfId="6315" xr:uid="{00000000-0005-0000-0000-0000320D0000}"/>
    <cellStyle name="Currency 5 3 5 5 4" xfId="10526" xr:uid="{DCC2268A-F2E7-456D-B132-109FA8FAAEC6}"/>
    <cellStyle name="Currency 5 3 5 5 5" xfId="14737" xr:uid="{2B20665F-D12D-4641-97CA-943F84D0D1C3}"/>
    <cellStyle name="Currency 5 3 5 6" xfId="2442" xr:uid="{00000000-0005-0000-0000-0000330D0000}"/>
    <cellStyle name="Currency 5 3 5 6 2" xfId="6728" xr:uid="{00000000-0005-0000-0000-0000340D0000}"/>
    <cellStyle name="Currency 5 3 5 6 3" xfId="10939" xr:uid="{1D969E32-4FD8-4319-8F77-85CD3D715BB1}"/>
    <cellStyle name="Currency 5 3 5 6 4" xfId="15150" xr:uid="{66726DCA-76B0-4311-8C44-BF66DEDA1C24}"/>
    <cellStyle name="Currency 5 3 5 7" xfId="2739" xr:uid="{00000000-0005-0000-0000-0000350D0000}"/>
    <cellStyle name="Currency 5 3 5 8" xfId="2820" xr:uid="{00000000-0005-0000-0000-0000360D0000}"/>
    <cellStyle name="Currency 5 3 5 8 2" xfId="7045" xr:uid="{00000000-0005-0000-0000-0000370D0000}"/>
    <cellStyle name="Currency 5 3 5 8 3" xfId="11256" xr:uid="{673C22A3-C015-4EFA-90CD-971EE5BF6A58}"/>
    <cellStyle name="Currency 5 3 5 8 4" xfId="15467" xr:uid="{F344035F-DD57-40C5-9CAE-952964532FEF}"/>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11" xfId="8874" xr:uid="{47B7C6AE-D5BB-4140-9CE2-DEA8BCF15F5D}"/>
    <cellStyle name="Currency 5 5 12" xfId="13085" xr:uid="{6D45023C-56D0-46DF-9D43-955A06DB8CA9}"/>
    <cellStyle name="Currency 5 5 2" xfId="220" xr:uid="{00000000-0005-0000-0000-00003D0D0000}"/>
    <cellStyle name="Currency 5 5 2 10" xfId="8875" xr:uid="{75323688-2297-433E-A447-DA02003E69C2}"/>
    <cellStyle name="Currency 5 5 2 11" xfId="13086" xr:uid="{5D20C661-145C-4731-B7C6-8EA41A8CEA85}"/>
    <cellStyle name="Currency 5 5 2 2" xfId="747" xr:uid="{00000000-0005-0000-0000-00003E0D0000}"/>
    <cellStyle name="Currency 5 5 2 2 2" xfId="2999" xr:uid="{00000000-0005-0000-0000-00003F0D0000}"/>
    <cellStyle name="Currency 5 5 2 2 2 2" xfId="7223" xr:uid="{00000000-0005-0000-0000-0000400D0000}"/>
    <cellStyle name="Currency 5 5 2 2 2 3" xfId="11434" xr:uid="{4143D510-5E1B-4892-A662-DD717AE5740E}"/>
    <cellStyle name="Currency 5 5 2 2 2 4" xfId="15645" xr:uid="{8C1C18A0-8076-47B8-BFCC-2E6DA0298F16}"/>
    <cellStyle name="Currency 5 5 2 2 3" xfId="5078" xr:uid="{00000000-0005-0000-0000-0000410D0000}"/>
    <cellStyle name="Currency 5 5 2 2 4" xfId="9289" xr:uid="{58DC3CDD-4109-4ADA-AA76-8249FB862077}"/>
    <cellStyle name="Currency 5 5 2 2 5" xfId="13500" xr:uid="{4DF2CBE5-D378-473B-A550-E9502137C56D}"/>
    <cellStyle name="Currency 5 5 2 3" xfId="1181" xr:uid="{00000000-0005-0000-0000-0000420D0000}"/>
    <cellStyle name="Currency 5 5 2 3 2" xfId="3412" xr:uid="{00000000-0005-0000-0000-0000430D0000}"/>
    <cellStyle name="Currency 5 5 2 3 2 2" xfId="7636" xr:uid="{00000000-0005-0000-0000-0000440D0000}"/>
    <cellStyle name="Currency 5 5 2 3 2 3" xfId="11847" xr:uid="{0C4E91D9-C310-4E40-B897-42B82BB6B2B5}"/>
    <cellStyle name="Currency 5 5 2 3 2 4" xfId="16058" xr:uid="{016F99FC-367F-4455-A6C1-381D558FAE21}"/>
    <cellStyle name="Currency 5 5 2 3 3" xfId="5491" xr:uid="{00000000-0005-0000-0000-0000450D0000}"/>
    <cellStyle name="Currency 5 5 2 3 4" xfId="9702" xr:uid="{375E55A4-DE88-4906-9DE6-F7E93C85CD64}"/>
    <cellStyle name="Currency 5 5 2 3 5" xfId="13913" xr:uid="{063857A3-1056-4204-90E4-467FE54648FE}"/>
    <cellStyle name="Currency 5 5 2 4" xfId="1595" xr:uid="{00000000-0005-0000-0000-0000460D0000}"/>
    <cellStyle name="Currency 5 5 2 4 2" xfId="3825" xr:uid="{00000000-0005-0000-0000-0000470D0000}"/>
    <cellStyle name="Currency 5 5 2 4 2 2" xfId="8049" xr:uid="{00000000-0005-0000-0000-0000480D0000}"/>
    <cellStyle name="Currency 5 5 2 4 2 3" xfId="12260" xr:uid="{A2A3EB84-DE35-445D-8123-F562C0CC3D72}"/>
    <cellStyle name="Currency 5 5 2 4 2 4" xfId="16471" xr:uid="{103BC280-A0D3-48CE-91EA-2CE3FAED5377}"/>
    <cellStyle name="Currency 5 5 2 4 3" xfId="5904" xr:uid="{00000000-0005-0000-0000-0000490D0000}"/>
    <cellStyle name="Currency 5 5 2 4 4" xfId="10115" xr:uid="{FE76CE27-9E79-4315-8F9F-F5D76518CE04}"/>
    <cellStyle name="Currency 5 5 2 4 5" xfId="14326" xr:uid="{7DB2B66B-E4BC-4E42-8E16-5DFEDD76D0CB}"/>
    <cellStyle name="Currency 5 5 2 5" xfId="2009" xr:uid="{00000000-0005-0000-0000-00004A0D0000}"/>
    <cellStyle name="Currency 5 5 2 5 2" xfId="4238" xr:uid="{00000000-0005-0000-0000-00004B0D0000}"/>
    <cellStyle name="Currency 5 5 2 5 2 2" xfId="8462" xr:uid="{00000000-0005-0000-0000-00004C0D0000}"/>
    <cellStyle name="Currency 5 5 2 5 2 3" xfId="12673" xr:uid="{7CA216A4-FB1A-4165-9F71-6432B84CE544}"/>
    <cellStyle name="Currency 5 5 2 5 2 4" xfId="16884" xr:uid="{E8D36F76-1F47-4EEE-A308-8B489ADF67B5}"/>
    <cellStyle name="Currency 5 5 2 5 3" xfId="6317" xr:uid="{00000000-0005-0000-0000-00004D0D0000}"/>
    <cellStyle name="Currency 5 5 2 5 4" xfId="10528" xr:uid="{6453052E-1F81-4A8E-867F-7FE6B1A1727E}"/>
    <cellStyle name="Currency 5 5 2 5 5" xfId="14739" xr:uid="{F42D5F46-A47E-43D3-8372-C77739F6854A}"/>
    <cellStyle name="Currency 5 5 2 6" xfId="2444" xr:uid="{00000000-0005-0000-0000-00004E0D0000}"/>
    <cellStyle name="Currency 5 5 2 6 2" xfId="6730" xr:uid="{00000000-0005-0000-0000-00004F0D0000}"/>
    <cellStyle name="Currency 5 5 2 6 3" xfId="10941" xr:uid="{B5F93AA8-ACE1-414A-881D-437910AF51CD}"/>
    <cellStyle name="Currency 5 5 2 6 4" xfId="15152" xr:uid="{00270F3C-4DEF-4913-878B-A4907556664F}"/>
    <cellStyle name="Currency 5 5 2 7" xfId="2741" xr:uid="{00000000-0005-0000-0000-0000500D0000}"/>
    <cellStyle name="Currency 5 5 2 8" xfId="2822" xr:uid="{00000000-0005-0000-0000-0000510D0000}"/>
    <cellStyle name="Currency 5 5 2 8 2" xfId="7047" xr:uid="{00000000-0005-0000-0000-0000520D0000}"/>
    <cellStyle name="Currency 5 5 2 8 3" xfId="11258" xr:uid="{F267DE44-1C64-42F5-8303-D85762C458B1}"/>
    <cellStyle name="Currency 5 5 2 8 4" xfId="15469" xr:uid="{E29E7768-78F2-4AA0-8118-BAA42296F383}"/>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2 3" xfId="11433" xr:uid="{694AAB0A-D72D-4CE2-83C2-269BB55823EE}"/>
    <cellStyle name="Currency 5 5 3 2 4" xfId="15644" xr:uid="{6A13D31C-BF9B-4101-B7AB-3DD405D427F9}"/>
    <cellStyle name="Currency 5 5 3 3" xfId="5077" xr:uid="{00000000-0005-0000-0000-0000570D0000}"/>
    <cellStyle name="Currency 5 5 3 4" xfId="9288" xr:uid="{2BE4E510-876E-42BF-85A5-D0D02DC3F2BB}"/>
    <cellStyle name="Currency 5 5 3 5" xfId="13499" xr:uid="{6D359EB5-ABCA-4A80-8227-A44925A5B98D}"/>
    <cellStyle name="Currency 5 5 4" xfId="1180" xr:uid="{00000000-0005-0000-0000-0000580D0000}"/>
    <cellStyle name="Currency 5 5 4 2" xfId="3411" xr:uid="{00000000-0005-0000-0000-0000590D0000}"/>
    <cellStyle name="Currency 5 5 4 2 2" xfId="7635" xr:uid="{00000000-0005-0000-0000-00005A0D0000}"/>
    <cellStyle name="Currency 5 5 4 2 3" xfId="11846" xr:uid="{E7D7432E-A47A-4AB3-BF2D-3DCDE48FE054}"/>
    <cellStyle name="Currency 5 5 4 2 4" xfId="16057" xr:uid="{E6B60834-9A68-49D6-98D8-101F965F0F58}"/>
    <cellStyle name="Currency 5 5 4 3" xfId="5490" xr:uid="{00000000-0005-0000-0000-00005B0D0000}"/>
    <cellStyle name="Currency 5 5 4 4" xfId="9701" xr:uid="{CD01B515-5C3D-4EB6-AD30-89F1965A0E0A}"/>
    <cellStyle name="Currency 5 5 4 5" xfId="13912" xr:uid="{2CC17B67-056E-4399-B51D-335E261F42C9}"/>
    <cellStyle name="Currency 5 5 5" xfId="1594" xr:uid="{00000000-0005-0000-0000-00005C0D0000}"/>
    <cellStyle name="Currency 5 5 5 2" xfId="3824" xr:uid="{00000000-0005-0000-0000-00005D0D0000}"/>
    <cellStyle name="Currency 5 5 5 2 2" xfId="8048" xr:uid="{00000000-0005-0000-0000-00005E0D0000}"/>
    <cellStyle name="Currency 5 5 5 2 3" xfId="12259" xr:uid="{BB61BD66-554A-40D3-B54F-ED892FFEC807}"/>
    <cellStyle name="Currency 5 5 5 2 4" xfId="16470" xr:uid="{42A5A90A-4709-4F47-A0AD-79AD327F92B2}"/>
    <cellStyle name="Currency 5 5 5 3" xfId="5903" xr:uid="{00000000-0005-0000-0000-00005F0D0000}"/>
    <cellStyle name="Currency 5 5 5 4" xfId="10114" xr:uid="{3A079BAF-2E6C-4D04-B9A7-E0B79484D4AB}"/>
    <cellStyle name="Currency 5 5 5 5" xfId="14325" xr:uid="{AE7E1ECB-BFE9-406A-B204-8A4451D9E899}"/>
    <cellStyle name="Currency 5 5 6" xfId="2008" xr:uid="{00000000-0005-0000-0000-0000600D0000}"/>
    <cellStyle name="Currency 5 5 6 2" xfId="4237" xr:uid="{00000000-0005-0000-0000-0000610D0000}"/>
    <cellStyle name="Currency 5 5 6 2 2" xfId="8461" xr:uid="{00000000-0005-0000-0000-0000620D0000}"/>
    <cellStyle name="Currency 5 5 6 2 3" xfId="12672" xr:uid="{30EEBD03-ED87-4F63-B3C1-28C61C10116F}"/>
    <cellStyle name="Currency 5 5 6 2 4" xfId="16883" xr:uid="{C89E3379-3F2F-4357-A502-568D626DEF68}"/>
    <cellStyle name="Currency 5 5 6 3" xfId="6316" xr:uid="{00000000-0005-0000-0000-0000630D0000}"/>
    <cellStyle name="Currency 5 5 6 4" xfId="10527" xr:uid="{94B9F71E-3134-4FC2-85AA-A168CB081F79}"/>
    <cellStyle name="Currency 5 5 6 5" xfId="14738" xr:uid="{6A44A93C-6605-469F-B027-83627E94C385}"/>
    <cellStyle name="Currency 5 5 7" xfId="2443" xr:uid="{00000000-0005-0000-0000-0000640D0000}"/>
    <cellStyle name="Currency 5 5 7 2" xfId="6729" xr:uid="{00000000-0005-0000-0000-0000650D0000}"/>
    <cellStyle name="Currency 5 5 7 3" xfId="10940" xr:uid="{2F1A13FC-1491-4CD7-9433-4E0BBD69530E}"/>
    <cellStyle name="Currency 5 5 7 4" xfId="15151" xr:uid="{B6C6818E-2DB3-4910-978A-6D5D1F675B51}"/>
    <cellStyle name="Currency 5 5 8" xfId="2740" xr:uid="{00000000-0005-0000-0000-0000660D0000}"/>
    <cellStyle name="Currency 5 5 9" xfId="2821" xr:uid="{00000000-0005-0000-0000-0000670D0000}"/>
    <cellStyle name="Currency 5 5 9 2" xfId="7046" xr:uid="{00000000-0005-0000-0000-0000680D0000}"/>
    <cellStyle name="Currency 5 5 9 3" xfId="11257" xr:uid="{E6CC6343-1625-4320-9E33-2B7A175CC658}"/>
    <cellStyle name="Currency 5 5 9 4" xfId="15468" xr:uid="{416295FD-4A06-421E-A2AF-4C00CED3C6A2}"/>
    <cellStyle name="Currency 5 6" xfId="221" xr:uid="{00000000-0005-0000-0000-0000690D0000}"/>
    <cellStyle name="Currency 5 6 10" xfId="8876" xr:uid="{432BE97E-9CFD-4505-A201-E42F21F9583B}"/>
    <cellStyle name="Currency 5 6 11" xfId="13087" xr:uid="{93387EF1-3002-400A-A07C-1CA8C0E0804A}"/>
    <cellStyle name="Currency 5 6 2" xfId="748" xr:uid="{00000000-0005-0000-0000-00006A0D0000}"/>
    <cellStyle name="Currency 5 6 2 2" xfId="3000" xr:uid="{00000000-0005-0000-0000-00006B0D0000}"/>
    <cellStyle name="Currency 5 6 2 2 2" xfId="7224" xr:uid="{00000000-0005-0000-0000-00006C0D0000}"/>
    <cellStyle name="Currency 5 6 2 2 3" xfId="11435" xr:uid="{40B46B0D-83F8-4F50-B122-B98F0B49D7E9}"/>
    <cellStyle name="Currency 5 6 2 2 4" xfId="15646" xr:uid="{A229EEB8-1570-4C5C-8047-D1462086CBEE}"/>
    <cellStyle name="Currency 5 6 2 3" xfId="5079" xr:uid="{00000000-0005-0000-0000-00006D0D0000}"/>
    <cellStyle name="Currency 5 6 2 4" xfId="9290" xr:uid="{1826CC6A-3AC0-47A5-A765-75DC37F5FD40}"/>
    <cellStyle name="Currency 5 6 2 5" xfId="13501" xr:uid="{3EE7B7B4-DCF9-4AA9-AA42-A882431ACB7F}"/>
    <cellStyle name="Currency 5 6 3" xfId="1182" xr:uid="{00000000-0005-0000-0000-00006E0D0000}"/>
    <cellStyle name="Currency 5 6 3 2" xfId="3413" xr:uid="{00000000-0005-0000-0000-00006F0D0000}"/>
    <cellStyle name="Currency 5 6 3 2 2" xfId="7637" xr:uid="{00000000-0005-0000-0000-0000700D0000}"/>
    <cellStyle name="Currency 5 6 3 2 3" xfId="11848" xr:uid="{0D46AB0C-F9E9-4C20-BE8D-645FA1497A2B}"/>
    <cellStyle name="Currency 5 6 3 2 4" xfId="16059" xr:uid="{FA1DE54A-8385-4D34-B53D-A047575AC6C5}"/>
    <cellStyle name="Currency 5 6 3 3" xfId="5492" xr:uid="{00000000-0005-0000-0000-0000710D0000}"/>
    <cellStyle name="Currency 5 6 3 4" xfId="9703" xr:uid="{837F189C-53D0-455B-9C14-978881E69062}"/>
    <cellStyle name="Currency 5 6 3 5" xfId="13914" xr:uid="{E8A7E96A-D543-4B33-AA3C-F08098DE28B1}"/>
    <cellStyle name="Currency 5 6 4" xfId="1596" xr:uid="{00000000-0005-0000-0000-0000720D0000}"/>
    <cellStyle name="Currency 5 6 4 2" xfId="3826" xr:uid="{00000000-0005-0000-0000-0000730D0000}"/>
    <cellStyle name="Currency 5 6 4 2 2" xfId="8050" xr:uid="{00000000-0005-0000-0000-0000740D0000}"/>
    <cellStyle name="Currency 5 6 4 2 3" xfId="12261" xr:uid="{DEDF45F7-ECC0-44E1-98D6-BB6327678176}"/>
    <cellStyle name="Currency 5 6 4 2 4" xfId="16472" xr:uid="{F3310420-D2C6-4DD1-993E-893A9ADC3775}"/>
    <cellStyle name="Currency 5 6 4 3" xfId="5905" xr:uid="{00000000-0005-0000-0000-0000750D0000}"/>
    <cellStyle name="Currency 5 6 4 4" xfId="10116" xr:uid="{4CDECE98-0B2D-4AC6-A922-A4FDBC5A6F12}"/>
    <cellStyle name="Currency 5 6 4 5" xfId="14327" xr:uid="{7DB5B225-5C86-4E8C-9AB3-A7244AB749A8}"/>
    <cellStyle name="Currency 5 6 5" xfId="2010" xr:uid="{00000000-0005-0000-0000-0000760D0000}"/>
    <cellStyle name="Currency 5 6 5 2" xfId="4239" xr:uid="{00000000-0005-0000-0000-0000770D0000}"/>
    <cellStyle name="Currency 5 6 5 2 2" xfId="8463" xr:uid="{00000000-0005-0000-0000-0000780D0000}"/>
    <cellStyle name="Currency 5 6 5 2 3" xfId="12674" xr:uid="{794E7367-97DB-4FD8-AF43-234E1D712B61}"/>
    <cellStyle name="Currency 5 6 5 2 4" xfId="16885" xr:uid="{65065027-D05C-48AB-BAD6-050C30C00ECC}"/>
    <cellStyle name="Currency 5 6 5 3" xfId="6318" xr:uid="{00000000-0005-0000-0000-0000790D0000}"/>
    <cellStyle name="Currency 5 6 5 4" xfId="10529" xr:uid="{D29A4F78-B7FD-48FF-89DA-34E2DC33F179}"/>
    <cellStyle name="Currency 5 6 5 5" xfId="14740" xr:uid="{AEADC622-0C39-4219-81A8-F8EBD4A4E0F9}"/>
    <cellStyle name="Currency 5 6 6" xfId="2445" xr:uid="{00000000-0005-0000-0000-00007A0D0000}"/>
    <cellStyle name="Currency 5 6 6 2" xfId="6731" xr:uid="{00000000-0005-0000-0000-00007B0D0000}"/>
    <cellStyle name="Currency 5 6 6 3" xfId="10942" xr:uid="{667B8FAC-C92D-415B-B2DB-DA659E4B3D37}"/>
    <cellStyle name="Currency 5 6 6 4" xfId="15153" xr:uid="{C57E0E22-98AA-4D16-915F-44D340E95C84}"/>
    <cellStyle name="Currency 5 6 7" xfId="2742" xr:uid="{00000000-0005-0000-0000-00007C0D0000}"/>
    <cellStyle name="Currency 5 6 8" xfId="2823" xr:uid="{00000000-0005-0000-0000-00007D0D0000}"/>
    <cellStyle name="Currency 5 6 8 2" xfId="7048" xr:uid="{00000000-0005-0000-0000-00007E0D0000}"/>
    <cellStyle name="Currency 5 6 8 3" xfId="11259" xr:uid="{0F84F5CE-FB06-4BA1-943D-21BF62AC50E0}"/>
    <cellStyle name="Currency 5 6 8 4" xfId="15470" xr:uid="{0C005139-CFE2-4561-B2F9-982A59DEDE99}"/>
    <cellStyle name="Currency 5 6 9" xfId="4665" xr:uid="{00000000-0005-0000-0000-00007F0D0000}"/>
    <cellStyle name="Currency 5 7" xfId="222" xr:uid="{00000000-0005-0000-0000-0000800D0000}"/>
    <cellStyle name="Currency 5 7 10" xfId="8877" xr:uid="{B9896662-02B3-4757-99A1-B4CA0CEDA8CD}"/>
    <cellStyle name="Currency 5 7 11" xfId="13088" xr:uid="{A4018629-D4AC-4010-9CC9-773D1FC75082}"/>
    <cellStyle name="Currency 5 7 2" xfId="749" xr:uid="{00000000-0005-0000-0000-0000810D0000}"/>
    <cellStyle name="Currency 5 7 2 2" xfId="3001" xr:uid="{00000000-0005-0000-0000-0000820D0000}"/>
    <cellStyle name="Currency 5 7 2 2 2" xfId="7225" xr:uid="{00000000-0005-0000-0000-0000830D0000}"/>
    <cellStyle name="Currency 5 7 2 2 3" xfId="11436" xr:uid="{297A1AC7-324C-43DE-8206-D93F53358F7B}"/>
    <cellStyle name="Currency 5 7 2 2 4" xfId="15647" xr:uid="{54A8A1C2-00D2-411D-A8D8-FE66CD6594FB}"/>
    <cellStyle name="Currency 5 7 2 3" xfId="5080" xr:uid="{00000000-0005-0000-0000-0000840D0000}"/>
    <cellStyle name="Currency 5 7 2 4" xfId="9291" xr:uid="{53D0E99F-91D9-452C-AE82-D8463767CB0F}"/>
    <cellStyle name="Currency 5 7 2 5" xfId="13502" xr:uid="{B97769F2-8E47-4773-8ADA-F79958462D62}"/>
    <cellStyle name="Currency 5 7 3" xfId="1183" xr:uid="{00000000-0005-0000-0000-0000850D0000}"/>
    <cellStyle name="Currency 5 7 3 2" xfId="3414" xr:uid="{00000000-0005-0000-0000-0000860D0000}"/>
    <cellStyle name="Currency 5 7 3 2 2" xfId="7638" xr:uid="{00000000-0005-0000-0000-0000870D0000}"/>
    <cellStyle name="Currency 5 7 3 2 3" xfId="11849" xr:uid="{17F2AF5A-F80A-4FDC-9E40-568763CA1B8B}"/>
    <cellStyle name="Currency 5 7 3 2 4" xfId="16060" xr:uid="{69A93D94-5359-47C4-A90A-DA590FA87E8D}"/>
    <cellStyle name="Currency 5 7 3 3" xfId="5493" xr:uid="{00000000-0005-0000-0000-0000880D0000}"/>
    <cellStyle name="Currency 5 7 3 4" xfId="9704" xr:uid="{E19ADFD0-4716-433C-A7B7-A675A1422FF6}"/>
    <cellStyle name="Currency 5 7 3 5" xfId="13915" xr:uid="{1C1E7249-0092-4B7A-BB74-FF32D88EA46A}"/>
    <cellStyle name="Currency 5 7 4" xfId="1597" xr:uid="{00000000-0005-0000-0000-0000890D0000}"/>
    <cellStyle name="Currency 5 7 4 2" xfId="3827" xr:uid="{00000000-0005-0000-0000-00008A0D0000}"/>
    <cellStyle name="Currency 5 7 4 2 2" xfId="8051" xr:uid="{00000000-0005-0000-0000-00008B0D0000}"/>
    <cellStyle name="Currency 5 7 4 2 3" xfId="12262" xr:uid="{5B48F461-2DB9-4579-85D1-E7396562AE87}"/>
    <cellStyle name="Currency 5 7 4 2 4" xfId="16473" xr:uid="{73A23181-D990-4443-ACB7-3711C232754F}"/>
    <cellStyle name="Currency 5 7 4 3" xfId="5906" xr:uid="{00000000-0005-0000-0000-00008C0D0000}"/>
    <cellStyle name="Currency 5 7 4 4" xfId="10117" xr:uid="{7AF904F6-6D7B-4E91-95ED-78B9DE54E36C}"/>
    <cellStyle name="Currency 5 7 4 5" xfId="14328" xr:uid="{0405494E-F28A-4454-A503-BFBD5FC8B9C7}"/>
    <cellStyle name="Currency 5 7 5" xfId="2011" xr:uid="{00000000-0005-0000-0000-00008D0D0000}"/>
    <cellStyle name="Currency 5 7 5 2" xfId="4240" xr:uid="{00000000-0005-0000-0000-00008E0D0000}"/>
    <cellStyle name="Currency 5 7 5 2 2" xfId="8464" xr:uid="{00000000-0005-0000-0000-00008F0D0000}"/>
    <cellStyle name="Currency 5 7 5 2 3" xfId="12675" xr:uid="{4CA8C68F-3735-442C-9A26-2ED6944F7D92}"/>
    <cellStyle name="Currency 5 7 5 2 4" xfId="16886" xr:uid="{9E05D1E5-DA49-40EB-B29F-0146D1C4EF75}"/>
    <cellStyle name="Currency 5 7 5 3" xfId="6319" xr:uid="{00000000-0005-0000-0000-0000900D0000}"/>
    <cellStyle name="Currency 5 7 5 4" xfId="10530" xr:uid="{116B61E1-0503-4BB7-90D9-F6C4706ECD4F}"/>
    <cellStyle name="Currency 5 7 5 5" xfId="14741" xr:uid="{824984C2-0659-4A2E-B2AB-5F0F4B926600}"/>
    <cellStyle name="Currency 5 7 6" xfId="2446" xr:uid="{00000000-0005-0000-0000-0000910D0000}"/>
    <cellStyle name="Currency 5 7 6 2" xfId="6732" xr:uid="{00000000-0005-0000-0000-0000920D0000}"/>
    <cellStyle name="Currency 5 7 6 3" xfId="10943" xr:uid="{AE8C81B4-FE07-414D-A50A-5CE7187B3D44}"/>
    <cellStyle name="Currency 5 7 6 4" xfId="15154" xr:uid="{0413458D-342D-44B7-AB58-39A8BE37672D}"/>
    <cellStyle name="Currency 5 7 7" xfId="2743" xr:uid="{00000000-0005-0000-0000-0000930D0000}"/>
    <cellStyle name="Currency 5 7 8" xfId="2824" xr:uid="{00000000-0005-0000-0000-0000940D0000}"/>
    <cellStyle name="Currency 5 7 8 2" xfId="7049" xr:uid="{00000000-0005-0000-0000-0000950D0000}"/>
    <cellStyle name="Currency 5 7 8 3" xfId="11260" xr:uid="{7EB4275F-E5B9-4F5F-B734-16DEE7239B2B}"/>
    <cellStyle name="Currency 5 7 8 4" xfId="15471" xr:uid="{D10F8DD7-CB45-4832-8AE8-CEA0D7818377}"/>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0 3" xfId="10944" xr:uid="{542C818D-88DE-4E9E-8337-B60C0C20F358}"/>
    <cellStyle name="Normal 12 10 4" xfId="15155" xr:uid="{53A6EAC0-F471-4BBF-903D-F7DF679CE9C3}"/>
    <cellStyle name="Normal 12 11" xfId="4667" xr:uid="{00000000-0005-0000-0000-0000CC0D0000}"/>
    <cellStyle name="Normal 12 12" xfId="8878" xr:uid="{BA236094-FB04-488E-83AD-E62CEBB5AFBE}"/>
    <cellStyle name="Normal 12 13" xfId="13089" xr:uid="{6BD68AB4-F44F-42C2-890A-058DBB6F77F0}"/>
    <cellStyle name="Normal 12 2" xfId="260" xr:uid="{00000000-0005-0000-0000-0000CD0D0000}"/>
    <cellStyle name="Normal 12 2 10" xfId="8879" xr:uid="{4C49CF7C-698D-49EE-BE29-7376FA6335BC}"/>
    <cellStyle name="Normal 12 2 11" xfId="13090" xr:uid="{D669B24F-D754-4155-8014-937C24EA6D39}"/>
    <cellStyle name="Normal 12 2 2" xfId="261" xr:uid="{00000000-0005-0000-0000-0000CE0D0000}"/>
    <cellStyle name="Normal 12 2 2 10" xfId="13091" xr:uid="{A9074178-3AF3-4385-8403-693A95D56B7E}"/>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2 3" xfId="11440" xr:uid="{94792EE0-D86B-4AF2-B65E-78B6E817514A}"/>
    <cellStyle name="Normal 12 2 2 2 2 2 4" xfId="15651" xr:uid="{86A75747-BED6-4C4D-A7D4-A988830EE46B}"/>
    <cellStyle name="Normal 12 2 2 2 2 3" xfId="5084" xr:uid="{00000000-0005-0000-0000-0000D30D0000}"/>
    <cellStyle name="Normal 12 2 2 2 2 4" xfId="9295" xr:uid="{27A75226-0247-48B3-A0E0-741D20684FB9}"/>
    <cellStyle name="Normal 12 2 2 2 2 5" xfId="13506" xr:uid="{9279D751-F33D-459A-8F6D-E1D14A3FFE1C}"/>
    <cellStyle name="Normal 12 2 2 2 3" xfId="1187" xr:uid="{00000000-0005-0000-0000-0000D40D0000}"/>
    <cellStyle name="Normal 12 2 2 2 3 2" xfId="3418" xr:uid="{00000000-0005-0000-0000-0000D50D0000}"/>
    <cellStyle name="Normal 12 2 2 2 3 2 2" xfId="7642" xr:uid="{00000000-0005-0000-0000-0000D60D0000}"/>
    <cellStyle name="Normal 12 2 2 2 3 2 3" xfId="11853" xr:uid="{38C10359-3FD1-445A-ACB3-2A20B6F3689B}"/>
    <cellStyle name="Normal 12 2 2 2 3 2 4" xfId="16064" xr:uid="{24DDACFC-4015-4CEB-A806-F6205AFA25C1}"/>
    <cellStyle name="Normal 12 2 2 2 3 3" xfId="5497" xr:uid="{00000000-0005-0000-0000-0000D70D0000}"/>
    <cellStyle name="Normal 12 2 2 2 3 4" xfId="9708" xr:uid="{880639BF-C417-4A39-8CC9-31CC639F1BEF}"/>
    <cellStyle name="Normal 12 2 2 2 3 5" xfId="13919" xr:uid="{BDB0AC6D-367C-468B-8D5C-C2D77355FD6E}"/>
    <cellStyle name="Normal 12 2 2 2 4" xfId="1601" xr:uid="{00000000-0005-0000-0000-0000D80D0000}"/>
    <cellStyle name="Normal 12 2 2 2 4 2" xfId="3831" xr:uid="{00000000-0005-0000-0000-0000D90D0000}"/>
    <cellStyle name="Normal 12 2 2 2 4 2 2" xfId="8055" xr:uid="{00000000-0005-0000-0000-0000DA0D0000}"/>
    <cellStyle name="Normal 12 2 2 2 4 2 3" xfId="12266" xr:uid="{5773A173-53AD-49C6-A4AD-10534C9F2F48}"/>
    <cellStyle name="Normal 12 2 2 2 4 2 4" xfId="16477" xr:uid="{F375B8BC-FC7F-4488-A37E-89726FEF152F}"/>
    <cellStyle name="Normal 12 2 2 2 4 3" xfId="5910" xr:uid="{00000000-0005-0000-0000-0000DB0D0000}"/>
    <cellStyle name="Normal 12 2 2 2 4 4" xfId="10121" xr:uid="{46AA1837-C5CB-4AA8-9F44-665BFB2D3427}"/>
    <cellStyle name="Normal 12 2 2 2 4 5" xfId="14332" xr:uid="{696BFCB5-A58F-4C81-826E-BC4752C26A08}"/>
    <cellStyle name="Normal 12 2 2 2 5" xfId="2015" xr:uid="{00000000-0005-0000-0000-0000DC0D0000}"/>
    <cellStyle name="Normal 12 2 2 2 5 2" xfId="4244" xr:uid="{00000000-0005-0000-0000-0000DD0D0000}"/>
    <cellStyle name="Normal 12 2 2 2 5 2 2" xfId="8468" xr:uid="{00000000-0005-0000-0000-0000DE0D0000}"/>
    <cellStyle name="Normal 12 2 2 2 5 2 3" xfId="12679" xr:uid="{3D0C564E-76B4-49F5-B044-22B47A36439F}"/>
    <cellStyle name="Normal 12 2 2 2 5 2 4" xfId="16890" xr:uid="{29ADE8FA-0715-4198-9647-EC36F987C658}"/>
    <cellStyle name="Normal 12 2 2 2 5 3" xfId="6323" xr:uid="{00000000-0005-0000-0000-0000DF0D0000}"/>
    <cellStyle name="Normal 12 2 2 2 5 4" xfId="10534" xr:uid="{E6F34A58-E07E-44AB-8199-7E2AE1191240}"/>
    <cellStyle name="Normal 12 2 2 2 5 5" xfId="14745" xr:uid="{B197E67C-9FE9-4C70-8999-0C867C39203A}"/>
    <cellStyle name="Normal 12 2 2 2 6" xfId="2451" xr:uid="{00000000-0005-0000-0000-0000E00D0000}"/>
    <cellStyle name="Normal 12 2 2 2 6 2" xfId="6736" xr:uid="{00000000-0005-0000-0000-0000E10D0000}"/>
    <cellStyle name="Normal 12 2 2 2 6 3" xfId="10947" xr:uid="{E1E8DA02-D095-40E7-A13B-162685F11C52}"/>
    <cellStyle name="Normal 12 2 2 2 6 4" xfId="15158" xr:uid="{EDA38FC5-D78F-493F-9D45-A06CAE5FBAAA}"/>
    <cellStyle name="Normal 12 2 2 2 7" xfId="4670" xr:uid="{00000000-0005-0000-0000-0000E20D0000}"/>
    <cellStyle name="Normal 12 2 2 2 8" xfId="8881" xr:uid="{010D2D21-ECBF-485E-B912-5512D3713307}"/>
    <cellStyle name="Normal 12 2 2 2 9" xfId="13092" xr:uid="{965B21E3-DCCE-4316-8FF2-2894B9679027}"/>
    <cellStyle name="Normal 12 2 2 3" xfId="763" xr:uid="{00000000-0005-0000-0000-0000E30D0000}"/>
    <cellStyle name="Normal 12 2 2 3 2" xfId="3004" xr:uid="{00000000-0005-0000-0000-0000E40D0000}"/>
    <cellStyle name="Normal 12 2 2 3 2 2" xfId="7228" xr:uid="{00000000-0005-0000-0000-0000E50D0000}"/>
    <cellStyle name="Normal 12 2 2 3 2 3" xfId="11439" xr:uid="{D1E54C95-700E-4762-BCE2-2375267FC44C}"/>
    <cellStyle name="Normal 12 2 2 3 2 4" xfId="15650" xr:uid="{0A2D0FE9-8CCF-4D9F-B7A9-0FAE7DDBAD67}"/>
    <cellStyle name="Normal 12 2 2 3 3" xfId="5083" xr:uid="{00000000-0005-0000-0000-0000E60D0000}"/>
    <cellStyle name="Normal 12 2 2 3 4" xfId="9294" xr:uid="{9D9D6B2F-F8E6-4158-BF79-DA8F085D52A5}"/>
    <cellStyle name="Normal 12 2 2 3 5" xfId="13505" xr:uid="{383F8BCD-60CB-432E-871D-DAA3DCD1C67D}"/>
    <cellStyle name="Normal 12 2 2 4" xfId="1186" xr:uid="{00000000-0005-0000-0000-0000E70D0000}"/>
    <cellStyle name="Normal 12 2 2 4 2" xfId="3417" xr:uid="{00000000-0005-0000-0000-0000E80D0000}"/>
    <cellStyle name="Normal 12 2 2 4 2 2" xfId="7641" xr:uid="{00000000-0005-0000-0000-0000E90D0000}"/>
    <cellStyle name="Normal 12 2 2 4 2 3" xfId="11852" xr:uid="{623073CC-58C6-44D5-AED1-66C66B472119}"/>
    <cellStyle name="Normal 12 2 2 4 2 4" xfId="16063" xr:uid="{FF4AD012-8DD2-4505-8FAA-524A756A5909}"/>
    <cellStyle name="Normal 12 2 2 4 3" xfId="5496" xr:uid="{00000000-0005-0000-0000-0000EA0D0000}"/>
    <cellStyle name="Normal 12 2 2 4 4" xfId="9707" xr:uid="{7501D74F-255E-4C08-A619-2A9218431AF0}"/>
    <cellStyle name="Normal 12 2 2 4 5" xfId="13918" xr:uid="{6BAFE9F2-A951-4F75-AF98-935696F51000}"/>
    <cellStyle name="Normal 12 2 2 5" xfId="1600" xr:uid="{00000000-0005-0000-0000-0000EB0D0000}"/>
    <cellStyle name="Normal 12 2 2 5 2" xfId="3830" xr:uid="{00000000-0005-0000-0000-0000EC0D0000}"/>
    <cellStyle name="Normal 12 2 2 5 2 2" xfId="8054" xr:uid="{00000000-0005-0000-0000-0000ED0D0000}"/>
    <cellStyle name="Normal 12 2 2 5 2 3" xfId="12265" xr:uid="{80381DDA-0A0E-4C1B-A4BE-AD2B95C28C26}"/>
    <cellStyle name="Normal 12 2 2 5 2 4" xfId="16476" xr:uid="{1AFD3B4F-35AA-46F9-A97B-8FF691DEF32A}"/>
    <cellStyle name="Normal 12 2 2 5 3" xfId="5909" xr:uid="{00000000-0005-0000-0000-0000EE0D0000}"/>
    <cellStyle name="Normal 12 2 2 5 4" xfId="10120" xr:uid="{E67E2249-EA80-4A67-B9A7-2EC95A5CA123}"/>
    <cellStyle name="Normal 12 2 2 5 5" xfId="14331" xr:uid="{BE2CC131-4028-43D6-96FC-886EB28AF8F0}"/>
    <cellStyle name="Normal 12 2 2 6" xfId="2014" xr:uid="{00000000-0005-0000-0000-0000EF0D0000}"/>
    <cellStyle name="Normal 12 2 2 6 2" xfId="4243" xr:uid="{00000000-0005-0000-0000-0000F00D0000}"/>
    <cellStyle name="Normal 12 2 2 6 2 2" xfId="8467" xr:uid="{00000000-0005-0000-0000-0000F10D0000}"/>
    <cellStyle name="Normal 12 2 2 6 2 3" xfId="12678" xr:uid="{37954A23-1CED-47CC-8B6B-5E9C382C7C2B}"/>
    <cellStyle name="Normal 12 2 2 6 2 4" xfId="16889" xr:uid="{C99B812F-9B84-472F-8CEE-31C77E16950D}"/>
    <cellStyle name="Normal 12 2 2 6 3" xfId="6322" xr:uid="{00000000-0005-0000-0000-0000F20D0000}"/>
    <cellStyle name="Normal 12 2 2 6 4" xfId="10533" xr:uid="{84CA717F-36E1-4D63-83FC-EFE6EF5F89AF}"/>
    <cellStyle name="Normal 12 2 2 6 5" xfId="14744" xr:uid="{C8399BA5-FB8B-458E-B753-5F75C96D1C34}"/>
    <cellStyle name="Normal 12 2 2 7" xfId="2450" xr:uid="{00000000-0005-0000-0000-0000F30D0000}"/>
    <cellStyle name="Normal 12 2 2 7 2" xfId="6735" xr:uid="{00000000-0005-0000-0000-0000F40D0000}"/>
    <cellStyle name="Normal 12 2 2 7 3" xfId="10946" xr:uid="{42D0515D-405B-4E9A-8EBA-46895E4313E3}"/>
    <cellStyle name="Normal 12 2 2 7 4" xfId="15157" xr:uid="{D81187CE-E2B9-44F1-8ABA-DC8550FB85FE}"/>
    <cellStyle name="Normal 12 2 2 8" xfId="4669" xr:uid="{00000000-0005-0000-0000-0000F50D0000}"/>
    <cellStyle name="Normal 12 2 2 9" xfId="8880" xr:uid="{DC875519-A809-42D5-BD0F-4918FD7E9EF8}"/>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2 3" xfId="11441" xr:uid="{1D80B389-8FB8-4F0E-ACFF-3EFC63B83476}"/>
    <cellStyle name="Normal 12 2 3 2 2 4" xfId="15652" xr:uid="{889C9064-963A-49FE-9A59-6FCB216C1BD8}"/>
    <cellStyle name="Normal 12 2 3 2 3" xfId="5085" xr:uid="{00000000-0005-0000-0000-0000FA0D0000}"/>
    <cellStyle name="Normal 12 2 3 2 4" xfId="9296" xr:uid="{720F224B-405E-418B-BE28-13C24F3449F4}"/>
    <cellStyle name="Normal 12 2 3 2 5" xfId="13507" xr:uid="{AC407572-3D01-4D2D-B08A-79398B086EC1}"/>
    <cellStyle name="Normal 12 2 3 3" xfId="1188" xr:uid="{00000000-0005-0000-0000-0000FB0D0000}"/>
    <cellStyle name="Normal 12 2 3 3 2" xfId="3419" xr:uid="{00000000-0005-0000-0000-0000FC0D0000}"/>
    <cellStyle name="Normal 12 2 3 3 2 2" xfId="7643" xr:uid="{00000000-0005-0000-0000-0000FD0D0000}"/>
    <cellStyle name="Normal 12 2 3 3 2 3" xfId="11854" xr:uid="{E89A30D7-5217-45C9-8D94-7BAA0D23FE97}"/>
    <cellStyle name="Normal 12 2 3 3 2 4" xfId="16065" xr:uid="{E3DD4981-7316-4DF0-8773-89F7ABB74A26}"/>
    <cellStyle name="Normal 12 2 3 3 3" xfId="5498" xr:uid="{00000000-0005-0000-0000-0000FE0D0000}"/>
    <cellStyle name="Normal 12 2 3 3 4" xfId="9709" xr:uid="{F4E81871-6A0B-4D6D-903B-D8100B8419E8}"/>
    <cellStyle name="Normal 12 2 3 3 5" xfId="13920" xr:uid="{CBEA42CE-868B-487F-89C3-C31DD2D502E8}"/>
    <cellStyle name="Normal 12 2 3 4" xfId="1602" xr:uid="{00000000-0005-0000-0000-0000FF0D0000}"/>
    <cellStyle name="Normal 12 2 3 4 2" xfId="3832" xr:uid="{00000000-0005-0000-0000-0000000E0000}"/>
    <cellStyle name="Normal 12 2 3 4 2 2" xfId="8056" xr:uid="{00000000-0005-0000-0000-0000010E0000}"/>
    <cellStyle name="Normal 12 2 3 4 2 3" xfId="12267" xr:uid="{6EAB1A29-33B1-434E-A43A-4270004FC662}"/>
    <cellStyle name="Normal 12 2 3 4 2 4" xfId="16478" xr:uid="{0C0E9EDC-1CD3-447D-8EF9-27C192DA739C}"/>
    <cellStyle name="Normal 12 2 3 4 3" xfId="5911" xr:uid="{00000000-0005-0000-0000-0000020E0000}"/>
    <cellStyle name="Normal 12 2 3 4 4" xfId="10122" xr:uid="{B2CB95CB-EE1C-4A20-88AB-B384543B9189}"/>
    <cellStyle name="Normal 12 2 3 4 5" xfId="14333" xr:uid="{64A4F1DF-8BF9-4D76-AB85-A1220510F055}"/>
    <cellStyle name="Normal 12 2 3 5" xfId="2016" xr:uid="{00000000-0005-0000-0000-0000030E0000}"/>
    <cellStyle name="Normal 12 2 3 5 2" xfId="4245" xr:uid="{00000000-0005-0000-0000-0000040E0000}"/>
    <cellStyle name="Normal 12 2 3 5 2 2" xfId="8469" xr:uid="{00000000-0005-0000-0000-0000050E0000}"/>
    <cellStyle name="Normal 12 2 3 5 2 3" xfId="12680" xr:uid="{09243D0B-605E-49F1-A396-7B30B40D03AD}"/>
    <cellStyle name="Normal 12 2 3 5 2 4" xfId="16891" xr:uid="{8F68FD24-15FA-4267-8281-5D34D630B5CE}"/>
    <cellStyle name="Normal 12 2 3 5 3" xfId="6324" xr:uid="{00000000-0005-0000-0000-0000060E0000}"/>
    <cellStyle name="Normal 12 2 3 5 4" xfId="10535" xr:uid="{9D8B9412-2C3F-4E96-906F-7735A6FF4866}"/>
    <cellStyle name="Normal 12 2 3 5 5" xfId="14746" xr:uid="{6B2DDB1E-D6A8-40F1-B8C1-9431A8A3EFFE}"/>
    <cellStyle name="Normal 12 2 3 6" xfId="2452" xr:uid="{00000000-0005-0000-0000-0000070E0000}"/>
    <cellStyle name="Normal 12 2 3 6 2" xfId="6737" xr:uid="{00000000-0005-0000-0000-0000080E0000}"/>
    <cellStyle name="Normal 12 2 3 6 3" xfId="10948" xr:uid="{2C56B30E-1D22-4542-BEF3-5FADC579089E}"/>
    <cellStyle name="Normal 12 2 3 6 4" xfId="15159" xr:uid="{4553636D-3561-4B41-8838-73F885DF91EB}"/>
    <cellStyle name="Normal 12 2 3 7" xfId="4671" xr:uid="{00000000-0005-0000-0000-0000090E0000}"/>
    <cellStyle name="Normal 12 2 3 8" xfId="8882" xr:uid="{5654493C-6CD9-471C-8856-0C5D79801B6C}"/>
    <cellStyle name="Normal 12 2 3 9" xfId="13093" xr:uid="{0B400753-63D1-44CB-9EC8-451E6FBBA1B6}"/>
    <cellStyle name="Normal 12 2 4" xfId="762" xr:uid="{00000000-0005-0000-0000-00000A0E0000}"/>
    <cellStyle name="Normal 12 2 4 2" xfId="3003" xr:uid="{00000000-0005-0000-0000-00000B0E0000}"/>
    <cellStyle name="Normal 12 2 4 2 2" xfId="7227" xr:uid="{00000000-0005-0000-0000-00000C0E0000}"/>
    <cellStyle name="Normal 12 2 4 2 3" xfId="11438" xr:uid="{CE99D3B8-19AA-4401-A066-AC5A06A7B79C}"/>
    <cellStyle name="Normal 12 2 4 2 4" xfId="15649" xr:uid="{121A74D3-70F7-4AFA-8240-560A6467414A}"/>
    <cellStyle name="Normal 12 2 4 3" xfId="5082" xr:uid="{00000000-0005-0000-0000-00000D0E0000}"/>
    <cellStyle name="Normal 12 2 4 4" xfId="9293" xr:uid="{B2D3D369-7325-449C-85F9-FE94DC0356F2}"/>
    <cellStyle name="Normal 12 2 4 5" xfId="13504" xr:uid="{895A54C0-B91A-4DE8-811C-3C5202702B08}"/>
    <cellStyle name="Normal 12 2 5" xfId="1185" xr:uid="{00000000-0005-0000-0000-00000E0E0000}"/>
    <cellStyle name="Normal 12 2 5 2" xfId="3416" xr:uid="{00000000-0005-0000-0000-00000F0E0000}"/>
    <cellStyle name="Normal 12 2 5 2 2" xfId="7640" xr:uid="{00000000-0005-0000-0000-0000100E0000}"/>
    <cellStyle name="Normal 12 2 5 2 3" xfId="11851" xr:uid="{61EBE97D-7780-4E78-A3F5-3D20C27EA145}"/>
    <cellStyle name="Normal 12 2 5 2 4" xfId="16062" xr:uid="{690EDC88-0926-47F2-9FA5-D58A77FF28E3}"/>
    <cellStyle name="Normal 12 2 5 3" xfId="5495" xr:uid="{00000000-0005-0000-0000-0000110E0000}"/>
    <cellStyle name="Normal 12 2 5 4" xfId="9706" xr:uid="{16B20EA9-1476-4FEC-B58D-976E2FB5664F}"/>
    <cellStyle name="Normal 12 2 5 5" xfId="13917" xr:uid="{E7832185-8E19-4D5B-91B5-A774B4579075}"/>
    <cellStyle name="Normal 12 2 6" xfId="1599" xr:uid="{00000000-0005-0000-0000-0000120E0000}"/>
    <cellStyle name="Normal 12 2 6 2" xfId="3829" xr:uid="{00000000-0005-0000-0000-0000130E0000}"/>
    <cellStyle name="Normal 12 2 6 2 2" xfId="8053" xr:uid="{00000000-0005-0000-0000-0000140E0000}"/>
    <cellStyle name="Normal 12 2 6 2 3" xfId="12264" xr:uid="{5C0B76A2-563D-4034-837B-C910534221C0}"/>
    <cellStyle name="Normal 12 2 6 2 4" xfId="16475" xr:uid="{6E09AA91-1B36-4C1E-82B0-392A4E57F190}"/>
    <cellStyle name="Normal 12 2 6 3" xfId="5908" xr:uid="{00000000-0005-0000-0000-0000150E0000}"/>
    <cellStyle name="Normal 12 2 6 4" xfId="10119" xr:uid="{7BC2E299-C722-4C27-B3AD-D4B09086D80A}"/>
    <cellStyle name="Normal 12 2 6 5" xfId="14330" xr:uid="{8120741A-52A7-4712-BA44-944CE91A3580}"/>
    <cellStyle name="Normal 12 2 7" xfId="2013" xr:uid="{00000000-0005-0000-0000-0000160E0000}"/>
    <cellStyle name="Normal 12 2 7 2" xfId="4242" xr:uid="{00000000-0005-0000-0000-0000170E0000}"/>
    <cellStyle name="Normal 12 2 7 2 2" xfId="8466" xr:uid="{00000000-0005-0000-0000-0000180E0000}"/>
    <cellStyle name="Normal 12 2 7 2 3" xfId="12677" xr:uid="{420DDADF-093E-4E2E-8579-AEE29E8E7868}"/>
    <cellStyle name="Normal 12 2 7 2 4" xfId="16888" xr:uid="{15FD89B7-166D-4208-8C8A-3A5562A7F7E3}"/>
    <cellStyle name="Normal 12 2 7 3" xfId="6321" xr:uid="{00000000-0005-0000-0000-0000190E0000}"/>
    <cellStyle name="Normal 12 2 7 4" xfId="10532" xr:uid="{10CFC87A-5673-4225-BCC0-ED1E037E0DEC}"/>
    <cellStyle name="Normal 12 2 7 5" xfId="14743" xr:uid="{FE49C9FE-42B1-4390-B137-F420C433DEF0}"/>
    <cellStyle name="Normal 12 2 8" xfId="2449" xr:uid="{00000000-0005-0000-0000-00001A0E0000}"/>
    <cellStyle name="Normal 12 2 8 2" xfId="6734" xr:uid="{00000000-0005-0000-0000-00001B0E0000}"/>
    <cellStyle name="Normal 12 2 8 3" xfId="10945" xr:uid="{971B2332-B0DD-4820-9E6D-BBBC31EAF33D}"/>
    <cellStyle name="Normal 12 2 8 4" xfId="15156" xr:uid="{DFF1385F-A496-4E21-800A-43A535863701}"/>
    <cellStyle name="Normal 12 2 9" xfId="4668" xr:uid="{00000000-0005-0000-0000-00001C0E0000}"/>
    <cellStyle name="Normal 12 3" xfId="264" xr:uid="{00000000-0005-0000-0000-00001D0E0000}"/>
    <cellStyle name="Normal 12 3 10" xfId="13094" xr:uid="{75803DEF-DCCF-44A9-AECC-3C2ACE046966}"/>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2 3" xfId="11443" xr:uid="{B863FEA0-FFC6-4EED-81BE-FDD48F29E6CF}"/>
    <cellStyle name="Normal 12 3 2 2 2 4" xfId="15654" xr:uid="{EF745BE9-5C92-4AB4-9AFC-DDF459049AF5}"/>
    <cellStyle name="Normal 12 3 2 2 3" xfId="5087" xr:uid="{00000000-0005-0000-0000-0000220E0000}"/>
    <cellStyle name="Normal 12 3 2 2 4" xfId="9298" xr:uid="{8EDFBDE8-08AA-43E9-A23B-AEFF8972966F}"/>
    <cellStyle name="Normal 12 3 2 2 5" xfId="13509" xr:uid="{8CF2C86B-1897-42EB-B207-56A5FF372A9D}"/>
    <cellStyle name="Normal 12 3 2 3" xfId="1190" xr:uid="{00000000-0005-0000-0000-0000230E0000}"/>
    <cellStyle name="Normal 12 3 2 3 2" xfId="3421" xr:uid="{00000000-0005-0000-0000-0000240E0000}"/>
    <cellStyle name="Normal 12 3 2 3 2 2" xfId="7645" xr:uid="{00000000-0005-0000-0000-0000250E0000}"/>
    <cellStyle name="Normal 12 3 2 3 2 3" xfId="11856" xr:uid="{CDE0EBF7-2683-4426-994D-5FF4E1769FAA}"/>
    <cellStyle name="Normal 12 3 2 3 2 4" xfId="16067" xr:uid="{0AEECA2A-F5C6-4416-BB90-8507ABE01A58}"/>
    <cellStyle name="Normal 12 3 2 3 3" xfId="5500" xr:uid="{00000000-0005-0000-0000-0000260E0000}"/>
    <cellStyle name="Normal 12 3 2 3 4" xfId="9711" xr:uid="{3FA8F2CD-59E3-4383-A1E2-89659B0007E6}"/>
    <cellStyle name="Normal 12 3 2 3 5" xfId="13922" xr:uid="{21B2EB1C-C94D-49DA-86EE-CB4105FDF28D}"/>
    <cellStyle name="Normal 12 3 2 4" xfId="1604" xr:uid="{00000000-0005-0000-0000-0000270E0000}"/>
    <cellStyle name="Normal 12 3 2 4 2" xfId="3834" xr:uid="{00000000-0005-0000-0000-0000280E0000}"/>
    <cellStyle name="Normal 12 3 2 4 2 2" xfId="8058" xr:uid="{00000000-0005-0000-0000-0000290E0000}"/>
    <cellStyle name="Normal 12 3 2 4 2 3" xfId="12269" xr:uid="{8075D258-303C-42F6-BAB0-B05FFCDB85C3}"/>
    <cellStyle name="Normal 12 3 2 4 2 4" xfId="16480" xr:uid="{63175FEF-049F-40D4-8062-5FDD12C14A79}"/>
    <cellStyle name="Normal 12 3 2 4 3" xfId="5913" xr:uid="{00000000-0005-0000-0000-00002A0E0000}"/>
    <cellStyle name="Normal 12 3 2 4 4" xfId="10124" xr:uid="{04BCE376-F053-4832-9F8E-1CC5FA403888}"/>
    <cellStyle name="Normal 12 3 2 4 5" xfId="14335" xr:uid="{2CA0D398-7AE6-4BC1-8B0F-C6EE56CE93A1}"/>
    <cellStyle name="Normal 12 3 2 5" xfId="2018" xr:uid="{00000000-0005-0000-0000-00002B0E0000}"/>
    <cellStyle name="Normal 12 3 2 5 2" xfId="4247" xr:uid="{00000000-0005-0000-0000-00002C0E0000}"/>
    <cellStyle name="Normal 12 3 2 5 2 2" xfId="8471" xr:uid="{00000000-0005-0000-0000-00002D0E0000}"/>
    <cellStyle name="Normal 12 3 2 5 2 3" xfId="12682" xr:uid="{8C485436-40C4-48F4-9145-CABCA82C9A21}"/>
    <cellStyle name="Normal 12 3 2 5 2 4" xfId="16893" xr:uid="{9B16FEA6-8ECA-47F3-8348-891073433083}"/>
    <cellStyle name="Normal 12 3 2 5 3" xfId="6326" xr:uid="{00000000-0005-0000-0000-00002E0E0000}"/>
    <cellStyle name="Normal 12 3 2 5 4" xfId="10537" xr:uid="{D4CCD19B-391D-40D1-8A7E-AC79768190FD}"/>
    <cellStyle name="Normal 12 3 2 5 5" xfId="14748" xr:uid="{FCA1DB87-13FC-491E-B1A0-DFFDD02F826E}"/>
    <cellStyle name="Normal 12 3 2 6" xfId="2454" xr:uid="{00000000-0005-0000-0000-00002F0E0000}"/>
    <cellStyle name="Normal 12 3 2 6 2" xfId="6739" xr:uid="{00000000-0005-0000-0000-0000300E0000}"/>
    <cellStyle name="Normal 12 3 2 6 3" xfId="10950" xr:uid="{389515B9-C3B7-48BD-8271-2BE8AABCDF28}"/>
    <cellStyle name="Normal 12 3 2 6 4" xfId="15161" xr:uid="{61286522-ACF6-4416-B832-1AAF062AE657}"/>
    <cellStyle name="Normal 12 3 2 7" xfId="4673" xr:uid="{00000000-0005-0000-0000-0000310E0000}"/>
    <cellStyle name="Normal 12 3 2 8" xfId="8884" xr:uid="{2B8AE38B-9033-42C5-8F04-FDD91C6279AB}"/>
    <cellStyle name="Normal 12 3 2 9" xfId="13095" xr:uid="{1D8A0C63-F28E-49B8-90B8-9FAC5F85C378}"/>
    <cellStyle name="Normal 12 3 3" xfId="766" xr:uid="{00000000-0005-0000-0000-0000320E0000}"/>
    <cellStyle name="Normal 12 3 3 2" xfId="3007" xr:uid="{00000000-0005-0000-0000-0000330E0000}"/>
    <cellStyle name="Normal 12 3 3 2 2" xfId="7231" xr:uid="{00000000-0005-0000-0000-0000340E0000}"/>
    <cellStyle name="Normal 12 3 3 2 3" xfId="11442" xr:uid="{C433E2E4-E464-45C5-B9CC-3DA0FDFFB03A}"/>
    <cellStyle name="Normal 12 3 3 2 4" xfId="15653" xr:uid="{CF24FDAC-4E15-4911-B885-A04B3C2CCAA7}"/>
    <cellStyle name="Normal 12 3 3 3" xfId="5086" xr:uid="{00000000-0005-0000-0000-0000350E0000}"/>
    <cellStyle name="Normal 12 3 3 4" xfId="9297" xr:uid="{B0010035-3003-41B8-84ED-9E5EEE94D9F2}"/>
    <cellStyle name="Normal 12 3 3 5" xfId="13508" xr:uid="{EB014B94-5258-43BD-B54F-CDD4C65CE2C6}"/>
    <cellStyle name="Normal 12 3 4" xfId="1189" xr:uid="{00000000-0005-0000-0000-0000360E0000}"/>
    <cellStyle name="Normal 12 3 4 2" xfId="3420" xr:uid="{00000000-0005-0000-0000-0000370E0000}"/>
    <cellStyle name="Normal 12 3 4 2 2" xfId="7644" xr:uid="{00000000-0005-0000-0000-0000380E0000}"/>
    <cellStyle name="Normal 12 3 4 2 3" xfId="11855" xr:uid="{CA78558B-9B19-4293-BC15-F9D5699689AB}"/>
    <cellStyle name="Normal 12 3 4 2 4" xfId="16066" xr:uid="{531052A0-8999-4221-864D-A7C78ED46BC6}"/>
    <cellStyle name="Normal 12 3 4 3" xfId="5499" xr:uid="{00000000-0005-0000-0000-0000390E0000}"/>
    <cellStyle name="Normal 12 3 4 4" xfId="9710" xr:uid="{ACA4CC37-25B6-451C-BCDE-FFECAD252AEE}"/>
    <cellStyle name="Normal 12 3 4 5" xfId="13921" xr:uid="{3AB6A90A-4DDF-40EC-9802-F24B045AF037}"/>
    <cellStyle name="Normal 12 3 5" xfId="1603" xr:uid="{00000000-0005-0000-0000-00003A0E0000}"/>
    <cellStyle name="Normal 12 3 5 2" xfId="3833" xr:uid="{00000000-0005-0000-0000-00003B0E0000}"/>
    <cellStyle name="Normal 12 3 5 2 2" xfId="8057" xr:uid="{00000000-0005-0000-0000-00003C0E0000}"/>
    <cellStyle name="Normal 12 3 5 2 3" xfId="12268" xr:uid="{220C0CE7-FEA7-4667-8C7D-4331C52A138E}"/>
    <cellStyle name="Normal 12 3 5 2 4" xfId="16479" xr:uid="{2DE02FDE-D527-4F8B-9ADE-EDB9EE74CC12}"/>
    <cellStyle name="Normal 12 3 5 3" xfId="5912" xr:uid="{00000000-0005-0000-0000-00003D0E0000}"/>
    <cellStyle name="Normal 12 3 5 4" xfId="10123" xr:uid="{C92A5BD2-16C1-45DA-8852-29C7C8DDB2BD}"/>
    <cellStyle name="Normal 12 3 5 5" xfId="14334" xr:uid="{9066F8D4-B381-4826-9AB6-1B7010B240D0}"/>
    <cellStyle name="Normal 12 3 6" xfId="2017" xr:uid="{00000000-0005-0000-0000-00003E0E0000}"/>
    <cellStyle name="Normal 12 3 6 2" xfId="4246" xr:uid="{00000000-0005-0000-0000-00003F0E0000}"/>
    <cellStyle name="Normal 12 3 6 2 2" xfId="8470" xr:uid="{00000000-0005-0000-0000-0000400E0000}"/>
    <cellStyle name="Normal 12 3 6 2 3" xfId="12681" xr:uid="{87196177-22A9-4476-8A52-CA25D8876DF1}"/>
    <cellStyle name="Normal 12 3 6 2 4" xfId="16892" xr:uid="{F0ED093E-D0E4-4E5C-9646-0771D51FE916}"/>
    <cellStyle name="Normal 12 3 6 3" xfId="6325" xr:uid="{00000000-0005-0000-0000-0000410E0000}"/>
    <cellStyle name="Normal 12 3 6 4" xfId="10536" xr:uid="{6248FFCE-1F0F-480C-8A43-A8056A9945B5}"/>
    <cellStyle name="Normal 12 3 6 5" xfId="14747" xr:uid="{8522FC6E-FA4F-4566-B5C4-0F9980CC73FE}"/>
    <cellStyle name="Normal 12 3 7" xfId="2453" xr:uid="{00000000-0005-0000-0000-0000420E0000}"/>
    <cellStyle name="Normal 12 3 7 2" xfId="6738" xr:uid="{00000000-0005-0000-0000-0000430E0000}"/>
    <cellStyle name="Normal 12 3 7 3" xfId="10949" xr:uid="{ED9F2BE1-D6B8-461A-B99E-02E249DE8F2A}"/>
    <cellStyle name="Normal 12 3 7 4" xfId="15160" xr:uid="{C89EBDC5-B65A-4AF7-80F0-28085F5B90E1}"/>
    <cellStyle name="Normal 12 3 8" xfId="4672" xr:uid="{00000000-0005-0000-0000-0000440E0000}"/>
    <cellStyle name="Normal 12 3 9" xfId="8883" xr:uid="{B0D4C548-3730-49AB-AA0F-CD201996D892}"/>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2 3" xfId="11444" xr:uid="{4D1E4998-0BBA-4BE0-82AC-5A5E37DB7F8B}"/>
    <cellStyle name="Normal 12 4 2 2 4" xfId="15655" xr:uid="{BBB2BEBE-6CEC-454B-91F9-0DE747B46726}"/>
    <cellStyle name="Normal 12 4 2 3" xfId="5088" xr:uid="{00000000-0005-0000-0000-0000490E0000}"/>
    <cellStyle name="Normal 12 4 2 4" xfId="9299" xr:uid="{5039CAC4-5204-47FA-BD39-F72CAC13089C}"/>
    <cellStyle name="Normal 12 4 2 5" xfId="13510" xr:uid="{1BC4630A-FAD2-4FF8-B89C-2DB2EAC1A73D}"/>
    <cellStyle name="Normal 12 4 3" xfId="1191" xr:uid="{00000000-0005-0000-0000-00004A0E0000}"/>
    <cellStyle name="Normal 12 4 3 2" xfId="3422" xr:uid="{00000000-0005-0000-0000-00004B0E0000}"/>
    <cellStyle name="Normal 12 4 3 2 2" xfId="7646" xr:uid="{00000000-0005-0000-0000-00004C0E0000}"/>
    <cellStyle name="Normal 12 4 3 2 3" xfId="11857" xr:uid="{BB128EDD-5744-4341-8378-1C03A392B02A}"/>
    <cellStyle name="Normal 12 4 3 2 4" xfId="16068" xr:uid="{3EE63BB7-53BC-4031-A9E9-4D0F366708E3}"/>
    <cellStyle name="Normal 12 4 3 3" xfId="5501" xr:uid="{00000000-0005-0000-0000-00004D0E0000}"/>
    <cellStyle name="Normal 12 4 3 4" xfId="9712" xr:uid="{2154685B-B9C8-4964-8F0C-C9274D428CAB}"/>
    <cellStyle name="Normal 12 4 3 5" xfId="13923" xr:uid="{8C500381-EC4F-4925-8C98-3BD56CA8FCE7}"/>
    <cellStyle name="Normal 12 4 4" xfId="1605" xr:uid="{00000000-0005-0000-0000-00004E0E0000}"/>
    <cellStyle name="Normal 12 4 4 2" xfId="3835" xr:uid="{00000000-0005-0000-0000-00004F0E0000}"/>
    <cellStyle name="Normal 12 4 4 2 2" xfId="8059" xr:uid="{00000000-0005-0000-0000-0000500E0000}"/>
    <cellStyle name="Normal 12 4 4 2 3" xfId="12270" xr:uid="{EC601AB8-65FC-4557-A502-66635499D19F}"/>
    <cellStyle name="Normal 12 4 4 2 4" xfId="16481" xr:uid="{8A32CA4E-699D-45C7-B5DB-E5E96C9EADD8}"/>
    <cellStyle name="Normal 12 4 4 3" xfId="5914" xr:uid="{00000000-0005-0000-0000-0000510E0000}"/>
    <cellStyle name="Normal 12 4 4 4" xfId="10125" xr:uid="{9F3FAB9A-BF17-4518-8CF3-C81643E63502}"/>
    <cellStyle name="Normal 12 4 4 5" xfId="14336" xr:uid="{429C49CF-73B9-422C-A3A8-70B188EB81A8}"/>
    <cellStyle name="Normal 12 4 5" xfId="2019" xr:uid="{00000000-0005-0000-0000-0000520E0000}"/>
    <cellStyle name="Normal 12 4 5 2" xfId="4248" xr:uid="{00000000-0005-0000-0000-0000530E0000}"/>
    <cellStyle name="Normal 12 4 5 2 2" xfId="8472" xr:uid="{00000000-0005-0000-0000-0000540E0000}"/>
    <cellStyle name="Normal 12 4 5 2 3" xfId="12683" xr:uid="{E149302A-BDB8-4D11-9493-CCFE1582E343}"/>
    <cellStyle name="Normal 12 4 5 2 4" xfId="16894" xr:uid="{E4497052-0D89-42E3-81AA-D7E2A608AEC3}"/>
    <cellStyle name="Normal 12 4 5 3" xfId="6327" xr:uid="{00000000-0005-0000-0000-0000550E0000}"/>
    <cellStyle name="Normal 12 4 5 4" xfId="10538" xr:uid="{99E7891D-1181-4A1A-8F18-DE40075DCABD}"/>
    <cellStyle name="Normal 12 4 5 5" xfId="14749" xr:uid="{53E9289F-A5C1-4E73-9004-3986625E9085}"/>
    <cellStyle name="Normal 12 4 6" xfId="2455" xr:uid="{00000000-0005-0000-0000-0000560E0000}"/>
    <cellStyle name="Normal 12 4 6 2" xfId="6740" xr:uid="{00000000-0005-0000-0000-0000570E0000}"/>
    <cellStyle name="Normal 12 4 6 3" xfId="10951" xr:uid="{495CE24F-D205-46AE-84F2-D17FD53BB05C}"/>
    <cellStyle name="Normal 12 4 6 4" xfId="15162" xr:uid="{E8C04EF3-C341-42EF-B588-83C4E38F6C55}"/>
    <cellStyle name="Normal 12 4 7" xfId="4674" xr:uid="{00000000-0005-0000-0000-0000580E0000}"/>
    <cellStyle name="Normal 12 4 8" xfId="8885" xr:uid="{D49E88E5-E891-454E-B0F5-D8FA1B88AD50}"/>
    <cellStyle name="Normal 12 4 9" xfId="13096" xr:uid="{3631760A-41E8-4C30-9A63-5823681E2CD2}"/>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2 3" xfId="11437" xr:uid="{085A261B-31CD-4256-8EC5-17AB2FF101AA}"/>
    <cellStyle name="Normal 12 6 2 4" xfId="15648" xr:uid="{8022EDC4-7097-4EEA-B9F7-7B05348D7B59}"/>
    <cellStyle name="Normal 12 6 3" xfId="5081" xr:uid="{00000000-0005-0000-0000-00005D0E0000}"/>
    <cellStyle name="Normal 12 6 4" xfId="9292" xr:uid="{998662DA-5FDC-49CF-BE72-AE1CF4393AB3}"/>
    <cellStyle name="Normal 12 6 5" xfId="13503" xr:uid="{14DC18A6-1F58-45E1-AF25-41588A3D13BA}"/>
    <cellStyle name="Normal 12 7" xfId="1184" xr:uid="{00000000-0005-0000-0000-00005E0E0000}"/>
    <cellStyle name="Normal 12 7 2" xfId="3415" xr:uid="{00000000-0005-0000-0000-00005F0E0000}"/>
    <cellStyle name="Normal 12 7 2 2" xfId="7639" xr:uid="{00000000-0005-0000-0000-0000600E0000}"/>
    <cellStyle name="Normal 12 7 2 3" xfId="11850" xr:uid="{02C80566-15CB-41EF-9519-4AE77E83510B}"/>
    <cellStyle name="Normal 12 7 2 4" xfId="16061" xr:uid="{F2963694-7E88-4694-A0AF-BB743028D052}"/>
    <cellStyle name="Normal 12 7 3" xfId="5494" xr:uid="{00000000-0005-0000-0000-0000610E0000}"/>
    <cellStyle name="Normal 12 7 4" xfId="9705" xr:uid="{6F78118A-7056-4D7A-A001-F6FB8A613AC7}"/>
    <cellStyle name="Normal 12 7 5" xfId="13916" xr:uid="{40A9E843-2215-4ACC-AAD8-E515CB9CFAAB}"/>
    <cellStyle name="Normal 12 8" xfId="1598" xr:uid="{00000000-0005-0000-0000-0000620E0000}"/>
    <cellStyle name="Normal 12 8 2" xfId="3828" xr:uid="{00000000-0005-0000-0000-0000630E0000}"/>
    <cellStyle name="Normal 12 8 2 2" xfId="8052" xr:uid="{00000000-0005-0000-0000-0000640E0000}"/>
    <cellStyle name="Normal 12 8 2 3" xfId="12263" xr:uid="{59CD2F65-825F-496B-8E89-DDE68047F6CD}"/>
    <cellStyle name="Normal 12 8 2 4" xfId="16474" xr:uid="{82CFB65F-77A2-43E3-8097-9C3B78F1F4DB}"/>
    <cellStyle name="Normal 12 8 3" xfId="5907" xr:uid="{00000000-0005-0000-0000-0000650E0000}"/>
    <cellStyle name="Normal 12 8 4" xfId="10118" xr:uid="{A851539D-773B-4860-A499-30B1AE1EC572}"/>
    <cellStyle name="Normal 12 8 5" xfId="14329" xr:uid="{E4E76049-025F-4CD7-BE2F-7AA064A41D73}"/>
    <cellStyle name="Normal 12 9" xfId="2012" xr:uid="{00000000-0005-0000-0000-0000660E0000}"/>
    <cellStyle name="Normal 12 9 2" xfId="4241" xr:uid="{00000000-0005-0000-0000-0000670E0000}"/>
    <cellStyle name="Normal 12 9 2 2" xfId="8465" xr:uid="{00000000-0005-0000-0000-0000680E0000}"/>
    <cellStyle name="Normal 12 9 2 3" xfId="12676" xr:uid="{33CE1266-B568-4A57-A31A-6A21E15F3E4C}"/>
    <cellStyle name="Normal 12 9 2 4" xfId="16887" xr:uid="{758469FF-0A9B-4D7A-B82D-1C466771B5E8}"/>
    <cellStyle name="Normal 12 9 3" xfId="6320" xr:uid="{00000000-0005-0000-0000-0000690E0000}"/>
    <cellStyle name="Normal 12 9 4" xfId="10531" xr:uid="{F6D408A0-0BFF-4E15-847A-87A169A9DF26}"/>
    <cellStyle name="Normal 12 9 5" xfId="14742" xr:uid="{D6C6C1BE-F4E6-4EEA-A1DD-CFA5AB6A4EC8}"/>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2 3" xfId="11445" xr:uid="{34874CAF-89AA-4370-BDA2-B631DA75A568}"/>
    <cellStyle name="Normal 14 2 2 4" xfId="15656" xr:uid="{79CED47A-B418-4485-ABAB-7D6E09CEE7EC}"/>
    <cellStyle name="Normal 14 2 3" xfId="5089" xr:uid="{00000000-0005-0000-0000-0000700E0000}"/>
    <cellStyle name="Normal 14 2 4" xfId="9300" xr:uid="{F14A14D8-6146-4C24-8AD6-63379633FB23}"/>
    <cellStyle name="Normal 14 2 5" xfId="13511" xr:uid="{86434E15-A22F-4F4C-920F-BE38377FBD9D}"/>
    <cellStyle name="Normal 14 3" xfId="1192" xr:uid="{00000000-0005-0000-0000-0000710E0000}"/>
    <cellStyle name="Normal 14 3 2" xfId="3423" xr:uid="{00000000-0005-0000-0000-0000720E0000}"/>
    <cellStyle name="Normal 14 3 2 2" xfId="7647" xr:uid="{00000000-0005-0000-0000-0000730E0000}"/>
    <cellStyle name="Normal 14 3 2 3" xfId="11858" xr:uid="{772ADB34-2312-4AA4-AF77-56789912C00E}"/>
    <cellStyle name="Normal 14 3 2 4" xfId="16069" xr:uid="{A8CF840C-F974-4A0A-B80C-A365BB620277}"/>
    <cellStyle name="Normal 14 3 3" xfId="5502" xr:uid="{00000000-0005-0000-0000-0000740E0000}"/>
    <cellStyle name="Normal 14 3 4" xfId="9713" xr:uid="{506495B1-05CE-453B-A0E4-7770D5A8DAF9}"/>
    <cellStyle name="Normal 14 3 5" xfId="13924" xr:uid="{CBFDE52E-774A-4139-8530-A43650CA41BE}"/>
    <cellStyle name="Normal 14 4" xfId="1606" xr:uid="{00000000-0005-0000-0000-0000750E0000}"/>
    <cellStyle name="Normal 14 4 2" xfId="3836" xr:uid="{00000000-0005-0000-0000-0000760E0000}"/>
    <cellStyle name="Normal 14 4 2 2" xfId="8060" xr:uid="{00000000-0005-0000-0000-0000770E0000}"/>
    <cellStyle name="Normal 14 4 2 3" xfId="12271" xr:uid="{9B3CBE80-3C3B-4F0B-A601-34ED633A601B}"/>
    <cellStyle name="Normal 14 4 2 4" xfId="16482" xr:uid="{7F38C364-56DC-47AE-9450-B8A707AFCDB4}"/>
    <cellStyle name="Normal 14 4 3" xfId="5915" xr:uid="{00000000-0005-0000-0000-0000780E0000}"/>
    <cellStyle name="Normal 14 4 4" xfId="10126" xr:uid="{744295F5-AC4B-4886-BB7B-E3ADA71C765C}"/>
    <cellStyle name="Normal 14 4 5" xfId="14337" xr:uid="{237583BC-24D0-4CD7-A305-9D9E13D637D1}"/>
    <cellStyle name="Normal 14 5" xfId="2020" xr:uid="{00000000-0005-0000-0000-0000790E0000}"/>
    <cellStyle name="Normal 14 5 2" xfId="4249" xr:uid="{00000000-0005-0000-0000-00007A0E0000}"/>
    <cellStyle name="Normal 14 5 2 2" xfId="8473" xr:uid="{00000000-0005-0000-0000-00007B0E0000}"/>
    <cellStyle name="Normal 14 5 2 3" xfId="12684" xr:uid="{1043100F-1B95-4A49-A054-4F8B30AF245A}"/>
    <cellStyle name="Normal 14 5 2 4" xfId="16895" xr:uid="{9E560630-6438-4B34-B84A-7E44DE580348}"/>
    <cellStyle name="Normal 14 5 3" xfId="6328" xr:uid="{00000000-0005-0000-0000-00007C0E0000}"/>
    <cellStyle name="Normal 14 5 4" xfId="10539" xr:uid="{AB4E04E4-8C78-4D88-A245-59D66AE2EFA9}"/>
    <cellStyle name="Normal 14 5 5" xfId="14750" xr:uid="{16D849E0-835B-4DC4-9BDE-E3EF48E08001}"/>
    <cellStyle name="Normal 14 6" xfId="2456" xr:uid="{00000000-0005-0000-0000-00007D0E0000}"/>
    <cellStyle name="Normal 14 6 2" xfId="6741" xr:uid="{00000000-0005-0000-0000-00007E0E0000}"/>
    <cellStyle name="Normal 14 6 3" xfId="10952" xr:uid="{C3004B53-9DCC-439E-8EA3-796FBDC577F2}"/>
    <cellStyle name="Normal 14 6 4" xfId="15163" xr:uid="{89A9A352-3094-4766-B66E-F03443B317A7}"/>
    <cellStyle name="Normal 14 7" xfId="4675" xr:uid="{00000000-0005-0000-0000-00007F0E0000}"/>
    <cellStyle name="Normal 14 8" xfId="8886" xr:uid="{23BCC6FA-5E21-49C3-98BB-983B5AC5182C}"/>
    <cellStyle name="Normal 14 9" xfId="13097" xr:uid="{8E0F58C5-55A6-4EEC-8B90-1C2133233D87}"/>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2 3" xfId="12685" xr:uid="{39D04A8E-0168-4749-B163-C0C684398D9C}"/>
    <cellStyle name="Normal 2 4 2 10 2 4" xfId="16896" xr:uid="{BCC5F9FD-06B9-4FF7-ADE6-6673C09FB98E}"/>
    <cellStyle name="Normal 2 4 2 10 3" xfId="6329" xr:uid="{00000000-0005-0000-0000-0000900E0000}"/>
    <cellStyle name="Normal 2 4 2 10 4" xfId="10540" xr:uid="{07C54574-F744-4466-B9C7-62A546BF422F}"/>
    <cellStyle name="Normal 2 4 2 10 5" xfId="14751" xr:uid="{F349C023-A5D3-4BEA-B49E-EC41D6FB27C9}"/>
    <cellStyle name="Normal 2 4 2 11" xfId="2457" xr:uid="{00000000-0005-0000-0000-0000910E0000}"/>
    <cellStyle name="Normal 2 4 2 11 2" xfId="6742" xr:uid="{00000000-0005-0000-0000-0000920E0000}"/>
    <cellStyle name="Normal 2 4 2 11 3" xfId="10953" xr:uid="{05C948D9-E8B4-4F21-A8D5-3754892DC3A6}"/>
    <cellStyle name="Normal 2 4 2 11 4" xfId="15164" xr:uid="{2CB88CF3-43E8-4E52-9E76-D4860D199CE0}"/>
    <cellStyle name="Normal 2 4 2 12" xfId="4676" xr:uid="{00000000-0005-0000-0000-0000930E0000}"/>
    <cellStyle name="Normal 2 4 2 13" xfId="8887" xr:uid="{41353533-DB85-471E-82E2-0480D82A62BF}"/>
    <cellStyle name="Normal 2 4 2 14" xfId="13098" xr:uid="{1D20B12B-7787-4E80-BBAE-852C88C0F078}"/>
    <cellStyle name="Normal 2 4 2 2" xfId="280" xr:uid="{00000000-0005-0000-0000-0000940E0000}"/>
    <cellStyle name="Normal 2 4 2 3" xfId="281" xr:uid="{00000000-0005-0000-0000-0000950E0000}"/>
    <cellStyle name="Normal 2 4 2 3 10" xfId="4677" xr:uid="{00000000-0005-0000-0000-0000960E0000}"/>
    <cellStyle name="Normal 2 4 2 3 11" xfId="8888" xr:uid="{ADEDFDC3-2D9B-4788-870E-0D1D99391764}"/>
    <cellStyle name="Normal 2 4 2 3 12" xfId="13099" xr:uid="{920D91B3-D890-4365-B4BE-23EE994427FE}"/>
    <cellStyle name="Normal 2 4 2 3 2" xfId="282" xr:uid="{00000000-0005-0000-0000-0000970E0000}"/>
    <cellStyle name="Normal 2 4 2 3 2 10" xfId="8889" xr:uid="{43ADA77F-E568-4BC0-9B8C-88F1A655E088}"/>
    <cellStyle name="Normal 2 4 2 3 2 11" xfId="13100" xr:uid="{F9C03C0A-1D05-456E-8DAA-9B74B2EFD004}"/>
    <cellStyle name="Normal 2 4 2 3 2 2" xfId="283" xr:uid="{00000000-0005-0000-0000-0000980E0000}"/>
    <cellStyle name="Normal 2 4 2 3 2 2 10" xfId="13101" xr:uid="{1DCB89F7-C0EE-4E4D-8888-DFB1983DFF1F}"/>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2 3" xfId="11450" xr:uid="{6726B7F2-0503-479E-BCD5-4C60B7FA5C72}"/>
    <cellStyle name="Normal 2 4 2 3 2 2 2 2 2 4" xfId="15661" xr:uid="{E5804FB0-1127-4045-B189-9F5A09F546D5}"/>
    <cellStyle name="Normal 2 4 2 3 2 2 2 2 3" xfId="5094" xr:uid="{00000000-0005-0000-0000-00009D0E0000}"/>
    <cellStyle name="Normal 2 4 2 3 2 2 2 2 4" xfId="9305" xr:uid="{561412FC-FFB8-49BB-96F6-B02BD6CEF008}"/>
    <cellStyle name="Normal 2 4 2 3 2 2 2 2 5" xfId="13516" xr:uid="{F11A2ADB-DF63-431C-93CC-E24C0BAF6E3D}"/>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2 3" xfId="11863" xr:uid="{53E5257B-9CE6-42FD-AC05-191C861B83FF}"/>
    <cellStyle name="Normal 2 4 2 3 2 2 2 3 2 4" xfId="16074" xr:uid="{0B7A89A8-3D4B-4179-A926-DBEF3CF25D8F}"/>
    <cellStyle name="Normal 2 4 2 3 2 2 2 3 3" xfId="5507" xr:uid="{00000000-0005-0000-0000-0000A10E0000}"/>
    <cellStyle name="Normal 2 4 2 3 2 2 2 3 4" xfId="9718" xr:uid="{F15E430E-4855-4FCD-A704-FDAA9BFE9FB6}"/>
    <cellStyle name="Normal 2 4 2 3 2 2 2 3 5" xfId="13929" xr:uid="{88467CF8-7E29-4965-BB39-658D7D213F48}"/>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2 3" xfId="12276" xr:uid="{EF110E36-A21D-4E25-8104-6ECF93401AD5}"/>
    <cellStyle name="Normal 2 4 2 3 2 2 2 4 2 4" xfId="16487" xr:uid="{CCE285A8-E5D4-447C-BF84-0952C714D8AD}"/>
    <cellStyle name="Normal 2 4 2 3 2 2 2 4 3" xfId="5920" xr:uid="{00000000-0005-0000-0000-0000A50E0000}"/>
    <cellStyle name="Normal 2 4 2 3 2 2 2 4 4" xfId="10131" xr:uid="{2209B43D-B722-41B9-8C62-156E2B323335}"/>
    <cellStyle name="Normal 2 4 2 3 2 2 2 4 5" xfId="14342" xr:uid="{7BCE5492-4897-44B6-A6BC-B40D8054BE92}"/>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2 3" xfId="12689" xr:uid="{3A97AF11-EE6F-49F2-97EC-69C850262B0C}"/>
    <cellStyle name="Normal 2 4 2 3 2 2 2 5 2 4" xfId="16900" xr:uid="{E049161D-AE8F-4F48-AA50-8F34D712862F}"/>
    <cellStyle name="Normal 2 4 2 3 2 2 2 5 3" xfId="6333" xr:uid="{00000000-0005-0000-0000-0000A90E0000}"/>
    <cellStyle name="Normal 2 4 2 3 2 2 2 5 4" xfId="10544" xr:uid="{1F074A21-6ED0-40A0-A427-83AE99991107}"/>
    <cellStyle name="Normal 2 4 2 3 2 2 2 5 5" xfId="14755" xr:uid="{45FCBCAB-6A39-4B32-8BE5-9F5B8248719A}"/>
    <cellStyle name="Normal 2 4 2 3 2 2 2 6" xfId="2461" xr:uid="{00000000-0005-0000-0000-0000AA0E0000}"/>
    <cellStyle name="Normal 2 4 2 3 2 2 2 6 2" xfId="6746" xr:uid="{00000000-0005-0000-0000-0000AB0E0000}"/>
    <cellStyle name="Normal 2 4 2 3 2 2 2 6 3" xfId="10957" xr:uid="{A5B023F6-9FFB-4431-9B19-BAB2B681E25A}"/>
    <cellStyle name="Normal 2 4 2 3 2 2 2 6 4" xfId="15168" xr:uid="{3DB6E796-F742-495F-8860-C30165BF4CF8}"/>
    <cellStyle name="Normal 2 4 2 3 2 2 2 7" xfId="4680" xr:uid="{00000000-0005-0000-0000-0000AC0E0000}"/>
    <cellStyle name="Normal 2 4 2 3 2 2 2 8" xfId="8891" xr:uid="{62BC8470-974F-4123-8967-B437BCE7FEC3}"/>
    <cellStyle name="Normal 2 4 2 3 2 2 2 9" xfId="13102" xr:uid="{A77E49CA-1548-49C9-ABA6-7ABC6946AC51}"/>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2 3" xfId="11449" xr:uid="{6867AE85-7214-4A2C-891C-AF0849F148EA}"/>
    <cellStyle name="Normal 2 4 2 3 2 2 3 2 4" xfId="15660" xr:uid="{423FB09A-EBA7-4B43-BBCA-324229DD6E33}"/>
    <cellStyle name="Normal 2 4 2 3 2 2 3 3" xfId="5093" xr:uid="{00000000-0005-0000-0000-0000B00E0000}"/>
    <cellStyle name="Normal 2 4 2 3 2 2 3 4" xfId="9304" xr:uid="{135F482C-4F7F-4AC9-A098-18328756CDB5}"/>
    <cellStyle name="Normal 2 4 2 3 2 2 3 5" xfId="13515" xr:uid="{4564D18D-2A59-46AB-A0AC-A580FEE79425}"/>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2 3" xfId="11862" xr:uid="{0A206299-8A52-42FF-8ACD-E91E815F2345}"/>
    <cellStyle name="Normal 2 4 2 3 2 2 4 2 4" xfId="16073" xr:uid="{919A35D3-BD4A-45C9-A4FD-6B4288D6E963}"/>
    <cellStyle name="Normal 2 4 2 3 2 2 4 3" xfId="5506" xr:uid="{00000000-0005-0000-0000-0000B40E0000}"/>
    <cellStyle name="Normal 2 4 2 3 2 2 4 4" xfId="9717" xr:uid="{41F2C601-6870-4A86-BBA0-2CD4C3BE75A7}"/>
    <cellStyle name="Normal 2 4 2 3 2 2 4 5" xfId="13928" xr:uid="{46873984-E0D8-4CCC-8317-C3BFFFB264CF}"/>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2 3" xfId="12275" xr:uid="{F8117DF9-8B9E-4AD6-89B7-6D4BC85F53E5}"/>
    <cellStyle name="Normal 2 4 2 3 2 2 5 2 4" xfId="16486" xr:uid="{ADE84DA8-9B92-47B7-863C-A10E5BA86588}"/>
    <cellStyle name="Normal 2 4 2 3 2 2 5 3" xfId="5919" xr:uid="{00000000-0005-0000-0000-0000B80E0000}"/>
    <cellStyle name="Normal 2 4 2 3 2 2 5 4" xfId="10130" xr:uid="{C9F41D49-088A-40D0-9D54-D5794B667020}"/>
    <cellStyle name="Normal 2 4 2 3 2 2 5 5" xfId="14341" xr:uid="{6065277B-9A62-4238-9F58-C0E64A27B588}"/>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2 3" xfId="12688" xr:uid="{A16FE0F3-E2F9-4618-8529-7395162331A0}"/>
    <cellStyle name="Normal 2 4 2 3 2 2 6 2 4" xfId="16899" xr:uid="{B5A23FFE-FEB9-4992-9391-43F496B850DE}"/>
    <cellStyle name="Normal 2 4 2 3 2 2 6 3" xfId="6332" xr:uid="{00000000-0005-0000-0000-0000BC0E0000}"/>
    <cellStyle name="Normal 2 4 2 3 2 2 6 4" xfId="10543" xr:uid="{D125A594-C84A-47C1-8E50-43002E5F80DC}"/>
    <cellStyle name="Normal 2 4 2 3 2 2 6 5" xfId="14754" xr:uid="{D1CB2587-9A0C-4F71-9BE0-1E8F15950C50}"/>
    <cellStyle name="Normal 2 4 2 3 2 2 7" xfId="2460" xr:uid="{00000000-0005-0000-0000-0000BD0E0000}"/>
    <cellStyle name="Normal 2 4 2 3 2 2 7 2" xfId="6745" xr:uid="{00000000-0005-0000-0000-0000BE0E0000}"/>
    <cellStyle name="Normal 2 4 2 3 2 2 7 3" xfId="10956" xr:uid="{8D8FEAF8-0797-404A-B724-888EB3289C48}"/>
    <cellStyle name="Normal 2 4 2 3 2 2 7 4" xfId="15167" xr:uid="{F7EEA969-5307-4B84-B95A-E2BA7879F667}"/>
    <cellStyle name="Normal 2 4 2 3 2 2 8" xfId="4679" xr:uid="{00000000-0005-0000-0000-0000BF0E0000}"/>
    <cellStyle name="Normal 2 4 2 3 2 2 9" xfId="8890" xr:uid="{A17B8B36-D859-415E-8358-760402B1349E}"/>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2 3" xfId="11451" xr:uid="{18E1C31D-785E-4473-8753-30A446FEE522}"/>
    <cellStyle name="Normal 2 4 2 3 2 3 2 2 4" xfId="15662" xr:uid="{D5F68A25-5A4D-4F5F-BF64-952977E3A4D8}"/>
    <cellStyle name="Normal 2 4 2 3 2 3 2 3" xfId="5095" xr:uid="{00000000-0005-0000-0000-0000C40E0000}"/>
    <cellStyle name="Normal 2 4 2 3 2 3 2 4" xfId="9306" xr:uid="{B12DFA70-C2BF-4291-A9B4-99F2A9FF8E65}"/>
    <cellStyle name="Normal 2 4 2 3 2 3 2 5" xfId="13517" xr:uid="{ACECF59A-96D3-4C54-A254-05A148217CB8}"/>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2 3" xfId="11864" xr:uid="{0DC31A3A-753C-44BC-9B33-C8F034E158C8}"/>
    <cellStyle name="Normal 2 4 2 3 2 3 3 2 4" xfId="16075" xr:uid="{83EE4365-562A-476E-B8C5-A690C9A12608}"/>
    <cellStyle name="Normal 2 4 2 3 2 3 3 3" xfId="5508" xr:uid="{00000000-0005-0000-0000-0000C80E0000}"/>
    <cellStyle name="Normal 2 4 2 3 2 3 3 4" xfId="9719" xr:uid="{8517B878-43A7-4E8F-BF8C-B02E31323E79}"/>
    <cellStyle name="Normal 2 4 2 3 2 3 3 5" xfId="13930" xr:uid="{7D42F687-A7F0-4BAE-9EF0-2E10FC17FF51}"/>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2 3" xfId="12277" xr:uid="{1BEBA17E-F76F-439F-B5BB-724ADC2483A8}"/>
    <cellStyle name="Normal 2 4 2 3 2 3 4 2 4" xfId="16488" xr:uid="{9CB56BA5-02C3-4152-8FBC-1CBA5E63D9AF}"/>
    <cellStyle name="Normal 2 4 2 3 2 3 4 3" xfId="5921" xr:uid="{00000000-0005-0000-0000-0000CC0E0000}"/>
    <cellStyle name="Normal 2 4 2 3 2 3 4 4" xfId="10132" xr:uid="{45329734-07C4-48FF-A621-40E1231A9F95}"/>
    <cellStyle name="Normal 2 4 2 3 2 3 4 5" xfId="14343" xr:uid="{F655CA07-5F48-40FD-9125-F04927F7CFDD}"/>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2 3" xfId="12690" xr:uid="{EB6718CC-C281-469D-B498-A114B81277BB}"/>
    <cellStyle name="Normal 2 4 2 3 2 3 5 2 4" xfId="16901" xr:uid="{DE247F82-EBAD-45E3-B627-70E741201A78}"/>
    <cellStyle name="Normal 2 4 2 3 2 3 5 3" xfId="6334" xr:uid="{00000000-0005-0000-0000-0000D00E0000}"/>
    <cellStyle name="Normal 2 4 2 3 2 3 5 4" xfId="10545" xr:uid="{3803A020-17DE-47F1-AD60-1287C98D9068}"/>
    <cellStyle name="Normal 2 4 2 3 2 3 5 5" xfId="14756" xr:uid="{A7BC1923-5D6A-4CA2-8047-8CEF675BB9EC}"/>
    <cellStyle name="Normal 2 4 2 3 2 3 6" xfId="2462" xr:uid="{00000000-0005-0000-0000-0000D10E0000}"/>
    <cellStyle name="Normal 2 4 2 3 2 3 6 2" xfId="6747" xr:uid="{00000000-0005-0000-0000-0000D20E0000}"/>
    <cellStyle name="Normal 2 4 2 3 2 3 6 3" xfId="10958" xr:uid="{B07213C3-FAA8-4AE4-91B3-AEBC4D3DCB5F}"/>
    <cellStyle name="Normal 2 4 2 3 2 3 6 4" xfId="15169" xr:uid="{44882E2C-CFE7-466A-89A7-67DF3A86CE30}"/>
    <cellStyle name="Normal 2 4 2 3 2 3 7" xfId="4681" xr:uid="{00000000-0005-0000-0000-0000D30E0000}"/>
    <cellStyle name="Normal 2 4 2 3 2 3 8" xfId="8892" xr:uid="{886D556A-3582-4A40-9AC0-78A3ED9F0F8B}"/>
    <cellStyle name="Normal 2 4 2 3 2 3 9" xfId="13103" xr:uid="{618DF13A-581E-43A9-945C-64962C486F82}"/>
    <cellStyle name="Normal 2 4 2 3 2 4" xfId="774" xr:uid="{00000000-0005-0000-0000-0000D40E0000}"/>
    <cellStyle name="Normal 2 4 2 3 2 4 2" xfId="3013" xr:uid="{00000000-0005-0000-0000-0000D50E0000}"/>
    <cellStyle name="Normal 2 4 2 3 2 4 2 2" xfId="7237" xr:uid="{00000000-0005-0000-0000-0000D60E0000}"/>
    <cellStyle name="Normal 2 4 2 3 2 4 2 3" xfId="11448" xr:uid="{8560F6DB-48FF-4FBB-BB9E-459F65DCF071}"/>
    <cellStyle name="Normal 2 4 2 3 2 4 2 4" xfId="15659" xr:uid="{932290C7-F1FD-43D2-89DE-8378D8AD99FD}"/>
    <cellStyle name="Normal 2 4 2 3 2 4 3" xfId="5092" xr:uid="{00000000-0005-0000-0000-0000D70E0000}"/>
    <cellStyle name="Normal 2 4 2 3 2 4 4" xfId="9303" xr:uid="{E26892FA-B98E-4A48-A22C-FFAE20CD638C}"/>
    <cellStyle name="Normal 2 4 2 3 2 4 5" xfId="13514" xr:uid="{8C12BE7E-BEC0-482C-BCAA-CF309178CB27}"/>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2 3" xfId="11861" xr:uid="{21803B54-4A60-4F6E-AE0C-1BCA965ED7EA}"/>
    <cellStyle name="Normal 2 4 2 3 2 5 2 4" xfId="16072" xr:uid="{1C558953-3BB2-4C07-BC92-19DF7E88B5E7}"/>
    <cellStyle name="Normal 2 4 2 3 2 5 3" xfId="5505" xr:uid="{00000000-0005-0000-0000-0000DB0E0000}"/>
    <cellStyle name="Normal 2 4 2 3 2 5 4" xfId="9716" xr:uid="{E159BD29-F891-44D5-B552-62EBEF308B5D}"/>
    <cellStyle name="Normal 2 4 2 3 2 5 5" xfId="13927" xr:uid="{6E5D5813-F38E-4AD2-937A-806BD5BA0107}"/>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2 3" xfId="12274" xr:uid="{98BCA7BC-5B91-41CA-93D8-4036617F13F1}"/>
    <cellStyle name="Normal 2 4 2 3 2 6 2 4" xfId="16485" xr:uid="{A0BD3B64-0D29-4EF9-BB5D-E305A81414D4}"/>
    <cellStyle name="Normal 2 4 2 3 2 6 3" xfId="5918" xr:uid="{00000000-0005-0000-0000-0000DF0E0000}"/>
    <cellStyle name="Normal 2 4 2 3 2 6 4" xfId="10129" xr:uid="{7EB22D7D-40E3-47BF-A28C-3C7AE72F162E}"/>
    <cellStyle name="Normal 2 4 2 3 2 6 5" xfId="14340" xr:uid="{23A68533-B8A8-4362-A0B3-0D7EC5F64C0D}"/>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2 3" xfId="12687" xr:uid="{18D0CB4D-18E2-4056-A216-33F85E797E49}"/>
    <cellStyle name="Normal 2 4 2 3 2 7 2 4" xfId="16898" xr:uid="{98CC5558-8E79-4240-9B22-838B177FECED}"/>
    <cellStyle name="Normal 2 4 2 3 2 7 3" xfId="6331" xr:uid="{00000000-0005-0000-0000-0000E30E0000}"/>
    <cellStyle name="Normal 2 4 2 3 2 7 4" xfId="10542" xr:uid="{E61B9FFE-183F-4FAE-A435-A7D09F8BCA55}"/>
    <cellStyle name="Normal 2 4 2 3 2 7 5" xfId="14753" xr:uid="{9FE5D28F-26E4-4340-96C3-C93C5D99E00C}"/>
    <cellStyle name="Normal 2 4 2 3 2 8" xfId="2459" xr:uid="{00000000-0005-0000-0000-0000E40E0000}"/>
    <cellStyle name="Normal 2 4 2 3 2 8 2" xfId="6744" xr:uid="{00000000-0005-0000-0000-0000E50E0000}"/>
    <cellStyle name="Normal 2 4 2 3 2 8 3" xfId="10955" xr:uid="{F1A9CA4A-1484-4CB9-8C17-078E0C729BBD}"/>
    <cellStyle name="Normal 2 4 2 3 2 8 4" xfId="15166" xr:uid="{477AFBD1-E2EB-42D2-97F0-F2B82D3B2E27}"/>
    <cellStyle name="Normal 2 4 2 3 2 9" xfId="4678" xr:uid="{00000000-0005-0000-0000-0000E60E0000}"/>
    <cellStyle name="Normal 2 4 2 3 3" xfId="286" xr:uid="{00000000-0005-0000-0000-0000E70E0000}"/>
    <cellStyle name="Normal 2 4 2 3 3 10" xfId="13104" xr:uid="{3A4653B6-9CE4-4671-9696-DAAB31C9AD96}"/>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2 3" xfId="11453" xr:uid="{31467DE5-9F19-4555-9B6B-FE2193807D75}"/>
    <cellStyle name="Normal 2 4 2 3 3 2 2 2 4" xfId="15664" xr:uid="{4D8CDFEC-DC80-4908-B702-B35FD37BCED3}"/>
    <cellStyle name="Normal 2 4 2 3 3 2 2 3" xfId="5097" xr:uid="{00000000-0005-0000-0000-0000EC0E0000}"/>
    <cellStyle name="Normal 2 4 2 3 3 2 2 4" xfId="9308" xr:uid="{8A836192-D77E-4769-9789-CF691A836CD8}"/>
    <cellStyle name="Normal 2 4 2 3 3 2 2 5" xfId="13519" xr:uid="{B58F011A-A45D-40CF-9E3B-59BCADFB576B}"/>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2 3" xfId="11866" xr:uid="{2FFD9437-83B9-43FE-A3A3-F2F33D0EC81F}"/>
    <cellStyle name="Normal 2 4 2 3 3 2 3 2 4" xfId="16077" xr:uid="{5C434F23-A88D-403E-A87B-883BA10275EC}"/>
    <cellStyle name="Normal 2 4 2 3 3 2 3 3" xfId="5510" xr:uid="{00000000-0005-0000-0000-0000F00E0000}"/>
    <cellStyle name="Normal 2 4 2 3 3 2 3 4" xfId="9721" xr:uid="{95A9B79D-91E2-4FF0-9E09-CA405B0F43E3}"/>
    <cellStyle name="Normal 2 4 2 3 3 2 3 5" xfId="13932" xr:uid="{06C224BE-DA27-41BA-A85A-632381E9D736}"/>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2 3" xfId="12279" xr:uid="{05C83686-A5F7-446E-BF6E-3D3CC39CBAC4}"/>
    <cellStyle name="Normal 2 4 2 3 3 2 4 2 4" xfId="16490" xr:uid="{7963E974-B82E-4D63-AC84-782D835E97A7}"/>
    <cellStyle name="Normal 2 4 2 3 3 2 4 3" xfId="5923" xr:uid="{00000000-0005-0000-0000-0000F40E0000}"/>
    <cellStyle name="Normal 2 4 2 3 3 2 4 4" xfId="10134" xr:uid="{8A54B08B-AB21-444E-BA9E-02C1F0976FE5}"/>
    <cellStyle name="Normal 2 4 2 3 3 2 4 5" xfId="14345" xr:uid="{1F877D13-37DE-4197-83C6-1FC1E930106A}"/>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2 3" xfId="12692" xr:uid="{A3574D3F-BCCD-4F2D-99CF-AC537F259F69}"/>
    <cellStyle name="Normal 2 4 2 3 3 2 5 2 4" xfId="16903" xr:uid="{0DC8C08A-456C-4AE5-B4F9-72052122EE77}"/>
    <cellStyle name="Normal 2 4 2 3 3 2 5 3" xfId="6336" xr:uid="{00000000-0005-0000-0000-0000F80E0000}"/>
    <cellStyle name="Normal 2 4 2 3 3 2 5 4" xfId="10547" xr:uid="{CB46658A-2FA9-4B8C-B041-BADA112412DB}"/>
    <cellStyle name="Normal 2 4 2 3 3 2 5 5" xfId="14758" xr:uid="{FE119387-D660-4920-9E95-DD078B66958A}"/>
    <cellStyle name="Normal 2 4 2 3 3 2 6" xfId="2464" xr:uid="{00000000-0005-0000-0000-0000F90E0000}"/>
    <cellStyle name="Normal 2 4 2 3 3 2 6 2" xfId="6749" xr:uid="{00000000-0005-0000-0000-0000FA0E0000}"/>
    <cellStyle name="Normal 2 4 2 3 3 2 6 3" xfId="10960" xr:uid="{FFA08D9B-6A0C-46A4-8B15-0EB9B86476F5}"/>
    <cellStyle name="Normal 2 4 2 3 3 2 6 4" xfId="15171" xr:uid="{CDE4D023-AD2F-4892-B1ED-B4FC0D7DAB88}"/>
    <cellStyle name="Normal 2 4 2 3 3 2 7" xfId="4683" xr:uid="{00000000-0005-0000-0000-0000FB0E0000}"/>
    <cellStyle name="Normal 2 4 2 3 3 2 8" xfId="8894" xr:uid="{82F1D75F-AA84-4448-B291-F610B8B75A6C}"/>
    <cellStyle name="Normal 2 4 2 3 3 2 9" xfId="13105" xr:uid="{F30A3959-BD66-46CC-AEF3-F27117A7CD38}"/>
    <cellStyle name="Normal 2 4 2 3 3 3" xfId="778" xr:uid="{00000000-0005-0000-0000-0000FC0E0000}"/>
    <cellStyle name="Normal 2 4 2 3 3 3 2" xfId="3017" xr:uid="{00000000-0005-0000-0000-0000FD0E0000}"/>
    <cellStyle name="Normal 2 4 2 3 3 3 2 2" xfId="7241" xr:uid="{00000000-0005-0000-0000-0000FE0E0000}"/>
    <cellStyle name="Normal 2 4 2 3 3 3 2 3" xfId="11452" xr:uid="{A5711845-4447-49B0-96CC-9A0DE75B3EEB}"/>
    <cellStyle name="Normal 2 4 2 3 3 3 2 4" xfId="15663" xr:uid="{30A3AAE4-D754-4896-8885-36E404B99523}"/>
    <cellStyle name="Normal 2 4 2 3 3 3 3" xfId="5096" xr:uid="{00000000-0005-0000-0000-0000FF0E0000}"/>
    <cellStyle name="Normal 2 4 2 3 3 3 4" xfId="9307" xr:uid="{C7069354-7C29-4BAE-9E44-5A2B5D1D78DF}"/>
    <cellStyle name="Normal 2 4 2 3 3 3 5" xfId="13518" xr:uid="{67A55AA3-DCC6-46CC-AA5A-652AF25D2FD6}"/>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2 3" xfId="11865" xr:uid="{DD631366-F62C-4232-AE69-358C7716FEDB}"/>
    <cellStyle name="Normal 2 4 2 3 3 4 2 4" xfId="16076" xr:uid="{4AC6B273-6FEE-49ED-B6B3-ABE80E6D6DE3}"/>
    <cellStyle name="Normal 2 4 2 3 3 4 3" xfId="5509" xr:uid="{00000000-0005-0000-0000-0000030F0000}"/>
    <cellStyle name="Normal 2 4 2 3 3 4 4" xfId="9720" xr:uid="{198890E0-641A-408C-A9E5-B2533245BD14}"/>
    <cellStyle name="Normal 2 4 2 3 3 4 5" xfId="13931" xr:uid="{8AAC9B13-D01A-4036-BF43-08826A68FDC5}"/>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2 3" xfId="12278" xr:uid="{CFB07999-F277-4EB3-A418-F24EE57ACE5D}"/>
    <cellStyle name="Normal 2 4 2 3 3 5 2 4" xfId="16489" xr:uid="{50655918-A19D-434A-B9C4-898468C23B00}"/>
    <cellStyle name="Normal 2 4 2 3 3 5 3" xfId="5922" xr:uid="{00000000-0005-0000-0000-0000070F0000}"/>
    <cellStyle name="Normal 2 4 2 3 3 5 4" xfId="10133" xr:uid="{0DEED4E1-0968-469E-8C62-48DC223C7A31}"/>
    <cellStyle name="Normal 2 4 2 3 3 5 5" xfId="14344" xr:uid="{DACD9B16-EB2F-4212-9C5F-816AE67B148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2 3" xfId="12691" xr:uid="{496EAFDD-566B-43FB-BF9B-137643509EEF}"/>
    <cellStyle name="Normal 2 4 2 3 3 6 2 4" xfId="16902" xr:uid="{27994968-44C0-4185-B44E-9E4492A3A72C}"/>
    <cellStyle name="Normal 2 4 2 3 3 6 3" xfId="6335" xr:uid="{00000000-0005-0000-0000-00000B0F0000}"/>
    <cellStyle name="Normal 2 4 2 3 3 6 4" xfId="10546" xr:uid="{1B9DB136-4EEE-49A6-9E46-E1617C8B6695}"/>
    <cellStyle name="Normal 2 4 2 3 3 6 5" xfId="14757" xr:uid="{0E91D4A7-FAC6-4F86-B657-5159A0904374}"/>
    <cellStyle name="Normal 2 4 2 3 3 7" xfId="2463" xr:uid="{00000000-0005-0000-0000-00000C0F0000}"/>
    <cellStyle name="Normal 2 4 2 3 3 7 2" xfId="6748" xr:uid="{00000000-0005-0000-0000-00000D0F0000}"/>
    <cellStyle name="Normal 2 4 2 3 3 7 3" xfId="10959" xr:uid="{18504FCF-9DAA-4F7E-AF12-ED982BFFBADE}"/>
    <cellStyle name="Normal 2 4 2 3 3 7 4" xfId="15170" xr:uid="{2C661E06-7811-47F2-BDA5-4DE1AEE4BFB7}"/>
    <cellStyle name="Normal 2 4 2 3 3 8" xfId="4682" xr:uid="{00000000-0005-0000-0000-00000E0F0000}"/>
    <cellStyle name="Normal 2 4 2 3 3 9" xfId="8893" xr:uid="{E222CCA5-35DC-4D86-8602-DEEAE8AF1F5E}"/>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2 3" xfId="11454" xr:uid="{33C91CCE-CF16-48BF-8E97-B81A741D2821}"/>
    <cellStyle name="Normal 2 4 2 3 4 2 2 4" xfId="15665" xr:uid="{6497A60E-0393-44B6-BFB4-C0F647D30D38}"/>
    <cellStyle name="Normal 2 4 2 3 4 2 3" xfId="5098" xr:uid="{00000000-0005-0000-0000-0000130F0000}"/>
    <cellStyle name="Normal 2 4 2 3 4 2 4" xfId="9309" xr:uid="{D97BBEFB-F2AA-4C78-8554-B80A0BF711B3}"/>
    <cellStyle name="Normal 2 4 2 3 4 2 5" xfId="13520" xr:uid="{B5257DC7-5622-44F1-8F9E-DEB0938ADC89}"/>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2 3" xfId="11867" xr:uid="{66242E2B-8592-4AE4-B4CA-794E4469D8E8}"/>
    <cellStyle name="Normal 2 4 2 3 4 3 2 4" xfId="16078" xr:uid="{3CE9C589-59F8-448A-8251-7B6B5607AEA9}"/>
    <cellStyle name="Normal 2 4 2 3 4 3 3" xfId="5511" xr:uid="{00000000-0005-0000-0000-0000170F0000}"/>
    <cellStyle name="Normal 2 4 2 3 4 3 4" xfId="9722" xr:uid="{C4333329-CC10-4CE5-95A9-8EA27CCF925B}"/>
    <cellStyle name="Normal 2 4 2 3 4 3 5" xfId="13933" xr:uid="{D9FAA376-6C05-4B18-A6FD-DA2998E4AF79}"/>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2 3" xfId="12280" xr:uid="{2A9CDA89-4103-4E62-A9B3-D326D4A538B8}"/>
    <cellStyle name="Normal 2 4 2 3 4 4 2 4" xfId="16491" xr:uid="{A1AB86BA-2A4A-456F-B353-89C9336FDF0F}"/>
    <cellStyle name="Normal 2 4 2 3 4 4 3" xfId="5924" xr:uid="{00000000-0005-0000-0000-00001B0F0000}"/>
    <cellStyle name="Normal 2 4 2 3 4 4 4" xfId="10135" xr:uid="{C2669539-80CA-4EC5-8100-AD29BD9A5A66}"/>
    <cellStyle name="Normal 2 4 2 3 4 4 5" xfId="14346" xr:uid="{2AC30CBA-474E-4442-97F5-943D5A61B5FB}"/>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2 3" xfId="12693" xr:uid="{3873F0EB-5C48-4B6A-B8B3-6F81500FCFF6}"/>
    <cellStyle name="Normal 2 4 2 3 4 5 2 4" xfId="16904" xr:uid="{5E3F1BE7-7C5D-4530-83BE-CE29ECE5E346}"/>
    <cellStyle name="Normal 2 4 2 3 4 5 3" xfId="6337" xr:uid="{00000000-0005-0000-0000-00001F0F0000}"/>
    <cellStyle name="Normal 2 4 2 3 4 5 4" xfId="10548" xr:uid="{C26FC268-F88B-425C-B700-AAC19DD1F8CF}"/>
    <cellStyle name="Normal 2 4 2 3 4 5 5" xfId="14759" xr:uid="{3EA74B1A-CD60-4D99-86C3-E7C3FEC6F63B}"/>
    <cellStyle name="Normal 2 4 2 3 4 6" xfId="2465" xr:uid="{00000000-0005-0000-0000-0000200F0000}"/>
    <cellStyle name="Normal 2 4 2 3 4 6 2" xfId="6750" xr:uid="{00000000-0005-0000-0000-0000210F0000}"/>
    <cellStyle name="Normal 2 4 2 3 4 6 3" xfId="10961" xr:uid="{769B21C5-8B2C-4D55-A44C-35B39B3C3BB6}"/>
    <cellStyle name="Normal 2 4 2 3 4 6 4" xfId="15172" xr:uid="{4DC51F52-BDA5-47FE-93DD-4974D58FC062}"/>
    <cellStyle name="Normal 2 4 2 3 4 7" xfId="4684" xr:uid="{00000000-0005-0000-0000-0000220F0000}"/>
    <cellStyle name="Normal 2 4 2 3 4 8" xfId="8895" xr:uid="{8CC7A4DF-7D5C-4326-A49B-C6D0E6B8E2C4}"/>
    <cellStyle name="Normal 2 4 2 3 4 9" xfId="13106" xr:uid="{FA31A210-CD47-4D9A-8C7F-A600C3ECC351}"/>
    <cellStyle name="Normal 2 4 2 3 5" xfId="773" xr:uid="{00000000-0005-0000-0000-0000230F0000}"/>
    <cellStyle name="Normal 2 4 2 3 5 2" xfId="3012" xr:uid="{00000000-0005-0000-0000-0000240F0000}"/>
    <cellStyle name="Normal 2 4 2 3 5 2 2" xfId="7236" xr:uid="{00000000-0005-0000-0000-0000250F0000}"/>
    <cellStyle name="Normal 2 4 2 3 5 2 3" xfId="11447" xr:uid="{57EC123D-7B35-4B65-8B1E-ED9F0F4E5DB9}"/>
    <cellStyle name="Normal 2 4 2 3 5 2 4" xfId="15658" xr:uid="{9153F3B9-1256-4464-B5AC-63BEEE1CDDA6}"/>
    <cellStyle name="Normal 2 4 2 3 5 3" xfId="5091" xr:uid="{00000000-0005-0000-0000-0000260F0000}"/>
    <cellStyle name="Normal 2 4 2 3 5 4" xfId="9302" xr:uid="{A1B5B767-7882-4BDC-A344-A698D9AECFF3}"/>
    <cellStyle name="Normal 2 4 2 3 5 5" xfId="13513" xr:uid="{9980C1BA-7DEA-4AF5-B885-F6A6EBD55DC5}"/>
    <cellStyle name="Normal 2 4 2 3 6" xfId="1195" xr:uid="{00000000-0005-0000-0000-0000270F0000}"/>
    <cellStyle name="Normal 2 4 2 3 6 2" xfId="3425" xr:uid="{00000000-0005-0000-0000-0000280F0000}"/>
    <cellStyle name="Normal 2 4 2 3 6 2 2" xfId="7649" xr:uid="{00000000-0005-0000-0000-0000290F0000}"/>
    <cellStyle name="Normal 2 4 2 3 6 2 3" xfId="11860" xr:uid="{F832C04C-3CBF-4F5F-9FCA-73A2CE79FB20}"/>
    <cellStyle name="Normal 2 4 2 3 6 2 4" xfId="16071" xr:uid="{C03D97D2-244D-4DF7-A2D7-F07F0F005F2B}"/>
    <cellStyle name="Normal 2 4 2 3 6 3" xfId="5504" xr:uid="{00000000-0005-0000-0000-00002A0F0000}"/>
    <cellStyle name="Normal 2 4 2 3 6 4" xfId="9715" xr:uid="{6E9790F1-4346-440C-9FE0-8720850B72E4}"/>
    <cellStyle name="Normal 2 4 2 3 6 5" xfId="13926" xr:uid="{B4827ACF-2824-4E99-BDFD-57EE03B434AF}"/>
    <cellStyle name="Normal 2 4 2 3 7" xfId="1608" xr:uid="{00000000-0005-0000-0000-00002B0F0000}"/>
    <cellStyle name="Normal 2 4 2 3 7 2" xfId="3838" xr:uid="{00000000-0005-0000-0000-00002C0F0000}"/>
    <cellStyle name="Normal 2 4 2 3 7 2 2" xfId="8062" xr:uid="{00000000-0005-0000-0000-00002D0F0000}"/>
    <cellStyle name="Normal 2 4 2 3 7 2 3" xfId="12273" xr:uid="{7BEE414B-F119-4F53-A03D-F64F97250336}"/>
    <cellStyle name="Normal 2 4 2 3 7 2 4" xfId="16484" xr:uid="{7A31DE11-BE23-477C-B6F4-5554F384E175}"/>
    <cellStyle name="Normal 2 4 2 3 7 3" xfId="5917" xr:uid="{00000000-0005-0000-0000-00002E0F0000}"/>
    <cellStyle name="Normal 2 4 2 3 7 4" xfId="10128" xr:uid="{930E83FA-899D-4A66-95BE-F1B9D928B991}"/>
    <cellStyle name="Normal 2 4 2 3 7 5" xfId="14339" xr:uid="{9CF7A74B-4717-40FA-BB49-586282ED1CB9}"/>
    <cellStyle name="Normal 2 4 2 3 8" xfId="2022" xr:uid="{00000000-0005-0000-0000-00002F0F0000}"/>
    <cellStyle name="Normal 2 4 2 3 8 2" xfId="4251" xr:uid="{00000000-0005-0000-0000-0000300F0000}"/>
    <cellStyle name="Normal 2 4 2 3 8 2 2" xfId="8475" xr:uid="{00000000-0005-0000-0000-0000310F0000}"/>
    <cellStyle name="Normal 2 4 2 3 8 2 3" xfId="12686" xr:uid="{827B5B3B-AEA3-47DA-A785-EE703027EA08}"/>
    <cellStyle name="Normal 2 4 2 3 8 2 4" xfId="16897" xr:uid="{1F68DF1F-E257-4588-972E-F486AEBFE746}"/>
    <cellStyle name="Normal 2 4 2 3 8 3" xfId="6330" xr:uid="{00000000-0005-0000-0000-0000320F0000}"/>
    <cellStyle name="Normal 2 4 2 3 8 4" xfId="10541" xr:uid="{B4661D40-6707-4A39-80D4-47C3479A1B1D}"/>
    <cellStyle name="Normal 2 4 2 3 8 5" xfId="14752" xr:uid="{074F0F56-59BB-41B8-811E-C0B84C3A0734}"/>
    <cellStyle name="Normal 2 4 2 3 9" xfId="2458" xr:uid="{00000000-0005-0000-0000-0000330F0000}"/>
    <cellStyle name="Normal 2 4 2 3 9 2" xfId="6743" xr:uid="{00000000-0005-0000-0000-0000340F0000}"/>
    <cellStyle name="Normal 2 4 2 3 9 3" xfId="10954" xr:uid="{F06C724B-8E4C-4E28-BEBD-2716ACB1C11F}"/>
    <cellStyle name="Normal 2 4 2 3 9 4" xfId="15165" xr:uid="{16EE30E6-19FE-40B7-BB60-B92849B79486}"/>
    <cellStyle name="Normal 2 4 2 4" xfId="289" xr:uid="{00000000-0005-0000-0000-0000350F0000}"/>
    <cellStyle name="Normal 2 4 2 4 10" xfId="8896" xr:uid="{8157EF9C-C188-4BAE-8AEA-3C4E6467B8D0}"/>
    <cellStyle name="Normal 2 4 2 4 11" xfId="13107" xr:uid="{0D55B6A0-FE7D-407A-B92A-0EA9D4EFEC60}"/>
    <cellStyle name="Normal 2 4 2 4 2" xfId="290" xr:uid="{00000000-0005-0000-0000-0000360F0000}"/>
    <cellStyle name="Normal 2 4 2 4 2 10" xfId="13108" xr:uid="{4377B162-9C8A-43D3-AE8F-16069678206F}"/>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2 3" xfId="11457" xr:uid="{92998037-15C1-4070-A52C-6B61E1D2E75F}"/>
    <cellStyle name="Normal 2 4 2 4 2 2 2 2 4" xfId="15668" xr:uid="{67DD1AA1-E09D-47DD-8B50-91237B0C4C29}"/>
    <cellStyle name="Normal 2 4 2 4 2 2 2 3" xfId="5101" xr:uid="{00000000-0005-0000-0000-00003B0F0000}"/>
    <cellStyle name="Normal 2 4 2 4 2 2 2 4" xfId="9312" xr:uid="{8740B4B6-AC99-45C8-9A86-381C6B784D11}"/>
    <cellStyle name="Normal 2 4 2 4 2 2 2 5" xfId="13523" xr:uid="{3A0A8B86-D81F-47A6-994E-AF21B5356BEA}"/>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2 3" xfId="11870" xr:uid="{1F63D8DB-F4E0-4927-99F8-B33993C68D63}"/>
    <cellStyle name="Normal 2 4 2 4 2 2 3 2 4" xfId="16081" xr:uid="{DBF60C6D-4C7A-4961-ABDD-7AF165F7AC88}"/>
    <cellStyle name="Normal 2 4 2 4 2 2 3 3" xfId="5514" xr:uid="{00000000-0005-0000-0000-00003F0F0000}"/>
    <cellStyle name="Normal 2 4 2 4 2 2 3 4" xfId="9725" xr:uid="{2015034C-75AE-4559-BD4E-BDF00F2F7AAC}"/>
    <cellStyle name="Normal 2 4 2 4 2 2 3 5" xfId="13936" xr:uid="{B6658415-8C44-4093-970E-6AFD70BF962E}"/>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2 3" xfId="12283" xr:uid="{B0C9E1FE-F0FB-4D72-8C90-02BC14E423AF}"/>
    <cellStyle name="Normal 2 4 2 4 2 2 4 2 4" xfId="16494" xr:uid="{BE26CC8A-9FA2-4834-BEBC-60AD2A33EA4D}"/>
    <cellStyle name="Normal 2 4 2 4 2 2 4 3" xfId="5927" xr:uid="{00000000-0005-0000-0000-0000430F0000}"/>
    <cellStyle name="Normal 2 4 2 4 2 2 4 4" xfId="10138" xr:uid="{5EC75505-EB9B-4DBE-AD31-1D94207C2BB9}"/>
    <cellStyle name="Normal 2 4 2 4 2 2 4 5" xfId="14349" xr:uid="{8402B1F7-7295-46B4-9DBD-2D568E50AE4F}"/>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2 3" xfId="12696" xr:uid="{EABD97A1-A29A-49EE-8606-D461068E186E}"/>
    <cellStyle name="Normal 2 4 2 4 2 2 5 2 4" xfId="16907" xr:uid="{20F53342-A4E6-4E17-BEDE-775237EA36B7}"/>
    <cellStyle name="Normal 2 4 2 4 2 2 5 3" xfId="6340" xr:uid="{00000000-0005-0000-0000-0000470F0000}"/>
    <cellStyle name="Normal 2 4 2 4 2 2 5 4" xfId="10551" xr:uid="{A99EB6FE-198A-462E-8B5E-73E770909D92}"/>
    <cellStyle name="Normal 2 4 2 4 2 2 5 5" xfId="14762" xr:uid="{FB38606B-F896-4DDE-8CF1-B2ACA26BD992}"/>
    <cellStyle name="Normal 2 4 2 4 2 2 6" xfId="2468" xr:uid="{00000000-0005-0000-0000-0000480F0000}"/>
    <cellStyle name="Normal 2 4 2 4 2 2 6 2" xfId="6753" xr:uid="{00000000-0005-0000-0000-0000490F0000}"/>
    <cellStyle name="Normal 2 4 2 4 2 2 6 3" xfId="10964" xr:uid="{31BE74DB-541B-4348-B149-1D81620EC6F6}"/>
    <cellStyle name="Normal 2 4 2 4 2 2 6 4" xfId="15175" xr:uid="{C8CF8C44-2F14-4FC1-A0BB-96C46E313688}"/>
    <cellStyle name="Normal 2 4 2 4 2 2 7" xfId="4687" xr:uid="{00000000-0005-0000-0000-00004A0F0000}"/>
    <cellStyle name="Normal 2 4 2 4 2 2 8" xfId="8898" xr:uid="{BAAC6D42-6BC7-4759-9669-F5934E1FE0A9}"/>
    <cellStyle name="Normal 2 4 2 4 2 2 9" xfId="13109" xr:uid="{17961C50-87A1-4B1C-8CDB-984876BFA7E2}"/>
    <cellStyle name="Normal 2 4 2 4 2 3" xfId="782" xr:uid="{00000000-0005-0000-0000-00004B0F0000}"/>
    <cellStyle name="Normal 2 4 2 4 2 3 2" xfId="3021" xr:uid="{00000000-0005-0000-0000-00004C0F0000}"/>
    <cellStyle name="Normal 2 4 2 4 2 3 2 2" xfId="7245" xr:uid="{00000000-0005-0000-0000-00004D0F0000}"/>
    <cellStyle name="Normal 2 4 2 4 2 3 2 3" xfId="11456" xr:uid="{390B17E7-3F02-4691-BF05-DEF26AAD6983}"/>
    <cellStyle name="Normal 2 4 2 4 2 3 2 4" xfId="15667" xr:uid="{58DF0DDA-3BAA-42A3-BDC3-D074D15DC7DE}"/>
    <cellStyle name="Normal 2 4 2 4 2 3 3" xfId="5100" xr:uid="{00000000-0005-0000-0000-00004E0F0000}"/>
    <cellStyle name="Normal 2 4 2 4 2 3 4" xfId="9311" xr:uid="{0CAD0A94-2E6C-4C62-AAC8-FC813B2FAD5B}"/>
    <cellStyle name="Normal 2 4 2 4 2 3 5" xfId="13522" xr:uid="{A5A7139A-2115-4BC8-BCBA-B0EDB9022AFF}"/>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2 3" xfId="11869" xr:uid="{3C545F5F-31DF-44BF-89F0-887BA3E90CBF}"/>
    <cellStyle name="Normal 2 4 2 4 2 4 2 4" xfId="16080" xr:uid="{44E83B2E-4D42-465A-801B-13DD72DB1246}"/>
    <cellStyle name="Normal 2 4 2 4 2 4 3" xfId="5513" xr:uid="{00000000-0005-0000-0000-0000520F0000}"/>
    <cellStyle name="Normal 2 4 2 4 2 4 4" xfId="9724" xr:uid="{DD7687D1-B000-43F1-A95E-764BE6CAF57F}"/>
    <cellStyle name="Normal 2 4 2 4 2 4 5" xfId="13935" xr:uid="{4AD9CD36-28B5-4E97-BC71-864B0D57D6B5}"/>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2 3" xfId="12282" xr:uid="{0C9260BE-9A8D-400C-97E9-6503926A5FF0}"/>
    <cellStyle name="Normal 2 4 2 4 2 5 2 4" xfId="16493" xr:uid="{7BD71D88-0EC2-45AA-BF8A-7601A1F711C5}"/>
    <cellStyle name="Normal 2 4 2 4 2 5 3" xfId="5926" xr:uid="{00000000-0005-0000-0000-0000560F0000}"/>
    <cellStyle name="Normal 2 4 2 4 2 5 4" xfId="10137" xr:uid="{8B896A64-9D48-4A5B-B4C9-027C9F5944A5}"/>
    <cellStyle name="Normal 2 4 2 4 2 5 5" xfId="14348" xr:uid="{CC3B1FA3-C033-4B56-891C-C2F396823B41}"/>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2 3" xfId="12695" xr:uid="{48196789-F0DB-4852-B68C-C7CE12C976AB}"/>
    <cellStyle name="Normal 2 4 2 4 2 6 2 4" xfId="16906" xr:uid="{DFD6AA1A-181E-46A1-9FE7-867DE876CE24}"/>
    <cellStyle name="Normal 2 4 2 4 2 6 3" xfId="6339" xr:uid="{00000000-0005-0000-0000-00005A0F0000}"/>
    <cellStyle name="Normal 2 4 2 4 2 6 4" xfId="10550" xr:uid="{F0C6F29F-76B1-4E5A-93D3-F7809E143383}"/>
    <cellStyle name="Normal 2 4 2 4 2 6 5" xfId="14761" xr:uid="{E8FF24DA-359F-4093-BB4B-B4535254BB2D}"/>
    <cellStyle name="Normal 2 4 2 4 2 7" xfId="2467" xr:uid="{00000000-0005-0000-0000-00005B0F0000}"/>
    <cellStyle name="Normal 2 4 2 4 2 7 2" xfId="6752" xr:uid="{00000000-0005-0000-0000-00005C0F0000}"/>
    <cellStyle name="Normal 2 4 2 4 2 7 3" xfId="10963" xr:uid="{DAF1A126-D34A-479D-B94D-D45D7B7787A3}"/>
    <cellStyle name="Normal 2 4 2 4 2 7 4" xfId="15174" xr:uid="{5831B048-9C73-47C4-B556-B123B049DB14}"/>
    <cellStyle name="Normal 2 4 2 4 2 8" xfId="4686" xr:uid="{00000000-0005-0000-0000-00005D0F0000}"/>
    <cellStyle name="Normal 2 4 2 4 2 9" xfId="8897" xr:uid="{C13C4E3A-730F-49EA-8C0B-7ACFD6C76D73}"/>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2 3" xfId="11458" xr:uid="{2A1ECCE8-B9F5-4754-B487-0870C9E30B9B}"/>
    <cellStyle name="Normal 2 4 2 4 3 2 2 4" xfId="15669" xr:uid="{99F399D5-4904-477A-ABC2-60AD99E2EB4E}"/>
    <cellStyle name="Normal 2 4 2 4 3 2 3" xfId="5102" xr:uid="{00000000-0005-0000-0000-0000620F0000}"/>
    <cellStyle name="Normal 2 4 2 4 3 2 4" xfId="9313" xr:uid="{41681463-ECF0-4040-89D6-837A24BF1891}"/>
    <cellStyle name="Normal 2 4 2 4 3 2 5" xfId="13524" xr:uid="{B4BE884B-9E55-4D47-AD5B-92EC9DE9911F}"/>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2 3" xfId="11871" xr:uid="{E6539995-9A2F-4E3A-8816-5AFE97D2A929}"/>
    <cellStyle name="Normal 2 4 2 4 3 3 2 4" xfId="16082" xr:uid="{969EBF3C-442F-40ED-A7BC-C5F60A070D09}"/>
    <cellStyle name="Normal 2 4 2 4 3 3 3" xfId="5515" xr:uid="{00000000-0005-0000-0000-0000660F0000}"/>
    <cellStyle name="Normal 2 4 2 4 3 3 4" xfId="9726" xr:uid="{AC8733A9-1807-404B-8A86-A3DBBE0F5C37}"/>
    <cellStyle name="Normal 2 4 2 4 3 3 5" xfId="13937" xr:uid="{31677164-0FB7-4B48-86CC-A9D057F1EADC}"/>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2 3" xfId="12284" xr:uid="{46DE51EE-5B64-4127-AE48-2D940DE88E8F}"/>
    <cellStyle name="Normal 2 4 2 4 3 4 2 4" xfId="16495" xr:uid="{EE132FE7-6234-4656-9E34-2AEEEA99E0FE}"/>
    <cellStyle name="Normal 2 4 2 4 3 4 3" xfId="5928" xr:uid="{00000000-0005-0000-0000-00006A0F0000}"/>
    <cellStyle name="Normal 2 4 2 4 3 4 4" xfId="10139" xr:uid="{C7225B2B-D216-4209-80D6-AD1A4873888F}"/>
    <cellStyle name="Normal 2 4 2 4 3 4 5" xfId="14350" xr:uid="{376F19F7-9485-4A0A-AC5A-EF81E312793B}"/>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2 3" xfId="12697" xr:uid="{D757B3BE-987E-4CB2-934E-DD9B99CDE5A1}"/>
    <cellStyle name="Normal 2 4 2 4 3 5 2 4" xfId="16908" xr:uid="{43B17A4E-3AC3-44F0-B58E-84C4077C111E}"/>
    <cellStyle name="Normal 2 4 2 4 3 5 3" xfId="6341" xr:uid="{00000000-0005-0000-0000-00006E0F0000}"/>
    <cellStyle name="Normal 2 4 2 4 3 5 4" xfId="10552" xr:uid="{AC183C83-32D8-4AF6-8F06-7A802A944140}"/>
    <cellStyle name="Normal 2 4 2 4 3 5 5" xfId="14763" xr:uid="{7F2BF5BF-2019-48B9-A703-6FF8E5A5CD61}"/>
    <cellStyle name="Normal 2 4 2 4 3 6" xfId="2469" xr:uid="{00000000-0005-0000-0000-00006F0F0000}"/>
    <cellStyle name="Normal 2 4 2 4 3 6 2" xfId="6754" xr:uid="{00000000-0005-0000-0000-0000700F0000}"/>
    <cellStyle name="Normal 2 4 2 4 3 6 3" xfId="10965" xr:uid="{AC9327AD-D3EF-4943-8086-0EA2A40AE8A1}"/>
    <cellStyle name="Normal 2 4 2 4 3 6 4" xfId="15176" xr:uid="{A14BD511-77F8-4ECA-8513-82E0D3B77905}"/>
    <cellStyle name="Normal 2 4 2 4 3 7" xfId="4688" xr:uid="{00000000-0005-0000-0000-0000710F0000}"/>
    <cellStyle name="Normal 2 4 2 4 3 8" xfId="8899" xr:uid="{1559AFD3-C439-47F4-8D9C-FBCA9FB9FB08}"/>
    <cellStyle name="Normal 2 4 2 4 3 9" xfId="13110" xr:uid="{108DFE95-85F3-47BD-9048-8B57087E9A16}"/>
    <cellStyle name="Normal 2 4 2 4 4" xfId="781" xr:uid="{00000000-0005-0000-0000-0000720F0000}"/>
    <cellStyle name="Normal 2 4 2 4 4 2" xfId="3020" xr:uid="{00000000-0005-0000-0000-0000730F0000}"/>
    <cellStyle name="Normal 2 4 2 4 4 2 2" xfId="7244" xr:uid="{00000000-0005-0000-0000-0000740F0000}"/>
    <cellStyle name="Normal 2 4 2 4 4 2 3" xfId="11455" xr:uid="{C9124B4C-CEB4-4561-8EEB-C8A4C6AC87B8}"/>
    <cellStyle name="Normal 2 4 2 4 4 2 4" xfId="15666" xr:uid="{8396CE1A-BAC0-435F-9866-D7D3D02D8E3F}"/>
    <cellStyle name="Normal 2 4 2 4 4 3" xfId="5099" xr:uid="{00000000-0005-0000-0000-0000750F0000}"/>
    <cellStyle name="Normal 2 4 2 4 4 4" xfId="9310" xr:uid="{85C76E91-F37D-40F0-8593-1A05DB24B0AE}"/>
    <cellStyle name="Normal 2 4 2 4 4 5" xfId="13521" xr:uid="{5604E121-E713-4410-854E-AEB2A9214AEA}"/>
    <cellStyle name="Normal 2 4 2 4 5" xfId="1203" xr:uid="{00000000-0005-0000-0000-0000760F0000}"/>
    <cellStyle name="Normal 2 4 2 4 5 2" xfId="3433" xr:uid="{00000000-0005-0000-0000-0000770F0000}"/>
    <cellStyle name="Normal 2 4 2 4 5 2 2" xfId="7657" xr:uid="{00000000-0005-0000-0000-0000780F0000}"/>
    <cellStyle name="Normal 2 4 2 4 5 2 3" xfId="11868" xr:uid="{6D1F3410-22EA-4C6F-9FE7-0B11A840542C}"/>
    <cellStyle name="Normal 2 4 2 4 5 2 4" xfId="16079" xr:uid="{7999D205-D90E-45FB-8585-A154C8D8BD41}"/>
    <cellStyle name="Normal 2 4 2 4 5 3" xfId="5512" xr:uid="{00000000-0005-0000-0000-0000790F0000}"/>
    <cellStyle name="Normal 2 4 2 4 5 4" xfId="9723" xr:uid="{49423985-0D09-4E73-B6BA-498043D47771}"/>
    <cellStyle name="Normal 2 4 2 4 5 5" xfId="13934" xr:uid="{23597E24-737C-4052-97DE-AD695B8B9A1B}"/>
    <cellStyle name="Normal 2 4 2 4 6" xfId="1616" xr:uid="{00000000-0005-0000-0000-00007A0F0000}"/>
    <cellStyle name="Normal 2 4 2 4 6 2" xfId="3846" xr:uid="{00000000-0005-0000-0000-00007B0F0000}"/>
    <cellStyle name="Normal 2 4 2 4 6 2 2" xfId="8070" xr:uid="{00000000-0005-0000-0000-00007C0F0000}"/>
    <cellStyle name="Normal 2 4 2 4 6 2 3" xfId="12281" xr:uid="{732939AF-99B5-4169-8302-40EC679E9606}"/>
    <cellStyle name="Normal 2 4 2 4 6 2 4" xfId="16492" xr:uid="{92E6F47F-6EEB-4708-A38E-B714299E3B58}"/>
    <cellStyle name="Normal 2 4 2 4 6 3" xfId="5925" xr:uid="{00000000-0005-0000-0000-00007D0F0000}"/>
    <cellStyle name="Normal 2 4 2 4 6 4" xfId="10136" xr:uid="{830E442B-4CB6-44A7-B1CD-EC77B2C2A87E}"/>
    <cellStyle name="Normal 2 4 2 4 6 5" xfId="14347" xr:uid="{827F6AAE-C156-4CDC-90E0-6A7613C8713D}"/>
    <cellStyle name="Normal 2 4 2 4 7" xfId="2030" xr:uid="{00000000-0005-0000-0000-00007E0F0000}"/>
    <cellStyle name="Normal 2 4 2 4 7 2" xfId="4259" xr:uid="{00000000-0005-0000-0000-00007F0F0000}"/>
    <cellStyle name="Normal 2 4 2 4 7 2 2" xfId="8483" xr:uid="{00000000-0005-0000-0000-0000800F0000}"/>
    <cellStyle name="Normal 2 4 2 4 7 2 3" xfId="12694" xr:uid="{BCBC97FA-E555-450B-97D7-05B97953B068}"/>
    <cellStyle name="Normal 2 4 2 4 7 2 4" xfId="16905" xr:uid="{EF4FCC45-6E7E-49AF-B243-F63F81367848}"/>
    <cellStyle name="Normal 2 4 2 4 7 3" xfId="6338" xr:uid="{00000000-0005-0000-0000-0000810F0000}"/>
    <cellStyle name="Normal 2 4 2 4 7 4" xfId="10549" xr:uid="{DB8BDACF-959C-4714-9CD9-073B7BF9C7CB}"/>
    <cellStyle name="Normal 2 4 2 4 7 5" xfId="14760" xr:uid="{844805A8-1845-49C5-9302-33EC48D8BC86}"/>
    <cellStyle name="Normal 2 4 2 4 8" xfId="2466" xr:uid="{00000000-0005-0000-0000-0000820F0000}"/>
    <cellStyle name="Normal 2 4 2 4 8 2" xfId="6751" xr:uid="{00000000-0005-0000-0000-0000830F0000}"/>
    <cellStyle name="Normal 2 4 2 4 8 3" xfId="10962" xr:uid="{EEC35D3E-BF2F-4562-97FE-63F61457FD13}"/>
    <cellStyle name="Normal 2 4 2 4 8 4" xfId="15173" xr:uid="{A307F4EF-437E-446B-A753-521FE1ADD7E1}"/>
    <cellStyle name="Normal 2 4 2 4 9" xfId="4685" xr:uid="{00000000-0005-0000-0000-0000840F0000}"/>
    <cellStyle name="Normal 2 4 2 5" xfId="293" xr:uid="{00000000-0005-0000-0000-0000850F0000}"/>
    <cellStyle name="Normal 2 4 2 5 10" xfId="13111" xr:uid="{802F3808-B3FA-403C-8E51-970D201B3608}"/>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2 3" xfId="11460" xr:uid="{97076350-68A3-4746-B287-8D84DB567543}"/>
    <cellStyle name="Normal 2 4 2 5 2 2 2 4" xfId="15671" xr:uid="{96FAE8AC-3714-4896-9526-AD26CAA1EE8B}"/>
    <cellStyle name="Normal 2 4 2 5 2 2 3" xfId="5104" xr:uid="{00000000-0005-0000-0000-00008A0F0000}"/>
    <cellStyle name="Normal 2 4 2 5 2 2 4" xfId="9315" xr:uid="{1DCD9237-F497-4B1C-86C8-04B0EDB6B649}"/>
    <cellStyle name="Normal 2 4 2 5 2 2 5" xfId="13526" xr:uid="{F05E741A-00E4-4820-B67B-2BFF663D470B}"/>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2 3" xfId="11873" xr:uid="{D940CC96-F2B4-4EF2-BFCF-4A933CC4A02F}"/>
    <cellStyle name="Normal 2 4 2 5 2 3 2 4" xfId="16084" xr:uid="{794270E1-25EC-4860-B179-2F05DFDB753F}"/>
    <cellStyle name="Normal 2 4 2 5 2 3 3" xfId="5517" xr:uid="{00000000-0005-0000-0000-00008E0F0000}"/>
    <cellStyle name="Normal 2 4 2 5 2 3 4" xfId="9728" xr:uid="{AB9448CC-DBEA-49A4-AE50-431DD1C57812}"/>
    <cellStyle name="Normal 2 4 2 5 2 3 5" xfId="13939" xr:uid="{A415F820-F043-4BEB-BD82-37959BF34192}"/>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2 3" xfId="12286" xr:uid="{11210DF3-898B-4B08-B695-40A70A5D7409}"/>
    <cellStyle name="Normal 2 4 2 5 2 4 2 4" xfId="16497" xr:uid="{31B2D4A2-CE70-4DBA-9F01-932594CB9CB9}"/>
    <cellStyle name="Normal 2 4 2 5 2 4 3" xfId="5930" xr:uid="{00000000-0005-0000-0000-0000920F0000}"/>
    <cellStyle name="Normal 2 4 2 5 2 4 4" xfId="10141" xr:uid="{507BF0DC-E8FC-4BD0-9E25-7DC149BC7312}"/>
    <cellStyle name="Normal 2 4 2 5 2 4 5" xfId="14352" xr:uid="{9F348E63-C4B6-4E33-B05A-4939C1384EAE}"/>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2 3" xfId="12699" xr:uid="{A227E5CE-3FD7-4759-A563-360F32125B7E}"/>
    <cellStyle name="Normal 2 4 2 5 2 5 2 4" xfId="16910" xr:uid="{12946BAE-6806-4505-A39C-BC4AE0BB8036}"/>
    <cellStyle name="Normal 2 4 2 5 2 5 3" xfId="6343" xr:uid="{00000000-0005-0000-0000-0000960F0000}"/>
    <cellStyle name="Normal 2 4 2 5 2 5 4" xfId="10554" xr:uid="{1920A64A-005D-471F-BFD5-D5147EE5D002}"/>
    <cellStyle name="Normal 2 4 2 5 2 5 5" xfId="14765" xr:uid="{86EB084D-6A41-478F-92C8-1E03E4288F58}"/>
    <cellStyle name="Normal 2 4 2 5 2 6" xfId="2471" xr:uid="{00000000-0005-0000-0000-0000970F0000}"/>
    <cellStyle name="Normal 2 4 2 5 2 6 2" xfId="6756" xr:uid="{00000000-0005-0000-0000-0000980F0000}"/>
    <cellStyle name="Normal 2 4 2 5 2 6 3" xfId="10967" xr:uid="{BAD74EBC-9F4B-4FBF-9E0A-26146D699800}"/>
    <cellStyle name="Normal 2 4 2 5 2 6 4" xfId="15178" xr:uid="{E63E6A26-AA21-420F-AFEB-DA0E3734CBCF}"/>
    <cellStyle name="Normal 2 4 2 5 2 7" xfId="4690" xr:uid="{00000000-0005-0000-0000-0000990F0000}"/>
    <cellStyle name="Normal 2 4 2 5 2 8" xfId="8901" xr:uid="{45D6BC20-4EEE-403B-B234-EBB17AE84C25}"/>
    <cellStyle name="Normal 2 4 2 5 2 9" xfId="13112" xr:uid="{47CFA896-7670-411A-975F-C7D4857FCA42}"/>
    <cellStyle name="Normal 2 4 2 5 3" xfId="785" xr:uid="{00000000-0005-0000-0000-00009A0F0000}"/>
    <cellStyle name="Normal 2 4 2 5 3 2" xfId="3024" xr:uid="{00000000-0005-0000-0000-00009B0F0000}"/>
    <cellStyle name="Normal 2 4 2 5 3 2 2" xfId="7248" xr:uid="{00000000-0005-0000-0000-00009C0F0000}"/>
    <cellStyle name="Normal 2 4 2 5 3 2 3" xfId="11459" xr:uid="{4EF28B8A-8763-4356-AA41-C36261F87E05}"/>
    <cellStyle name="Normal 2 4 2 5 3 2 4" xfId="15670" xr:uid="{58BC8AB1-3C1A-421C-9A36-3864FB3D7907}"/>
    <cellStyle name="Normal 2 4 2 5 3 3" xfId="5103" xr:uid="{00000000-0005-0000-0000-00009D0F0000}"/>
    <cellStyle name="Normal 2 4 2 5 3 4" xfId="9314" xr:uid="{9BD5191C-A0F5-4D94-B675-E4FD0D3B9731}"/>
    <cellStyle name="Normal 2 4 2 5 3 5" xfId="13525" xr:uid="{16F7D590-F831-4388-BA22-6AC54888E76C}"/>
    <cellStyle name="Normal 2 4 2 5 4" xfId="1207" xr:uid="{00000000-0005-0000-0000-00009E0F0000}"/>
    <cellStyle name="Normal 2 4 2 5 4 2" xfId="3437" xr:uid="{00000000-0005-0000-0000-00009F0F0000}"/>
    <cellStyle name="Normal 2 4 2 5 4 2 2" xfId="7661" xr:uid="{00000000-0005-0000-0000-0000A00F0000}"/>
    <cellStyle name="Normal 2 4 2 5 4 2 3" xfId="11872" xr:uid="{E628E980-14AD-4D83-9396-B55DE3B1721B}"/>
    <cellStyle name="Normal 2 4 2 5 4 2 4" xfId="16083" xr:uid="{CB5A2E3F-30ED-4E90-8A1B-EFC40F16A7E8}"/>
    <cellStyle name="Normal 2 4 2 5 4 3" xfId="5516" xr:uid="{00000000-0005-0000-0000-0000A10F0000}"/>
    <cellStyle name="Normal 2 4 2 5 4 4" xfId="9727" xr:uid="{281B3E72-DB19-43AA-9D9A-7579A9834F35}"/>
    <cellStyle name="Normal 2 4 2 5 4 5" xfId="13938" xr:uid="{DCA986EE-5AF0-4A53-B131-0E5991DE5B12}"/>
    <cellStyle name="Normal 2 4 2 5 5" xfId="1620" xr:uid="{00000000-0005-0000-0000-0000A20F0000}"/>
    <cellStyle name="Normal 2 4 2 5 5 2" xfId="3850" xr:uid="{00000000-0005-0000-0000-0000A30F0000}"/>
    <cellStyle name="Normal 2 4 2 5 5 2 2" xfId="8074" xr:uid="{00000000-0005-0000-0000-0000A40F0000}"/>
    <cellStyle name="Normal 2 4 2 5 5 2 3" xfId="12285" xr:uid="{A8B19DCB-680F-4A05-B631-054D480D8106}"/>
    <cellStyle name="Normal 2 4 2 5 5 2 4" xfId="16496" xr:uid="{3460DF10-290E-484E-B6B4-486874ACF182}"/>
    <cellStyle name="Normal 2 4 2 5 5 3" xfId="5929" xr:uid="{00000000-0005-0000-0000-0000A50F0000}"/>
    <cellStyle name="Normal 2 4 2 5 5 4" xfId="10140" xr:uid="{EE5C9322-406D-4ED6-9FCC-6B3B03C4E8CE}"/>
    <cellStyle name="Normal 2 4 2 5 5 5" xfId="14351" xr:uid="{047E0659-403C-4627-969E-4434A8DD400E}"/>
    <cellStyle name="Normal 2 4 2 5 6" xfId="2034" xr:uid="{00000000-0005-0000-0000-0000A60F0000}"/>
    <cellStyle name="Normal 2 4 2 5 6 2" xfId="4263" xr:uid="{00000000-0005-0000-0000-0000A70F0000}"/>
    <cellStyle name="Normal 2 4 2 5 6 2 2" xfId="8487" xr:uid="{00000000-0005-0000-0000-0000A80F0000}"/>
    <cellStyle name="Normal 2 4 2 5 6 2 3" xfId="12698" xr:uid="{9D935448-CA7C-4014-B43E-7F38513BFB00}"/>
    <cellStyle name="Normal 2 4 2 5 6 2 4" xfId="16909" xr:uid="{22D3B145-7B6A-415C-8518-D434600D46D0}"/>
    <cellStyle name="Normal 2 4 2 5 6 3" xfId="6342" xr:uid="{00000000-0005-0000-0000-0000A90F0000}"/>
    <cellStyle name="Normal 2 4 2 5 6 4" xfId="10553" xr:uid="{2C4C4DF9-FD48-4790-917D-004D811DB982}"/>
    <cellStyle name="Normal 2 4 2 5 6 5" xfId="14764" xr:uid="{4296D20E-CD2F-468F-A04F-E3C743C5F739}"/>
    <cellStyle name="Normal 2 4 2 5 7" xfId="2470" xr:uid="{00000000-0005-0000-0000-0000AA0F0000}"/>
    <cellStyle name="Normal 2 4 2 5 7 2" xfId="6755" xr:uid="{00000000-0005-0000-0000-0000AB0F0000}"/>
    <cellStyle name="Normal 2 4 2 5 7 3" xfId="10966" xr:uid="{C6C0AC44-3235-4527-9C36-C435B8BC6EF5}"/>
    <cellStyle name="Normal 2 4 2 5 7 4" xfId="15177" xr:uid="{AB734045-0EC1-4C4F-A859-7490FA881C44}"/>
    <cellStyle name="Normal 2 4 2 5 8" xfId="4689" xr:uid="{00000000-0005-0000-0000-0000AC0F0000}"/>
    <cellStyle name="Normal 2 4 2 5 9" xfId="8900" xr:uid="{201DBB7D-EA66-4DFD-9C9A-9B5D393DE4F5}"/>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2 3" xfId="11461" xr:uid="{A0060469-6189-4F37-AB03-3B645D723890}"/>
    <cellStyle name="Normal 2 4 2 6 2 2 4" xfId="15672" xr:uid="{1D4124BC-4CDF-4C72-B362-4050867C6E8D}"/>
    <cellStyle name="Normal 2 4 2 6 2 3" xfId="5105" xr:uid="{00000000-0005-0000-0000-0000B10F0000}"/>
    <cellStyle name="Normal 2 4 2 6 2 4" xfId="9316" xr:uid="{3642A404-958A-4E2C-9A28-5FA2F1FC9E9D}"/>
    <cellStyle name="Normal 2 4 2 6 2 5" xfId="13527" xr:uid="{A5C3A29A-F7FE-420B-B272-E0F175943DC0}"/>
    <cellStyle name="Normal 2 4 2 6 3" xfId="1209" xr:uid="{00000000-0005-0000-0000-0000B20F0000}"/>
    <cellStyle name="Normal 2 4 2 6 3 2" xfId="3439" xr:uid="{00000000-0005-0000-0000-0000B30F0000}"/>
    <cellStyle name="Normal 2 4 2 6 3 2 2" xfId="7663" xr:uid="{00000000-0005-0000-0000-0000B40F0000}"/>
    <cellStyle name="Normal 2 4 2 6 3 2 3" xfId="11874" xr:uid="{32BE5A79-6EBA-4A5B-A0DB-9DF87330661B}"/>
    <cellStyle name="Normal 2 4 2 6 3 2 4" xfId="16085" xr:uid="{EF24F60C-D6B8-436F-ACB4-C3FBAEFD758B}"/>
    <cellStyle name="Normal 2 4 2 6 3 3" xfId="5518" xr:uid="{00000000-0005-0000-0000-0000B50F0000}"/>
    <cellStyle name="Normal 2 4 2 6 3 4" xfId="9729" xr:uid="{9986286F-3B22-41B0-8DC8-5ED70BCD20D0}"/>
    <cellStyle name="Normal 2 4 2 6 3 5" xfId="13940" xr:uid="{931FA700-A779-4B61-8905-913BCD0968D6}"/>
    <cellStyle name="Normal 2 4 2 6 4" xfId="1622" xr:uid="{00000000-0005-0000-0000-0000B60F0000}"/>
    <cellStyle name="Normal 2 4 2 6 4 2" xfId="3852" xr:uid="{00000000-0005-0000-0000-0000B70F0000}"/>
    <cellStyle name="Normal 2 4 2 6 4 2 2" xfId="8076" xr:uid="{00000000-0005-0000-0000-0000B80F0000}"/>
    <cellStyle name="Normal 2 4 2 6 4 2 3" xfId="12287" xr:uid="{34CCF2F8-EE1F-4D3B-BF4B-9BF7DA375E22}"/>
    <cellStyle name="Normal 2 4 2 6 4 2 4" xfId="16498" xr:uid="{FD51B8B1-D7E7-4EE2-B3ED-DA2DE6BD7F43}"/>
    <cellStyle name="Normal 2 4 2 6 4 3" xfId="5931" xr:uid="{00000000-0005-0000-0000-0000B90F0000}"/>
    <cellStyle name="Normal 2 4 2 6 4 4" xfId="10142" xr:uid="{82683D6F-A96C-4B7C-82E1-55E5364F3F54}"/>
    <cellStyle name="Normal 2 4 2 6 4 5" xfId="14353" xr:uid="{4B537D42-3694-4B94-9664-DC7EAF5A9239}"/>
    <cellStyle name="Normal 2 4 2 6 5" xfId="2036" xr:uid="{00000000-0005-0000-0000-0000BA0F0000}"/>
    <cellStyle name="Normal 2 4 2 6 5 2" xfId="4265" xr:uid="{00000000-0005-0000-0000-0000BB0F0000}"/>
    <cellStyle name="Normal 2 4 2 6 5 2 2" xfId="8489" xr:uid="{00000000-0005-0000-0000-0000BC0F0000}"/>
    <cellStyle name="Normal 2 4 2 6 5 2 3" xfId="12700" xr:uid="{2138E618-CDD9-465E-93A9-E8729309020E}"/>
    <cellStyle name="Normal 2 4 2 6 5 2 4" xfId="16911" xr:uid="{A5B9D50D-177F-4AA5-B4AF-F21E5D0FBFF5}"/>
    <cellStyle name="Normal 2 4 2 6 5 3" xfId="6344" xr:uid="{00000000-0005-0000-0000-0000BD0F0000}"/>
    <cellStyle name="Normal 2 4 2 6 5 4" xfId="10555" xr:uid="{412066BD-1233-412E-BD07-860DDCE32B88}"/>
    <cellStyle name="Normal 2 4 2 6 5 5" xfId="14766" xr:uid="{E16BEA75-BCD9-44F7-BC57-20C795E02DC7}"/>
    <cellStyle name="Normal 2 4 2 6 6" xfId="2472" xr:uid="{00000000-0005-0000-0000-0000BE0F0000}"/>
    <cellStyle name="Normal 2 4 2 6 6 2" xfId="6757" xr:uid="{00000000-0005-0000-0000-0000BF0F0000}"/>
    <cellStyle name="Normal 2 4 2 6 6 3" xfId="10968" xr:uid="{30E1673A-26AD-42F3-B513-55A0D42F00CF}"/>
    <cellStyle name="Normal 2 4 2 6 6 4" xfId="15179" xr:uid="{71122A19-6198-4EBC-858A-4C3B29E4D401}"/>
    <cellStyle name="Normal 2 4 2 6 7" xfId="4691" xr:uid="{00000000-0005-0000-0000-0000C00F0000}"/>
    <cellStyle name="Normal 2 4 2 6 8" xfId="8902" xr:uid="{90382559-24AD-418F-A63B-59CE432EF173}"/>
    <cellStyle name="Normal 2 4 2 6 9" xfId="13113" xr:uid="{339954C4-F3E2-42F0-A59D-B9123C2990B3}"/>
    <cellStyle name="Normal 2 4 2 7" xfId="772" xr:uid="{00000000-0005-0000-0000-0000C10F0000}"/>
    <cellStyle name="Normal 2 4 2 7 2" xfId="3011" xr:uid="{00000000-0005-0000-0000-0000C20F0000}"/>
    <cellStyle name="Normal 2 4 2 7 2 2" xfId="7235" xr:uid="{00000000-0005-0000-0000-0000C30F0000}"/>
    <cellStyle name="Normal 2 4 2 7 2 3" xfId="11446" xr:uid="{1CF7B095-810C-4CCA-A49C-5AD5395C438F}"/>
    <cellStyle name="Normal 2 4 2 7 2 4" xfId="15657" xr:uid="{5ADB8226-6AFE-4132-8E7D-58B5D8F3358B}"/>
    <cellStyle name="Normal 2 4 2 7 3" xfId="5090" xr:uid="{00000000-0005-0000-0000-0000C40F0000}"/>
    <cellStyle name="Normal 2 4 2 7 4" xfId="9301" xr:uid="{457A2FE7-5656-4EAB-933A-7EABAD49DDFA}"/>
    <cellStyle name="Normal 2 4 2 7 5" xfId="13512" xr:uid="{399FD108-2C60-4D42-9AF1-AF27EE37A380}"/>
    <cellStyle name="Normal 2 4 2 8" xfId="1194" xr:uid="{00000000-0005-0000-0000-0000C50F0000}"/>
    <cellStyle name="Normal 2 4 2 8 2" xfId="3424" xr:uid="{00000000-0005-0000-0000-0000C60F0000}"/>
    <cellStyle name="Normal 2 4 2 8 2 2" xfId="7648" xr:uid="{00000000-0005-0000-0000-0000C70F0000}"/>
    <cellStyle name="Normal 2 4 2 8 2 3" xfId="11859" xr:uid="{4C0DAF7D-6A52-4304-B00A-D2F4EDB819E4}"/>
    <cellStyle name="Normal 2 4 2 8 2 4" xfId="16070" xr:uid="{C74E3E64-265A-427A-9B3A-51097A457C1B}"/>
    <cellStyle name="Normal 2 4 2 8 3" xfId="5503" xr:uid="{00000000-0005-0000-0000-0000C80F0000}"/>
    <cellStyle name="Normal 2 4 2 8 4" xfId="9714" xr:uid="{893385C3-06AD-4E82-A9D8-5C9B73054898}"/>
    <cellStyle name="Normal 2 4 2 8 5" xfId="13925" xr:uid="{E8EF5AC9-300B-4549-9517-B90D410294E1}"/>
    <cellStyle name="Normal 2 4 2 9" xfId="1607" xr:uid="{00000000-0005-0000-0000-0000C90F0000}"/>
    <cellStyle name="Normal 2 4 2 9 2" xfId="3837" xr:uid="{00000000-0005-0000-0000-0000CA0F0000}"/>
    <cellStyle name="Normal 2 4 2 9 2 2" xfId="8061" xr:uid="{00000000-0005-0000-0000-0000CB0F0000}"/>
    <cellStyle name="Normal 2 4 2 9 2 3" xfId="12272" xr:uid="{13C446AE-55C9-47F6-BE9E-51100A8626CF}"/>
    <cellStyle name="Normal 2 4 2 9 2 4" xfId="16483" xr:uid="{9F692FE5-FDA9-4164-887D-3A5270079D79}"/>
    <cellStyle name="Normal 2 4 2 9 3" xfId="5916" xr:uid="{00000000-0005-0000-0000-0000CC0F0000}"/>
    <cellStyle name="Normal 2 4 2 9 4" xfId="10127" xr:uid="{B7EE4A6B-2150-4DB6-A140-28750B525DCA}"/>
    <cellStyle name="Normal 2 4 2 9 5" xfId="14338" xr:uid="{AD388575-23C6-4FA5-9361-8552EB08287B}"/>
    <cellStyle name="Normal 2 4 3" xfId="296" xr:uid="{00000000-0005-0000-0000-0000CD0F0000}"/>
    <cellStyle name="Normal 2 4 3 10" xfId="8903" xr:uid="{78A99064-A12D-4DAD-A3E6-625C8A851D4B}"/>
    <cellStyle name="Normal 2 4 3 11" xfId="13114" xr:uid="{7B5133C1-503C-4ACF-AB30-65033194B587}"/>
    <cellStyle name="Normal 2 4 3 2" xfId="297" xr:uid="{00000000-0005-0000-0000-0000CE0F0000}"/>
    <cellStyle name="Normal 2 4 3 3" xfId="298" xr:uid="{00000000-0005-0000-0000-0000CF0F0000}"/>
    <cellStyle name="Normal 2 4 3 3 10" xfId="8904" xr:uid="{F599BAD4-D99F-4355-AF1A-59E470FCC4F8}"/>
    <cellStyle name="Normal 2 4 3 3 11" xfId="13115" xr:uid="{0A5DE7F7-5459-4FC0-AF03-C36AC24338A4}"/>
    <cellStyle name="Normal 2 4 3 3 2" xfId="299" xr:uid="{00000000-0005-0000-0000-0000D00F0000}"/>
    <cellStyle name="Normal 2 4 3 3 2 10" xfId="13116" xr:uid="{F9C66EBE-B8A5-4CD3-BD63-342FF1DD6116}"/>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2 3" xfId="11465" xr:uid="{63070A90-EA4C-4D7B-A256-4FEA15472664}"/>
    <cellStyle name="Normal 2 4 3 3 2 2 2 2 4" xfId="15676" xr:uid="{858735E5-81D0-4356-A710-6E60E9F53162}"/>
    <cellStyle name="Normal 2 4 3 3 2 2 2 3" xfId="5109" xr:uid="{00000000-0005-0000-0000-0000D50F0000}"/>
    <cellStyle name="Normal 2 4 3 3 2 2 2 4" xfId="9320" xr:uid="{EBDFD82C-E286-4E0B-A413-E5E648158F22}"/>
    <cellStyle name="Normal 2 4 3 3 2 2 2 5" xfId="13531" xr:uid="{F0F3A4B0-1BA5-4847-910A-5224A0ACB412}"/>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2 3" xfId="11878" xr:uid="{A37B490C-D28D-4A54-914E-F6CE5F9204B1}"/>
    <cellStyle name="Normal 2 4 3 3 2 2 3 2 4" xfId="16089" xr:uid="{632076C6-DDDC-4137-81E5-33843A5B31E3}"/>
    <cellStyle name="Normal 2 4 3 3 2 2 3 3" xfId="5522" xr:uid="{00000000-0005-0000-0000-0000D90F0000}"/>
    <cellStyle name="Normal 2 4 3 3 2 2 3 4" xfId="9733" xr:uid="{849AA7B3-C781-4FAA-9892-0CB21585E1CC}"/>
    <cellStyle name="Normal 2 4 3 3 2 2 3 5" xfId="13944" xr:uid="{FA5CB074-ACE3-4DD0-9934-11DC06FD2DDB}"/>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2 3" xfId="12291" xr:uid="{DC71A82E-D696-4972-810B-24FE5D0E76D2}"/>
    <cellStyle name="Normal 2 4 3 3 2 2 4 2 4" xfId="16502" xr:uid="{28616AF6-9CA2-4E77-9065-16F35822C92C}"/>
    <cellStyle name="Normal 2 4 3 3 2 2 4 3" xfId="5935" xr:uid="{00000000-0005-0000-0000-0000DD0F0000}"/>
    <cellStyle name="Normal 2 4 3 3 2 2 4 4" xfId="10146" xr:uid="{1EED6EC6-D909-438D-90F9-E2A207B466D8}"/>
    <cellStyle name="Normal 2 4 3 3 2 2 4 5" xfId="14357" xr:uid="{2C1E9700-B556-494E-A1DB-7BF716E39CD1}"/>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2 3" xfId="12704" xr:uid="{5736EE0C-6B97-4793-9792-41C085297BC5}"/>
    <cellStyle name="Normal 2 4 3 3 2 2 5 2 4" xfId="16915" xr:uid="{8AAC707D-BA0F-4D8C-8B1B-94F7E5058994}"/>
    <cellStyle name="Normal 2 4 3 3 2 2 5 3" xfId="6348" xr:uid="{00000000-0005-0000-0000-0000E10F0000}"/>
    <cellStyle name="Normal 2 4 3 3 2 2 5 4" xfId="10559" xr:uid="{D8538A62-0D07-4FE0-884F-19C200F16D59}"/>
    <cellStyle name="Normal 2 4 3 3 2 2 5 5" xfId="14770" xr:uid="{CDD1080B-67B7-4682-9B8F-2A4808CD8776}"/>
    <cellStyle name="Normal 2 4 3 3 2 2 6" xfId="2476" xr:uid="{00000000-0005-0000-0000-0000E20F0000}"/>
    <cellStyle name="Normal 2 4 3 3 2 2 6 2" xfId="6761" xr:uid="{00000000-0005-0000-0000-0000E30F0000}"/>
    <cellStyle name="Normal 2 4 3 3 2 2 6 3" xfId="10972" xr:uid="{E76B80A5-022A-4692-B13F-9D25AEF3BEAE}"/>
    <cellStyle name="Normal 2 4 3 3 2 2 6 4" xfId="15183" xr:uid="{366065A1-091A-4324-95D7-43C25019DE65}"/>
    <cellStyle name="Normal 2 4 3 3 2 2 7" xfId="4695" xr:uid="{00000000-0005-0000-0000-0000E40F0000}"/>
    <cellStyle name="Normal 2 4 3 3 2 2 8" xfId="8906" xr:uid="{1F3BBDB3-E4CE-44CE-A5C6-F7302D7ACEDA}"/>
    <cellStyle name="Normal 2 4 3 3 2 2 9" xfId="13117" xr:uid="{8410C762-1135-4D00-8327-F71E906B6079}"/>
    <cellStyle name="Normal 2 4 3 3 2 3" xfId="790" xr:uid="{00000000-0005-0000-0000-0000E50F0000}"/>
    <cellStyle name="Normal 2 4 3 3 2 3 2" xfId="3029" xr:uid="{00000000-0005-0000-0000-0000E60F0000}"/>
    <cellStyle name="Normal 2 4 3 3 2 3 2 2" xfId="7253" xr:uid="{00000000-0005-0000-0000-0000E70F0000}"/>
    <cellStyle name="Normal 2 4 3 3 2 3 2 3" xfId="11464" xr:uid="{4539C5E5-6F9F-466D-9D38-9E92C988F871}"/>
    <cellStyle name="Normal 2 4 3 3 2 3 2 4" xfId="15675" xr:uid="{E303493D-4329-4463-AA60-97B4CC49BC79}"/>
    <cellStyle name="Normal 2 4 3 3 2 3 3" xfId="5108" xr:uid="{00000000-0005-0000-0000-0000E80F0000}"/>
    <cellStyle name="Normal 2 4 3 3 2 3 4" xfId="9319" xr:uid="{AF77D9DC-9663-4418-9370-49C7D0F296B1}"/>
    <cellStyle name="Normal 2 4 3 3 2 3 5" xfId="13530" xr:uid="{4E5B680F-7017-40A2-82F1-69148B79868A}"/>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2 3" xfId="11877" xr:uid="{F3BD7AD8-921E-4EF9-8F0C-3DBC6900F703}"/>
    <cellStyle name="Normal 2 4 3 3 2 4 2 4" xfId="16088" xr:uid="{9A07938B-6A0B-4A31-A272-2BA17373F724}"/>
    <cellStyle name="Normal 2 4 3 3 2 4 3" xfId="5521" xr:uid="{00000000-0005-0000-0000-0000EC0F0000}"/>
    <cellStyle name="Normal 2 4 3 3 2 4 4" xfId="9732" xr:uid="{630B24FD-4A24-41FF-90C4-C67CD7F22163}"/>
    <cellStyle name="Normal 2 4 3 3 2 4 5" xfId="13943" xr:uid="{3D52BBFB-55A6-4CCA-8647-9508C47C7D88}"/>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2 3" xfId="12290" xr:uid="{23654C30-1A87-4F65-9090-F50758570E4E}"/>
    <cellStyle name="Normal 2 4 3 3 2 5 2 4" xfId="16501" xr:uid="{B228B3A3-0F84-4CE3-AF49-D31022B2B828}"/>
    <cellStyle name="Normal 2 4 3 3 2 5 3" xfId="5934" xr:uid="{00000000-0005-0000-0000-0000F00F0000}"/>
    <cellStyle name="Normal 2 4 3 3 2 5 4" xfId="10145" xr:uid="{D50DA57C-F65A-45ED-B146-CADD10A04368}"/>
    <cellStyle name="Normal 2 4 3 3 2 5 5" xfId="14356" xr:uid="{E1038074-990E-402B-931F-CD76A11DA3B1}"/>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2 3" xfId="12703" xr:uid="{F39813B1-B554-489D-ACB8-0D8F99AD4F72}"/>
    <cellStyle name="Normal 2 4 3 3 2 6 2 4" xfId="16914" xr:uid="{C6205595-2E4B-417B-8427-1B0BB0154D2E}"/>
    <cellStyle name="Normal 2 4 3 3 2 6 3" xfId="6347" xr:uid="{00000000-0005-0000-0000-0000F40F0000}"/>
    <cellStyle name="Normal 2 4 3 3 2 6 4" xfId="10558" xr:uid="{4C2486DB-0A9E-4AA7-ABCC-516A377D7B68}"/>
    <cellStyle name="Normal 2 4 3 3 2 6 5" xfId="14769" xr:uid="{31956C2B-5D83-4969-9819-0359D9956092}"/>
    <cellStyle name="Normal 2 4 3 3 2 7" xfId="2475" xr:uid="{00000000-0005-0000-0000-0000F50F0000}"/>
    <cellStyle name="Normal 2 4 3 3 2 7 2" xfId="6760" xr:uid="{00000000-0005-0000-0000-0000F60F0000}"/>
    <cellStyle name="Normal 2 4 3 3 2 7 3" xfId="10971" xr:uid="{C7A45B01-37BA-4A1E-AEC6-B6539C1D79B8}"/>
    <cellStyle name="Normal 2 4 3 3 2 7 4" xfId="15182" xr:uid="{8DFF6F52-40B5-4457-84EA-FE70A537368A}"/>
    <cellStyle name="Normal 2 4 3 3 2 8" xfId="4694" xr:uid="{00000000-0005-0000-0000-0000F70F0000}"/>
    <cellStyle name="Normal 2 4 3 3 2 9" xfId="8905" xr:uid="{F4ED5EE2-168E-4BC8-8887-A1124B8A19AD}"/>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2 3" xfId="11466" xr:uid="{9C639C45-4E4F-4F22-8A12-FBDA9E969501}"/>
    <cellStyle name="Normal 2 4 3 3 3 2 2 4" xfId="15677" xr:uid="{637EF932-4626-4281-A0FE-3BE775CC99FC}"/>
    <cellStyle name="Normal 2 4 3 3 3 2 3" xfId="5110" xr:uid="{00000000-0005-0000-0000-0000FC0F0000}"/>
    <cellStyle name="Normal 2 4 3 3 3 2 4" xfId="9321" xr:uid="{73BCBEAD-27FA-47A4-9630-1F169E30457B}"/>
    <cellStyle name="Normal 2 4 3 3 3 2 5" xfId="13532" xr:uid="{7BE11AAA-2F33-48A3-9FEA-5473820EE107}"/>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2 3" xfId="11879" xr:uid="{F046946A-AA17-4D98-878E-E8A3D185EA46}"/>
    <cellStyle name="Normal 2 4 3 3 3 3 2 4" xfId="16090" xr:uid="{DA6664D4-3F8C-4284-9914-FFCD829B289E}"/>
    <cellStyle name="Normal 2 4 3 3 3 3 3" xfId="5523" xr:uid="{00000000-0005-0000-0000-000000100000}"/>
    <cellStyle name="Normal 2 4 3 3 3 3 4" xfId="9734" xr:uid="{1F50DDA1-67D3-4C0B-80F2-18B357AB2128}"/>
    <cellStyle name="Normal 2 4 3 3 3 3 5" xfId="13945" xr:uid="{853EF91B-6A6B-40D2-A954-36837062F5AB}"/>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2 3" xfId="12292" xr:uid="{04CD02BA-39CA-43B2-8139-18541E8CF840}"/>
    <cellStyle name="Normal 2 4 3 3 3 4 2 4" xfId="16503" xr:uid="{5EB053E0-B4B2-443F-BE1C-D3F3A48A069E}"/>
    <cellStyle name="Normal 2 4 3 3 3 4 3" xfId="5936" xr:uid="{00000000-0005-0000-0000-000004100000}"/>
    <cellStyle name="Normal 2 4 3 3 3 4 4" xfId="10147" xr:uid="{4A8C3BB1-7E84-4B8B-8EFE-68FD1A77985A}"/>
    <cellStyle name="Normal 2 4 3 3 3 4 5" xfId="14358" xr:uid="{EB0D9679-E1D9-484E-8C58-BB6D203DC1F1}"/>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2 3" xfId="12705" xr:uid="{505AE7E8-5B42-49CF-B55E-100B8EA2F34D}"/>
    <cellStyle name="Normal 2 4 3 3 3 5 2 4" xfId="16916" xr:uid="{78390C79-6BC5-4A52-9F45-2E9F50F624BD}"/>
    <cellStyle name="Normal 2 4 3 3 3 5 3" xfId="6349" xr:uid="{00000000-0005-0000-0000-000008100000}"/>
    <cellStyle name="Normal 2 4 3 3 3 5 4" xfId="10560" xr:uid="{0DBFBC0B-529D-4622-B85E-2DDCE1567820}"/>
    <cellStyle name="Normal 2 4 3 3 3 5 5" xfId="14771" xr:uid="{18BC88CA-68BE-4589-A173-D558D547B87F}"/>
    <cellStyle name="Normal 2 4 3 3 3 6" xfId="2477" xr:uid="{00000000-0005-0000-0000-000009100000}"/>
    <cellStyle name="Normal 2 4 3 3 3 6 2" xfId="6762" xr:uid="{00000000-0005-0000-0000-00000A100000}"/>
    <cellStyle name="Normal 2 4 3 3 3 6 3" xfId="10973" xr:uid="{9778548C-33E9-4BC1-8C6D-4C5AC331207A}"/>
    <cellStyle name="Normal 2 4 3 3 3 6 4" xfId="15184" xr:uid="{FE39E31B-4C39-4162-AE04-3CE87BF848A9}"/>
    <cellStyle name="Normal 2 4 3 3 3 7" xfId="4696" xr:uid="{00000000-0005-0000-0000-00000B100000}"/>
    <cellStyle name="Normal 2 4 3 3 3 8" xfId="8907" xr:uid="{9EA10E17-2B9D-4597-ABD0-28AA6582E451}"/>
    <cellStyle name="Normal 2 4 3 3 3 9" xfId="13118" xr:uid="{25F1E6B6-9076-4E46-8A99-9662409C30AD}"/>
    <cellStyle name="Normal 2 4 3 3 4" xfId="789" xr:uid="{00000000-0005-0000-0000-00000C100000}"/>
    <cellStyle name="Normal 2 4 3 3 4 2" xfId="3028" xr:uid="{00000000-0005-0000-0000-00000D100000}"/>
    <cellStyle name="Normal 2 4 3 3 4 2 2" xfId="7252" xr:uid="{00000000-0005-0000-0000-00000E100000}"/>
    <cellStyle name="Normal 2 4 3 3 4 2 3" xfId="11463" xr:uid="{F1BED992-387B-4A22-9EAB-519F8BBCBF42}"/>
    <cellStyle name="Normal 2 4 3 3 4 2 4" xfId="15674" xr:uid="{27262760-B75A-43A9-AE1D-1A651693713F}"/>
    <cellStyle name="Normal 2 4 3 3 4 3" xfId="5107" xr:uid="{00000000-0005-0000-0000-00000F100000}"/>
    <cellStyle name="Normal 2 4 3 3 4 4" xfId="9318" xr:uid="{02F0C8DB-BD24-4C34-ABB9-C792FCB2CDBB}"/>
    <cellStyle name="Normal 2 4 3 3 4 5" xfId="13529" xr:uid="{9721A15C-6995-42E0-B124-EE9A5EBADFA8}"/>
    <cellStyle name="Normal 2 4 3 3 5" xfId="1211" xr:uid="{00000000-0005-0000-0000-000010100000}"/>
    <cellStyle name="Normal 2 4 3 3 5 2" xfId="3441" xr:uid="{00000000-0005-0000-0000-000011100000}"/>
    <cellStyle name="Normal 2 4 3 3 5 2 2" xfId="7665" xr:uid="{00000000-0005-0000-0000-000012100000}"/>
    <cellStyle name="Normal 2 4 3 3 5 2 3" xfId="11876" xr:uid="{0DBD9AE4-831D-4FC8-89BF-6B51528A528B}"/>
    <cellStyle name="Normal 2 4 3 3 5 2 4" xfId="16087" xr:uid="{1407B457-FA66-409A-AAD8-75708CE4772C}"/>
    <cellStyle name="Normal 2 4 3 3 5 3" xfId="5520" xr:uid="{00000000-0005-0000-0000-000013100000}"/>
    <cellStyle name="Normal 2 4 3 3 5 4" xfId="9731" xr:uid="{7F6CE730-8387-4B43-8643-4F03D1C8880D}"/>
    <cellStyle name="Normal 2 4 3 3 5 5" xfId="13942" xr:uid="{2CF80315-CB04-4572-B1EC-6A2E6A681628}"/>
    <cellStyle name="Normal 2 4 3 3 6" xfId="1624" xr:uid="{00000000-0005-0000-0000-000014100000}"/>
    <cellStyle name="Normal 2 4 3 3 6 2" xfId="3854" xr:uid="{00000000-0005-0000-0000-000015100000}"/>
    <cellStyle name="Normal 2 4 3 3 6 2 2" xfId="8078" xr:uid="{00000000-0005-0000-0000-000016100000}"/>
    <cellStyle name="Normal 2 4 3 3 6 2 3" xfId="12289" xr:uid="{A5738FD2-5EB3-4691-9346-0B73241A33D3}"/>
    <cellStyle name="Normal 2 4 3 3 6 2 4" xfId="16500" xr:uid="{0A4541F3-B788-48AF-895A-02EB7BD247A9}"/>
    <cellStyle name="Normal 2 4 3 3 6 3" xfId="5933" xr:uid="{00000000-0005-0000-0000-000017100000}"/>
    <cellStyle name="Normal 2 4 3 3 6 4" xfId="10144" xr:uid="{88957660-2DD7-4539-833F-9358F0314E38}"/>
    <cellStyle name="Normal 2 4 3 3 6 5" xfId="14355" xr:uid="{7E77E9FC-ECE5-4EB5-BE2C-7067BB42E38C}"/>
    <cellStyle name="Normal 2 4 3 3 7" xfId="2038" xr:uid="{00000000-0005-0000-0000-000018100000}"/>
    <cellStyle name="Normal 2 4 3 3 7 2" xfId="4267" xr:uid="{00000000-0005-0000-0000-000019100000}"/>
    <cellStyle name="Normal 2 4 3 3 7 2 2" xfId="8491" xr:uid="{00000000-0005-0000-0000-00001A100000}"/>
    <cellStyle name="Normal 2 4 3 3 7 2 3" xfId="12702" xr:uid="{0F97B19C-C1C0-4967-AB62-A97B89A891E2}"/>
    <cellStyle name="Normal 2 4 3 3 7 2 4" xfId="16913" xr:uid="{DA45839A-455B-45C6-A632-06D2CF125D4E}"/>
    <cellStyle name="Normal 2 4 3 3 7 3" xfId="6346" xr:uid="{00000000-0005-0000-0000-00001B100000}"/>
    <cellStyle name="Normal 2 4 3 3 7 4" xfId="10557" xr:uid="{5E30A54E-0CA7-4ACE-ACD8-F8D8B70B4BE1}"/>
    <cellStyle name="Normal 2 4 3 3 7 5" xfId="14768" xr:uid="{4504F5A7-5702-45C3-A791-FE0CE5F29592}"/>
    <cellStyle name="Normal 2 4 3 3 8" xfId="2474" xr:uid="{00000000-0005-0000-0000-00001C100000}"/>
    <cellStyle name="Normal 2 4 3 3 8 2" xfId="6759" xr:uid="{00000000-0005-0000-0000-00001D100000}"/>
    <cellStyle name="Normal 2 4 3 3 8 3" xfId="10970" xr:uid="{97B9C4A2-7746-4608-B755-BF9F7360A3B4}"/>
    <cellStyle name="Normal 2 4 3 3 8 4" xfId="15181" xr:uid="{612196C0-62CB-4F6C-A0B6-2E14324EADCC}"/>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2 3" xfId="11462" xr:uid="{80EA1F82-23E3-4BF0-AC13-FCD05BAA1568}"/>
    <cellStyle name="Normal 2 4 3 4 2 4" xfId="15673" xr:uid="{EC974960-9838-44D3-BB77-28A78E6994E9}"/>
    <cellStyle name="Normal 2 4 3 4 3" xfId="5106" xr:uid="{00000000-0005-0000-0000-000022100000}"/>
    <cellStyle name="Normal 2 4 3 4 4" xfId="9317" xr:uid="{6F353009-8096-447D-B4A2-B7967A9C3687}"/>
    <cellStyle name="Normal 2 4 3 4 5" xfId="13528" xr:uid="{68052C9D-9630-4368-9419-B7C81FEBFB18}"/>
    <cellStyle name="Normal 2 4 3 5" xfId="1210" xr:uid="{00000000-0005-0000-0000-000023100000}"/>
    <cellStyle name="Normal 2 4 3 5 2" xfId="3440" xr:uid="{00000000-0005-0000-0000-000024100000}"/>
    <cellStyle name="Normal 2 4 3 5 2 2" xfId="7664" xr:uid="{00000000-0005-0000-0000-000025100000}"/>
    <cellStyle name="Normal 2 4 3 5 2 3" xfId="11875" xr:uid="{547C1CC1-5DB2-41FF-B55D-6E3478842E81}"/>
    <cellStyle name="Normal 2 4 3 5 2 4" xfId="16086" xr:uid="{7C9265AF-ADCE-43ED-8432-F1CD35132BD6}"/>
    <cellStyle name="Normal 2 4 3 5 3" xfId="5519" xr:uid="{00000000-0005-0000-0000-000026100000}"/>
    <cellStyle name="Normal 2 4 3 5 4" xfId="9730" xr:uid="{46AE1323-A7D5-4879-98C3-43C95F277BFD}"/>
    <cellStyle name="Normal 2 4 3 5 5" xfId="13941" xr:uid="{0DF340E9-89E9-400D-97DD-168143DC23E6}"/>
    <cellStyle name="Normal 2 4 3 6" xfId="1623" xr:uid="{00000000-0005-0000-0000-000027100000}"/>
    <cellStyle name="Normal 2 4 3 6 2" xfId="3853" xr:uid="{00000000-0005-0000-0000-000028100000}"/>
    <cellStyle name="Normal 2 4 3 6 2 2" xfId="8077" xr:uid="{00000000-0005-0000-0000-000029100000}"/>
    <cellStyle name="Normal 2 4 3 6 2 3" xfId="12288" xr:uid="{A64C069A-49B3-45A1-9DB4-272E489C9125}"/>
    <cellStyle name="Normal 2 4 3 6 2 4" xfId="16499" xr:uid="{846B2BA5-EC66-4A9C-8A13-82E8105F4276}"/>
    <cellStyle name="Normal 2 4 3 6 3" xfId="5932" xr:uid="{00000000-0005-0000-0000-00002A100000}"/>
    <cellStyle name="Normal 2 4 3 6 4" xfId="10143" xr:uid="{70521F94-9C9D-4F99-A47F-07950D46EA20}"/>
    <cellStyle name="Normal 2 4 3 6 5" xfId="14354" xr:uid="{9A11ABF6-2BD9-44DA-838B-B9571BC0653A}"/>
    <cellStyle name="Normal 2 4 3 7" xfId="2037" xr:uid="{00000000-0005-0000-0000-00002B100000}"/>
    <cellStyle name="Normal 2 4 3 7 2" xfId="4266" xr:uid="{00000000-0005-0000-0000-00002C100000}"/>
    <cellStyle name="Normal 2 4 3 7 2 2" xfId="8490" xr:uid="{00000000-0005-0000-0000-00002D100000}"/>
    <cellStyle name="Normal 2 4 3 7 2 3" xfId="12701" xr:uid="{238DA4B5-C5E9-470D-9DDA-BC15ACDE3722}"/>
    <cellStyle name="Normal 2 4 3 7 2 4" xfId="16912" xr:uid="{54DB36E8-DDA4-436B-9EDB-7B85CC8B9708}"/>
    <cellStyle name="Normal 2 4 3 7 3" xfId="6345" xr:uid="{00000000-0005-0000-0000-00002E100000}"/>
    <cellStyle name="Normal 2 4 3 7 4" xfId="10556" xr:uid="{22D36FAC-9CC4-45D1-B54D-471410D575C9}"/>
    <cellStyle name="Normal 2 4 3 7 5" xfId="14767" xr:uid="{E863295B-6C93-4A26-B0AC-DD1B4639CC66}"/>
    <cellStyle name="Normal 2 4 3 8" xfId="2473" xr:uid="{00000000-0005-0000-0000-00002F100000}"/>
    <cellStyle name="Normal 2 4 3 8 2" xfId="6758" xr:uid="{00000000-0005-0000-0000-000030100000}"/>
    <cellStyle name="Normal 2 4 3 8 3" xfId="10969" xr:uid="{60C964BF-3F94-4560-AC46-F694BDADA080}"/>
    <cellStyle name="Normal 2 4 3 8 4" xfId="15180" xr:uid="{8EF4B5F7-26DA-443F-BF7D-F2F416967F74}"/>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11" xfId="8908" xr:uid="{C3AFCBB3-3D48-4840-AD37-E6F508A2C183}"/>
    <cellStyle name="Normal 2 4 5 12" xfId="13119" xr:uid="{48F8B872-B320-4671-92DB-D83C412059AB}"/>
    <cellStyle name="Normal 2 4 5 2" xfId="304" xr:uid="{00000000-0005-0000-0000-000035100000}"/>
    <cellStyle name="Normal 2 4 5 2 10" xfId="8909" xr:uid="{DA0C6516-868F-49F8-B3E3-BDE687D478EA}"/>
    <cellStyle name="Normal 2 4 5 2 11" xfId="13120" xr:uid="{1A9521ED-5E0F-402B-8F76-80EC5947989F}"/>
    <cellStyle name="Normal 2 4 5 2 2" xfId="305" xr:uid="{00000000-0005-0000-0000-000036100000}"/>
    <cellStyle name="Normal 2 4 5 2 2 10" xfId="13121" xr:uid="{9060D809-C3DA-42F4-ABCE-D27A6B9F4FC7}"/>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2 3" xfId="11470" xr:uid="{87363E2D-63A3-45DD-8753-C7D6115F3896}"/>
    <cellStyle name="Normal 2 4 5 2 2 2 2 2 4" xfId="15681" xr:uid="{CB1DD632-7829-4B4C-9622-EF305BB092ED}"/>
    <cellStyle name="Normal 2 4 5 2 2 2 2 3" xfId="5114" xr:uid="{00000000-0005-0000-0000-00003B100000}"/>
    <cellStyle name="Normal 2 4 5 2 2 2 2 4" xfId="9325" xr:uid="{8D5EDFD1-8F89-47F8-9647-91017C6C417B}"/>
    <cellStyle name="Normal 2 4 5 2 2 2 2 5" xfId="13536" xr:uid="{B06A92A3-E2FE-4835-A143-29405D0CA992}"/>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2 3" xfId="11883" xr:uid="{232E8FAC-5A4C-4BE5-A3DD-3E545AC2C7E7}"/>
    <cellStyle name="Normal 2 4 5 2 2 2 3 2 4" xfId="16094" xr:uid="{836437DE-1C43-4583-BB33-2E40B0A762F9}"/>
    <cellStyle name="Normal 2 4 5 2 2 2 3 3" xfId="5527" xr:uid="{00000000-0005-0000-0000-00003F100000}"/>
    <cellStyle name="Normal 2 4 5 2 2 2 3 4" xfId="9738" xr:uid="{C3BF08AA-8C43-49E5-90C7-8F392ED67020}"/>
    <cellStyle name="Normal 2 4 5 2 2 2 3 5" xfId="13949" xr:uid="{E7D0C4BC-F6AA-42CE-93D0-6AF3706273B7}"/>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2 3" xfId="12296" xr:uid="{ADA3D109-233C-463B-9DCF-B61B16BB3AF0}"/>
    <cellStyle name="Normal 2 4 5 2 2 2 4 2 4" xfId="16507" xr:uid="{FF4CF668-292C-491D-9B1E-1F60C662E9BA}"/>
    <cellStyle name="Normal 2 4 5 2 2 2 4 3" xfId="5940" xr:uid="{00000000-0005-0000-0000-000043100000}"/>
    <cellStyle name="Normal 2 4 5 2 2 2 4 4" xfId="10151" xr:uid="{5E5336F0-B064-4863-A15A-4AE73DDD2E34}"/>
    <cellStyle name="Normal 2 4 5 2 2 2 4 5" xfId="14362" xr:uid="{E4DA6348-B8B4-40ED-B57E-D07DA9C6109C}"/>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2 3" xfId="12709" xr:uid="{4EA324A5-E922-49A9-8034-4D7F0260275B}"/>
    <cellStyle name="Normal 2 4 5 2 2 2 5 2 4" xfId="16920" xr:uid="{9978381C-6EF0-4F2C-9F5E-8DE11671EC03}"/>
    <cellStyle name="Normal 2 4 5 2 2 2 5 3" xfId="6353" xr:uid="{00000000-0005-0000-0000-000047100000}"/>
    <cellStyle name="Normal 2 4 5 2 2 2 5 4" xfId="10564" xr:uid="{F43FFFCE-E7FA-4EB8-B97D-BCBCC59F617C}"/>
    <cellStyle name="Normal 2 4 5 2 2 2 5 5" xfId="14775" xr:uid="{1F1CA793-1A67-4592-9189-2E33A5136FCF}"/>
    <cellStyle name="Normal 2 4 5 2 2 2 6" xfId="2481" xr:uid="{00000000-0005-0000-0000-000048100000}"/>
    <cellStyle name="Normal 2 4 5 2 2 2 6 2" xfId="6766" xr:uid="{00000000-0005-0000-0000-000049100000}"/>
    <cellStyle name="Normal 2 4 5 2 2 2 6 3" xfId="10977" xr:uid="{981B20EA-2039-4A51-B71D-A88098A5189B}"/>
    <cellStyle name="Normal 2 4 5 2 2 2 6 4" xfId="15188" xr:uid="{B44E35A1-41E3-4E83-B508-5F04AFA6537E}"/>
    <cellStyle name="Normal 2 4 5 2 2 2 7" xfId="4700" xr:uid="{00000000-0005-0000-0000-00004A100000}"/>
    <cellStyle name="Normal 2 4 5 2 2 2 8" xfId="8911" xr:uid="{66485174-4C2D-46FB-8212-07A7DCBAAEFC}"/>
    <cellStyle name="Normal 2 4 5 2 2 2 9" xfId="13122" xr:uid="{3710E97B-19E0-4ED0-AC7B-551D8302AD4E}"/>
    <cellStyle name="Normal 2 4 5 2 2 3" xfId="795" xr:uid="{00000000-0005-0000-0000-00004B100000}"/>
    <cellStyle name="Normal 2 4 5 2 2 3 2" xfId="3034" xr:uid="{00000000-0005-0000-0000-00004C100000}"/>
    <cellStyle name="Normal 2 4 5 2 2 3 2 2" xfId="7258" xr:uid="{00000000-0005-0000-0000-00004D100000}"/>
    <cellStyle name="Normal 2 4 5 2 2 3 2 3" xfId="11469" xr:uid="{7166CBA1-1E59-4A22-8FDB-A96A61306EA1}"/>
    <cellStyle name="Normal 2 4 5 2 2 3 2 4" xfId="15680" xr:uid="{4FD9A6C5-AA1F-4382-B86B-AFC7C1A63DA0}"/>
    <cellStyle name="Normal 2 4 5 2 2 3 3" xfId="5113" xr:uid="{00000000-0005-0000-0000-00004E100000}"/>
    <cellStyle name="Normal 2 4 5 2 2 3 4" xfId="9324" xr:uid="{D46497F9-AE6F-4B27-BA98-5343E054AD94}"/>
    <cellStyle name="Normal 2 4 5 2 2 3 5" xfId="13535" xr:uid="{FC5F9108-9184-4120-9713-F74D830F1C3E}"/>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2 3" xfId="11882" xr:uid="{FA64744B-2A56-43EF-904F-DEF333BF12D0}"/>
    <cellStyle name="Normal 2 4 5 2 2 4 2 4" xfId="16093" xr:uid="{9438CAC1-9C6B-456C-B5D0-C30EEEF03FBC}"/>
    <cellStyle name="Normal 2 4 5 2 2 4 3" xfId="5526" xr:uid="{00000000-0005-0000-0000-000052100000}"/>
    <cellStyle name="Normal 2 4 5 2 2 4 4" xfId="9737" xr:uid="{1E099B32-E83B-423F-96D2-68920EB7B661}"/>
    <cellStyle name="Normal 2 4 5 2 2 4 5" xfId="13948" xr:uid="{9EB21112-BB3F-487D-8EDB-FA69E5886A68}"/>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2 3" xfId="12295" xr:uid="{ECD90FF5-8482-4C6B-A23B-2805E2123024}"/>
    <cellStyle name="Normal 2 4 5 2 2 5 2 4" xfId="16506" xr:uid="{EA565725-FAAF-4E38-A66F-6466773480C2}"/>
    <cellStyle name="Normal 2 4 5 2 2 5 3" xfId="5939" xr:uid="{00000000-0005-0000-0000-000056100000}"/>
    <cellStyle name="Normal 2 4 5 2 2 5 4" xfId="10150" xr:uid="{D8B07AA0-9B43-4967-83B8-FE847E545098}"/>
    <cellStyle name="Normal 2 4 5 2 2 5 5" xfId="14361" xr:uid="{059F3C55-B6EA-4F8F-97F4-C0B6AD0D1B44}"/>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2 3" xfId="12708" xr:uid="{1CE2D9AA-5766-405F-A1A9-4159451B61A7}"/>
    <cellStyle name="Normal 2 4 5 2 2 6 2 4" xfId="16919" xr:uid="{37D47473-9060-4536-B89D-F8A56268CB80}"/>
    <cellStyle name="Normal 2 4 5 2 2 6 3" xfId="6352" xr:uid="{00000000-0005-0000-0000-00005A100000}"/>
    <cellStyle name="Normal 2 4 5 2 2 6 4" xfId="10563" xr:uid="{53E81131-17B2-4F0B-AE5E-00E2BA2661B7}"/>
    <cellStyle name="Normal 2 4 5 2 2 6 5" xfId="14774" xr:uid="{6CA093B2-CFF6-4C1A-AB1A-00BF0730F66D}"/>
    <cellStyle name="Normal 2 4 5 2 2 7" xfId="2480" xr:uid="{00000000-0005-0000-0000-00005B100000}"/>
    <cellStyle name="Normal 2 4 5 2 2 7 2" xfId="6765" xr:uid="{00000000-0005-0000-0000-00005C100000}"/>
    <cellStyle name="Normal 2 4 5 2 2 7 3" xfId="10976" xr:uid="{77444C7F-1C2C-444E-9400-89D38C75C643}"/>
    <cellStyle name="Normal 2 4 5 2 2 7 4" xfId="15187" xr:uid="{3B2F06FD-EE54-43BE-9829-92F449CBF19E}"/>
    <cellStyle name="Normal 2 4 5 2 2 8" xfId="4699" xr:uid="{00000000-0005-0000-0000-00005D100000}"/>
    <cellStyle name="Normal 2 4 5 2 2 9" xfId="8910" xr:uid="{02FAB320-65E1-4BAF-A428-BD1E7B64038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2 3" xfId="11471" xr:uid="{D94FA48F-EBAD-4C3C-ACA7-A70D412D816D}"/>
    <cellStyle name="Normal 2 4 5 2 3 2 2 4" xfId="15682" xr:uid="{3AC715F8-F343-4B47-8103-A2D80CE51B0B}"/>
    <cellStyle name="Normal 2 4 5 2 3 2 3" xfId="5115" xr:uid="{00000000-0005-0000-0000-000062100000}"/>
    <cellStyle name="Normal 2 4 5 2 3 2 4" xfId="9326" xr:uid="{7DF932FB-2796-4B41-8963-ECB187C0B528}"/>
    <cellStyle name="Normal 2 4 5 2 3 2 5" xfId="13537" xr:uid="{150B91F6-1D3E-40E7-A0B2-493F4A70AEC4}"/>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2 3" xfId="11884" xr:uid="{C7FC4F13-1931-4393-84A8-E2F90F088518}"/>
    <cellStyle name="Normal 2 4 5 2 3 3 2 4" xfId="16095" xr:uid="{D9EF9DB3-D359-4809-8080-E52C287BD5CD}"/>
    <cellStyle name="Normal 2 4 5 2 3 3 3" xfId="5528" xr:uid="{00000000-0005-0000-0000-000066100000}"/>
    <cellStyle name="Normal 2 4 5 2 3 3 4" xfId="9739" xr:uid="{78287EE1-6C6C-4B7C-B97F-946464C182C8}"/>
    <cellStyle name="Normal 2 4 5 2 3 3 5" xfId="13950" xr:uid="{E7930220-90DB-44C6-B5EE-AD40FC1DC12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2 3" xfId="12297" xr:uid="{E3681E8C-1C67-4115-923B-242EDF3177F4}"/>
    <cellStyle name="Normal 2 4 5 2 3 4 2 4" xfId="16508" xr:uid="{B43DE624-B851-4665-9764-D956F3A957EC}"/>
    <cellStyle name="Normal 2 4 5 2 3 4 3" xfId="5941" xr:uid="{00000000-0005-0000-0000-00006A100000}"/>
    <cellStyle name="Normal 2 4 5 2 3 4 4" xfId="10152" xr:uid="{8AAA81C3-4A1A-4AEB-A7F8-C446B63735D3}"/>
    <cellStyle name="Normal 2 4 5 2 3 4 5" xfId="14363" xr:uid="{16449556-9B6D-4133-86ED-8EDA697C413D}"/>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2 3" xfId="12710" xr:uid="{EC56661C-4F53-444B-A2DB-F9B8DAC79D0C}"/>
    <cellStyle name="Normal 2 4 5 2 3 5 2 4" xfId="16921" xr:uid="{2D6713B8-011D-4CF9-8C29-2F8AF13355F5}"/>
    <cellStyle name="Normal 2 4 5 2 3 5 3" xfId="6354" xr:uid="{00000000-0005-0000-0000-00006E100000}"/>
    <cellStyle name="Normal 2 4 5 2 3 5 4" xfId="10565" xr:uid="{6F830AE0-9D6E-4730-9687-6FEA2A070C2F}"/>
    <cellStyle name="Normal 2 4 5 2 3 5 5" xfId="14776" xr:uid="{F8232673-72F3-4A27-9B67-9A34A19F831D}"/>
    <cellStyle name="Normal 2 4 5 2 3 6" xfId="2482" xr:uid="{00000000-0005-0000-0000-00006F100000}"/>
    <cellStyle name="Normal 2 4 5 2 3 6 2" xfId="6767" xr:uid="{00000000-0005-0000-0000-000070100000}"/>
    <cellStyle name="Normal 2 4 5 2 3 6 3" xfId="10978" xr:uid="{0F202AB3-78A0-4B40-9D28-B4EC7CB70814}"/>
    <cellStyle name="Normal 2 4 5 2 3 6 4" xfId="15189" xr:uid="{785C1BE4-D6F7-4FEA-85F5-33163BB7CF9E}"/>
    <cellStyle name="Normal 2 4 5 2 3 7" xfId="4701" xr:uid="{00000000-0005-0000-0000-000071100000}"/>
    <cellStyle name="Normal 2 4 5 2 3 8" xfId="8912" xr:uid="{D007B69C-BA35-4942-9C9D-6C85E9738483}"/>
    <cellStyle name="Normal 2 4 5 2 3 9" xfId="13123" xr:uid="{FC62F9CA-990B-487B-9697-B7613883A6B0}"/>
    <cellStyle name="Normal 2 4 5 2 4" xfId="794" xr:uid="{00000000-0005-0000-0000-000072100000}"/>
    <cellStyle name="Normal 2 4 5 2 4 2" xfId="3033" xr:uid="{00000000-0005-0000-0000-000073100000}"/>
    <cellStyle name="Normal 2 4 5 2 4 2 2" xfId="7257" xr:uid="{00000000-0005-0000-0000-000074100000}"/>
    <cellStyle name="Normal 2 4 5 2 4 2 3" xfId="11468" xr:uid="{08AE09A4-ED9E-4776-9AB4-4BC668B5521C}"/>
    <cellStyle name="Normal 2 4 5 2 4 2 4" xfId="15679" xr:uid="{E508A56C-83E1-4544-9DA3-B68CC103D1D7}"/>
    <cellStyle name="Normal 2 4 5 2 4 3" xfId="5112" xr:uid="{00000000-0005-0000-0000-000075100000}"/>
    <cellStyle name="Normal 2 4 5 2 4 4" xfId="9323" xr:uid="{0C06F93C-FF27-4450-B92B-E23871544195}"/>
    <cellStyle name="Normal 2 4 5 2 4 5" xfId="13534" xr:uid="{1C5987B2-4C05-4721-959C-8696D92B4806}"/>
    <cellStyle name="Normal 2 4 5 2 5" xfId="1216" xr:uid="{00000000-0005-0000-0000-000076100000}"/>
    <cellStyle name="Normal 2 4 5 2 5 2" xfId="3446" xr:uid="{00000000-0005-0000-0000-000077100000}"/>
    <cellStyle name="Normal 2 4 5 2 5 2 2" xfId="7670" xr:uid="{00000000-0005-0000-0000-000078100000}"/>
    <cellStyle name="Normal 2 4 5 2 5 2 3" xfId="11881" xr:uid="{F3D54820-6EBC-45A9-AF4B-91252712C9ED}"/>
    <cellStyle name="Normal 2 4 5 2 5 2 4" xfId="16092" xr:uid="{40CC30F0-D7FA-4F46-B702-C0A11E0F8642}"/>
    <cellStyle name="Normal 2 4 5 2 5 3" xfId="5525" xr:uid="{00000000-0005-0000-0000-000079100000}"/>
    <cellStyle name="Normal 2 4 5 2 5 4" xfId="9736" xr:uid="{D10E1B25-2B24-462C-993C-AA08C9B78D15}"/>
    <cellStyle name="Normal 2 4 5 2 5 5" xfId="13947" xr:uid="{D2310DF9-497E-441A-BF94-3AE4E4E094CE}"/>
    <cellStyle name="Normal 2 4 5 2 6" xfId="1629" xr:uid="{00000000-0005-0000-0000-00007A100000}"/>
    <cellStyle name="Normal 2 4 5 2 6 2" xfId="3859" xr:uid="{00000000-0005-0000-0000-00007B100000}"/>
    <cellStyle name="Normal 2 4 5 2 6 2 2" xfId="8083" xr:uid="{00000000-0005-0000-0000-00007C100000}"/>
    <cellStyle name="Normal 2 4 5 2 6 2 3" xfId="12294" xr:uid="{B14FF965-2161-4A0C-9A38-37DE32A19CFC}"/>
    <cellStyle name="Normal 2 4 5 2 6 2 4" xfId="16505" xr:uid="{70A118B8-1A50-431D-8621-F608E6060494}"/>
    <cellStyle name="Normal 2 4 5 2 6 3" xfId="5938" xr:uid="{00000000-0005-0000-0000-00007D100000}"/>
    <cellStyle name="Normal 2 4 5 2 6 4" xfId="10149" xr:uid="{F4AEF1D3-7617-4C36-8A81-D33943CAC8D3}"/>
    <cellStyle name="Normal 2 4 5 2 6 5" xfId="14360" xr:uid="{F17AD8EF-2559-47E4-B2EC-286797D8110C}"/>
    <cellStyle name="Normal 2 4 5 2 7" xfId="2043" xr:uid="{00000000-0005-0000-0000-00007E100000}"/>
    <cellStyle name="Normal 2 4 5 2 7 2" xfId="4272" xr:uid="{00000000-0005-0000-0000-00007F100000}"/>
    <cellStyle name="Normal 2 4 5 2 7 2 2" xfId="8496" xr:uid="{00000000-0005-0000-0000-000080100000}"/>
    <cellStyle name="Normal 2 4 5 2 7 2 3" xfId="12707" xr:uid="{6CC8B99A-8FF5-4879-A6C2-A78DEFECA5DF}"/>
    <cellStyle name="Normal 2 4 5 2 7 2 4" xfId="16918" xr:uid="{6FB33F45-2FF8-4295-8322-3C49CF9BC8DB}"/>
    <cellStyle name="Normal 2 4 5 2 7 3" xfId="6351" xr:uid="{00000000-0005-0000-0000-000081100000}"/>
    <cellStyle name="Normal 2 4 5 2 7 4" xfId="10562" xr:uid="{C8C1719E-6AB6-44C9-9AB8-960E01F71491}"/>
    <cellStyle name="Normal 2 4 5 2 7 5" xfId="14773" xr:uid="{01D65F1D-3DEF-4C34-8953-985F6B9FCF9B}"/>
    <cellStyle name="Normal 2 4 5 2 8" xfId="2479" xr:uid="{00000000-0005-0000-0000-000082100000}"/>
    <cellStyle name="Normal 2 4 5 2 8 2" xfId="6764" xr:uid="{00000000-0005-0000-0000-000083100000}"/>
    <cellStyle name="Normal 2 4 5 2 8 3" xfId="10975" xr:uid="{731880D8-DB8C-4948-A11C-F6E3EF8E2546}"/>
    <cellStyle name="Normal 2 4 5 2 8 4" xfId="15186" xr:uid="{209AD28A-EC92-40D3-AF60-FAD42C45F1C4}"/>
    <cellStyle name="Normal 2 4 5 2 9" xfId="4698" xr:uid="{00000000-0005-0000-0000-000084100000}"/>
    <cellStyle name="Normal 2 4 5 3" xfId="308" xr:uid="{00000000-0005-0000-0000-000085100000}"/>
    <cellStyle name="Normal 2 4 5 3 10" xfId="13124" xr:uid="{1D2153E5-F9F0-4724-A838-6261E8201D5C}"/>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2 3" xfId="11473" xr:uid="{B3D94D97-F393-4353-90AA-76489F5413A4}"/>
    <cellStyle name="Normal 2 4 5 3 2 2 2 4" xfId="15684" xr:uid="{08A14C9C-2A33-456B-98A2-1083E17D58AD}"/>
    <cellStyle name="Normal 2 4 5 3 2 2 3" xfId="5117" xr:uid="{00000000-0005-0000-0000-00008A100000}"/>
    <cellStyle name="Normal 2 4 5 3 2 2 4" xfId="9328" xr:uid="{2B597D97-66FA-4784-8753-DA9A0C95C04A}"/>
    <cellStyle name="Normal 2 4 5 3 2 2 5" xfId="13539" xr:uid="{65490C70-EC07-4A17-AEA5-B3233C174E7B}"/>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2 3" xfId="11886" xr:uid="{33A1BA40-AF33-490D-A9BF-0CFF968A0C90}"/>
    <cellStyle name="Normal 2 4 5 3 2 3 2 4" xfId="16097" xr:uid="{63DE5964-449D-4ECD-98B1-08903330BF67}"/>
    <cellStyle name="Normal 2 4 5 3 2 3 3" xfId="5530" xr:uid="{00000000-0005-0000-0000-00008E100000}"/>
    <cellStyle name="Normal 2 4 5 3 2 3 4" xfId="9741" xr:uid="{70708B37-1EDA-4AA2-AA6E-9995839615F4}"/>
    <cellStyle name="Normal 2 4 5 3 2 3 5" xfId="13952" xr:uid="{AB0012FA-DFD1-4174-AAD4-99E996E3B77E}"/>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2 3" xfId="12299" xr:uid="{416A4105-1169-4507-AB86-3C49B95E75F7}"/>
    <cellStyle name="Normal 2 4 5 3 2 4 2 4" xfId="16510" xr:uid="{21639414-F975-4FA9-AB47-076A6BDA1DB6}"/>
    <cellStyle name="Normal 2 4 5 3 2 4 3" xfId="5943" xr:uid="{00000000-0005-0000-0000-000092100000}"/>
    <cellStyle name="Normal 2 4 5 3 2 4 4" xfId="10154" xr:uid="{81F86E2B-94E3-4153-9C8B-2154D0722DD7}"/>
    <cellStyle name="Normal 2 4 5 3 2 4 5" xfId="14365" xr:uid="{A3CAB282-54E9-4020-914F-FA42CE8A4F86}"/>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2 3" xfId="12712" xr:uid="{F32D55B7-C378-41FD-A9B0-D4E138A5A8FD}"/>
    <cellStyle name="Normal 2 4 5 3 2 5 2 4" xfId="16923" xr:uid="{E9CDF187-CABA-4119-AD37-F7881C51B718}"/>
    <cellStyle name="Normal 2 4 5 3 2 5 3" xfId="6356" xr:uid="{00000000-0005-0000-0000-000096100000}"/>
    <cellStyle name="Normal 2 4 5 3 2 5 4" xfId="10567" xr:uid="{6A9B51F8-B077-4FF7-BE27-9520EC7F41DA}"/>
    <cellStyle name="Normal 2 4 5 3 2 5 5" xfId="14778" xr:uid="{D0FD8D9E-0534-49E2-9C2C-CA29457F502F}"/>
    <cellStyle name="Normal 2 4 5 3 2 6" xfId="2484" xr:uid="{00000000-0005-0000-0000-000097100000}"/>
    <cellStyle name="Normal 2 4 5 3 2 6 2" xfId="6769" xr:uid="{00000000-0005-0000-0000-000098100000}"/>
    <cellStyle name="Normal 2 4 5 3 2 6 3" xfId="10980" xr:uid="{7EB56F5A-751F-491A-A18F-637324EC1986}"/>
    <cellStyle name="Normal 2 4 5 3 2 6 4" xfId="15191" xr:uid="{1E82D793-E77A-4D2B-8AF6-F20B3290C5F7}"/>
    <cellStyle name="Normal 2 4 5 3 2 7" xfId="4703" xr:uid="{00000000-0005-0000-0000-000099100000}"/>
    <cellStyle name="Normal 2 4 5 3 2 8" xfId="8914" xr:uid="{EC81DDEB-35C0-4C80-9B02-8E54B769854A}"/>
    <cellStyle name="Normal 2 4 5 3 2 9" xfId="13125" xr:uid="{2E9CEE48-526E-4394-A72D-E908CE20841A}"/>
    <cellStyle name="Normal 2 4 5 3 3" xfId="798" xr:uid="{00000000-0005-0000-0000-00009A100000}"/>
    <cellStyle name="Normal 2 4 5 3 3 2" xfId="3037" xr:uid="{00000000-0005-0000-0000-00009B100000}"/>
    <cellStyle name="Normal 2 4 5 3 3 2 2" xfId="7261" xr:uid="{00000000-0005-0000-0000-00009C100000}"/>
    <cellStyle name="Normal 2 4 5 3 3 2 3" xfId="11472" xr:uid="{D66FA838-802B-4FA4-A974-66D676054C73}"/>
    <cellStyle name="Normal 2 4 5 3 3 2 4" xfId="15683" xr:uid="{C16EE58D-FB82-4518-9830-6192EA64F5BE}"/>
    <cellStyle name="Normal 2 4 5 3 3 3" xfId="5116" xr:uid="{00000000-0005-0000-0000-00009D100000}"/>
    <cellStyle name="Normal 2 4 5 3 3 4" xfId="9327" xr:uid="{04AAC7CC-1990-45E2-8D58-B02385104290}"/>
    <cellStyle name="Normal 2 4 5 3 3 5" xfId="13538" xr:uid="{0745E7F6-21BF-486C-BA1D-CBFC3807CAB2}"/>
    <cellStyle name="Normal 2 4 5 3 4" xfId="1220" xr:uid="{00000000-0005-0000-0000-00009E100000}"/>
    <cellStyle name="Normal 2 4 5 3 4 2" xfId="3450" xr:uid="{00000000-0005-0000-0000-00009F100000}"/>
    <cellStyle name="Normal 2 4 5 3 4 2 2" xfId="7674" xr:uid="{00000000-0005-0000-0000-0000A0100000}"/>
    <cellStyle name="Normal 2 4 5 3 4 2 3" xfId="11885" xr:uid="{3879187B-1D95-4336-8C8E-FC243F86B399}"/>
    <cellStyle name="Normal 2 4 5 3 4 2 4" xfId="16096" xr:uid="{16F76B66-7040-4DB0-80F7-163E8EE7AF39}"/>
    <cellStyle name="Normal 2 4 5 3 4 3" xfId="5529" xr:uid="{00000000-0005-0000-0000-0000A1100000}"/>
    <cellStyle name="Normal 2 4 5 3 4 4" xfId="9740" xr:uid="{A058B9E0-116A-46FF-ADFA-8DA72DFBF0ED}"/>
    <cellStyle name="Normal 2 4 5 3 4 5" xfId="13951" xr:uid="{11156738-D29B-435D-B375-78C436EAEE90}"/>
    <cellStyle name="Normal 2 4 5 3 5" xfId="1633" xr:uid="{00000000-0005-0000-0000-0000A2100000}"/>
    <cellStyle name="Normal 2 4 5 3 5 2" xfId="3863" xr:uid="{00000000-0005-0000-0000-0000A3100000}"/>
    <cellStyle name="Normal 2 4 5 3 5 2 2" xfId="8087" xr:uid="{00000000-0005-0000-0000-0000A4100000}"/>
    <cellStyle name="Normal 2 4 5 3 5 2 3" xfId="12298" xr:uid="{6389CDFD-6AF7-49FB-BBA3-5A098652BA3B}"/>
    <cellStyle name="Normal 2 4 5 3 5 2 4" xfId="16509" xr:uid="{4EB45F64-2CC4-46DB-8A0F-1D03B0B78FE4}"/>
    <cellStyle name="Normal 2 4 5 3 5 3" xfId="5942" xr:uid="{00000000-0005-0000-0000-0000A5100000}"/>
    <cellStyle name="Normal 2 4 5 3 5 4" xfId="10153" xr:uid="{D2EAF03C-8C0A-4691-BB34-2A702567FA77}"/>
    <cellStyle name="Normal 2 4 5 3 5 5" xfId="14364" xr:uid="{52898976-87D7-4022-99F1-986784152D04}"/>
    <cellStyle name="Normal 2 4 5 3 6" xfId="2047" xr:uid="{00000000-0005-0000-0000-0000A6100000}"/>
    <cellStyle name="Normal 2 4 5 3 6 2" xfId="4276" xr:uid="{00000000-0005-0000-0000-0000A7100000}"/>
    <cellStyle name="Normal 2 4 5 3 6 2 2" xfId="8500" xr:uid="{00000000-0005-0000-0000-0000A8100000}"/>
    <cellStyle name="Normal 2 4 5 3 6 2 3" xfId="12711" xr:uid="{0F9262B7-3D55-4461-B97E-FA9A25290E33}"/>
    <cellStyle name="Normal 2 4 5 3 6 2 4" xfId="16922" xr:uid="{181752FE-F174-4D81-9737-564024D51E96}"/>
    <cellStyle name="Normal 2 4 5 3 6 3" xfId="6355" xr:uid="{00000000-0005-0000-0000-0000A9100000}"/>
    <cellStyle name="Normal 2 4 5 3 6 4" xfId="10566" xr:uid="{FBFE18FA-7811-4007-817C-104756A2243C}"/>
    <cellStyle name="Normal 2 4 5 3 6 5" xfId="14777" xr:uid="{875B0C2F-CC4B-47E1-A181-F610A368EB18}"/>
    <cellStyle name="Normal 2 4 5 3 7" xfId="2483" xr:uid="{00000000-0005-0000-0000-0000AA100000}"/>
    <cellStyle name="Normal 2 4 5 3 7 2" xfId="6768" xr:uid="{00000000-0005-0000-0000-0000AB100000}"/>
    <cellStyle name="Normal 2 4 5 3 7 3" xfId="10979" xr:uid="{E1525CCE-F0B9-4872-9455-355AEA73D3DB}"/>
    <cellStyle name="Normal 2 4 5 3 7 4" xfId="15190" xr:uid="{C9FEDFCC-D334-4B7C-A542-3798135E8C68}"/>
    <cellStyle name="Normal 2 4 5 3 8" xfId="4702" xr:uid="{00000000-0005-0000-0000-0000AC100000}"/>
    <cellStyle name="Normal 2 4 5 3 9" xfId="8913" xr:uid="{123DAD08-8A7A-4D1C-A051-4A8310354886}"/>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2 3" xfId="11474" xr:uid="{905F945A-E828-4390-98D1-831ED3D92E49}"/>
    <cellStyle name="Normal 2 4 5 4 2 2 4" xfId="15685" xr:uid="{0CDAA8B1-98E6-44E7-BCEC-14967FBC5428}"/>
    <cellStyle name="Normal 2 4 5 4 2 3" xfId="5118" xr:uid="{00000000-0005-0000-0000-0000B1100000}"/>
    <cellStyle name="Normal 2 4 5 4 2 4" xfId="9329" xr:uid="{AFCA06C2-DC5E-4AC5-972F-ACB8084CA61F}"/>
    <cellStyle name="Normal 2 4 5 4 2 5" xfId="13540" xr:uid="{2A87191E-857A-4A44-B4B2-A13B1EFE0C2B}"/>
    <cellStyle name="Normal 2 4 5 4 3" xfId="1222" xr:uid="{00000000-0005-0000-0000-0000B2100000}"/>
    <cellStyle name="Normal 2 4 5 4 3 2" xfId="3452" xr:uid="{00000000-0005-0000-0000-0000B3100000}"/>
    <cellStyle name="Normal 2 4 5 4 3 2 2" xfId="7676" xr:uid="{00000000-0005-0000-0000-0000B4100000}"/>
    <cellStyle name="Normal 2 4 5 4 3 2 3" xfId="11887" xr:uid="{C0C74023-B7DA-43ED-B265-3398AFC36BDB}"/>
    <cellStyle name="Normal 2 4 5 4 3 2 4" xfId="16098" xr:uid="{1BC62036-F8B5-40A8-8298-D5BABE79B7FF}"/>
    <cellStyle name="Normal 2 4 5 4 3 3" xfId="5531" xr:uid="{00000000-0005-0000-0000-0000B5100000}"/>
    <cellStyle name="Normal 2 4 5 4 3 4" xfId="9742" xr:uid="{804D7232-84D7-49D9-BA7B-286BE5F153CE}"/>
    <cellStyle name="Normal 2 4 5 4 3 5" xfId="13953" xr:uid="{F3C93D50-25A8-4AB0-AE2D-6AAC40CEBC1B}"/>
    <cellStyle name="Normal 2 4 5 4 4" xfId="1635" xr:uid="{00000000-0005-0000-0000-0000B6100000}"/>
    <cellStyle name="Normal 2 4 5 4 4 2" xfId="3865" xr:uid="{00000000-0005-0000-0000-0000B7100000}"/>
    <cellStyle name="Normal 2 4 5 4 4 2 2" xfId="8089" xr:uid="{00000000-0005-0000-0000-0000B8100000}"/>
    <cellStyle name="Normal 2 4 5 4 4 2 3" xfId="12300" xr:uid="{8C4ECB1F-F5D6-4A1D-ADC4-86B07B71F3E1}"/>
    <cellStyle name="Normal 2 4 5 4 4 2 4" xfId="16511" xr:uid="{0B16DDDA-16CE-489B-BB2C-02CF02D8CDE3}"/>
    <cellStyle name="Normal 2 4 5 4 4 3" xfId="5944" xr:uid="{00000000-0005-0000-0000-0000B9100000}"/>
    <cellStyle name="Normal 2 4 5 4 4 4" xfId="10155" xr:uid="{69A9100C-867F-432F-94EB-47BBEBFE90F5}"/>
    <cellStyle name="Normal 2 4 5 4 4 5" xfId="14366" xr:uid="{C60BD001-D778-42CD-945E-2459AB1DD2D4}"/>
    <cellStyle name="Normal 2 4 5 4 5" xfId="2049" xr:uid="{00000000-0005-0000-0000-0000BA100000}"/>
    <cellStyle name="Normal 2 4 5 4 5 2" xfId="4278" xr:uid="{00000000-0005-0000-0000-0000BB100000}"/>
    <cellStyle name="Normal 2 4 5 4 5 2 2" xfId="8502" xr:uid="{00000000-0005-0000-0000-0000BC100000}"/>
    <cellStyle name="Normal 2 4 5 4 5 2 3" xfId="12713" xr:uid="{3C9CAF44-BCC3-4050-9D0F-21B3DE0F5386}"/>
    <cellStyle name="Normal 2 4 5 4 5 2 4" xfId="16924" xr:uid="{7FFEE769-B1BE-46F9-BF7D-F23DE13AE9FE}"/>
    <cellStyle name="Normal 2 4 5 4 5 3" xfId="6357" xr:uid="{00000000-0005-0000-0000-0000BD100000}"/>
    <cellStyle name="Normal 2 4 5 4 5 4" xfId="10568" xr:uid="{1997A725-CF50-4AD6-9481-A745E6C829AC}"/>
    <cellStyle name="Normal 2 4 5 4 5 5" xfId="14779" xr:uid="{9FB11E1C-75D6-44FE-A8D1-64C0258619A1}"/>
    <cellStyle name="Normal 2 4 5 4 6" xfId="2485" xr:uid="{00000000-0005-0000-0000-0000BE100000}"/>
    <cellStyle name="Normal 2 4 5 4 6 2" xfId="6770" xr:uid="{00000000-0005-0000-0000-0000BF100000}"/>
    <cellStyle name="Normal 2 4 5 4 6 3" xfId="10981" xr:uid="{7BE8699A-8E90-461A-B488-4EA810D67D7D}"/>
    <cellStyle name="Normal 2 4 5 4 6 4" xfId="15192" xr:uid="{48D40CCD-D43C-4942-AFAE-017E63499E91}"/>
    <cellStyle name="Normal 2 4 5 4 7" xfId="4704" xr:uid="{00000000-0005-0000-0000-0000C0100000}"/>
    <cellStyle name="Normal 2 4 5 4 8" xfId="8915" xr:uid="{18E6A633-82FF-4C26-A912-B65979944B80}"/>
    <cellStyle name="Normal 2 4 5 4 9" xfId="13126" xr:uid="{FD1ACD81-CAA3-4A71-A198-3305F0448FB1}"/>
    <cellStyle name="Normal 2 4 5 5" xfId="793" xr:uid="{00000000-0005-0000-0000-0000C1100000}"/>
    <cellStyle name="Normal 2 4 5 5 2" xfId="3032" xr:uid="{00000000-0005-0000-0000-0000C2100000}"/>
    <cellStyle name="Normal 2 4 5 5 2 2" xfId="7256" xr:uid="{00000000-0005-0000-0000-0000C3100000}"/>
    <cellStyle name="Normal 2 4 5 5 2 3" xfId="11467" xr:uid="{655D835D-F7AC-4EEA-8D27-A6EF6ED17BEE}"/>
    <cellStyle name="Normal 2 4 5 5 2 4" xfId="15678" xr:uid="{2252C8E0-6ADC-40D3-99B0-11383941E2E3}"/>
    <cellStyle name="Normal 2 4 5 5 3" xfId="5111" xr:uid="{00000000-0005-0000-0000-0000C4100000}"/>
    <cellStyle name="Normal 2 4 5 5 4" xfId="9322" xr:uid="{D22E2260-084A-4326-AB58-A58978974B2F}"/>
    <cellStyle name="Normal 2 4 5 5 5" xfId="13533" xr:uid="{903AE9C5-1047-4D8D-B999-7B977B1C1B6F}"/>
    <cellStyle name="Normal 2 4 5 6" xfId="1215" xr:uid="{00000000-0005-0000-0000-0000C5100000}"/>
    <cellStyle name="Normal 2 4 5 6 2" xfId="3445" xr:uid="{00000000-0005-0000-0000-0000C6100000}"/>
    <cellStyle name="Normal 2 4 5 6 2 2" xfId="7669" xr:uid="{00000000-0005-0000-0000-0000C7100000}"/>
    <cellStyle name="Normal 2 4 5 6 2 3" xfId="11880" xr:uid="{6B4A7A80-E3A9-4972-9F3B-4D8701DB0FF3}"/>
    <cellStyle name="Normal 2 4 5 6 2 4" xfId="16091" xr:uid="{9ECB0EB2-F5EB-408E-8395-5C55EB68BDCD}"/>
    <cellStyle name="Normal 2 4 5 6 3" xfId="5524" xr:uid="{00000000-0005-0000-0000-0000C8100000}"/>
    <cellStyle name="Normal 2 4 5 6 4" xfId="9735" xr:uid="{9060A2EB-BEE7-43DE-AFE5-9782861E45D6}"/>
    <cellStyle name="Normal 2 4 5 6 5" xfId="13946" xr:uid="{C9094CF2-AD37-4E5A-85D1-F070E54EB4C5}"/>
    <cellStyle name="Normal 2 4 5 7" xfId="1628" xr:uid="{00000000-0005-0000-0000-0000C9100000}"/>
    <cellStyle name="Normal 2 4 5 7 2" xfId="3858" xr:uid="{00000000-0005-0000-0000-0000CA100000}"/>
    <cellStyle name="Normal 2 4 5 7 2 2" xfId="8082" xr:uid="{00000000-0005-0000-0000-0000CB100000}"/>
    <cellStyle name="Normal 2 4 5 7 2 3" xfId="12293" xr:uid="{7D0F0311-B2AD-48A4-834A-31F015531FD6}"/>
    <cellStyle name="Normal 2 4 5 7 2 4" xfId="16504" xr:uid="{4B2A8B09-1812-42B2-B47D-ACF305342109}"/>
    <cellStyle name="Normal 2 4 5 7 3" xfId="5937" xr:uid="{00000000-0005-0000-0000-0000CC100000}"/>
    <cellStyle name="Normal 2 4 5 7 4" xfId="10148" xr:uid="{B89724D4-4E20-46D7-9EFE-9C1189AC35FD}"/>
    <cellStyle name="Normal 2 4 5 7 5" xfId="14359" xr:uid="{7CEA3528-4CDB-4583-990D-740FBCA2A60B}"/>
    <cellStyle name="Normal 2 4 5 8" xfId="2042" xr:uid="{00000000-0005-0000-0000-0000CD100000}"/>
    <cellStyle name="Normal 2 4 5 8 2" xfId="4271" xr:uid="{00000000-0005-0000-0000-0000CE100000}"/>
    <cellStyle name="Normal 2 4 5 8 2 2" xfId="8495" xr:uid="{00000000-0005-0000-0000-0000CF100000}"/>
    <cellStyle name="Normal 2 4 5 8 2 3" xfId="12706" xr:uid="{308ED063-6A38-42E7-A2C1-2D6BDF485F21}"/>
    <cellStyle name="Normal 2 4 5 8 2 4" xfId="16917" xr:uid="{FC8318A2-6450-455A-8D81-E9C72C56AC3F}"/>
    <cellStyle name="Normal 2 4 5 8 3" xfId="6350" xr:uid="{00000000-0005-0000-0000-0000D0100000}"/>
    <cellStyle name="Normal 2 4 5 8 4" xfId="10561" xr:uid="{48D396FD-21DE-4D98-AA05-89CC1A847340}"/>
    <cellStyle name="Normal 2 4 5 8 5" xfId="14772" xr:uid="{6F0D56A9-FB97-4AF1-A124-CADF80BADB32}"/>
    <cellStyle name="Normal 2 4 5 9" xfId="2478" xr:uid="{00000000-0005-0000-0000-0000D1100000}"/>
    <cellStyle name="Normal 2 4 5 9 2" xfId="6763" xr:uid="{00000000-0005-0000-0000-0000D2100000}"/>
    <cellStyle name="Normal 2 4 5 9 3" xfId="10974" xr:uid="{47E523ED-6B62-4C17-BB3E-3161CCB8C72C}"/>
    <cellStyle name="Normal 2 4 5 9 4" xfId="15185" xr:uid="{93A0E362-15A8-450A-9FA9-08567803734D}"/>
    <cellStyle name="Normal 2 4 6" xfId="311" xr:uid="{00000000-0005-0000-0000-0000D3100000}"/>
    <cellStyle name="Normal 2 4 7" xfId="312" xr:uid="{00000000-0005-0000-0000-0000D4100000}"/>
    <cellStyle name="Normal 2 4 7 10" xfId="13127" xr:uid="{BCD87C6F-243C-4F27-8AD6-6C2A60C7FD0D}"/>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2 3" xfId="11476" xr:uid="{B58268BF-BD92-47E7-9830-534BF961ED4B}"/>
    <cellStyle name="Normal 2 4 7 2 2 2 4" xfId="15687" xr:uid="{94EE14BD-AB14-4121-9ED5-6378CCFCDF50}"/>
    <cellStyle name="Normal 2 4 7 2 2 3" xfId="5120" xr:uid="{00000000-0005-0000-0000-0000D9100000}"/>
    <cellStyle name="Normal 2 4 7 2 2 4" xfId="9331" xr:uid="{742E1838-E783-4C9C-90C4-FAC1C19325F8}"/>
    <cellStyle name="Normal 2 4 7 2 2 5" xfId="13542" xr:uid="{4F07CF45-C306-4391-A89E-449D97A519E2}"/>
    <cellStyle name="Normal 2 4 7 2 3" xfId="1224" xr:uid="{00000000-0005-0000-0000-0000DA100000}"/>
    <cellStyle name="Normal 2 4 7 2 3 2" xfId="3454" xr:uid="{00000000-0005-0000-0000-0000DB100000}"/>
    <cellStyle name="Normal 2 4 7 2 3 2 2" xfId="7678" xr:uid="{00000000-0005-0000-0000-0000DC100000}"/>
    <cellStyle name="Normal 2 4 7 2 3 2 3" xfId="11889" xr:uid="{00477A19-795F-4E5A-A5F7-F47793558A81}"/>
    <cellStyle name="Normal 2 4 7 2 3 2 4" xfId="16100" xr:uid="{12B1F523-E2D6-4D84-A5A1-C712BFA965A2}"/>
    <cellStyle name="Normal 2 4 7 2 3 3" xfId="5533" xr:uid="{00000000-0005-0000-0000-0000DD100000}"/>
    <cellStyle name="Normal 2 4 7 2 3 4" xfId="9744" xr:uid="{1BBF7BC3-AEFB-4A11-B1FC-901CAB01E629}"/>
    <cellStyle name="Normal 2 4 7 2 3 5" xfId="13955" xr:uid="{295556C1-4295-491D-A02A-6664530D4561}"/>
    <cellStyle name="Normal 2 4 7 2 4" xfId="1637" xr:uid="{00000000-0005-0000-0000-0000DE100000}"/>
    <cellStyle name="Normal 2 4 7 2 4 2" xfId="3867" xr:uid="{00000000-0005-0000-0000-0000DF100000}"/>
    <cellStyle name="Normal 2 4 7 2 4 2 2" xfId="8091" xr:uid="{00000000-0005-0000-0000-0000E0100000}"/>
    <cellStyle name="Normal 2 4 7 2 4 2 3" xfId="12302" xr:uid="{8FD440A6-351E-4E9A-AC9B-FA8B6EB54270}"/>
    <cellStyle name="Normal 2 4 7 2 4 2 4" xfId="16513" xr:uid="{E46308ED-0E56-45BB-AD53-906D1E82EE39}"/>
    <cellStyle name="Normal 2 4 7 2 4 3" xfId="5946" xr:uid="{00000000-0005-0000-0000-0000E1100000}"/>
    <cellStyle name="Normal 2 4 7 2 4 4" xfId="10157" xr:uid="{A9E573C2-588B-462C-AD6A-ABC7A5B3AC46}"/>
    <cellStyle name="Normal 2 4 7 2 4 5" xfId="14368" xr:uid="{06AA28F9-55B5-4E58-99DB-1A77372DC0F2}"/>
    <cellStyle name="Normal 2 4 7 2 5" xfId="2051" xr:uid="{00000000-0005-0000-0000-0000E2100000}"/>
    <cellStyle name="Normal 2 4 7 2 5 2" xfId="4280" xr:uid="{00000000-0005-0000-0000-0000E3100000}"/>
    <cellStyle name="Normal 2 4 7 2 5 2 2" xfId="8504" xr:uid="{00000000-0005-0000-0000-0000E4100000}"/>
    <cellStyle name="Normal 2 4 7 2 5 2 3" xfId="12715" xr:uid="{E9ABFFF8-8686-49BA-A142-CC6728F4FE2A}"/>
    <cellStyle name="Normal 2 4 7 2 5 2 4" xfId="16926" xr:uid="{83A3EB50-A848-4236-8FD6-B4180E90AF1F}"/>
    <cellStyle name="Normal 2 4 7 2 5 3" xfId="6359" xr:uid="{00000000-0005-0000-0000-0000E5100000}"/>
    <cellStyle name="Normal 2 4 7 2 5 4" xfId="10570" xr:uid="{91E5690A-ED71-43D3-BC15-395B45C89F98}"/>
    <cellStyle name="Normal 2 4 7 2 5 5" xfId="14781" xr:uid="{E9A65BFB-9A4A-4E9F-B8C5-954C19B1010E}"/>
    <cellStyle name="Normal 2 4 7 2 6" xfId="2487" xr:uid="{00000000-0005-0000-0000-0000E6100000}"/>
    <cellStyle name="Normal 2 4 7 2 6 2" xfId="6772" xr:uid="{00000000-0005-0000-0000-0000E7100000}"/>
    <cellStyle name="Normal 2 4 7 2 6 3" xfId="10983" xr:uid="{F816C6CC-A941-4C42-A571-01060CEC9CBA}"/>
    <cellStyle name="Normal 2 4 7 2 6 4" xfId="15194" xr:uid="{975DB969-B7CA-43B9-A915-6149702E3BEB}"/>
    <cellStyle name="Normal 2 4 7 2 7" xfId="4706" xr:uid="{00000000-0005-0000-0000-0000E8100000}"/>
    <cellStyle name="Normal 2 4 7 2 8" xfId="8917" xr:uid="{65B10363-3882-43A0-9981-24D58BC266AF}"/>
    <cellStyle name="Normal 2 4 7 2 9" xfId="13128" xr:uid="{785BD1B4-CD23-4B84-A73D-0BD87ADFB7F7}"/>
    <cellStyle name="Normal 2 4 7 3" xfId="801" xr:uid="{00000000-0005-0000-0000-0000E9100000}"/>
    <cellStyle name="Normal 2 4 7 3 2" xfId="3040" xr:uid="{00000000-0005-0000-0000-0000EA100000}"/>
    <cellStyle name="Normal 2 4 7 3 2 2" xfId="7264" xr:uid="{00000000-0005-0000-0000-0000EB100000}"/>
    <cellStyle name="Normal 2 4 7 3 2 3" xfId="11475" xr:uid="{D28B2B6F-E674-4DF0-B06F-A3F505A8C234}"/>
    <cellStyle name="Normal 2 4 7 3 2 4" xfId="15686" xr:uid="{DBB0C2CB-C226-40B7-AF5D-D7BFC3A12A8A}"/>
    <cellStyle name="Normal 2 4 7 3 3" xfId="5119" xr:uid="{00000000-0005-0000-0000-0000EC100000}"/>
    <cellStyle name="Normal 2 4 7 3 4" xfId="9330" xr:uid="{F949303F-EABE-4060-B5A6-67A43F727E6A}"/>
    <cellStyle name="Normal 2 4 7 3 5" xfId="13541" xr:uid="{55CE243A-ECC1-49DB-A991-885B29BAA1D2}"/>
    <cellStyle name="Normal 2 4 7 4" xfId="1223" xr:uid="{00000000-0005-0000-0000-0000ED100000}"/>
    <cellStyle name="Normal 2 4 7 4 2" xfId="3453" xr:uid="{00000000-0005-0000-0000-0000EE100000}"/>
    <cellStyle name="Normal 2 4 7 4 2 2" xfId="7677" xr:uid="{00000000-0005-0000-0000-0000EF100000}"/>
    <cellStyle name="Normal 2 4 7 4 2 3" xfId="11888" xr:uid="{81C5F210-64A3-4848-88A2-B5B4A16482C1}"/>
    <cellStyle name="Normal 2 4 7 4 2 4" xfId="16099" xr:uid="{02887FD0-B226-4606-BFBF-9316460F8AF6}"/>
    <cellStyle name="Normal 2 4 7 4 3" xfId="5532" xr:uid="{00000000-0005-0000-0000-0000F0100000}"/>
    <cellStyle name="Normal 2 4 7 4 4" xfId="9743" xr:uid="{0B085DFE-501E-4555-B0D5-DCFAB26DC362}"/>
    <cellStyle name="Normal 2 4 7 4 5" xfId="13954" xr:uid="{CC4CF2C5-345E-4943-9D8C-8665C34BC1D8}"/>
    <cellStyle name="Normal 2 4 7 5" xfId="1636" xr:uid="{00000000-0005-0000-0000-0000F1100000}"/>
    <cellStyle name="Normal 2 4 7 5 2" xfId="3866" xr:uid="{00000000-0005-0000-0000-0000F2100000}"/>
    <cellStyle name="Normal 2 4 7 5 2 2" xfId="8090" xr:uid="{00000000-0005-0000-0000-0000F3100000}"/>
    <cellStyle name="Normal 2 4 7 5 2 3" xfId="12301" xr:uid="{A5D91A0A-466D-41D1-90CF-6DB3121F2C2E}"/>
    <cellStyle name="Normal 2 4 7 5 2 4" xfId="16512" xr:uid="{AC48F661-CDB3-4CE4-A2A4-8EE2B1A417DD}"/>
    <cellStyle name="Normal 2 4 7 5 3" xfId="5945" xr:uid="{00000000-0005-0000-0000-0000F4100000}"/>
    <cellStyle name="Normal 2 4 7 5 4" xfId="10156" xr:uid="{CA9655B3-1F58-486E-8846-C9E96C46AECA}"/>
    <cellStyle name="Normal 2 4 7 5 5" xfId="14367" xr:uid="{E4FB3C0C-5937-4453-B190-07DBFA806315}"/>
    <cellStyle name="Normal 2 4 7 6" xfId="2050" xr:uid="{00000000-0005-0000-0000-0000F5100000}"/>
    <cellStyle name="Normal 2 4 7 6 2" xfId="4279" xr:uid="{00000000-0005-0000-0000-0000F6100000}"/>
    <cellStyle name="Normal 2 4 7 6 2 2" xfId="8503" xr:uid="{00000000-0005-0000-0000-0000F7100000}"/>
    <cellStyle name="Normal 2 4 7 6 2 3" xfId="12714" xr:uid="{7D072613-5AA9-4172-BF25-E5F0DDD3CE51}"/>
    <cellStyle name="Normal 2 4 7 6 2 4" xfId="16925" xr:uid="{869A2CB0-22B2-4447-B6E7-848800CCD45E}"/>
    <cellStyle name="Normal 2 4 7 6 3" xfId="6358" xr:uid="{00000000-0005-0000-0000-0000F8100000}"/>
    <cellStyle name="Normal 2 4 7 6 4" xfId="10569" xr:uid="{1B20872A-8FF0-4FEA-A912-F3169AC7CECF}"/>
    <cellStyle name="Normal 2 4 7 6 5" xfId="14780" xr:uid="{3EF354F5-1190-41AE-A8E2-A864B7E7D99E}"/>
    <cellStyle name="Normal 2 4 7 7" xfId="2486" xr:uid="{00000000-0005-0000-0000-0000F9100000}"/>
    <cellStyle name="Normal 2 4 7 7 2" xfId="6771" xr:uid="{00000000-0005-0000-0000-0000FA100000}"/>
    <cellStyle name="Normal 2 4 7 7 3" xfId="10982" xr:uid="{13AAF7E3-DD4A-47F3-B814-694B31791098}"/>
    <cellStyle name="Normal 2 4 7 7 4" xfId="15193" xr:uid="{1AE30B0C-BC8F-4FED-8D26-F47664ADF38A}"/>
    <cellStyle name="Normal 2 4 7 8" xfId="4705" xr:uid="{00000000-0005-0000-0000-0000FB100000}"/>
    <cellStyle name="Normal 2 4 7 9" xfId="8916" xr:uid="{B2B26D49-FE5E-4B1C-ACD5-05821112976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2 3" xfId="11477" xr:uid="{DBA22F1C-8C60-4434-8ABE-698F0A838603}"/>
    <cellStyle name="Normal 2 4 8 2 2 4" xfId="15688" xr:uid="{28BCAE2D-F2A8-4AFB-9A51-134C89875F31}"/>
    <cellStyle name="Normal 2 4 8 2 3" xfId="5121" xr:uid="{00000000-0005-0000-0000-000000110000}"/>
    <cellStyle name="Normal 2 4 8 2 4" xfId="9332" xr:uid="{FB358C64-3DFC-4759-B472-72A337AEA6E4}"/>
    <cellStyle name="Normal 2 4 8 2 5" xfId="13543" xr:uid="{1016CA0A-6554-499D-8CAF-6ECC638534CE}"/>
    <cellStyle name="Normal 2 4 8 3" xfId="1225" xr:uid="{00000000-0005-0000-0000-000001110000}"/>
    <cellStyle name="Normal 2 4 8 3 2" xfId="3455" xr:uid="{00000000-0005-0000-0000-000002110000}"/>
    <cellStyle name="Normal 2 4 8 3 2 2" xfId="7679" xr:uid="{00000000-0005-0000-0000-000003110000}"/>
    <cellStyle name="Normal 2 4 8 3 2 3" xfId="11890" xr:uid="{9D4C7284-F78B-4A67-AC8C-D32DB90BA9B2}"/>
    <cellStyle name="Normal 2 4 8 3 2 4" xfId="16101" xr:uid="{2077D5E5-B4AE-4360-ABD2-22E0631580C1}"/>
    <cellStyle name="Normal 2 4 8 3 3" xfId="5534" xr:uid="{00000000-0005-0000-0000-000004110000}"/>
    <cellStyle name="Normal 2 4 8 3 4" xfId="9745" xr:uid="{6B5F3D12-0C52-4504-964B-C65214A9B226}"/>
    <cellStyle name="Normal 2 4 8 3 5" xfId="13956" xr:uid="{76A2C533-CD1D-4E9E-BFF3-6E8ED0C4D152}"/>
    <cellStyle name="Normal 2 4 8 4" xfId="1638" xr:uid="{00000000-0005-0000-0000-000005110000}"/>
    <cellStyle name="Normal 2 4 8 4 2" xfId="3868" xr:uid="{00000000-0005-0000-0000-000006110000}"/>
    <cellStyle name="Normal 2 4 8 4 2 2" xfId="8092" xr:uid="{00000000-0005-0000-0000-000007110000}"/>
    <cellStyle name="Normal 2 4 8 4 2 3" xfId="12303" xr:uid="{721F27C0-A766-4242-80BD-7F566904700D}"/>
    <cellStyle name="Normal 2 4 8 4 2 4" xfId="16514" xr:uid="{EC9B0A25-1D7A-42E7-89E7-87834F297064}"/>
    <cellStyle name="Normal 2 4 8 4 3" xfId="5947" xr:uid="{00000000-0005-0000-0000-000008110000}"/>
    <cellStyle name="Normal 2 4 8 4 4" xfId="10158" xr:uid="{D3E34C56-E50B-4D53-B967-88693DE3DD0F}"/>
    <cellStyle name="Normal 2 4 8 4 5" xfId="14369" xr:uid="{42147DB1-76B9-43C7-AC38-8C311B807815}"/>
    <cellStyle name="Normal 2 4 8 5" xfId="2052" xr:uid="{00000000-0005-0000-0000-000009110000}"/>
    <cellStyle name="Normal 2 4 8 5 2" xfId="4281" xr:uid="{00000000-0005-0000-0000-00000A110000}"/>
    <cellStyle name="Normal 2 4 8 5 2 2" xfId="8505" xr:uid="{00000000-0005-0000-0000-00000B110000}"/>
    <cellStyle name="Normal 2 4 8 5 2 3" xfId="12716" xr:uid="{C9DD0A35-D227-4EBC-AC69-469A012239DC}"/>
    <cellStyle name="Normal 2 4 8 5 2 4" xfId="16927" xr:uid="{8F1EEED6-1DA8-4A04-814C-25F720018627}"/>
    <cellStyle name="Normal 2 4 8 5 3" xfId="6360" xr:uid="{00000000-0005-0000-0000-00000C110000}"/>
    <cellStyle name="Normal 2 4 8 5 4" xfId="10571" xr:uid="{6861D5A3-6E6F-4A21-86E3-EC24A3AAD0E0}"/>
    <cellStyle name="Normal 2 4 8 5 5" xfId="14782" xr:uid="{28C24C74-EA2D-4369-8767-F2E1076E0227}"/>
    <cellStyle name="Normal 2 4 8 6" xfId="2488" xr:uid="{00000000-0005-0000-0000-00000D110000}"/>
    <cellStyle name="Normal 2 4 8 6 2" xfId="6773" xr:uid="{00000000-0005-0000-0000-00000E110000}"/>
    <cellStyle name="Normal 2 4 8 6 3" xfId="10984" xr:uid="{D83A2DF8-B0F2-46D9-9D2F-72A91A2066A0}"/>
    <cellStyle name="Normal 2 4 8 6 4" xfId="15195" xr:uid="{3A9EF64F-8AA0-4266-AA1A-7C1270C6C59D}"/>
    <cellStyle name="Normal 2 4 8 7" xfId="4707" xr:uid="{00000000-0005-0000-0000-00000F110000}"/>
    <cellStyle name="Normal 2 4 8 8" xfId="8918" xr:uid="{63BCF267-D59A-4BE7-975D-7C93C8B7D47A}"/>
    <cellStyle name="Normal 2 4 8 9" xfId="13129" xr:uid="{86E13779-7552-4369-9F5E-9CBB7B68AAF7}"/>
    <cellStyle name="Normal 2 5" xfId="315" xr:uid="{00000000-0005-0000-0000-000010110000}"/>
    <cellStyle name="Normal 2 5 10" xfId="4708" xr:uid="{00000000-0005-0000-0000-000011110000}"/>
    <cellStyle name="Normal 2 5 11" xfId="8919" xr:uid="{D4087580-D5AA-42ED-B465-389929F99F00}"/>
    <cellStyle name="Normal 2 5 12" xfId="13130" xr:uid="{824FF852-E2D4-47FA-AD91-7CDC3787FEBB}"/>
    <cellStyle name="Normal 2 5 2" xfId="316" xr:uid="{00000000-0005-0000-0000-000012110000}"/>
    <cellStyle name="Normal 2 5 3" xfId="317" xr:uid="{00000000-0005-0000-0000-000013110000}"/>
    <cellStyle name="Normal 2 5 4" xfId="318" xr:uid="{00000000-0005-0000-0000-000014110000}"/>
    <cellStyle name="Normal 2 5 4 10" xfId="8920" xr:uid="{6E13F1DD-4760-40DB-BAC1-C20FDCEC5E26}"/>
    <cellStyle name="Normal 2 5 4 11" xfId="13131" xr:uid="{8E63A874-7F4B-4F74-9C59-B2C104F6DB51}"/>
    <cellStyle name="Normal 2 5 4 2" xfId="319" xr:uid="{00000000-0005-0000-0000-000015110000}"/>
    <cellStyle name="Normal 2 5 4 2 10" xfId="13132" xr:uid="{3BA8299B-4F2F-4C45-8360-48F0D7101152}"/>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2 3" xfId="11481" xr:uid="{F69F173A-15F9-4D3A-BB60-9D09166781BF}"/>
    <cellStyle name="Normal 2 5 4 2 2 2 2 4" xfId="15692" xr:uid="{B93FCE85-A6B1-44D4-8B17-E0B794909C9F}"/>
    <cellStyle name="Normal 2 5 4 2 2 2 3" xfId="5125" xr:uid="{00000000-0005-0000-0000-00001A110000}"/>
    <cellStyle name="Normal 2 5 4 2 2 2 4" xfId="9336" xr:uid="{A4221A0B-CAE6-497D-94C1-60E2B7D8E5D4}"/>
    <cellStyle name="Normal 2 5 4 2 2 2 5" xfId="13547" xr:uid="{D70DE763-0BDE-43A8-8554-802815F2E77D}"/>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2 3" xfId="11894" xr:uid="{CAD495DC-44E7-4DA7-9161-5D705F7620E3}"/>
    <cellStyle name="Normal 2 5 4 2 2 3 2 4" xfId="16105" xr:uid="{FCA52E0E-886C-45F0-B815-8147D940B0F8}"/>
    <cellStyle name="Normal 2 5 4 2 2 3 3" xfId="5538" xr:uid="{00000000-0005-0000-0000-00001E110000}"/>
    <cellStyle name="Normal 2 5 4 2 2 3 4" xfId="9749" xr:uid="{5E7AE2A5-2B24-483D-91E4-AB18F0BC5EB0}"/>
    <cellStyle name="Normal 2 5 4 2 2 3 5" xfId="13960" xr:uid="{36F8EAC0-1D25-4846-AFE8-5846DBA857E2}"/>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2 3" xfId="12307" xr:uid="{888A166C-841F-4865-99C2-AFC514DFBD5D}"/>
    <cellStyle name="Normal 2 5 4 2 2 4 2 4" xfId="16518" xr:uid="{54B14E66-B6C7-41EA-BF56-CAE7CE6FAA42}"/>
    <cellStyle name="Normal 2 5 4 2 2 4 3" xfId="5951" xr:uid="{00000000-0005-0000-0000-000022110000}"/>
    <cellStyle name="Normal 2 5 4 2 2 4 4" xfId="10162" xr:uid="{50E16C60-E269-4EEE-B81A-4F82141705FC}"/>
    <cellStyle name="Normal 2 5 4 2 2 4 5" xfId="14373" xr:uid="{CBB3C129-8A22-44B2-A192-F987575C8789}"/>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2 3" xfId="12720" xr:uid="{17B7BCAC-6466-4668-8026-1721AA4537B4}"/>
    <cellStyle name="Normal 2 5 4 2 2 5 2 4" xfId="16931" xr:uid="{08586A7C-3481-4084-93D9-FC45551AEF5E}"/>
    <cellStyle name="Normal 2 5 4 2 2 5 3" xfId="6364" xr:uid="{00000000-0005-0000-0000-000026110000}"/>
    <cellStyle name="Normal 2 5 4 2 2 5 4" xfId="10575" xr:uid="{2B043D73-8398-41D3-811A-8153B5104F15}"/>
    <cellStyle name="Normal 2 5 4 2 2 5 5" xfId="14786" xr:uid="{1F3EB5B9-747F-4B1E-951A-E49A20A7D104}"/>
    <cellStyle name="Normal 2 5 4 2 2 6" xfId="2492" xr:uid="{00000000-0005-0000-0000-000027110000}"/>
    <cellStyle name="Normal 2 5 4 2 2 6 2" xfId="6777" xr:uid="{00000000-0005-0000-0000-000028110000}"/>
    <cellStyle name="Normal 2 5 4 2 2 6 3" xfId="10988" xr:uid="{DEADF02A-F2EC-4750-8C8A-0A628FBA81E0}"/>
    <cellStyle name="Normal 2 5 4 2 2 6 4" xfId="15199" xr:uid="{90D00388-3AD6-4872-B2A2-E8C19384EC78}"/>
    <cellStyle name="Normal 2 5 4 2 2 7" xfId="4711" xr:uid="{00000000-0005-0000-0000-000029110000}"/>
    <cellStyle name="Normal 2 5 4 2 2 8" xfId="8922" xr:uid="{1F7287B7-D2FD-4455-99B2-B28A66E30FA1}"/>
    <cellStyle name="Normal 2 5 4 2 2 9" xfId="13133" xr:uid="{87272D84-D069-44CC-B329-CA8B8BB255A3}"/>
    <cellStyle name="Normal 2 5 4 2 3" xfId="806" xr:uid="{00000000-0005-0000-0000-00002A110000}"/>
    <cellStyle name="Normal 2 5 4 2 3 2" xfId="3045" xr:uid="{00000000-0005-0000-0000-00002B110000}"/>
    <cellStyle name="Normal 2 5 4 2 3 2 2" xfId="7269" xr:uid="{00000000-0005-0000-0000-00002C110000}"/>
    <cellStyle name="Normal 2 5 4 2 3 2 3" xfId="11480" xr:uid="{DA8CFEBA-9BA1-41B8-81B0-8CDBCA432A1C}"/>
    <cellStyle name="Normal 2 5 4 2 3 2 4" xfId="15691" xr:uid="{79889C38-812B-49DE-AD75-51AB5334122F}"/>
    <cellStyle name="Normal 2 5 4 2 3 3" xfId="5124" xr:uid="{00000000-0005-0000-0000-00002D110000}"/>
    <cellStyle name="Normal 2 5 4 2 3 4" xfId="9335" xr:uid="{0CDEED20-7FBA-4A63-9FE1-E1F850A2CA51}"/>
    <cellStyle name="Normal 2 5 4 2 3 5" xfId="13546" xr:uid="{EF8839A1-FC4D-4F1D-AB49-D555D1566597}"/>
    <cellStyle name="Normal 2 5 4 2 4" xfId="1228" xr:uid="{00000000-0005-0000-0000-00002E110000}"/>
    <cellStyle name="Normal 2 5 4 2 4 2" xfId="3458" xr:uid="{00000000-0005-0000-0000-00002F110000}"/>
    <cellStyle name="Normal 2 5 4 2 4 2 2" xfId="7682" xr:uid="{00000000-0005-0000-0000-000030110000}"/>
    <cellStyle name="Normal 2 5 4 2 4 2 3" xfId="11893" xr:uid="{456E9E4D-EB77-4377-8985-77E0B89513B2}"/>
    <cellStyle name="Normal 2 5 4 2 4 2 4" xfId="16104" xr:uid="{520EFDBB-684A-4C90-B22D-1283280E94F8}"/>
    <cellStyle name="Normal 2 5 4 2 4 3" xfId="5537" xr:uid="{00000000-0005-0000-0000-000031110000}"/>
    <cellStyle name="Normal 2 5 4 2 4 4" xfId="9748" xr:uid="{7F12A5D6-AC02-4A95-862A-ACDFF1041CA7}"/>
    <cellStyle name="Normal 2 5 4 2 4 5" xfId="13959" xr:uid="{93137E7A-EB2D-4301-845E-0E215FCB3014}"/>
    <cellStyle name="Normal 2 5 4 2 5" xfId="1641" xr:uid="{00000000-0005-0000-0000-000032110000}"/>
    <cellStyle name="Normal 2 5 4 2 5 2" xfId="3871" xr:uid="{00000000-0005-0000-0000-000033110000}"/>
    <cellStyle name="Normal 2 5 4 2 5 2 2" xfId="8095" xr:uid="{00000000-0005-0000-0000-000034110000}"/>
    <cellStyle name="Normal 2 5 4 2 5 2 3" xfId="12306" xr:uid="{B3B7AF6E-CA30-4950-A100-12F5D571CA9A}"/>
    <cellStyle name="Normal 2 5 4 2 5 2 4" xfId="16517" xr:uid="{200AF698-9BB1-4FDC-82DC-C5DEA1131BFC}"/>
    <cellStyle name="Normal 2 5 4 2 5 3" xfId="5950" xr:uid="{00000000-0005-0000-0000-000035110000}"/>
    <cellStyle name="Normal 2 5 4 2 5 4" xfId="10161" xr:uid="{EA4176C7-4E52-4FF0-AD60-BD5F16618899}"/>
    <cellStyle name="Normal 2 5 4 2 5 5" xfId="14372" xr:uid="{A592B40C-8C29-43D0-9B04-2DCAC8499422}"/>
    <cellStyle name="Normal 2 5 4 2 6" xfId="2055" xr:uid="{00000000-0005-0000-0000-000036110000}"/>
    <cellStyle name="Normal 2 5 4 2 6 2" xfId="4284" xr:uid="{00000000-0005-0000-0000-000037110000}"/>
    <cellStyle name="Normal 2 5 4 2 6 2 2" xfId="8508" xr:uid="{00000000-0005-0000-0000-000038110000}"/>
    <cellStyle name="Normal 2 5 4 2 6 2 3" xfId="12719" xr:uid="{9BDB189B-964B-4C32-83C2-BCBF22E81E32}"/>
    <cellStyle name="Normal 2 5 4 2 6 2 4" xfId="16930" xr:uid="{45EBFA54-F545-4060-BC0E-40A5269D10F3}"/>
    <cellStyle name="Normal 2 5 4 2 6 3" xfId="6363" xr:uid="{00000000-0005-0000-0000-000039110000}"/>
    <cellStyle name="Normal 2 5 4 2 6 4" xfId="10574" xr:uid="{060FB6A0-A1F1-46DD-9C70-084B04189D65}"/>
    <cellStyle name="Normal 2 5 4 2 6 5" xfId="14785" xr:uid="{D91F84E9-4816-467C-A1AA-E5956087E269}"/>
    <cellStyle name="Normal 2 5 4 2 7" xfId="2491" xr:uid="{00000000-0005-0000-0000-00003A110000}"/>
    <cellStyle name="Normal 2 5 4 2 7 2" xfId="6776" xr:uid="{00000000-0005-0000-0000-00003B110000}"/>
    <cellStyle name="Normal 2 5 4 2 7 3" xfId="10987" xr:uid="{A6DCE132-9BDD-4289-A743-53EC22FF50C9}"/>
    <cellStyle name="Normal 2 5 4 2 7 4" xfId="15198" xr:uid="{AC3B6360-F690-4703-BB7D-7E0A91CEE9E8}"/>
    <cellStyle name="Normal 2 5 4 2 8" xfId="4710" xr:uid="{00000000-0005-0000-0000-00003C110000}"/>
    <cellStyle name="Normal 2 5 4 2 9" xfId="8921" xr:uid="{DFED65B6-5AED-4236-AD67-0491A73C2C67}"/>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2 3" xfId="11482" xr:uid="{143F7D13-294D-47FC-92F7-95B8B5D62210}"/>
    <cellStyle name="Normal 2 5 4 3 2 2 4" xfId="15693" xr:uid="{CBEAF71F-CE6F-4E97-818A-42CABB697E3B}"/>
    <cellStyle name="Normal 2 5 4 3 2 3" xfId="5126" xr:uid="{00000000-0005-0000-0000-000041110000}"/>
    <cellStyle name="Normal 2 5 4 3 2 4" xfId="9337" xr:uid="{F45B8BCC-BA42-4EFF-A27A-FD1F2B8B0D4E}"/>
    <cellStyle name="Normal 2 5 4 3 2 5" xfId="13548" xr:uid="{C1E5E657-8EF1-425C-8A5A-C8D649B9D464}"/>
    <cellStyle name="Normal 2 5 4 3 3" xfId="1230" xr:uid="{00000000-0005-0000-0000-000042110000}"/>
    <cellStyle name="Normal 2 5 4 3 3 2" xfId="3460" xr:uid="{00000000-0005-0000-0000-000043110000}"/>
    <cellStyle name="Normal 2 5 4 3 3 2 2" xfId="7684" xr:uid="{00000000-0005-0000-0000-000044110000}"/>
    <cellStyle name="Normal 2 5 4 3 3 2 3" xfId="11895" xr:uid="{C7859FF3-9F2C-4338-AED8-83A00805B07E}"/>
    <cellStyle name="Normal 2 5 4 3 3 2 4" xfId="16106" xr:uid="{36639E3D-D985-487E-8490-BD5D94760817}"/>
    <cellStyle name="Normal 2 5 4 3 3 3" xfId="5539" xr:uid="{00000000-0005-0000-0000-000045110000}"/>
    <cellStyle name="Normal 2 5 4 3 3 4" xfId="9750" xr:uid="{DFA5AADE-90CC-4765-AB8C-0E1F91F31156}"/>
    <cellStyle name="Normal 2 5 4 3 3 5" xfId="13961" xr:uid="{27877AF5-8F09-4CA1-A59B-BD41416F10BD}"/>
    <cellStyle name="Normal 2 5 4 3 4" xfId="1643" xr:uid="{00000000-0005-0000-0000-000046110000}"/>
    <cellStyle name="Normal 2 5 4 3 4 2" xfId="3873" xr:uid="{00000000-0005-0000-0000-000047110000}"/>
    <cellStyle name="Normal 2 5 4 3 4 2 2" xfId="8097" xr:uid="{00000000-0005-0000-0000-000048110000}"/>
    <cellStyle name="Normal 2 5 4 3 4 2 3" xfId="12308" xr:uid="{638F0771-6346-4299-8C3A-3C2201671707}"/>
    <cellStyle name="Normal 2 5 4 3 4 2 4" xfId="16519" xr:uid="{D092D9EC-1324-45BF-92F4-F8EDD8A608EE}"/>
    <cellStyle name="Normal 2 5 4 3 4 3" xfId="5952" xr:uid="{00000000-0005-0000-0000-000049110000}"/>
    <cellStyle name="Normal 2 5 4 3 4 4" xfId="10163" xr:uid="{CDD0D000-64AF-4965-9B7E-914633EC88B5}"/>
    <cellStyle name="Normal 2 5 4 3 4 5" xfId="14374" xr:uid="{F44CBFEA-6E5E-4182-88DC-C0F683EF512B}"/>
    <cellStyle name="Normal 2 5 4 3 5" xfId="2057" xr:uid="{00000000-0005-0000-0000-00004A110000}"/>
    <cellStyle name="Normal 2 5 4 3 5 2" xfId="4286" xr:uid="{00000000-0005-0000-0000-00004B110000}"/>
    <cellStyle name="Normal 2 5 4 3 5 2 2" xfId="8510" xr:uid="{00000000-0005-0000-0000-00004C110000}"/>
    <cellStyle name="Normal 2 5 4 3 5 2 3" xfId="12721" xr:uid="{FB6A01F3-CF17-41AC-B4AA-AC8E9FD468FE}"/>
    <cellStyle name="Normal 2 5 4 3 5 2 4" xfId="16932" xr:uid="{B72D0263-501E-4A8A-BCAE-2FDA6F522ECF}"/>
    <cellStyle name="Normal 2 5 4 3 5 3" xfId="6365" xr:uid="{00000000-0005-0000-0000-00004D110000}"/>
    <cellStyle name="Normal 2 5 4 3 5 4" xfId="10576" xr:uid="{73ACB9DF-7EBD-4EE4-81D7-6FABC63AC244}"/>
    <cellStyle name="Normal 2 5 4 3 5 5" xfId="14787" xr:uid="{0F3DC13F-C094-4FC0-906E-3D917A39C85D}"/>
    <cellStyle name="Normal 2 5 4 3 6" xfId="2493" xr:uid="{00000000-0005-0000-0000-00004E110000}"/>
    <cellStyle name="Normal 2 5 4 3 6 2" xfId="6778" xr:uid="{00000000-0005-0000-0000-00004F110000}"/>
    <cellStyle name="Normal 2 5 4 3 6 3" xfId="10989" xr:uid="{1921C7FC-0138-4BBC-A222-16DA876D5053}"/>
    <cellStyle name="Normal 2 5 4 3 6 4" xfId="15200" xr:uid="{C533CFA5-B08F-4F54-A5E2-77E3BBCFAB0B}"/>
    <cellStyle name="Normal 2 5 4 3 7" xfId="4712" xr:uid="{00000000-0005-0000-0000-000050110000}"/>
    <cellStyle name="Normal 2 5 4 3 8" xfId="8923" xr:uid="{8863DC53-9C9F-437A-8BE4-D0CBE3479A72}"/>
    <cellStyle name="Normal 2 5 4 3 9" xfId="13134" xr:uid="{191ACE42-1195-445F-8A19-5D674227080D}"/>
    <cellStyle name="Normal 2 5 4 4" xfId="805" xr:uid="{00000000-0005-0000-0000-000051110000}"/>
    <cellStyle name="Normal 2 5 4 4 2" xfId="3044" xr:uid="{00000000-0005-0000-0000-000052110000}"/>
    <cellStyle name="Normal 2 5 4 4 2 2" xfId="7268" xr:uid="{00000000-0005-0000-0000-000053110000}"/>
    <cellStyle name="Normal 2 5 4 4 2 3" xfId="11479" xr:uid="{D2FA1C0B-46F8-42C8-9A5C-5649E2A3516D}"/>
    <cellStyle name="Normal 2 5 4 4 2 4" xfId="15690" xr:uid="{A6342195-BEC5-4164-AC6B-C867601D7362}"/>
    <cellStyle name="Normal 2 5 4 4 3" xfId="5123" xr:uid="{00000000-0005-0000-0000-000054110000}"/>
    <cellStyle name="Normal 2 5 4 4 4" xfId="9334" xr:uid="{E6EB8906-C864-44EF-8EC5-1E7C5639AEE8}"/>
    <cellStyle name="Normal 2 5 4 4 5" xfId="13545" xr:uid="{34C4A967-5C32-417A-ABC7-8891C94FF19D}"/>
    <cellStyle name="Normal 2 5 4 5" xfId="1227" xr:uid="{00000000-0005-0000-0000-000055110000}"/>
    <cellStyle name="Normal 2 5 4 5 2" xfId="3457" xr:uid="{00000000-0005-0000-0000-000056110000}"/>
    <cellStyle name="Normal 2 5 4 5 2 2" xfId="7681" xr:uid="{00000000-0005-0000-0000-000057110000}"/>
    <cellStyle name="Normal 2 5 4 5 2 3" xfId="11892" xr:uid="{DB55D39F-882C-42B3-90E0-0909FF790071}"/>
    <cellStyle name="Normal 2 5 4 5 2 4" xfId="16103" xr:uid="{2889343E-DBE3-45EF-810A-A2B9B4218FAA}"/>
    <cellStyle name="Normal 2 5 4 5 3" xfId="5536" xr:uid="{00000000-0005-0000-0000-000058110000}"/>
    <cellStyle name="Normal 2 5 4 5 4" xfId="9747" xr:uid="{CBE7CB07-B136-4595-8E9D-9BB9D921CE5F}"/>
    <cellStyle name="Normal 2 5 4 5 5" xfId="13958" xr:uid="{51555683-740F-4F2C-B2D7-CF045D0F9134}"/>
    <cellStyle name="Normal 2 5 4 6" xfId="1640" xr:uid="{00000000-0005-0000-0000-000059110000}"/>
    <cellStyle name="Normal 2 5 4 6 2" xfId="3870" xr:uid="{00000000-0005-0000-0000-00005A110000}"/>
    <cellStyle name="Normal 2 5 4 6 2 2" xfId="8094" xr:uid="{00000000-0005-0000-0000-00005B110000}"/>
    <cellStyle name="Normal 2 5 4 6 2 3" xfId="12305" xr:uid="{144C6582-F8CE-4292-BCCD-31776CE9121A}"/>
    <cellStyle name="Normal 2 5 4 6 2 4" xfId="16516" xr:uid="{E473CDC7-CFC9-4505-AE94-315ACFEAE505}"/>
    <cellStyle name="Normal 2 5 4 6 3" xfId="5949" xr:uid="{00000000-0005-0000-0000-00005C110000}"/>
    <cellStyle name="Normal 2 5 4 6 4" xfId="10160" xr:uid="{E6B788E6-7161-40F0-976C-EAB704697BFB}"/>
    <cellStyle name="Normal 2 5 4 6 5" xfId="14371" xr:uid="{8D58FEF2-8744-43B7-A185-42703A6CEFCC}"/>
    <cellStyle name="Normal 2 5 4 7" xfId="2054" xr:uid="{00000000-0005-0000-0000-00005D110000}"/>
    <cellStyle name="Normal 2 5 4 7 2" xfId="4283" xr:uid="{00000000-0005-0000-0000-00005E110000}"/>
    <cellStyle name="Normal 2 5 4 7 2 2" xfId="8507" xr:uid="{00000000-0005-0000-0000-00005F110000}"/>
    <cellStyle name="Normal 2 5 4 7 2 3" xfId="12718" xr:uid="{C119B06B-21C7-42C5-AC14-E013B961303E}"/>
    <cellStyle name="Normal 2 5 4 7 2 4" xfId="16929" xr:uid="{5A06BB4D-2CD7-4FF7-A3A8-179D7D724CA5}"/>
    <cellStyle name="Normal 2 5 4 7 3" xfId="6362" xr:uid="{00000000-0005-0000-0000-000060110000}"/>
    <cellStyle name="Normal 2 5 4 7 4" xfId="10573" xr:uid="{CB9F23DB-5F77-47E2-B8DD-FD7908BBEAD4}"/>
    <cellStyle name="Normal 2 5 4 7 5" xfId="14784" xr:uid="{F34189A1-FAEB-47DB-A650-AC05B27C4AAD}"/>
    <cellStyle name="Normal 2 5 4 8" xfId="2490" xr:uid="{00000000-0005-0000-0000-000061110000}"/>
    <cellStyle name="Normal 2 5 4 8 2" xfId="6775" xr:uid="{00000000-0005-0000-0000-000062110000}"/>
    <cellStyle name="Normal 2 5 4 8 3" xfId="10986" xr:uid="{D4C739E3-8CAC-4853-A071-9EE95D561FAB}"/>
    <cellStyle name="Normal 2 5 4 8 4" xfId="15197" xr:uid="{E4EBE731-C6F6-4989-AD70-66E46AC343C6}"/>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2 3" xfId="11478" xr:uid="{BDAB6088-3611-4FDE-8947-9616E703EF0F}"/>
    <cellStyle name="Normal 2 5 5 2 4" xfId="15689" xr:uid="{1507A4D4-E9C4-44D9-BFA7-980DC13C74D0}"/>
    <cellStyle name="Normal 2 5 5 3" xfId="5122" xr:uid="{00000000-0005-0000-0000-000067110000}"/>
    <cellStyle name="Normal 2 5 5 4" xfId="9333" xr:uid="{0EFEA80E-AC36-4957-A99B-172E2D190F85}"/>
    <cellStyle name="Normal 2 5 5 5" xfId="13544" xr:uid="{CE35A2EF-86AF-4A2B-83FE-AC8DD4FA2B2E}"/>
    <cellStyle name="Normal 2 5 6" xfId="1226" xr:uid="{00000000-0005-0000-0000-000068110000}"/>
    <cellStyle name="Normal 2 5 6 2" xfId="3456" xr:uid="{00000000-0005-0000-0000-000069110000}"/>
    <cellStyle name="Normal 2 5 6 2 2" xfId="7680" xr:uid="{00000000-0005-0000-0000-00006A110000}"/>
    <cellStyle name="Normal 2 5 6 2 3" xfId="11891" xr:uid="{49EF2719-11F0-4AB5-A322-D5CAEF8FED0C}"/>
    <cellStyle name="Normal 2 5 6 2 4" xfId="16102" xr:uid="{E4D267ED-5662-4919-9169-4E76D326B502}"/>
    <cellStyle name="Normal 2 5 6 3" xfId="5535" xr:uid="{00000000-0005-0000-0000-00006B110000}"/>
    <cellStyle name="Normal 2 5 6 4" xfId="9746" xr:uid="{1F8801CE-76B4-410E-A114-5BEBB4957B50}"/>
    <cellStyle name="Normal 2 5 6 5" xfId="13957" xr:uid="{4E62ED88-E430-4654-9D81-12101D410DC0}"/>
    <cellStyle name="Normal 2 5 7" xfId="1639" xr:uid="{00000000-0005-0000-0000-00006C110000}"/>
    <cellStyle name="Normal 2 5 7 2" xfId="3869" xr:uid="{00000000-0005-0000-0000-00006D110000}"/>
    <cellStyle name="Normal 2 5 7 2 2" xfId="8093" xr:uid="{00000000-0005-0000-0000-00006E110000}"/>
    <cellStyle name="Normal 2 5 7 2 3" xfId="12304" xr:uid="{2EFCA3D8-5393-4BA0-A11A-7A8ED6FBA447}"/>
    <cellStyle name="Normal 2 5 7 2 4" xfId="16515" xr:uid="{97E2FF76-91A6-4EC8-812D-5D9D5380C0BA}"/>
    <cellStyle name="Normal 2 5 7 3" xfId="5948" xr:uid="{00000000-0005-0000-0000-00006F110000}"/>
    <cellStyle name="Normal 2 5 7 4" xfId="10159" xr:uid="{E7CD0127-E074-46EA-9DE8-810240CFE313}"/>
    <cellStyle name="Normal 2 5 7 5" xfId="14370" xr:uid="{31A09DBD-658D-42A2-8C16-8740919FABDF}"/>
    <cellStyle name="Normal 2 5 8" xfId="2053" xr:uid="{00000000-0005-0000-0000-000070110000}"/>
    <cellStyle name="Normal 2 5 8 2" xfId="4282" xr:uid="{00000000-0005-0000-0000-000071110000}"/>
    <cellStyle name="Normal 2 5 8 2 2" xfId="8506" xr:uid="{00000000-0005-0000-0000-000072110000}"/>
    <cellStyle name="Normal 2 5 8 2 3" xfId="12717" xr:uid="{4F4DCEB6-40F4-4F25-A8DB-139D5466832B}"/>
    <cellStyle name="Normal 2 5 8 2 4" xfId="16928" xr:uid="{BD321D62-5971-482D-B382-E54194DEC3FB}"/>
    <cellStyle name="Normal 2 5 8 3" xfId="6361" xr:uid="{00000000-0005-0000-0000-000073110000}"/>
    <cellStyle name="Normal 2 5 8 4" xfId="10572" xr:uid="{04802F7D-CBA3-4B0A-A292-5349B8F38352}"/>
    <cellStyle name="Normal 2 5 8 5" xfId="14783" xr:uid="{E4D6296E-5D78-47B0-9C5F-6468061FB2B1}"/>
    <cellStyle name="Normal 2 5 9" xfId="2489" xr:uid="{00000000-0005-0000-0000-000074110000}"/>
    <cellStyle name="Normal 2 5 9 2" xfId="6774" xr:uid="{00000000-0005-0000-0000-000075110000}"/>
    <cellStyle name="Normal 2 5 9 3" xfId="10985" xr:uid="{2B50BA45-E183-46F5-81D9-A3F8583F45EE}"/>
    <cellStyle name="Normal 2 5 9 4" xfId="15196" xr:uid="{496B8690-CA41-4C4A-9AD7-4446C14C862E}"/>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10" xfId="8924" xr:uid="{86A34775-6BC4-4648-ADFD-54325B9DCF8B}"/>
    <cellStyle name="Normal 3 2 11" xfId="13135" xr:uid="{430C26F1-FBF1-4F64-9FE4-6F45C35CDA4F}"/>
    <cellStyle name="Normal 3 2 2" xfId="325" xr:uid="{00000000-0005-0000-0000-00007B110000}"/>
    <cellStyle name="Normal 3 2 2 2" xfId="811" xr:uid="{00000000-0005-0000-0000-00007C110000}"/>
    <cellStyle name="Normal 3 2 3" xfId="326" xr:uid="{00000000-0005-0000-0000-00007D110000}"/>
    <cellStyle name="Normal 3 2 3 10" xfId="8925" xr:uid="{764FF61E-B6ED-473D-83B3-DB91A98C99E4}"/>
    <cellStyle name="Normal 3 2 3 11" xfId="13136" xr:uid="{EA08DD44-ECF1-42A4-9698-AB044F52C330}"/>
    <cellStyle name="Normal 3 2 3 2" xfId="327" xr:uid="{00000000-0005-0000-0000-00007E110000}"/>
    <cellStyle name="Normal 3 2 3 2 10" xfId="13137" xr:uid="{93021523-1676-4A05-AF0D-274F8A7B11C1}"/>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2 3" xfId="11486" xr:uid="{CBB08981-DE4C-438F-8BBA-AADED2A6E1CB}"/>
    <cellStyle name="Normal 3 2 3 2 2 2 2 4" xfId="15697" xr:uid="{00DF85CC-4ADB-4FC1-A4D3-D21B2DA6197C}"/>
    <cellStyle name="Normal 3 2 3 2 2 2 3" xfId="5130" xr:uid="{00000000-0005-0000-0000-000083110000}"/>
    <cellStyle name="Normal 3 2 3 2 2 2 4" xfId="9341" xr:uid="{09E9FE64-1413-42B8-9014-D2CCB11FA734}"/>
    <cellStyle name="Normal 3 2 3 2 2 2 5" xfId="13552" xr:uid="{0060E44F-17E4-488E-B809-555959A1543F}"/>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2 3" xfId="11899" xr:uid="{3F08588D-68E3-4543-A75E-DB764598EC48}"/>
    <cellStyle name="Normal 3 2 3 2 2 3 2 4" xfId="16110" xr:uid="{9ABFAE4E-C90C-42A4-9204-5159CB8682CA}"/>
    <cellStyle name="Normal 3 2 3 2 2 3 3" xfId="5543" xr:uid="{00000000-0005-0000-0000-000087110000}"/>
    <cellStyle name="Normal 3 2 3 2 2 3 4" xfId="9754" xr:uid="{577121E7-F3CC-4002-A131-8261E7DBB80D}"/>
    <cellStyle name="Normal 3 2 3 2 2 3 5" xfId="13965" xr:uid="{F4886E32-47E5-40C0-99CB-D34BF2FF1C46}"/>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2 3" xfId="12312" xr:uid="{6E8A29F5-4A71-4C2F-BAE0-027F92348094}"/>
    <cellStyle name="Normal 3 2 3 2 2 4 2 4" xfId="16523" xr:uid="{5C40F5DC-6C98-4867-A0E5-A17D60F9F7A6}"/>
    <cellStyle name="Normal 3 2 3 2 2 4 3" xfId="5956" xr:uid="{00000000-0005-0000-0000-00008B110000}"/>
    <cellStyle name="Normal 3 2 3 2 2 4 4" xfId="10167" xr:uid="{8E1EFBD0-2139-4358-AF71-42F6E72232FE}"/>
    <cellStyle name="Normal 3 2 3 2 2 4 5" xfId="14378" xr:uid="{4C75CD3C-6FE1-4C79-9DB0-B0EA0221B9C6}"/>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2 3" xfId="12725" xr:uid="{3A224EE8-0C8F-41C5-8B6B-3F6724B1B27F}"/>
    <cellStyle name="Normal 3 2 3 2 2 5 2 4" xfId="16936" xr:uid="{B7F9119D-76AC-4C1E-9665-19351DF63356}"/>
    <cellStyle name="Normal 3 2 3 2 2 5 3" xfId="6369" xr:uid="{00000000-0005-0000-0000-00008F110000}"/>
    <cellStyle name="Normal 3 2 3 2 2 5 4" xfId="10580" xr:uid="{8ACD293E-902D-481E-8AC4-23D5AAF978E1}"/>
    <cellStyle name="Normal 3 2 3 2 2 5 5" xfId="14791" xr:uid="{B8311C87-62C5-4389-9702-4937523AB342}"/>
    <cellStyle name="Normal 3 2 3 2 2 6" xfId="2497" xr:uid="{00000000-0005-0000-0000-000090110000}"/>
    <cellStyle name="Normal 3 2 3 2 2 6 2" xfId="6782" xr:uid="{00000000-0005-0000-0000-000091110000}"/>
    <cellStyle name="Normal 3 2 3 2 2 6 3" xfId="10993" xr:uid="{5621EDC4-E2DC-40A3-B9B2-7E8F4BE38553}"/>
    <cellStyle name="Normal 3 2 3 2 2 6 4" xfId="15204" xr:uid="{53DB5B58-E600-4351-8665-5F210F509776}"/>
    <cellStyle name="Normal 3 2 3 2 2 7" xfId="4716" xr:uid="{00000000-0005-0000-0000-000092110000}"/>
    <cellStyle name="Normal 3 2 3 2 2 8" xfId="8927" xr:uid="{F680A74C-207F-4C42-AF60-473D1AD5461B}"/>
    <cellStyle name="Normal 3 2 3 2 2 9" xfId="13138" xr:uid="{675DA590-AD25-42B7-BA39-809DF9D8F500}"/>
    <cellStyle name="Normal 3 2 3 2 3" xfId="813" xr:uid="{00000000-0005-0000-0000-000093110000}"/>
    <cellStyle name="Normal 3 2 3 2 3 2" xfId="3050" xr:uid="{00000000-0005-0000-0000-000094110000}"/>
    <cellStyle name="Normal 3 2 3 2 3 2 2" xfId="7274" xr:uid="{00000000-0005-0000-0000-000095110000}"/>
    <cellStyle name="Normal 3 2 3 2 3 2 3" xfId="11485" xr:uid="{7BA83468-4013-4B14-BAE8-6959D0C34FD2}"/>
    <cellStyle name="Normal 3 2 3 2 3 2 4" xfId="15696" xr:uid="{1D298C26-E6CE-4755-8EAE-D3B86A65203C}"/>
    <cellStyle name="Normal 3 2 3 2 3 3" xfId="5129" xr:uid="{00000000-0005-0000-0000-000096110000}"/>
    <cellStyle name="Normal 3 2 3 2 3 4" xfId="9340" xr:uid="{70428EEF-3D42-40F6-BD45-9B02656787A9}"/>
    <cellStyle name="Normal 3 2 3 2 3 5" xfId="13551" xr:uid="{8AAA034F-7E8A-445E-A1A3-70FF1B8490BC}"/>
    <cellStyle name="Normal 3 2 3 2 4" xfId="1233" xr:uid="{00000000-0005-0000-0000-000097110000}"/>
    <cellStyle name="Normal 3 2 3 2 4 2" xfId="3463" xr:uid="{00000000-0005-0000-0000-000098110000}"/>
    <cellStyle name="Normal 3 2 3 2 4 2 2" xfId="7687" xr:uid="{00000000-0005-0000-0000-000099110000}"/>
    <cellStyle name="Normal 3 2 3 2 4 2 3" xfId="11898" xr:uid="{AB79647B-62D6-4B20-A92F-8176EE01F085}"/>
    <cellStyle name="Normal 3 2 3 2 4 2 4" xfId="16109" xr:uid="{3214495A-34A7-4A82-BD59-B01565A9BE3B}"/>
    <cellStyle name="Normal 3 2 3 2 4 3" xfId="5542" xr:uid="{00000000-0005-0000-0000-00009A110000}"/>
    <cellStyle name="Normal 3 2 3 2 4 4" xfId="9753" xr:uid="{096678C7-4325-4808-A4CA-3918F921C2B4}"/>
    <cellStyle name="Normal 3 2 3 2 4 5" xfId="13964" xr:uid="{709B7C23-6574-4273-89D8-DFA1DA4275D8}"/>
    <cellStyle name="Normal 3 2 3 2 5" xfId="1646" xr:uid="{00000000-0005-0000-0000-00009B110000}"/>
    <cellStyle name="Normal 3 2 3 2 5 2" xfId="3876" xr:uid="{00000000-0005-0000-0000-00009C110000}"/>
    <cellStyle name="Normal 3 2 3 2 5 2 2" xfId="8100" xr:uid="{00000000-0005-0000-0000-00009D110000}"/>
    <cellStyle name="Normal 3 2 3 2 5 2 3" xfId="12311" xr:uid="{32978AF5-F2D1-423F-A365-FD3AA51783D8}"/>
    <cellStyle name="Normal 3 2 3 2 5 2 4" xfId="16522" xr:uid="{8616C515-B0FF-4C35-BD41-6402F6671610}"/>
    <cellStyle name="Normal 3 2 3 2 5 3" xfId="5955" xr:uid="{00000000-0005-0000-0000-00009E110000}"/>
    <cellStyle name="Normal 3 2 3 2 5 4" xfId="10166" xr:uid="{FFFB9970-C4CD-4E0B-8354-1801DE117C2B}"/>
    <cellStyle name="Normal 3 2 3 2 5 5" xfId="14377" xr:uid="{9D30172E-431E-4848-8A29-E0A47295A9EC}"/>
    <cellStyle name="Normal 3 2 3 2 6" xfId="2060" xr:uid="{00000000-0005-0000-0000-00009F110000}"/>
    <cellStyle name="Normal 3 2 3 2 6 2" xfId="4289" xr:uid="{00000000-0005-0000-0000-0000A0110000}"/>
    <cellStyle name="Normal 3 2 3 2 6 2 2" xfId="8513" xr:uid="{00000000-0005-0000-0000-0000A1110000}"/>
    <cellStyle name="Normal 3 2 3 2 6 2 3" xfId="12724" xr:uid="{BAF34CB7-48CC-421B-B0B0-60AFB93F13A9}"/>
    <cellStyle name="Normal 3 2 3 2 6 2 4" xfId="16935" xr:uid="{E9B9F0C1-E155-45A0-BF22-518630CA2043}"/>
    <cellStyle name="Normal 3 2 3 2 6 3" xfId="6368" xr:uid="{00000000-0005-0000-0000-0000A2110000}"/>
    <cellStyle name="Normal 3 2 3 2 6 4" xfId="10579" xr:uid="{76D6BA8F-66EB-494B-BF5D-A911B36CDA09}"/>
    <cellStyle name="Normal 3 2 3 2 6 5" xfId="14790" xr:uid="{D2A94FF3-C914-4BE6-B9B2-DACA9F126EE2}"/>
    <cellStyle name="Normal 3 2 3 2 7" xfId="2496" xr:uid="{00000000-0005-0000-0000-0000A3110000}"/>
    <cellStyle name="Normal 3 2 3 2 7 2" xfId="6781" xr:uid="{00000000-0005-0000-0000-0000A4110000}"/>
    <cellStyle name="Normal 3 2 3 2 7 3" xfId="10992" xr:uid="{FE1A7A25-80DA-476C-B492-7DA8F1194424}"/>
    <cellStyle name="Normal 3 2 3 2 7 4" xfId="15203" xr:uid="{58E300AD-E303-48A7-B672-637CC5732A2A}"/>
    <cellStyle name="Normal 3 2 3 2 8" xfId="4715" xr:uid="{00000000-0005-0000-0000-0000A5110000}"/>
    <cellStyle name="Normal 3 2 3 2 9" xfId="8926" xr:uid="{23A46983-029A-42A2-8932-1EAF922DCEC7}"/>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2 3" xfId="11487" xr:uid="{7D32317F-A72C-40EE-AFF7-84981A1EBDAA}"/>
    <cellStyle name="Normal 3 2 3 3 2 2 4" xfId="15698" xr:uid="{40624AD6-7769-4AA2-8B91-82B6B806A7CD}"/>
    <cellStyle name="Normal 3 2 3 3 2 3" xfId="5131" xr:uid="{00000000-0005-0000-0000-0000AA110000}"/>
    <cellStyle name="Normal 3 2 3 3 2 4" xfId="9342" xr:uid="{FBE8F6EB-2680-4E0C-8113-A4EE26C9E83E}"/>
    <cellStyle name="Normal 3 2 3 3 2 5" xfId="13553" xr:uid="{F60CC395-1508-4E51-A466-34989E5BE4C2}"/>
    <cellStyle name="Normal 3 2 3 3 3" xfId="1235" xr:uid="{00000000-0005-0000-0000-0000AB110000}"/>
    <cellStyle name="Normal 3 2 3 3 3 2" xfId="3465" xr:uid="{00000000-0005-0000-0000-0000AC110000}"/>
    <cellStyle name="Normal 3 2 3 3 3 2 2" xfId="7689" xr:uid="{00000000-0005-0000-0000-0000AD110000}"/>
    <cellStyle name="Normal 3 2 3 3 3 2 3" xfId="11900" xr:uid="{C91F882E-B795-4032-9FBA-E3FB7B5FC0D1}"/>
    <cellStyle name="Normal 3 2 3 3 3 2 4" xfId="16111" xr:uid="{FB92CF29-D2D8-4E23-B9DF-231249665FF5}"/>
    <cellStyle name="Normal 3 2 3 3 3 3" xfId="5544" xr:uid="{00000000-0005-0000-0000-0000AE110000}"/>
    <cellStyle name="Normal 3 2 3 3 3 4" xfId="9755" xr:uid="{29CA4AD7-20D5-4A8B-8C0A-D5DD7BE7676A}"/>
    <cellStyle name="Normal 3 2 3 3 3 5" xfId="13966" xr:uid="{08B53552-AAF7-437B-8540-59CFFAFA95D6}"/>
    <cellStyle name="Normal 3 2 3 3 4" xfId="1648" xr:uid="{00000000-0005-0000-0000-0000AF110000}"/>
    <cellStyle name="Normal 3 2 3 3 4 2" xfId="3878" xr:uid="{00000000-0005-0000-0000-0000B0110000}"/>
    <cellStyle name="Normal 3 2 3 3 4 2 2" xfId="8102" xr:uid="{00000000-0005-0000-0000-0000B1110000}"/>
    <cellStyle name="Normal 3 2 3 3 4 2 3" xfId="12313" xr:uid="{93343C56-38C1-430E-AE85-E1B21C5AF6ED}"/>
    <cellStyle name="Normal 3 2 3 3 4 2 4" xfId="16524" xr:uid="{F14E4961-26B5-4C18-BED7-231E6805FEFA}"/>
    <cellStyle name="Normal 3 2 3 3 4 3" xfId="5957" xr:uid="{00000000-0005-0000-0000-0000B2110000}"/>
    <cellStyle name="Normal 3 2 3 3 4 4" xfId="10168" xr:uid="{0138E76F-59B1-4FF4-AFCC-FCE0F9EAA562}"/>
    <cellStyle name="Normal 3 2 3 3 4 5" xfId="14379" xr:uid="{851C23E1-ED00-491B-A3B0-8FCE2873C0C9}"/>
    <cellStyle name="Normal 3 2 3 3 5" xfId="2062" xr:uid="{00000000-0005-0000-0000-0000B3110000}"/>
    <cellStyle name="Normal 3 2 3 3 5 2" xfId="4291" xr:uid="{00000000-0005-0000-0000-0000B4110000}"/>
    <cellStyle name="Normal 3 2 3 3 5 2 2" xfId="8515" xr:uid="{00000000-0005-0000-0000-0000B5110000}"/>
    <cellStyle name="Normal 3 2 3 3 5 2 3" xfId="12726" xr:uid="{65F4F589-12E4-466C-8785-AEAE85CB513C}"/>
    <cellStyle name="Normal 3 2 3 3 5 2 4" xfId="16937" xr:uid="{570EEB24-F883-4B2A-A542-2878621155CE}"/>
    <cellStyle name="Normal 3 2 3 3 5 3" xfId="6370" xr:uid="{00000000-0005-0000-0000-0000B6110000}"/>
    <cellStyle name="Normal 3 2 3 3 5 4" xfId="10581" xr:uid="{F7BF0D87-BAA6-410C-9F72-693E4C9C8233}"/>
    <cellStyle name="Normal 3 2 3 3 5 5" xfId="14792" xr:uid="{E6ED6D5D-B2FA-43D4-A113-79A4C8CB5C89}"/>
    <cellStyle name="Normal 3 2 3 3 6" xfId="2498" xr:uid="{00000000-0005-0000-0000-0000B7110000}"/>
    <cellStyle name="Normal 3 2 3 3 6 2" xfId="6783" xr:uid="{00000000-0005-0000-0000-0000B8110000}"/>
    <cellStyle name="Normal 3 2 3 3 6 3" xfId="10994" xr:uid="{008A16DB-6818-4A7A-900F-D8D8712ABF8C}"/>
    <cellStyle name="Normal 3 2 3 3 6 4" xfId="15205" xr:uid="{DB5870DB-ACF5-4D97-AB05-8FAFF949962E}"/>
    <cellStyle name="Normal 3 2 3 3 7" xfId="4717" xr:uid="{00000000-0005-0000-0000-0000B9110000}"/>
    <cellStyle name="Normal 3 2 3 3 8" xfId="8928" xr:uid="{D095D33C-2666-43A3-A4D8-D21BE8A4E8EB}"/>
    <cellStyle name="Normal 3 2 3 3 9" xfId="13139" xr:uid="{165266C4-0BF4-4084-9FE6-6F2BDB65AA51}"/>
    <cellStyle name="Normal 3 2 3 4" xfId="812" xr:uid="{00000000-0005-0000-0000-0000BA110000}"/>
    <cellStyle name="Normal 3 2 3 4 2" xfId="3049" xr:uid="{00000000-0005-0000-0000-0000BB110000}"/>
    <cellStyle name="Normal 3 2 3 4 2 2" xfId="7273" xr:uid="{00000000-0005-0000-0000-0000BC110000}"/>
    <cellStyle name="Normal 3 2 3 4 2 3" xfId="11484" xr:uid="{4F8D7BDE-63ED-4EFB-8F08-B083CC2230EA}"/>
    <cellStyle name="Normal 3 2 3 4 2 4" xfId="15695" xr:uid="{3B9C3E3E-2175-4514-A6E8-C3E5AA0754B2}"/>
    <cellStyle name="Normal 3 2 3 4 3" xfId="5128" xr:uid="{00000000-0005-0000-0000-0000BD110000}"/>
    <cellStyle name="Normal 3 2 3 4 4" xfId="9339" xr:uid="{595D83D4-E88E-43B4-A72A-0F1F4F942F11}"/>
    <cellStyle name="Normal 3 2 3 4 5" xfId="13550" xr:uid="{4B2A1DDB-E300-4EFF-976D-74609BA3A5C1}"/>
    <cellStyle name="Normal 3 2 3 5" xfId="1232" xr:uid="{00000000-0005-0000-0000-0000BE110000}"/>
    <cellStyle name="Normal 3 2 3 5 2" xfId="3462" xr:uid="{00000000-0005-0000-0000-0000BF110000}"/>
    <cellStyle name="Normal 3 2 3 5 2 2" xfId="7686" xr:uid="{00000000-0005-0000-0000-0000C0110000}"/>
    <cellStyle name="Normal 3 2 3 5 2 3" xfId="11897" xr:uid="{E019D37D-6A17-4C72-9059-4DAA49A84008}"/>
    <cellStyle name="Normal 3 2 3 5 2 4" xfId="16108" xr:uid="{D2D93039-F1B1-4857-843C-F7C8F6FFBC84}"/>
    <cellStyle name="Normal 3 2 3 5 3" xfId="5541" xr:uid="{00000000-0005-0000-0000-0000C1110000}"/>
    <cellStyle name="Normal 3 2 3 5 4" xfId="9752" xr:uid="{ABAB8BD6-85C5-41FB-A81C-E392E1B11033}"/>
    <cellStyle name="Normal 3 2 3 5 5" xfId="13963" xr:uid="{2A080AFD-9B49-40B9-965E-3D7A4261F82C}"/>
    <cellStyle name="Normal 3 2 3 6" xfId="1645" xr:uid="{00000000-0005-0000-0000-0000C2110000}"/>
    <cellStyle name="Normal 3 2 3 6 2" xfId="3875" xr:uid="{00000000-0005-0000-0000-0000C3110000}"/>
    <cellStyle name="Normal 3 2 3 6 2 2" xfId="8099" xr:uid="{00000000-0005-0000-0000-0000C4110000}"/>
    <cellStyle name="Normal 3 2 3 6 2 3" xfId="12310" xr:uid="{7C27251A-43D5-4896-9DB4-292598996936}"/>
    <cellStyle name="Normal 3 2 3 6 2 4" xfId="16521" xr:uid="{75FFD47F-9A95-46BB-8075-5F2919572AC2}"/>
    <cellStyle name="Normal 3 2 3 6 3" xfId="5954" xr:uid="{00000000-0005-0000-0000-0000C5110000}"/>
    <cellStyle name="Normal 3 2 3 6 4" xfId="10165" xr:uid="{C15CE6CA-EA79-4F49-9451-3F1A6F7D8E22}"/>
    <cellStyle name="Normal 3 2 3 6 5" xfId="14376" xr:uid="{06D73DF9-1B91-47B5-8DF4-6DFBC619A644}"/>
    <cellStyle name="Normal 3 2 3 7" xfId="2059" xr:uid="{00000000-0005-0000-0000-0000C6110000}"/>
    <cellStyle name="Normal 3 2 3 7 2" xfId="4288" xr:uid="{00000000-0005-0000-0000-0000C7110000}"/>
    <cellStyle name="Normal 3 2 3 7 2 2" xfId="8512" xr:uid="{00000000-0005-0000-0000-0000C8110000}"/>
    <cellStyle name="Normal 3 2 3 7 2 3" xfId="12723" xr:uid="{D4D87AA0-90DF-4F50-98D1-C56BEB5D020B}"/>
    <cellStyle name="Normal 3 2 3 7 2 4" xfId="16934" xr:uid="{C31BDF15-9AE2-41DC-9AE2-6BAFF6D0669C}"/>
    <cellStyle name="Normal 3 2 3 7 3" xfId="6367" xr:uid="{00000000-0005-0000-0000-0000C9110000}"/>
    <cellStyle name="Normal 3 2 3 7 4" xfId="10578" xr:uid="{FE957F0C-20B3-438F-8298-3354265EFE08}"/>
    <cellStyle name="Normal 3 2 3 7 5" xfId="14789" xr:uid="{6FD1DF76-12DC-46E7-9591-B121E5A11A01}"/>
    <cellStyle name="Normal 3 2 3 8" xfId="2495" xr:uid="{00000000-0005-0000-0000-0000CA110000}"/>
    <cellStyle name="Normal 3 2 3 8 2" xfId="6780" xr:uid="{00000000-0005-0000-0000-0000CB110000}"/>
    <cellStyle name="Normal 3 2 3 8 3" xfId="10991" xr:uid="{407D3FFD-71BE-4C3D-B4B0-B42E2F59E340}"/>
    <cellStyle name="Normal 3 2 3 8 4" xfId="15202" xr:uid="{A5688D3B-50E0-489F-B50A-027021C43713}"/>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2 3" xfId="11483" xr:uid="{CBFF1243-C517-4023-A1E2-C78EC9F16537}"/>
    <cellStyle name="Normal 3 2 4 2 4" xfId="15694" xr:uid="{BE7236CC-C832-419D-BD5D-5092D6C579C2}"/>
    <cellStyle name="Normal 3 2 4 3" xfId="5127" xr:uid="{00000000-0005-0000-0000-0000D0110000}"/>
    <cellStyle name="Normal 3 2 4 4" xfId="9338" xr:uid="{E132AA3E-B02F-4919-A228-DA6C40477C8E}"/>
    <cellStyle name="Normal 3 2 4 5" xfId="13549" xr:uid="{671CFCA3-726A-4636-9994-C43F55900239}"/>
    <cellStyle name="Normal 3 2 5" xfId="1231" xr:uid="{00000000-0005-0000-0000-0000D1110000}"/>
    <cellStyle name="Normal 3 2 5 2" xfId="3461" xr:uid="{00000000-0005-0000-0000-0000D2110000}"/>
    <cellStyle name="Normal 3 2 5 2 2" xfId="7685" xr:uid="{00000000-0005-0000-0000-0000D3110000}"/>
    <cellStyle name="Normal 3 2 5 2 3" xfId="11896" xr:uid="{CD7397BD-DB13-48A5-90E6-128B33CDD2A7}"/>
    <cellStyle name="Normal 3 2 5 2 4" xfId="16107" xr:uid="{9E02AE3F-04FF-4D16-9CCE-159CE3408C14}"/>
    <cellStyle name="Normal 3 2 5 3" xfId="5540" xr:uid="{00000000-0005-0000-0000-0000D4110000}"/>
    <cellStyle name="Normal 3 2 5 4" xfId="9751" xr:uid="{9BD5CEC4-B115-438A-A724-C209E2B8AC88}"/>
    <cellStyle name="Normal 3 2 5 5" xfId="13962" xr:uid="{904E1909-E65B-46C8-BE28-2AFD2966CC72}"/>
    <cellStyle name="Normal 3 2 6" xfId="1644" xr:uid="{00000000-0005-0000-0000-0000D5110000}"/>
    <cellStyle name="Normal 3 2 6 2" xfId="3874" xr:uid="{00000000-0005-0000-0000-0000D6110000}"/>
    <cellStyle name="Normal 3 2 6 2 2" xfId="8098" xr:uid="{00000000-0005-0000-0000-0000D7110000}"/>
    <cellStyle name="Normal 3 2 6 2 3" xfId="12309" xr:uid="{00F08B92-B1EA-47C6-B5AC-4430B4B2E88E}"/>
    <cellStyle name="Normal 3 2 6 2 4" xfId="16520" xr:uid="{9276E475-E3B9-499C-BF51-60C77509FAC9}"/>
    <cellStyle name="Normal 3 2 6 3" xfId="5953" xr:uid="{00000000-0005-0000-0000-0000D8110000}"/>
    <cellStyle name="Normal 3 2 6 4" xfId="10164" xr:uid="{8D0DE396-DC85-4F4F-8D13-3F7DD20C859A}"/>
    <cellStyle name="Normal 3 2 6 5" xfId="14375" xr:uid="{0D3530B8-C926-4519-AACE-17FF50201D2C}"/>
    <cellStyle name="Normal 3 2 7" xfId="2058" xr:uid="{00000000-0005-0000-0000-0000D9110000}"/>
    <cellStyle name="Normal 3 2 7 2" xfId="4287" xr:uid="{00000000-0005-0000-0000-0000DA110000}"/>
    <cellStyle name="Normal 3 2 7 2 2" xfId="8511" xr:uid="{00000000-0005-0000-0000-0000DB110000}"/>
    <cellStyle name="Normal 3 2 7 2 3" xfId="12722" xr:uid="{71F031E7-461F-4AB2-9010-56B523337C71}"/>
    <cellStyle name="Normal 3 2 7 2 4" xfId="16933" xr:uid="{20454DBA-7CEA-48C2-94D8-D7AF5AB93341}"/>
    <cellStyle name="Normal 3 2 7 3" xfId="6366" xr:uid="{00000000-0005-0000-0000-0000DC110000}"/>
    <cellStyle name="Normal 3 2 7 4" xfId="10577" xr:uid="{5A937832-0DD6-448B-906E-D311F5D4179F}"/>
    <cellStyle name="Normal 3 2 7 5" xfId="14788" xr:uid="{318AF0A7-74DA-48BB-8819-B770F1CB4423}"/>
    <cellStyle name="Normal 3 2 8" xfId="2494" xr:uid="{00000000-0005-0000-0000-0000DD110000}"/>
    <cellStyle name="Normal 3 2 8 2" xfId="6779" xr:uid="{00000000-0005-0000-0000-0000DE110000}"/>
    <cellStyle name="Normal 3 2 8 3" xfId="10990" xr:uid="{8663D419-05EA-4976-A1A4-E864A1001A9B}"/>
    <cellStyle name="Normal 3 2 8 4" xfId="15201" xr:uid="{14885D5D-C753-43C0-96EF-CA94CD08AF95}"/>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10" xfId="8929" xr:uid="{C8E3D6F5-0058-4BA3-8B45-4AE92118A53A}"/>
    <cellStyle name="Normal 4 11" xfId="13140" xr:uid="{C6220202-D2D8-442B-8D42-BDD920DAE53F}"/>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2 3" xfId="12727" xr:uid="{43588B5D-523F-4C07-A873-D0D49DD289F2}"/>
    <cellStyle name="Normal 4 2 2 10 2 4" xfId="16938" xr:uid="{90F240CB-7A82-48C5-A9CA-BBF7B4B2D5FC}"/>
    <cellStyle name="Normal 4 2 2 10 3" xfId="6371" xr:uid="{00000000-0005-0000-0000-0000EC110000}"/>
    <cellStyle name="Normal 4 2 2 10 4" xfId="10582" xr:uid="{0F972561-9893-4B7D-B661-1812F13EB7BC}"/>
    <cellStyle name="Normal 4 2 2 10 5" xfId="14793" xr:uid="{3B931593-DF7C-4177-A0A5-9C0DAD64CAA4}"/>
    <cellStyle name="Normal 4 2 2 11" xfId="2499" xr:uid="{00000000-0005-0000-0000-0000ED110000}"/>
    <cellStyle name="Normal 4 2 2 11 2" xfId="6784" xr:uid="{00000000-0005-0000-0000-0000EE110000}"/>
    <cellStyle name="Normal 4 2 2 11 3" xfId="10995" xr:uid="{07E7415B-C286-4FF4-86F8-EF8C480B9B32}"/>
    <cellStyle name="Normal 4 2 2 11 4" xfId="15206" xr:uid="{50C711D9-5CEA-49A0-A061-B1C22AAB1E0A}"/>
    <cellStyle name="Normal 4 2 2 12" xfId="4719" xr:uid="{00000000-0005-0000-0000-0000EF110000}"/>
    <cellStyle name="Normal 4 2 2 13" xfId="8930" xr:uid="{DB740023-B2D0-42B9-A2BF-F0E70D13A00B}"/>
    <cellStyle name="Normal 4 2 2 14" xfId="13141" xr:uid="{3E145B21-DACF-4A46-AEDC-76993FF8BB38}"/>
    <cellStyle name="Normal 4 2 2 2" xfId="338" xr:uid="{00000000-0005-0000-0000-0000F0110000}"/>
    <cellStyle name="Normal 4 2 2 3" xfId="339" xr:uid="{00000000-0005-0000-0000-0000F1110000}"/>
    <cellStyle name="Normal 4 2 2 3 10" xfId="4720" xr:uid="{00000000-0005-0000-0000-0000F2110000}"/>
    <cellStyle name="Normal 4 2 2 3 11" xfId="8931" xr:uid="{19481F49-AA0C-4E27-8BF5-57650148ACFF}"/>
    <cellStyle name="Normal 4 2 2 3 12" xfId="13142" xr:uid="{78AA18A1-6432-4B1D-B4A5-286774484B9C}"/>
    <cellStyle name="Normal 4 2 2 3 2" xfId="340" xr:uid="{00000000-0005-0000-0000-0000F3110000}"/>
    <cellStyle name="Normal 4 2 2 3 2 10" xfId="8932" xr:uid="{7A2A8FD6-0C3D-4BB0-8774-CD1BD2BBB9D1}"/>
    <cellStyle name="Normal 4 2 2 3 2 11" xfId="13143" xr:uid="{E73E77D7-847A-4135-ADEB-835834A0358E}"/>
    <cellStyle name="Normal 4 2 2 3 2 2" xfId="341" xr:uid="{00000000-0005-0000-0000-0000F4110000}"/>
    <cellStyle name="Normal 4 2 2 3 2 2 10" xfId="13144" xr:uid="{4F563862-3FFF-43AB-B19A-011E9CB96BE5}"/>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2 3" xfId="11492" xr:uid="{DC9EF570-88AC-4D7E-A518-E1F20107473B}"/>
    <cellStyle name="Normal 4 2 2 3 2 2 2 2 2 4" xfId="15703" xr:uid="{C84E846E-425A-4DD0-893F-D4DA87621273}"/>
    <cellStyle name="Normal 4 2 2 3 2 2 2 2 3" xfId="5136" xr:uid="{00000000-0005-0000-0000-0000F9110000}"/>
    <cellStyle name="Normal 4 2 2 3 2 2 2 2 4" xfId="9347" xr:uid="{1CCDB286-5D02-4B8A-92C4-755CB6AF7E28}"/>
    <cellStyle name="Normal 4 2 2 3 2 2 2 2 5" xfId="13558" xr:uid="{BF2359FC-BC4F-44BD-9D6D-2DC1706CCB94}"/>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2 3" xfId="11905" xr:uid="{DC1F7052-6717-4612-BB5E-B2538F62C423}"/>
    <cellStyle name="Normal 4 2 2 3 2 2 2 3 2 4" xfId="16116" xr:uid="{D8CC3731-0615-435F-A3AE-836DB4D83485}"/>
    <cellStyle name="Normal 4 2 2 3 2 2 2 3 3" xfId="5549" xr:uid="{00000000-0005-0000-0000-0000FD110000}"/>
    <cellStyle name="Normal 4 2 2 3 2 2 2 3 4" xfId="9760" xr:uid="{2113DCAA-9A91-40CF-BE6A-58DAC293B5FD}"/>
    <cellStyle name="Normal 4 2 2 3 2 2 2 3 5" xfId="13971" xr:uid="{069B2C70-6CE4-4245-A04E-71DDAA39A149}"/>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2 3" xfId="12318" xr:uid="{BBD162AD-70F6-434B-8FC4-43132C144052}"/>
    <cellStyle name="Normal 4 2 2 3 2 2 2 4 2 4" xfId="16529" xr:uid="{44CEF9AC-1C86-4503-A9B9-A937D44034CC}"/>
    <cellStyle name="Normal 4 2 2 3 2 2 2 4 3" xfId="5962" xr:uid="{00000000-0005-0000-0000-000001120000}"/>
    <cellStyle name="Normal 4 2 2 3 2 2 2 4 4" xfId="10173" xr:uid="{07D2A1EC-6017-4297-9F27-F05F9E8D4AA7}"/>
    <cellStyle name="Normal 4 2 2 3 2 2 2 4 5" xfId="14384" xr:uid="{43A97F88-E20E-4CBA-B990-082BA6708212}"/>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2 3" xfId="12731" xr:uid="{552E9388-7320-4BEF-AFE6-E725FBCC163A}"/>
    <cellStyle name="Normal 4 2 2 3 2 2 2 5 2 4" xfId="16942" xr:uid="{F5477645-614D-42A4-8E52-5D7CB8253403}"/>
    <cellStyle name="Normal 4 2 2 3 2 2 2 5 3" xfId="6375" xr:uid="{00000000-0005-0000-0000-000005120000}"/>
    <cellStyle name="Normal 4 2 2 3 2 2 2 5 4" xfId="10586" xr:uid="{14389822-0E45-4C5F-B447-BB120A31F1B2}"/>
    <cellStyle name="Normal 4 2 2 3 2 2 2 5 5" xfId="14797" xr:uid="{C0D63E6E-22C2-43CF-B21E-C4FA62DB5A45}"/>
    <cellStyle name="Normal 4 2 2 3 2 2 2 6" xfId="2503" xr:uid="{00000000-0005-0000-0000-000006120000}"/>
    <cellStyle name="Normal 4 2 2 3 2 2 2 6 2" xfId="6788" xr:uid="{00000000-0005-0000-0000-000007120000}"/>
    <cellStyle name="Normal 4 2 2 3 2 2 2 6 3" xfId="10999" xr:uid="{99C1179E-ADF6-4DEF-9C45-10D1E08C2F65}"/>
    <cellStyle name="Normal 4 2 2 3 2 2 2 6 4" xfId="15210" xr:uid="{8AAF6B86-EE6D-4997-AB34-0CD333DA6561}"/>
    <cellStyle name="Normal 4 2 2 3 2 2 2 7" xfId="4723" xr:uid="{00000000-0005-0000-0000-000008120000}"/>
    <cellStyle name="Normal 4 2 2 3 2 2 2 8" xfId="8934" xr:uid="{F931E0C3-832A-4FFA-A39E-5540F1C86E59}"/>
    <cellStyle name="Normal 4 2 2 3 2 2 2 9" xfId="13145" xr:uid="{40858458-9726-46DE-82AB-C316760C91CD}"/>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2 3" xfId="11491" xr:uid="{74FDC001-3125-4C8E-A1E2-87109A1B9C87}"/>
    <cellStyle name="Normal 4 2 2 3 2 2 3 2 4" xfId="15702" xr:uid="{3F2E5704-1064-4666-8CD4-9F28D18E94AC}"/>
    <cellStyle name="Normal 4 2 2 3 2 2 3 3" xfId="5135" xr:uid="{00000000-0005-0000-0000-00000C120000}"/>
    <cellStyle name="Normal 4 2 2 3 2 2 3 4" xfId="9346" xr:uid="{16F36C12-B901-48A0-B562-CB7AE6626DBC}"/>
    <cellStyle name="Normal 4 2 2 3 2 2 3 5" xfId="13557" xr:uid="{77400550-47E8-4D38-998C-020394F2BFF3}"/>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2 3" xfId="11904" xr:uid="{092AA865-1AD4-4C40-B94E-84C9483993D3}"/>
    <cellStyle name="Normal 4 2 2 3 2 2 4 2 4" xfId="16115" xr:uid="{9AB73FA0-5A26-401B-A684-BDA5CAD47526}"/>
    <cellStyle name="Normal 4 2 2 3 2 2 4 3" xfId="5548" xr:uid="{00000000-0005-0000-0000-000010120000}"/>
    <cellStyle name="Normal 4 2 2 3 2 2 4 4" xfId="9759" xr:uid="{254B1727-DA5F-46AD-A857-D6E438AF3784}"/>
    <cellStyle name="Normal 4 2 2 3 2 2 4 5" xfId="13970" xr:uid="{F9239A6F-1B22-4D7F-AFEE-1CB243E4891E}"/>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2 3" xfId="12317" xr:uid="{C2583260-CA04-4DBA-9D1D-9396ADE86BEA}"/>
    <cellStyle name="Normal 4 2 2 3 2 2 5 2 4" xfId="16528" xr:uid="{F1EA5FDE-2836-4CEC-A682-5A97CA96F8A0}"/>
    <cellStyle name="Normal 4 2 2 3 2 2 5 3" xfId="5961" xr:uid="{00000000-0005-0000-0000-000014120000}"/>
    <cellStyle name="Normal 4 2 2 3 2 2 5 4" xfId="10172" xr:uid="{0F9E23A7-90A4-4318-911D-9E0742C80F2E}"/>
    <cellStyle name="Normal 4 2 2 3 2 2 5 5" xfId="14383" xr:uid="{B7EA5EA1-1073-47C2-A286-751BFF68A55E}"/>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2 3" xfId="12730" xr:uid="{69C5A92E-1209-423E-A446-8E852AD9BC07}"/>
    <cellStyle name="Normal 4 2 2 3 2 2 6 2 4" xfId="16941" xr:uid="{BB0C4D14-C974-425B-98B0-C415660AADD3}"/>
    <cellStyle name="Normal 4 2 2 3 2 2 6 3" xfId="6374" xr:uid="{00000000-0005-0000-0000-000018120000}"/>
    <cellStyle name="Normal 4 2 2 3 2 2 6 4" xfId="10585" xr:uid="{75E77305-FC8F-4E79-9E11-41BF31427EAB}"/>
    <cellStyle name="Normal 4 2 2 3 2 2 6 5" xfId="14796" xr:uid="{00F58765-954C-48B2-A74F-F6E17F6DD687}"/>
    <cellStyle name="Normal 4 2 2 3 2 2 7" xfId="2502" xr:uid="{00000000-0005-0000-0000-000019120000}"/>
    <cellStyle name="Normal 4 2 2 3 2 2 7 2" xfId="6787" xr:uid="{00000000-0005-0000-0000-00001A120000}"/>
    <cellStyle name="Normal 4 2 2 3 2 2 7 3" xfId="10998" xr:uid="{A2DBD8F7-69C8-497F-BE8E-42353ADB2329}"/>
    <cellStyle name="Normal 4 2 2 3 2 2 7 4" xfId="15209" xr:uid="{55B19C50-D33F-4918-B8B9-8B6DCCB6159D}"/>
    <cellStyle name="Normal 4 2 2 3 2 2 8" xfId="4722" xr:uid="{00000000-0005-0000-0000-00001B120000}"/>
    <cellStyle name="Normal 4 2 2 3 2 2 9" xfId="8933" xr:uid="{D6B3ACFE-0E31-4C67-8C14-51B4239860B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2 3" xfId="11493" xr:uid="{0D5D9E86-DF6D-427F-82C6-C83447CF0473}"/>
    <cellStyle name="Normal 4 2 2 3 2 3 2 2 4" xfId="15704" xr:uid="{089E3235-C175-40B1-B231-1A42F9AE6F2F}"/>
    <cellStyle name="Normal 4 2 2 3 2 3 2 3" xfId="5137" xr:uid="{00000000-0005-0000-0000-000020120000}"/>
    <cellStyle name="Normal 4 2 2 3 2 3 2 4" xfId="9348" xr:uid="{DA20241F-71A1-460C-B1AA-6382A3559FA0}"/>
    <cellStyle name="Normal 4 2 2 3 2 3 2 5" xfId="13559" xr:uid="{50CF8952-1EE5-40F1-A999-152CD8F731F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2 3" xfId="11906" xr:uid="{B621E648-4B96-4055-A5D0-72AE844CD139}"/>
    <cellStyle name="Normal 4 2 2 3 2 3 3 2 4" xfId="16117" xr:uid="{2939BFCA-2B93-4975-A369-010A02C9BBA0}"/>
    <cellStyle name="Normal 4 2 2 3 2 3 3 3" xfId="5550" xr:uid="{00000000-0005-0000-0000-000024120000}"/>
    <cellStyle name="Normal 4 2 2 3 2 3 3 4" xfId="9761" xr:uid="{753DC0FB-A7C5-4301-A1BB-8533260CB728}"/>
    <cellStyle name="Normal 4 2 2 3 2 3 3 5" xfId="13972" xr:uid="{E50C1316-5854-4AE5-A50B-C7A643E71529}"/>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2 3" xfId="12319" xr:uid="{7BD0C481-7F2C-498C-AF77-7EF36F74BDE2}"/>
    <cellStyle name="Normal 4 2 2 3 2 3 4 2 4" xfId="16530" xr:uid="{AD079D3B-93C6-47DA-A748-D692BF6C33D0}"/>
    <cellStyle name="Normal 4 2 2 3 2 3 4 3" xfId="5963" xr:uid="{00000000-0005-0000-0000-000028120000}"/>
    <cellStyle name="Normal 4 2 2 3 2 3 4 4" xfId="10174" xr:uid="{11722DAD-F3FD-4BE4-A07C-D9C379176FD7}"/>
    <cellStyle name="Normal 4 2 2 3 2 3 4 5" xfId="14385" xr:uid="{9909883C-0C1B-4A4E-8A0C-1EB134ABD749}"/>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2 3" xfId="12732" xr:uid="{32C6FDC8-2F33-44B8-BFBA-4819CF76DAC1}"/>
    <cellStyle name="Normal 4 2 2 3 2 3 5 2 4" xfId="16943" xr:uid="{5B2F39B2-6A2D-4354-A19D-F381771C56A5}"/>
    <cellStyle name="Normal 4 2 2 3 2 3 5 3" xfId="6376" xr:uid="{00000000-0005-0000-0000-00002C120000}"/>
    <cellStyle name="Normal 4 2 2 3 2 3 5 4" xfId="10587" xr:uid="{776BAA87-DEBB-48A1-8E34-A298365F5191}"/>
    <cellStyle name="Normal 4 2 2 3 2 3 5 5" xfId="14798" xr:uid="{808BE283-C641-475C-B9E0-B6E315D8AA31}"/>
    <cellStyle name="Normal 4 2 2 3 2 3 6" xfId="2504" xr:uid="{00000000-0005-0000-0000-00002D120000}"/>
    <cellStyle name="Normal 4 2 2 3 2 3 6 2" xfId="6789" xr:uid="{00000000-0005-0000-0000-00002E120000}"/>
    <cellStyle name="Normal 4 2 2 3 2 3 6 3" xfId="11000" xr:uid="{21CFFDAA-AFE1-4F6B-B52B-CA616E5A571F}"/>
    <cellStyle name="Normal 4 2 2 3 2 3 6 4" xfId="15211" xr:uid="{00BF04D3-67D0-4563-A7EC-4441922BABF6}"/>
    <cellStyle name="Normal 4 2 2 3 2 3 7" xfId="4724" xr:uid="{00000000-0005-0000-0000-00002F120000}"/>
    <cellStyle name="Normal 4 2 2 3 2 3 8" xfId="8935" xr:uid="{D8E78E2A-2146-458E-9825-7E92527D69B6}"/>
    <cellStyle name="Normal 4 2 2 3 2 3 9" xfId="13146" xr:uid="{C6967B61-3F2B-4C00-89DD-F17F482316AF}"/>
    <cellStyle name="Normal 4 2 2 3 2 4" xfId="818" xr:uid="{00000000-0005-0000-0000-000030120000}"/>
    <cellStyle name="Normal 4 2 2 3 2 4 2" xfId="3055" xr:uid="{00000000-0005-0000-0000-000031120000}"/>
    <cellStyle name="Normal 4 2 2 3 2 4 2 2" xfId="7279" xr:uid="{00000000-0005-0000-0000-000032120000}"/>
    <cellStyle name="Normal 4 2 2 3 2 4 2 3" xfId="11490" xr:uid="{91572CFA-E125-4F8B-933E-63C08E09AC57}"/>
    <cellStyle name="Normal 4 2 2 3 2 4 2 4" xfId="15701" xr:uid="{1662406A-A914-4F9E-99B4-946CC8C036C8}"/>
    <cellStyle name="Normal 4 2 2 3 2 4 3" xfId="5134" xr:uid="{00000000-0005-0000-0000-000033120000}"/>
    <cellStyle name="Normal 4 2 2 3 2 4 4" xfId="9345" xr:uid="{E13633EA-37BE-4DF0-BB48-482C96DFAB67}"/>
    <cellStyle name="Normal 4 2 2 3 2 4 5" xfId="13556" xr:uid="{DA9DA41D-926C-4466-BE65-0D694F74C1AA}"/>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2 3" xfId="11903" xr:uid="{7E41D20C-BE3C-4B4D-8DA7-6FE0BA3DD108}"/>
    <cellStyle name="Normal 4 2 2 3 2 5 2 4" xfId="16114" xr:uid="{2DDEC2AD-19CC-4639-A681-3471A4E429DD}"/>
    <cellStyle name="Normal 4 2 2 3 2 5 3" xfId="5547" xr:uid="{00000000-0005-0000-0000-000037120000}"/>
    <cellStyle name="Normal 4 2 2 3 2 5 4" xfId="9758" xr:uid="{02A570D8-A800-4B60-8C49-D011C580DFD1}"/>
    <cellStyle name="Normal 4 2 2 3 2 5 5" xfId="13969" xr:uid="{8151E47B-B46F-4399-9BF7-D8B72D02A2E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2 3" xfId="12316" xr:uid="{731C7501-BB39-40B1-BF07-5C1F50127448}"/>
    <cellStyle name="Normal 4 2 2 3 2 6 2 4" xfId="16527" xr:uid="{8F65AA66-5C2E-480E-98C7-4E19859B00A3}"/>
    <cellStyle name="Normal 4 2 2 3 2 6 3" xfId="5960" xr:uid="{00000000-0005-0000-0000-00003B120000}"/>
    <cellStyle name="Normal 4 2 2 3 2 6 4" xfId="10171" xr:uid="{A4753B2B-86F3-4827-9DAA-14A9EFAD1E6D}"/>
    <cellStyle name="Normal 4 2 2 3 2 6 5" xfId="14382" xr:uid="{C55E9593-E91C-46D2-8E7A-5494E66C684D}"/>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2 3" xfId="12729" xr:uid="{3D172391-923E-4FF7-93CB-217315EBA5BF}"/>
    <cellStyle name="Normal 4 2 2 3 2 7 2 4" xfId="16940" xr:uid="{6F24E2FB-A0A3-4D49-AF0F-4DEB3B0B898C}"/>
    <cellStyle name="Normal 4 2 2 3 2 7 3" xfId="6373" xr:uid="{00000000-0005-0000-0000-00003F120000}"/>
    <cellStyle name="Normal 4 2 2 3 2 7 4" xfId="10584" xr:uid="{6A684300-44C2-466F-8697-D61F51C6247D}"/>
    <cellStyle name="Normal 4 2 2 3 2 7 5" xfId="14795" xr:uid="{FC252101-8A65-4942-A038-34088CEB89D7}"/>
    <cellStyle name="Normal 4 2 2 3 2 8" xfId="2501" xr:uid="{00000000-0005-0000-0000-000040120000}"/>
    <cellStyle name="Normal 4 2 2 3 2 8 2" xfId="6786" xr:uid="{00000000-0005-0000-0000-000041120000}"/>
    <cellStyle name="Normal 4 2 2 3 2 8 3" xfId="10997" xr:uid="{F5CAAC37-7E98-4BE4-9A24-7F11480DD98A}"/>
    <cellStyle name="Normal 4 2 2 3 2 8 4" xfId="15208" xr:uid="{FAD23721-5154-4B6D-92DF-3794A2B8D0E8}"/>
    <cellStyle name="Normal 4 2 2 3 2 9" xfId="4721" xr:uid="{00000000-0005-0000-0000-000042120000}"/>
    <cellStyle name="Normal 4 2 2 3 3" xfId="344" xr:uid="{00000000-0005-0000-0000-000043120000}"/>
    <cellStyle name="Normal 4 2 2 3 3 10" xfId="13147" xr:uid="{EFA57C27-6351-4CEA-B211-B19A9439DD59}"/>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2 3" xfId="11495" xr:uid="{1DBDDCB6-D223-4EDE-957E-B66BAE8E63E5}"/>
    <cellStyle name="Normal 4 2 2 3 3 2 2 2 4" xfId="15706" xr:uid="{1D87B858-0A6D-4E5A-BC1A-5A05B4C9D12C}"/>
    <cellStyle name="Normal 4 2 2 3 3 2 2 3" xfId="5139" xr:uid="{00000000-0005-0000-0000-000048120000}"/>
    <cellStyle name="Normal 4 2 2 3 3 2 2 4" xfId="9350" xr:uid="{8F36B799-B76E-4CBB-862E-C89AC4027481}"/>
    <cellStyle name="Normal 4 2 2 3 3 2 2 5" xfId="13561" xr:uid="{14EF5CCC-2671-4EF5-97CB-32287AC96DA6}"/>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2 3" xfId="11908" xr:uid="{BCC330EF-144C-4908-8D79-DD9865FCB2AF}"/>
    <cellStyle name="Normal 4 2 2 3 3 2 3 2 4" xfId="16119" xr:uid="{B0A2BFF3-6609-4386-B5C6-F339FE9E80CC}"/>
    <cellStyle name="Normal 4 2 2 3 3 2 3 3" xfId="5552" xr:uid="{00000000-0005-0000-0000-00004C120000}"/>
    <cellStyle name="Normal 4 2 2 3 3 2 3 4" xfId="9763" xr:uid="{76EE8B2A-97A0-4D60-A525-EE0416E39BEE}"/>
    <cellStyle name="Normal 4 2 2 3 3 2 3 5" xfId="13974" xr:uid="{8A8EA41E-058C-4E82-A6E2-E71EC3466C2A}"/>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2 3" xfId="12321" xr:uid="{CC340377-38CF-4EB7-AAC9-B4515F64C39E}"/>
    <cellStyle name="Normal 4 2 2 3 3 2 4 2 4" xfId="16532" xr:uid="{A6017CF7-14F0-448B-BEA3-2D9E549EDB0E}"/>
    <cellStyle name="Normal 4 2 2 3 3 2 4 3" xfId="5965" xr:uid="{00000000-0005-0000-0000-000050120000}"/>
    <cellStyle name="Normal 4 2 2 3 3 2 4 4" xfId="10176" xr:uid="{BB2D176E-C796-49A2-9487-EFD910D71121}"/>
    <cellStyle name="Normal 4 2 2 3 3 2 4 5" xfId="14387" xr:uid="{B5DB6C47-A3E7-4A09-AB41-B825D3EA162C}"/>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2 3" xfId="12734" xr:uid="{E82A1A9A-4AA3-4119-8EA5-1DD6C22A3941}"/>
    <cellStyle name="Normal 4 2 2 3 3 2 5 2 4" xfId="16945" xr:uid="{D7BF4794-CB1F-411F-BEE4-25C21280DF3B}"/>
    <cellStyle name="Normal 4 2 2 3 3 2 5 3" xfId="6378" xr:uid="{00000000-0005-0000-0000-000054120000}"/>
    <cellStyle name="Normal 4 2 2 3 3 2 5 4" xfId="10589" xr:uid="{C180D722-93EA-4963-B920-DC9297D26FAD}"/>
    <cellStyle name="Normal 4 2 2 3 3 2 5 5" xfId="14800" xr:uid="{D8DBDD63-B7D3-450C-99FF-6EB653CE034F}"/>
    <cellStyle name="Normal 4 2 2 3 3 2 6" xfId="2506" xr:uid="{00000000-0005-0000-0000-000055120000}"/>
    <cellStyle name="Normal 4 2 2 3 3 2 6 2" xfId="6791" xr:uid="{00000000-0005-0000-0000-000056120000}"/>
    <cellStyle name="Normal 4 2 2 3 3 2 6 3" xfId="11002" xr:uid="{B16395AA-505B-4B62-9252-BEA6DFBE3EC8}"/>
    <cellStyle name="Normal 4 2 2 3 3 2 6 4" xfId="15213" xr:uid="{95B1A441-432C-424D-A75E-A176E2DA53FF}"/>
    <cellStyle name="Normal 4 2 2 3 3 2 7" xfId="4726" xr:uid="{00000000-0005-0000-0000-000057120000}"/>
    <cellStyle name="Normal 4 2 2 3 3 2 8" xfId="8937" xr:uid="{62A0C0C5-5843-4D34-9ACF-AD442E50124D}"/>
    <cellStyle name="Normal 4 2 2 3 3 2 9" xfId="13148" xr:uid="{E9E48081-3C0F-4BB1-BB0A-7AF5E0947E22}"/>
    <cellStyle name="Normal 4 2 2 3 3 3" xfId="822" xr:uid="{00000000-0005-0000-0000-000058120000}"/>
    <cellStyle name="Normal 4 2 2 3 3 3 2" xfId="3059" xr:uid="{00000000-0005-0000-0000-000059120000}"/>
    <cellStyle name="Normal 4 2 2 3 3 3 2 2" xfId="7283" xr:uid="{00000000-0005-0000-0000-00005A120000}"/>
    <cellStyle name="Normal 4 2 2 3 3 3 2 3" xfId="11494" xr:uid="{A0FB88A1-C587-4169-9880-68E8F11C6175}"/>
    <cellStyle name="Normal 4 2 2 3 3 3 2 4" xfId="15705" xr:uid="{469302A3-07F7-4658-B509-D963632799EB}"/>
    <cellStyle name="Normal 4 2 2 3 3 3 3" xfId="5138" xr:uid="{00000000-0005-0000-0000-00005B120000}"/>
    <cellStyle name="Normal 4 2 2 3 3 3 4" xfId="9349" xr:uid="{2BDD8895-2158-4093-80D5-47AF8043DF05}"/>
    <cellStyle name="Normal 4 2 2 3 3 3 5" xfId="13560" xr:uid="{0DF6DE70-B39E-4794-8BCE-C840EF79310D}"/>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2 3" xfId="11907" xr:uid="{C9648B8C-CEF5-4DF6-8146-4091ED94F834}"/>
    <cellStyle name="Normal 4 2 2 3 3 4 2 4" xfId="16118" xr:uid="{6D628FC7-5ADC-4E9A-9EF4-77CBF81AB6DA}"/>
    <cellStyle name="Normal 4 2 2 3 3 4 3" xfId="5551" xr:uid="{00000000-0005-0000-0000-00005F120000}"/>
    <cellStyle name="Normal 4 2 2 3 3 4 4" xfId="9762" xr:uid="{EBA3FD97-2360-4A2D-809C-DF91E18CBEFE}"/>
    <cellStyle name="Normal 4 2 2 3 3 4 5" xfId="13973" xr:uid="{7C096329-2B83-4FA2-BA35-CB0E7FA78D76}"/>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2 3" xfId="12320" xr:uid="{C183B4FD-B6DC-4CAE-84BC-9D26D6CCC604}"/>
    <cellStyle name="Normal 4 2 2 3 3 5 2 4" xfId="16531" xr:uid="{21B06BF2-06ED-4AA7-8926-B24A595464A3}"/>
    <cellStyle name="Normal 4 2 2 3 3 5 3" xfId="5964" xr:uid="{00000000-0005-0000-0000-000063120000}"/>
    <cellStyle name="Normal 4 2 2 3 3 5 4" xfId="10175" xr:uid="{672D3CCB-9AC2-4F5F-AF09-0D463172D7F9}"/>
    <cellStyle name="Normal 4 2 2 3 3 5 5" xfId="14386" xr:uid="{D25AB485-1443-40A9-BCFD-209602818B6F}"/>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2 3" xfId="12733" xr:uid="{0C166211-29C0-40D6-BB09-997C837F1EF3}"/>
    <cellStyle name="Normal 4 2 2 3 3 6 2 4" xfId="16944" xr:uid="{E5BCFF4E-6B59-42EF-AE29-9CBBA595D1D7}"/>
    <cellStyle name="Normal 4 2 2 3 3 6 3" xfId="6377" xr:uid="{00000000-0005-0000-0000-000067120000}"/>
    <cellStyle name="Normal 4 2 2 3 3 6 4" xfId="10588" xr:uid="{3CD80582-3BF5-4E8D-B503-096478E559B8}"/>
    <cellStyle name="Normal 4 2 2 3 3 6 5" xfId="14799" xr:uid="{DDFE1D5E-C99B-4340-938D-31EB022D6B9B}"/>
    <cellStyle name="Normal 4 2 2 3 3 7" xfId="2505" xr:uid="{00000000-0005-0000-0000-000068120000}"/>
    <cellStyle name="Normal 4 2 2 3 3 7 2" xfId="6790" xr:uid="{00000000-0005-0000-0000-000069120000}"/>
    <cellStyle name="Normal 4 2 2 3 3 7 3" xfId="11001" xr:uid="{4C32CC18-5B8B-472B-8036-2610B3D86019}"/>
    <cellStyle name="Normal 4 2 2 3 3 7 4" xfId="15212" xr:uid="{357B6991-2EFD-40FF-A8E8-3E048B1F6833}"/>
    <cellStyle name="Normal 4 2 2 3 3 8" xfId="4725" xr:uid="{00000000-0005-0000-0000-00006A120000}"/>
    <cellStyle name="Normal 4 2 2 3 3 9" xfId="8936" xr:uid="{3EEDF634-AD6C-4898-8DE5-5DD331508CB8}"/>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2 3" xfId="11496" xr:uid="{1BD447CD-FDFA-4566-A372-4222F38DD6EA}"/>
    <cellStyle name="Normal 4 2 2 3 4 2 2 4" xfId="15707" xr:uid="{00D5C983-F7F9-410B-8A1A-A2A8F8447B33}"/>
    <cellStyle name="Normal 4 2 2 3 4 2 3" xfId="5140" xr:uid="{00000000-0005-0000-0000-00006F120000}"/>
    <cellStyle name="Normal 4 2 2 3 4 2 4" xfId="9351" xr:uid="{2D7CBB00-2033-471E-A867-84A86AC861C7}"/>
    <cellStyle name="Normal 4 2 2 3 4 2 5" xfId="13562" xr:uid="{BA0CD30E-AF63-482C-836B-6A8FC40066C6}"/>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2 3" xfId="11909" xr:uid="{0C17465C-35A4-4BCE-ACAC-8639F61EEB4A}"/>
    <cellStyle name="Normal 4 2 2 3 4 3 2 4" xfId="16120" xr:uid="{FF61B83C-FA38-410E-AF79-257E41E80E2D}"/>
    <cellStyle name="Normal 4 2 2 3 4 3 3" xfId="5553" xr:uid="{00000000-0005-0000-0000-000073120000}"/>
    <cellStyle name="Normal 4 2 2 3 4 3 4" xfId="9764" xr:uid="{D7A1FF39-0268-4857-B644-C0E157AF589A}"/>
    <cellStyle name="Normal 4 2 2 3 4 3 5" xfId="13975" xr:uid="{1142076E-5A05-4BBF-9368-150730F9D22E}"/>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2 3" xfId="12322" xr:uid="{8E31BDDC-C9A5-47B1-AD23-E6C53F2C82C7}"/>
    <cellStyle name="Normal 4 2 2 3 4 4 2 4" xfId="16533" xr:uid="{EBD6A38B-A347-4678-AB67-A235A3090048}"/>
    <cellStyle name="Normal 4 2 2 3 4 4 3" xfId="5966" xr:uid="{00000000-0005-0000-0000-000077120000}"/>
    <cellStyle name="Normal 4 2 2 3 4 4 4" xfId="10177" xr:uid="{9C2E8858-8686-4D2A-A848-E4FF94F64B92}"/>
    <cellStyle name="Normal 4 2 2 3 4 4 5" xfId="14388" xr:uid="{A30D1DC9-7654-4EE8-A4BD-6BD4AAD02A19}"/>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2 3" xfId="12735" xr:uid="{C29A4F5F-6CEF-491F-9D7D-968E376A8447}"/>
    <cellStyle name="Normal 4 2 2 3 4 5 2 4" xfId="16946" xr:uid="{CAC6F8A2-2BF3-4A85-9B7F-38C65D51398C}"/>
    <cellStyle name="Normal 4 2 2 3 4 5 3" xfId="6379" xr:uid="{00000000-0005-0000-0000-00007B120000}"/>
    <cellStyle name="Normal 4 2 2 3 4 5 4" xfId="10590" xr:uid="{9D35DC44-FF9D-4F18-BC19-C0BD475C5B01}"/>
    <cellStyle name="Normal 4 2 2 3 4 5 5" xfId="14801" xr:uid="{5C3749A4-CEDC-4E73-84A3-87CE34C819EC}"/>
    <cellStyle name="Normal 4 2 2 3 4 6" xfId="2507" xr:uid="{00000000-0005-0000-0000-00007C120000}"/>
    <cellStyle name="Normal 4 2 2 3 4 6 2" xfId="6792" xr:uid="{00000000-0005-0000-0000-00007D120000}"/>
    <cellStyle name="Normal 4 2 2 3 4 6 3" xfId="11003" xr:uid="{76B26165-6FE5-44AD-B852-682D5233163E}"/>
    <cellStyle name="Normal 4 2 2 3 4 6 4" xfId="15214" xr:uid="{D711DCA7-9D2A-4383-87C4-AFCA72A10E8D}"/>
    <cellStyle name="Normal 4 2 2 3 4 7" xfId="4727" xr:uid="{00000000-0005-0000-0000-00007E120000}"/>
    <cellStyle name="Normal 4 2 2 3 4 8" xfId="8938" xr:uid="{A28EE32C-8D47-40DF-8C77-310355468ED6}"/>
    <cellStyle name="Normal 4 2 2 3 4 9" xfId="13149" xr:uid="{40738A69-5C92-45E5-8CFD-6EC589388A33}"/>
    <cellStyle name="Normal 4 2 2 3 5" xfId="817" xr:uid="{00000000-0005-0000-0000-00007F120000}"/>
    <cellStyle name="Normal 4 2 2 3 5 2" xfId="3054" xr:uid="{00000000-0005-0000-0000-000080120000}"/>
    <cellStyle name="Normal 4 2 2 3 5 2 2" xfId="7278" xr:uid="{00000000-0005-0000-0000-000081120000}"/>
    <cellStyle name="Normal 4 2 2 3 5 2 3" xfId="11489" xr:uid="{F5469BE3-BA7A-4550-9166-1F005E4FB514}"/>
    <cellStyle name="Normal 4 2 2 3 5 2 4" xfId="15700" xr:uid="{D5935687-3789-4608-BEDC-957C6B128853}"/>
    <cellStyle name="Normal 4 2 2 3 5 3" xfId="5133" xr:uid="{00000000-0005-0000-0000-000082120000}"/>
    <cellStyle name="Normal 4 2 2 3 5 4" xfId="9344" xr:uid="{7D01D046-B7DA-482A-95B1-67C3BE64EBEE}"/>
    <cellStyle name="Normal 4 2 2 3 5 5" xfId="13555" xr:uid="{98349B9A-57FD-4545-95F0-FF5F26C5E5A7}"/>
    <cellStyle name="Normal 4 2 2 3 6" xfId="1237" xr:uid="{00000000-0005-0000-0000-000083120000}"/>
    <cellStyle name="Normal 4 2 2 3 6 2" xfId="3467" xr:uid="{00000000-0005-0000-0000-000084120000}"/>
    <cellStyle name="Normal 4 2 2 3 6 2 2" xfId="7691" xr:uid="{00000000-0005-0000-0000-000085120000}"/>
    <cellStyle name="Normal 4 2 2 3 6 2 3" xfId="11902" xr:uid="{DE38E9F6-6380-48F5-BA05-58678C0139B8}"/>
    <cellStyle name="Normal 4 2 2 3 6 2 4" xfId="16113" xr:uid="{E6934C99-A93F-45B0-AAEB-A0CFCBF393E6}"/>
    <cellStyle name="Normal 4 2 2 3 6 3" xfId="5546" xr:uid="{00000000-0005-0000-0000-000086120000}"/>
    <cellStyle name="Normal 4 2 2 3 6 4" xfId="9757" xr:uid="{E80F0FD5-A344-462E-B61E-FA336C4B1C1C}"/>
    <cellStyle name="Normal 4 2 2 3 6 5" xfId="13968" xr:uid="{887A03C5-6F73-4A3E-BE84-142CEF25B997}"/>
    <cellStyle name="Normal 4 2 2 3 7" xfId="1650" xr:uid="{00000000-0005-0000-0000-000087120000}"/>
    <cellStyle name="Normal 4 2 2 3 7 2" xfId="3880" xr:uid="{00000000-0005-0000-0000-000088120000}"/>
    <cellStyle name="Normal 4 2 2 3 7 2 2" xfId="8104" xr:uid="{00000000-0005-0000-0000-000089120000}"/>
    <cellStyle name="Normal 4 2 2 3 7 2 3" xfId="12315" xr:uid="{98E9DEA9-7D5A-4CF8-9275-67B608A0F7B9}"/>
    <cellStyle name="Normal 4 2 2 3 7 2 4" xfId="16526" xr:uid="{0B1D2DBB-481E-4733-91FC-8D49E1E55BDE}"/>
    <cellStyle name="Normal 4 2 2 3 7 3" xfId="5959" xr:uid="{00000000-0005-0000-0000-00008A120000}"/>
    <cellStyle name="Normal 4 2 2 3 7 4" xfId="10170" xr:uid="{CC7EF8FA-AC5F-4C4F-9737-7CFF15259012}"/>
    <cellStyle name="Normal 4 2 2 3 7 5" xfId="14381" xr:uid="{C69AD2C8-1498-4565-BC65-CFD3ADE7FCA1}"/>
    <cellStyle name="Normal 4 2 2 3 8" xfId="2064" xr:uid="{00000000-0005-0000-0000-00008B120000}"/>
    <cellStyle name="Normal 4 2 2 3 8 2" xfId="4293" xr:uid="{00000000-0005-0000-0000-00008C120000}"/>
    <cellStyle name="Normal 4 2 2 3 8 2 2" xfId="8517" xr:uid="{00000000-0005-0000-0000-00008D120000}"/>
    <cellStyle name="Normal 4 2 2 3 8 2 3" xfId="12728" xr:uid="{44183676-1F35-4F76-A72F-DFE4AF888755}"/>
    <cellStyle name="Normal 4 2 2 3 8 2 4" xfId="16939" xr:uid="{417B4785-9554-4702-97E8-22D29A017B46}"/>
    <cellStyle name="Normal 4 2 2 3 8 3" xfId="6372" xr:uid="{00000000-0005-0000-0000-00008E120000}"/>
    <cellStyle name="Normal 4 2 2 3 8 4" xfId="10583" xr:uid="{6F08831E-E4CF-4BCE-9D02-30684618FB48}"/>
    <cellStyle name="Normal 4 2 2 3 8 5" xfId="14794" xr:uid="{9F111183-29DA-4C8B-8682-8448CA2372BA}"/>
    <cellStyle name="Normal 4 2 2 3 9" xfId="2500" xr:uid="{00000000-0005-0000-0000-00008F120000}"/>
    <cellStyle name="Normal 4 2 2 3 9 2" xfId="6785" xr:uid="{00000000-0005-0000-0000-000090120000}"/>
    <cellStyle name="Normal 4 2 2 3 9 3" xfId="10996" xr:uid="{C20E7CA3-F688-4616-8D91-9A6BC3888F39}"/>
    <cellStyle name="Normal 4 2 2 3 9 4" xfId="15207" xr:uid="{C055883A-B90B-4F69-AB84-7EA4D528B1C8}"/>
    <cellStyle name="Normal 4 2 2 4" xfId="347" xr:uid="{00000000-0005-0000-0000-000091120000}"/>
    <cellStyle name="Normal 4 2 2 4 10" xfId="8939" xr:uid="{B24BD59C-8E50-42F4-9827-D407CF2A4EBD}"/>
    <cellStyle name="Normal 4 2 2 4 11" xfId="13150" xr:uid="{1707B96B-61EF-46C8-AE49-0F1D34CEF36E}"/>
    <cellStyle name="Normal 4 2 2 4 2" xfId="348" xr:uid="{00000000-0005-0000-0000-000092120000}"/>
    <cellStyle name="Normal 4 2 2 4 2 10" xfId="13151" xr:uid="{D9089018-98C0-4F65-9BB4-742003D7F047}"/>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2 3" xfId="11499" xr:uid="{F2EE0932-570F-44EA-B50F-5B7B45A49BDD}"/>
    <cellStyle name="Normal 4 2 2 4 2 2 2 2 4" xfId="15710" xr:uid="{AD8B800D-3D07-43A5-8DAA-3656B78B9B2B}"/>
    <cellStyle name="Normal 4 2 2 4 2 2 2 3" xfId="5143" xr:uid="{00000000-0005-0000-0000-000097120000}"/>
    <cellStyle name="Normal 4 2 2 4 2 2 2 4" xfId="9354" xr:uid="{0496FDE1-DAC4-43BB-8CF2-96FEF42B4DF1}"/>
    <cellStyle name="Normal 4 2 2 4 2 2 2 5" xfId="13565" xr:uid="{15890811-8605-41B2-8BB7-3BE3CACA2F04}"/>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2 3" xfId="11912" xr:uid="{BEE45FD6-AB2E-463F-A64A-DD5D6AC75A2A}"/>
    <cellStyle name="Normal 4 2 2 4 2 2 3 2 4" xfId="16123" xr:uid="{0B0ABD9D-5012-4160-A71A-7291DC96891E}"/>
    <cellStyle name="Normal 4 2 2 4 2 2 3 3" xfId="5556" xr:uid="{00000000-0005-0000-0000-00009B120000}"/>
    <cellStyle name="Normal 4 2 2 4 2 2 3 4" xfId="9767" xr:uid="{3E28CEEE-1AB3-45E3-A196-450FD948D7BD}"/>
    <cellStyle name="Normal 4 2 2 4 2 2 3 5" xfId="13978" xr:uid="{CCA13E1C-64E6-42C5-A194-FEFAFDDE5159}"/>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2 3" xfId="12325" xr:uid="{5F3358D7-5D84-416E-A46E-15A069A6C6A2}"/>
    <cellStyle name="Normal 4 2 2 4 2 2 4 2 4" xfId="16536" xr:uid="{C461DA02-870A-47DE-94AF-EA7AE3B79867}"/>
    <cellStyle name="Normal 4 2 2 4 2 2 4 3" xfId="5969" xr:uid="{00000000-0005-0000-0000-00009F120000}"/>
    <cellStyle name="Normal 4 2 2 4 2 2 4 4" xfId="10180" xr:uid="{E541150F-66CF-41D0-B9C8-365ADDFDB0CF}"/>
    <cellStyle name="Normal 4 2 2 4 2 2 4 5" xfId="14391" xr:uid="{59B29361-AA48-4C23-9247-CF73DDAFA41D}"/>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2 3" xfId="12738" xr:uid="{D6033A0A-D9C0-4FD2-A68B-35CDC736E888}"/>
    <cellStyle name="Normal 4 2 2 4 2 2 5 2 4" xfId="16949" xr:uid="{E6BDDD37-2C50-44F6-8FD6-6AD197925352}"/>
    <cellStyle name="Normal 4 2 2 4 2 2 5 3" xfId="6382" xr:uid="{00000000-0005-0000-0000-0000A3120000}"/>
    <cellStyle name="Normal 4 2 2 4 2 2 5 4" xfId="10593" xr:uid="{A4955A34-2FC4-4118-80DB-30314368DC83}"/>
    <cellStyle name="Normal 4 2 2 4 2 2 5 5" xfId="14804" xr:uid="{FEF617C2-AC52-4EC2-916F-A21401A87CED}"/>
    <cellStyle name="Normal 4 2 2 4 2 2 6" xfId="2510" xr:uid="{00000000-0005-0000-0000-0000A4120000}"/>
    <cellStyle name="Normal 4 2 2 4 2 2 6 2" xfId="6795" xr:uid="{00000000-0005-0000-0000-0000A5120000}"/>
    <cellStyle name="Normal 4 2 2 4 2 2 6 3" xfId="11006" xr:uid="{98275002-36E8-4DF0-9EB1-C26516660AC3}"/>
    <cellStyle name="Normal 4 2 2 4 2 2 6 4" xfId="15217" xr:uid="{F323E337-CBEB-4A42-A7DA-DB2B04441AA9}"/>
    <cellStyle name="Normal 4 2 2 4 2 2 7" xfId="4730" xr:uid="{00000000-0005-0000-0000-0000A6120000}"/>
    <cellStyle name="Normal 4 2 2 4 2 2 8" xfId="8941" xr:uid="{66D4E6A2-CC75-4EED-9537-42414CB68AEE}"/>
    <cellStyle name="Normal 4 2 2 4 2 2 9" xfId="13152" xr:uid="{9BCA1316-ECC6-4105-8DF0-91BE6376A544}"/>
    <cellStyle name="Normal 4 2 2 4 2 3" xfId="826" xr:uid="{00000000-0005-0000-0000-0000A7120000}"/>
    <cellStyle name="Normal 4 2 2 4 2 3 2" xfId="3063" xr:uid="{00000000-0005-0000-0000-0000A8120000}"/>
    <cellStyle name="Normal 4 2 2 4 2 3 2 2" xfId="7287" xr:uid="{00000000-0005-0000-0000-0000A9120000}"/>
    <cellStyle name="Normal 4 2 2 4 2 3 2 3" xfId="11498" xr:uid="{B6C011AD-F8B1-40AD-8772-F36FC6D4E6AD}"/>
    <cellStyle name="Normal 4 2 2 4 2 3 2 4" xfId="15709" xr:uid="{6278842C-2997-484B-A900-BFE1A4001C05}"/>
    <cellStyle name="Normal 4 2 2 4 2 3 3" xfId="5142" xr:uid="{00000000-0005-0000-0000-0000AA120000}"/>
    <cellStyle name="Normal 4 2 2 4 2 3 4" xfId="9353" xr:uid="{FD9AD40F-969C-4321-959A-5E3318D3F4DF}"/>
    <cellStyle name="Normal 4 2 2 4 2 3 5" xfId="13564" xr:uid="{61F6059B-2FF6-4898-8A48-93839366D088}"/>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2 3" xfId="11911" xr:uid="{1A2F29E1-5D06-4B0F-A174-627730CE5DDD}"/>
    <cellStyle name="Normal 4 2 2 4 2 4 2 4" xfId="16122" xr:uid="{C681E91C-B717-4AE6-A19B-60CBEB1A1DE7}"/>
    <cellStyle name="Normal 4 2 2 4 2 4 3" xfId="5555" xr:uid="{00000000-0005-0000-0000-0000AE120000}"/>
    <cellStyle name="Normal 4 2 2 4 2 4 4" xfId="9766" xr:uid="{7CCE513A-22C6-470A-9817-1569E5D18131}"/>
    <cellStyle name="Normal 4 2 2 4 2 4 5" xfId="13977" xr:uid="{50552B77-687A-46A4-BDFB-8C8E8C86B3A1}"/>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2 3" xfId="12324" xr:uid="{0D1403F0-6037-4961-8C59-0A52C23B2E51}"/>
    <cellStyle name="Normal 4 2 2 4 2 5 2 4" xfId="16535" xr:uid="{54BC8CC3-F3B3-444E-854D-28F6FA643B7E}"/>
    <cellStyle name="Normal 4 2 2 4 2 5 3" xfId="5968" xr:uid="{00000000-0005-0000-0000-0000B2120000}"/>
    <cellStyle name="Normal 4 2 2 4 2 5 4" xfId="10179" xr:uid="{0C108811-B264-4503-83C8-A88B6B6E131B}"/>
    <cellStyle name="Normal 4 2 2 4 2 5 5" xfId="14390" xr:uid="{8B5F1CA0-9B14-4C8A-B1E3-E806039AB017}"/>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2 3" xfId="12737" xr:uid="{501CD659-C103-47CC-AC55-FD65F253BA7A}"/>
    <cellStyle name="Normal 4 2 2 4 2 6 2 4" xfId="16948" xr:uid="{966061C5-06E8-4BF1-98F6-6D7029AFFE78}"/>
    <cellStyle name="Normal 4 2 2 4 2 6 3" xfId="6381" xr:uid="{00000000-0005-0000-0000-0000B6120000}"/>
    <cellStyle name="Normal 4 2 2 4 2 6 4" xfId="10592" xr:uid="{B32E5407-8329-4E68-B1AE-56E60CC1B503}"/>
    <cellStyle name="Normal 4 2 2 4 2 6 5" xfId="14803" xr:uid="{9B23A9DB-1D99-46C9-ACFF-509D47D0412C}"/>
    <cellStyle name="Normal 4 2 2 4 2 7" xfId="2509" xr:uid="{00000000-0005-0000-0000-0000B7120000}"/>
    <cellStyle name="Normal 4 2 2 4 2 7 2" xfId="6794" xr:uid="{00000000-0005-0000-0000-0000B8120000}"/>
    <cellStyle name="Normal 4 2 2 4 2 7 3" xfId="11005" xr:uid="{A76C9CF1-D221-49FF-A945-76EF2DAD0B14}"/>
    <cellStyle name="Normal 4 2 2 4 2 7 4" xfId="15216" xr:uid="{BC09234B-6AA9-495C-BCB1-2E6596FEEF1C}"/>
    <cellStyle name="Normal 4 2 2 4 2 8" xfId="4729" xr:uid="{00000000-0005-0000-0000-0000B9120000}"/>
    <cellStyle name="Normal 4 2 2 4 2 9" xfId="8940" xr:uid="{716DB75D-8C44-4CC4-B336-1987AD30BBA7}"/>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2 3" xfId="11500" xr:uid="{B634A786-7B21-49A2-8F2F-951A21038B95}"/>
    <cellStyle name="Normal 4 2 2 4 3 2 2 4" xfId="15711" xr:uid="{17A18D22-73DB-40A4-A4CA-85D0F4C65E6A}"/>
    <cellStyle name="Normal 4 2 2 4 3 2 3" xfId="5144" xr:uid="{00000000-0005-0000-0000-0000BE120000}"/>
    <cellStyle name="Normal 4 2 2 4 3 2 4" xfId="9355" xr:uid="{4CB85CEF-FD64-4AF7-91CE-415318212B8C}"/>
    <cellStyle name="Normal 4 2 2 4 3 2 5" xfId="13566" xr:uid="{575D0D33-5EFC-443F-8BAE-3F8F56494BAA}"/>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2 3" xfId="11913" xr:uid="{6DF8B68C-E6CF-4835-B433-5A5C309A7861}"/>
    <cellStyle name="Normal 4 2 2 4 3 3 2 4" xfId="16124" xr:uid="{E749D453-DF76-4F6C-B81D-3E5617E06317}"/>
    <cellStyle name="Normal 4 2 2 4 3 3 3" xfId="5557" xr:uid="{00000000-0005-0000-0000-0000C2120000}"/>
    <cellStyle name="Normal 4 2 2 4 3 3 4" xfId="9768" xr:uid="{B7AF957D-D081-497A-AF07-C2FA4FE9B316}"/>
    <cellStyle name="Normal 4 2 2 4 3 3 5" xfId="13979" xr:uid="{EFE8F09C-E9EE-4A94-8697-2151DC9470AE}"/>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2 3" xfId="12326" xr:uid="{766B2885-D9A0-46B5-9EC6-E58589C32379}"/>
    <cellStyle name="Normal 4 2 2 4 3 4 2 4" xfId="16537" xr:uid="{7F16CD27-0D0E-41B6-AC07-6939CD446E19}"/>
    <cellStyle name="Normal 4 2 2 4 3 4 3" xfId="5970" xr:uid="{00000000-0005-0000-0000-0000C6120000}"/>
    <cellStyle name="Normal 4 2 2 4 3 4 4" xfId="10181" xr:uid="{0BDAB8CB-9789-4A06-B66F-A7C85C1275AE}"/>
    <cellStyle name="Normal 4 2 2 4 3 4 5" xfId="14392" xr:uid="{A3688518-94EB-4738-A34B-C971EFB60D3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2 3" xfId="12739" xr:uid="{E3690BCB-DF87-41DE-9942-39573D54BCF0}"/>
    <cellStyle name="Normal 4 2 2 4 3 5 2 4" xfId="16950" xr:uid="{073635BD-8932-472B-B61E-8EBF64E9131B}"/>
    <cellStyle name="Normal 4 2 2 4 3 5 3" xfId="6383" xr:uid="{00000000-0005-0000-0000-0000CA120000}"/>
    <cellStyle name="Normal 4 2 2 4 3 5 4" xfId="10594" xr:uid="{ADBAA369-ECE5-4F2E-AFA6-93684F0694C7}"/>
    <cellStyle name="Normal 4 2 2 4 3 5 5" xfId="14805" xr:uid="{E25C8CDF-1FEB-4506-B956-BB0C0DB9A6CB}"/>
    <cellStyle name="Normal 4 2 2 4 3 6" xfId="2511" xr:uid="{00000000-0005-0000-0000-0000CB120000}"/>
    <cellStyle name="Normal 4 2 2 4 3 6 2" xfId="6796" xr:uid="{00000000-0005-0000-0000-0000CC120000}"/>
    <cellStyle name="Normal 4 2 2 4 3 6 3" xfId="11007" xr:uid="{E644E4FE-3DF0-4268-B8D7-E7726C032DF9}"/>
    <cellStyle name="Normal 4 2 2 4 3 6 4" xfId="15218" xr:uid="{E53D7789-F911-48FB-A436-EEA15EA72507}"/>
    <cellStyle name="Normal 4 2 2 4 3 7" xfId="4731" xr:uid="{00000000-0005-0000-0000-0000CD120000}"/>
    <cellStyle name="Normal 4 2 2 4 3 8" xfId="8942" xr:uid="{FEEB12AF-628C-4EE8-9F86-6F31E36D811A}"/>
    <cellStyle name="Normal 4 2 2 4 3 9" xfId="13153" xr:uid="{2E8F4827-BA3E-4B0D-B84A-492C05B7DE79}"/>
    <cellStyle name="Normal 4 2 2 4 4" xfId="825" xr:uid="{00000000-0005-0000-0000-0000CE120000}"/>
    <cellStyle name="Normal 4 2 2 4 4 2" xfId="3062" xr:uid="{00000000-0005-0000-0000-0000CF120000}"/>
    <cellStyle name="Normal 4 2 2 4 4 2 2" xfId="7286" xr:uid="{00000000-0005-0000-0000-0000D0120000}"/>
    <cellStyle name="Normal 4 2 2 4 4 2 3" xfId="11497" xr:uid="{FF35D856-2757-4EA8-AFC9-47FB097D23C0}"/>
    <cellStyle name="Normal 4 2 2 4 4 2 4" xfId="15708" xr:uid="{7FB35276-C47C-4C88-8C6A-EA90E59365AB}"/>
    <cellStyle name="Normal 4 2 2 4 4 3" xfId="5141" xr:uid="{00000000-0005-0000-0000-0000D1120000}"/>
    <cellStyle name="Normal 4 2 2 4 4 4" xfId="9352" xr:uid="{1433D331-7381-455D-BCE9-2168160E8325}"/>
    <cellStyle name="Normal 4 2 2 4 4 5" xfId="13563" xr:uid="{607B0FF5-EF08-4532-93F7-6E3928814CB9}"/>
    <cellStyle name="Normal 4 2 2 4 5" xfId="1245" xr:uid="{00000000-0005-0000-0000-0000D2120000}"/>
    <cellStyle name="Normal 4 2 2 4 5 2" xfId="3475" xr:uid="{00000000-0005-0000-0000-0000D3120000}"/>
    <cellStyle name="Normal 4 2 2 4 5 2 2" xfId="7699" xr:uid="{00000000-0005-0000-0000-0000D4120000}"/>
    <cellStyle name="Normal 4 2 2 4 5 2 3" xfId="11910" xr:uid="{3D7BF1EC-1463-44AC-B71F-AA50D7C3BC82}"/>
    <cellStyle name="Normal 4 2 2 4 5 2 4" xfId="16121" xr:uid="{7E95E404-0A7B-4E73-8EDE-4C8A3D64C06D}"/>
    <cellStyle name="Normal 4 2 2 4 5 3" xfId="5554" xr:uid="{00000000-0005-0000-0000-0000D5120000}"/>
    <cellStyle name="Normal 4 2 2 4 5 4" xfId="9765" xr:uid="{EC7BA71E-380B-46AF-8CF1-F8EE8273D9C3}"/>
    <cellStyle name="Normal 4 2 2 4 5 5" xfId="13976" xr:uid="{31562D12-F021-42A0-98A6-9BAA5D2E5C1A}"/>
    <cellStyle name="Normal 4 2 2 4 6" xfId="1658" xr:uid="{00000000-0005-0000-0000-0000D6120000}"/>
    <cellStyle name="Normal 4 2 2 4 6 2" xfId="3888" xr:uid="{00000000-0005-0000-0000-0000D7120000}"/>
    <cellStyle name="Normal 4 2 2 4 6 2 2" xfId="8112" xr:uid="{00000000-0005-0000-0000-0000D8120000}"/>
    <cellStyle name="Normal 4 2 2 4 6 2 3" xfId="12323" xr:uid="{049C7EC0-7345-4A0D-9C4D-DFCACFFE0B52}"/>
    <cellStyle name="Normal 4 2 2 4 6 2 4" xfId="16534" xr:uid="{0F246E38-5190-4E8D-852C-7190F8E448DD}"/>
    <cellStyle name="Normal 4 2 2 4 6 3" xfId="5967" xr:uid="{00000000-0005-0000-0000-0000D9120000}"/>
    <cellStyle name="Normal 4 2 2 4 6 4" xfId="10178" xr:uid="{B620B990-E021-49C4-829E-B87424E41254}"/>
    <cellStyle name="Normal 4 2 2 4 6 5" xfId="14389" xr:uid="{052A6B9B-2D3A-4F63-ADE8-1B1A3C145F4E}"/>
    <cellStyle name="Normal 4 2 2 4 7" xfId="2072" xr:uid="{00000000-0005-0000-0000-0000DA120000}"/>
    <cellStyle name="Normal 4 2 2 4 7 2" xfId="4301" xr:uid="{00000000-0005-0000-0000-0000DB120000}"/>
    <cellStyle name="Normal 4 2 2 4 7 2 2" xfId="8525" xr:uid="{00000000-0005-0000-0000-0000DC120000}"/>
    <cellStyle name="Normal 4 2 2 4 7 2 3" xfId="12736" xr:uid="{C9D69123-350D-45E5-A016-73D45377E68E}"/>
    <cellStyle name="Normal 4 2 2 4 7 2 4" xfId="16947" xr:uid="{D07ECBA1-7324-490D-AFBB-3796803E5DDC}"/>
    <cellStyle name="Normal 4 2 2 4 7 3" xfId="6380" xr:uid="{00000000-0005-0000-0000-0000DD120000}"/>
    <cellStyle name="Normal 4 2 2 4 7 4" xfId="10591" xr:uid="{835B1945-C83F-4ADB-9E3F-275706D527CF}"/>
    <cellStyle name="Normal 4 2 2 4 7 5" xfId="14802" xr:uid="{7E774885-ACFF-4F07-89B0-8C97702F4D40}"/>
    <cellStyle name="Normal 4 2 2 4 8" xfId="2508" xr:uid="{00000000-0005-0000-0000-0000DE120000}"/>
    <cellStyle name="Normal 4 2 2 4 8 2" xfId="6793" xr:uid="{00000000-0005-0000-0000-0000DF120000}"/>
    <cellStyle name="Normal 4 2 2 4 8 3" xfId="11004" xr:uid="{9E47FF8F-22A2-4813-95DA-C1DA5859F873}"/>
    <cellStyle name="Normal 4 2 2 4 8 4" xfId="15215" xr:uid="{DBD1CF4A-0EFC-43BA-B789-5B474A014DA5}"/>
    <cellStyle name="Normal 4 2 2 4 9" xfId="4728" xr:uid="{00000000-0005-0000-0000-0000E0120000}"/>
    <cellStyle name="Normal 4 2 2 5" xfId="351" xr:uid="{00000000-0005-0000-0000-0000E1120000}"/>
    <cellStyle name="Normal 4 2 2 5 10" xfId="13154" xr:uid="{A2F344AD-C62D-456A-BDEA-F30F21037F3A}"/>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2 3" xfId="11502" xr:uid="{0CBF852B-B8DF-4C62-89F9-4AAE0D909D3A}"/>
    <cellStyle name="Normal 4 2 2 5 2 2 2 4" xfId="15713" xr:uid="{C12735A4-9409-4D71-BCF6-6E2D0AA7D8CC}"/>
    <cellStyle name="Normal 4 2 2 5 2 2 3" xfId="5146" xr:uid="{00000000-0005-0000-0000-0000E6120000}"/>
    <cellStyle name="Normal 4 2 2 5 2 2 4" xfId="9357" xr:uid="{6C7817CA-FACD-4B56-8F9B-E3EA64E50B08}"/>
    <cellStyle name="Normal 4 2 2 5 2 2 5" xfId="13568" xr:uid="{4519ACDF-2981-4AA9-A6D0-4A6C0A074FC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2 3" xfId="11915" xr:uid="{F5957007-4CBC-48B0-89EB-5244B28BA046}"/>
    <cellStyle name="Normal 4 2 2 5 2 3 2 4" xfId="16126" xr:uid="{67B0F2CB-1BE7-47D9-A7E4-06596EFC5B8B}"/>
    <cellStyle name="Normal 4 2 2 5 2 3 3" xfId="5559" xr:uid="{00000000-0005-0000-0000-0000EA120000}"/>
    <cellStyle name="Normal 4 2 2 5 2 3 4" xfId="9770" xr:uid="{1F66C394-8903-4688-B1FD-6F99817B7ED0}"/>
    <cellStyle name="Normal 4 2 2 5 2 3 5" xfId="13981" xr:uid="{1D0EFEA4-DCC4-43A2-B0AB-9A1432981583}"/>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2 3" xfId="12328" xr:uid="{BFD9E0ED-0B47-44E5-8608-052F07EC97C2}"/>
    <cellStyle name="Normal 4 2 2 5 2 4 2 4" xfId="16539" xr:uid="{03D43200-339A-4C99-9BFE-5483A64E748F}"/>
    <cellStyle name="Normal 4 2 2 5 2 4 3" xfId="5972" xr:uid="{00000000-0005-0000-0000-0000EE120000}"/>
    <cellStyle name="Normal 4 2 2 5 2 4 4" xfId="10183" xr:uid="{B1C5C8CE-CEA7-49BB-B50A-AF73A067DC41}"/>
    <cellStyle name="Normal 4 2 2 5 2 4 5" xfId="14394" xr:uid="{2180EAA7-1B18-44B6-A71A-7934C2BF5B0D}"/>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2 3" xfId="12741" xr:uid="{D83B6477-141D-49FA-98FB-4F49798EA349}"/>
    <cellStyle name="Normal 4 2 2 5 2 5 2 4" xfId="16952" xr:uid="{335B3163-2555-4C61-BEEE-F5F36D73D944}"/>
    <cellStyle name="Normal 4 2 2 5 2 5 3" xfId="6385" xr:uid="{00000000-0005-0000-0000-0000F2120000}"/>
    <cellStyle name="Normal 4 2 2 5 2 5 4" xfId="10596" xr:uid="{1D10660C-91B6-4C75-A788-33B915E2C06B}"/>
    <cellStyle name="Normal 4 2 2 5 2 5 5" xfId="14807" xr:uid="{EBCD8E21-F75B-43D1-B74D-B8D637ABF2B9}"/>
    <cellStyle name="Normal 4 2 2 5 2 6" xfId="2513" xr:uid="{00000000-0005-0000-0000-0000F3120000}"/>
    <cellStyle name="Normal 4 2 2 5 2 6 2" xfId="6798" xr:uid="{00000000-0005-0000-0000-0000F4120000}"/>
    <cellStyle name="Normal 4 2 2 5 2 6 3" xfId="11009" xr:uid="{76CE7825-AC7C-4D22-A467-7003963D1CFA}"/>
    <cellStyle name="Normal 4 2 2 5 2 6 4" xfId="15220" xr:uid="{D9C8E41A-6A87-468F-AD9E-2E70092321D6}"/>
    <cellStyle name="Normal 4 2 2 5 2 7" xfId="4733" xr:uid="{00000000-0005-0000-0000-0000F5120000}"/>
    <cellStyle name="Normal 4 2 2 5 2 8" xfId="8944" xr:uid="{3608FB25-4AF6-4AC1-A4A6-F7D12A4626D3}"/>
    <cellStyle name="Normal 4 2 2 5 2 9" xfId="13155" xr:uid="{3D4AF8FB-5768-4814-9A84-AFC864676DAF}"/>
    <cellStyle name="Normal 4 2 2 5 3" xfId="829" xr:uid="{00000000-0005-0000-0000-0000F6120000}"/>
    <cellStyle name="Normal 4 2 2 5 3 2" xfId="3066" xr:uid="{00000000-0005-0000-0000-0000F7120000}"/>
    <cellStyle name="Normal 4 2 2 5 3 2 2" xfId="7290" xr:uid="{00000000-0005-0000-0000-0000F8120000}"/>
    <cellStyle name="Normal 4 2 2 5 3 2 3" xfId="11501" xr:uid="{AA0FEECD-6FEE-492E-B282-BB8D960D66B0}"/>
    <cellStyle name="Normal 4 2 2 5 3 2 4" xfId="15712" xr:uid="{99C2DCFC-D4D0-44BA-992D-F8870F5DBD66}"/>
    <cellStyle name="Normal 4 2 2 5 3 3" xfId="5145" xr:uid="{00000000-0005-0000-0000-0000F9120000}"/>
    <cellStyle name="Normal 4 2 2 5 3 4" xfId="9356" xr:uid="{7B21147F-AE1D-4D09-80E5-9499757F6FBC}"/>
    <cellStyle name="Normal 4 2 2 5 3 5" xfId="13567" xr:uid="{4B2E6C98-1F43-4EF8-B831-567576709A05}"/>
    <cellStyle name="Normal 4 2 2 5 4" xfId="1249" xr:uid="{00000000-0005-0000-0000-0000FA120000}"/>
    <cellStyle name="Normal 4 2 2 5 4 2" xfId="3479" xr:uid="{00000000-0005-0000-0000-0000FB120000}"/>
    <cellStyle name="Normal 4 2 2 5 4 2 2" xfId="7703" xr:uid="{00000000-0005-0000-0000-0000FC120000}"/>
    <cellStyle name="Normal 4 2 2 5 4 2 3" xfId="11914" xr:uid="{44062E5D-4B1E-4BC9-992E-6D12F4B3AAAA}"/>
    <cellStyle name="Normal 4 2 2 5 4 2 4" xfId="16125" xr:uid="{FBD84FB1-6874-4BFC-9631-1572B6377B8A}"/>
    <cellStyle name="Normal 4 2 2 5 4 3" xfId="5558" xr:uid="{00000000-0005-0000-0000-0000FD120000}"/>
    <cellStyle name="Normal 4 2 2 5 4 4" xfId="9769" xr:uid="{ABD97F17-EA95-4C33-A091-547CD8680374}"/>
    <cellStyle name="Normal 4 2 2 5 4 5" xfId="13980" xr:uid="{486EF237-5C5E-4C09-BC5D-5BB3687C7D85}"/>
    <cellStyle name="Normal 4 2 2 5 5" xfId="1662" xr:uid="{00000000-0005-0000-0000-0000FE120000}"/>
    <cellStyle name="Normal 4 2 2 5 5 2" xfId="3892" xr:uid="{00000000-0005-0000-0000-0000FF120000}"/>
    <cellStyle name="Normal 4 2 2 5 5 2 2" xfId="8116" xr:uid="{00000000-0005-0000-0000-000000130000}"/>
    <cellStyle name="Normal 4 2 2 5 5 2 3" xfId="12327" xr:uid="{FAB6E1D3-DEF6-4543-8F0E-F454F3C73F1B}"/>
    <cellStyle name="Normal 4 2 2 5 5 2 4" xfId="16538" xr:uid="{6A6DB9C3-B898-4802-8E10-9103D7DC4453}"/>
    <cellStyle name="Normal 4 2 2 5 5 3" xfId="5971" xr:uid="{00000000-0005-0000-0000-000001130000}"/>
    <cellStyle name="Normal 4 2 2 5 5 4" xfId="10182" xr:uid="{12A8FB45-0512-4045-B435-6D7755DC0B6D}"/>
    <cellStyle name="Normal 4 2 2 5 5 5" xfId="14393" xr:uid="{6653B53B-06E5-4CA2-BFE4-27DB0DE41EFD}"/>
    <cellStyle name="Normal 4 2 2 5 6" xfId="2076" xr:uid="{00000000-0005-0000-0000-000002130000}"/>
    <cellStyle name="Normal 4 2 2 5 6 2" xfId="4305" xr:uid="{00000000-0005-0000-0000-000003130000}"/>
    <cellStyle name="Normal 4 2 2 5 6 2 2" xfId="8529" xr:uid="{00000000-0005-0000-0000-000004130000}"/>
    <cellStyle name="Normal 4 2 2 5 6 2 3" xfId="12740" xr:uid="{9E731E1A-CF3C-4D58-8F14-7D241FB01F77}"/>
    <cellStyle name="Normal 4 2 2 5 6 2 4" xfId="16951" xr:uid="{52107AB8-41C4-402F-A4CD-C9FA4C6476E0}"/>
    <cellStyle name="Normal 4 2 2 5 6 3" xfId="6384" xr:uid="{00000000-0005-0000-0000-000005130000}"/>
    <cellStyle name="Normal 4 2 2 5 6 4" xfId="10595" xr:uid="{C0FD250F-2C24-4A6C-8C9D-4BF1F7F15AD8}"/>
    <cellStyle name="Normal 4 2 2 5 6 5" xfId="14806" xr:uid="{F1E03962-E270-4481-AFBC-49B76788C342}"/>
    <cellStyle name="Normal 4 2 2 5 7" xfId="2512" xr:uid="{00000000-0005-0000-0000-000006130000}"/>
    <cellStyle name="Normal 4 2 2 5 7 2" xfId="6797" xr:uid="{00000000-0005-0000-0000-000007130000}"/>
    <cellStyle name="Normal 4 2 2 5 7 3" xfId="11008" xr:uid="{AB7500E6-96AD-429E-95E3-738DE2824916}"/>
    <cellStyle name="Normal 4 2 2 5 7 4" xfId="15219" xr:uid="{12C6DBA4-799B-483A-B6A8-C5B0F7069229}"/>
    <cellStyle name="Normal 4 2 2 5 8" xfId="4732" xr:uid="{00000000-0005-0000-0000-000008130000}"/>
    <cellStyle name="Normal 4 2 2 5 9" xfId="8943" xr:uid="{F8F89DE5-BCD8-4395-BAA3-8DC67D8D3A95}"/>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2 3" xfId="11503" xr:uid="{2319EE27-6E13-49B3-BC97-1C57D38FD9A1}"/>
    <cellStyle name="Normal 4 2 2 6 2 2 4" xfId="15714" xr:uid="{B8B0AD70-FD60-490B-BB72-8BD83A0225E1}"/>
    <cellStyle name="Normal 4 2 2 6 2 3" xfId="5147" xr:uid="{00000000-0005-0000-0000-00000D130000}"/>
    <cellStyle name="Normal 4 2 2 6 2 4" xfId="9358" xr:uid="{11EB9518-D1F2-4504-885E-57D7B8C81339}"/>
    <cellStyle name="Normal 4 2 2 6 2 5" xfId="13569" xr:uid="{EBFBE59C-8491-45AD-B68A-867DD5DEE2D3}"/>
    <cellStyle name="Normal 4 2 2 6 3" xfId="1251" xr:uid="{00000000-0005-0000-0000-00000E130000}"/>
    <cellStyle name="Normal 4 2 2 6 3 2" xfId="3481" xr:uid="{00000000-0005-0000-0000-00000F130000}"/>
    <cellStyle name="Normal 4 2 2 6 3 2 2" xfId="7705" xr:uid="{00000000-0005-0000-0000-000010130000}"/>
    <cellStyle name="Normal 4 2 2 6 3 2 3" xfId="11916" xr:uid="{397EF5A4-D42B-4EBA-809E-BA086B69F923}"/>
    <cellStyle name="Normal 4 2 2 6 3 2 4" xfId="16127" xr:uid="{61259E67-BB23-4421-8335-F5A08D1D6538}"/>
    <cellStyle name="Normal 4 2 2 6 3 3" xfId="5560" xr:uid="{00000000-0005-0000-0000-000011130000}"/>
    <cellStyle name="Normal 4 2 2 6 3 4" xfId="9771" xr:uid="{51619FC1-A32E-4333-AA73-1A6C7B21E6D9}"/>
    <cellStyle name="Normal 4 2 2 6 3 5" xfId="13982" xr:uid="{05E9DB22-0B7A-42B9-A5AE-CE473E279072}"/>
    <cellStyle name="Normal 4 2 2 6 4" xfId="1664" xr:uid="{00000000-0005-0000-0000-000012130000}"/>
    <cellStyle name="Normal 4 2 2 6 4 2" xfId="3894" xr:uid="{00000000-0005-0000-0000-000013130000}"/>
    <cellStyle name="Normal 4 2 2 6 4 2 2" xfId="8118" xr:uid="{00000000-0005-0000-0000-000014130000}"/>
    <cellStyle name="Normal 4 2 2 6 4 2 3" xfId="12329" xr:uid="{EEC9BAB5-4170-4D18-9E7F-3ED303028D35}"/>
    <cellStyle name="Normal 4 2 2 6 4 2 4" xfId="16540" xr:uid="{753C7C9B-9162-434C-801E-2D902E743B36}"/>
    <cellStyle name="Normal 4 2 2 6 4 3" xfId="5973" xr:uid="{00000000-0005-0000-0000-000015130000}"/>
    <cellStyle name="Normal 4 2 2 6 4 4" xfId="10184" xr:uid="{5D9E3BB1-64C5-4E0B-8741-2FF606A7CAE4}"/>
    <cellStyle name="Normal 4 2 2 6 4 5" xfId="14395" xr:uid="{3DA76AF7-5A07-4150-A8AD-B364D29E0028}"/>
    <cellStyle name="Normal 4 2 2 6 5" xfId="2078" xr:uid="{00000000-0005-0000-0000-000016130000}"/>
    <cellStyle name="Normal 4 2 2 6 5 2" xfId="4307" xr:uid="{00000000-0005-0000-0000-000017130000}"/>
    <cellStyle name="Normal 4 2 2 6 5 2 2" xfId="8531" xr:uid="{00000000-0005-0000-0000-000018130000}"/>
    <cellStyle name="Normal 4 2 2 6 5 2 3" xfId="12742" xr:uid="{E134B56D-ACE2-43C1-9CDE-4463C403A0B9}"/>
    <cellStyle name="Normal 4 2 2 6 5 2 4" xfId="16953" xr:uid="{91D6BEB0-AE73-412F-A59C-369C8906205E}"/>
    <cellStyle name="Normal 4 2 2 6 5 3" xfId="6386" xr:uid="{00000000-0005-0000-0000-000019130000}"/>
    <cellStyle name="Normal 4 2 2 6 5 4" xfId="10597" xr:uid="{52584889-75D7-432A-9C02-7F9885F5E57E}"/>
    <cellStyle name="Normal 4 2 2 6 5 5" xfId="14808" xr:uid="{4EA8EE67-A2BA-4C9B-AC48-6B4641455B13}"/>
    <cellStyle name="Normal 4 2 2 6 6" xfId="2514" xr:uid="{00000000-0005-0000-0000-00001A130000}"/>
    <cellStyle name="Normal 4 2 2 6 6 2" xfId="6799" xr:uid="{00000000-0005-0000-0000-00001B130000}"/>
    <cellStyle name="Normal 4 2 2 6 6 3" xfId="11010" xr:uid="{3E3C4176-E695-4190-91B5-5B95A44C8C01}"/>
    <cellStyle name="Normal 4 2 2 6 6 4" xfId="15221" xr:uid="{C1275CCA-B10A-4968-83FF-5198ED115298}"/>
    <cellStyle name="Normal 4 2 2 6 7" xfId="4734" xr:uid="{00000000-0005-0000-0000-00001C130000}"/>
    <cellStyle name="Normal 4 2 2 6 8" xfId="8945" xr:uid="{8A88A31F-4DCA-48C7-93EE-4B23B7BF446A}"/>
    <cellStyle name="Normal 4 2 2 6 9" xfId="13156" xr:uid="{4B43B250-2B91-4883-93A1-19369FDEF9FF}"/>
    <cellStyle name="Normal 4 2 2 7" xfId="816" xr:uid="{00000000-0005-0000-0000-00001D130000}"/>
    <cellStyle name="Normal 4 2 2 7 2" xfId="3053" xr:uid="{00000000-0005-0000-0000-00001E130000}"/>
    <cellStyle name="Normal 4 2 2 7 2 2" xfId="7277" xr:uid="{00000000-0005-0000-0000-00001F130000}"/>
    <cellStyle name="Normal 4 2 2 7 2 3" xfId="11488" xr:uid="{B016EE85-5FE0-407C-B6C9-B86FD7666A53}"/>
    <cellStyle name="Normal 4 2 2 7 2 4" xfId="15699" xr:uid="{E9F48BF5-C3FD-4D9F-9A9E-893748DD5B2E}"/>
    <cellStyle name="Normal 4 2 2 7 3" xfId="5132" xr:uid="{00000000-0005-0000-0000-000020130000}"/>
    <cellStyle name="Normal 4 2 2 7 4" xfId="9343" xr:uid="{44B7822C-32F5-4208-936F-940A5531F59C}"/>
    <cellStyle name="Normal 4 2 2 7 5" xfId="13554" xr:uid="{E264A1D4-4381-42D7-9E14-3591754191F0}"/>
    <cellStyle name="Normal 4 2 2 8" xfId="1236" xr:uid="{00000000-0005-0000-0000-000021130000}"/>
    <cellStyle name="Normal 4 2 2 8 2" xfId="3466" xr:uid="{00000000-0005-0000-0000-000022130000}"/>
    <cellStyle name="Normal 4 2 2 8 2 2" xfId="7690" xr:uid="{00000000-0005-0000-0000-000023130000}"/>
    <cellStyle name="Normal 4 2 2 8 2 3" xfId="11901" xr:uid="{18CC2539-3D32-49D5-809B-5442A2832357}"/>
    <cellStyle name="Normal 4 2 2 8 2 4" xfId="16112" xr:uid="{299494DB-B868-4DF9-8237-6E2CA0FE5CD9}"/>
    <cellStyle name="Normal 4 2 2 8 3" xfId="5545" xr:uid="{00000000-0005-0000-0000-000024130000}"/>
    <cellStyle name="Normal 4 2 2 8 4" xfId="9756" xr:uid="{8A18B522-A17F-4379-B0CC-C2687E78A5D4}"/>
    <cellStyle name="Normal 4 2 2 8 5" xfId="13967" xr:uid="{9577AE28-58DE-4401-B406-D03207CD809E}"/>
    <cellStyle name="Normal 4 2 2 9" xfId="1649" xr:uid="{00000000-0005-0000-0000-000025130000}"/>
    <cellStyle name="Normal 4 2 2 9 2" xfId="3879" xr:uid="{00000000-0005-0000-0000-000026130000}"/>
    <cellStyle name="Normal 4 2 2 9 2 2" xfId="8103" xr:uid="{00000000-0005-0000-0000-000027130000}"/>
    <cellStyle name="Normal 4 2 2 9 2 3" xfId="12314" xr:uid="{DB50419C-3344-415E-B890-23580994ADE5}"/>
    <cellStyle name="Normal 4 2 2 9 2 4" xfId="16525" xr:uid="{ED2FD604-B68F-48EC-A5E7-9DFCF08BD096}"/>
    <cellStyle name="Normal 4 2 2 9 3" xfId="5958" xr:uid="{00000000-0005-0000-0000-000028130000}"/>
    <cellStyle name="Normal 4 2 2 9 4" xfId="10169" xr:uid="{D25D8CE6-A8FA-4CC6-B918-F023FC883364}"/>
    <cellStyle name="Normal 4 2 2 9 5" xfId="14380" xr:uid="{36D7DAFE-C30A-4F58-B1BE-9B56FC720B1F}"/>
    <cellStyle name="Normal 4 2 3" xfId="354" xr:uid="{00000000-0005-0000-0000-000029130000}"/>
    <cellStyle name="Normal 4 2 4" xfId="355" xr:uid="{00000000-0005-0000-0000-00002A130000}"/>
    <cellStyle name="Normal 4 2 4 10" xfId="4735" xr:uid="{00000000-0005-0000-0000-00002B130000}"/>
    <cellStyle name="Normal 4 2 4 11" xfId="8946" xr:uid="{BCAEE056-F0D1-4B9E-A7DA-C8C8779F12DF}"/>
    <cellStyle name="Normal 4 2 4 12" xfId="13157" xr:uid="{1A54409B-4B98-47C4-A7AF-1858B99CD98E}"/>
    <cellStyle name="Normal 4 2 4 2" xfId="356" xr:uid="{00000000-0005-0000-0000-00002C130000}"/>
    <cellStyle name="Normal 4 2 4 2 10" xfId="8947" xr:uid="{B6C7AD83-2129-45B8-BA4B-A15F3B73DDCF}"/>
    <cellStyle name="Normal 4 2 4 2 11" xfId="13158" xr:uid="{D97F3ADA-4BF9-4412-9A0E-549DA63F625A}"/>
    <cellStyle name="Normal 4 2 4 2 2" xfId="357" xr:uid="{00000000-0005-0000-0000-00002D130000}"/>
    <cellStyle name="Normal 4 2 4 2 2 10" xfId="13159" xr:uid="{CA625AAD-277E-4944-883E-AC38481C4739}"/>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2 3" xfId="11507" xr:uid="{F9AEB0D8-6D8D-4E61-A834-F32207500519}"/>
    <cellStyle name="Normal 4 2 4 2 2 2 2 2 4" xfId="15718" xr:uid="{123041BD-087F-41C4-93A8-45A205055EAC}"/>
    <cellStyle name="Normal 4 2 4 2 2 2 2 3" xfId="5151" xr:uid="{00000000-0005-0000-0000-000032130000}"/>
    <cellStyle name="Normal 4 2 4 2 2 2 2 4" xfId="9362" xr:uid="{5586AD44-A1FB-40CB-AFD4-E67DD7A20CE8}"/>
    <cellStyle name="Normal 4 2 4 2 2 2 2 5" xfId="13573" xr:uid="{DD439DA0-C3A8-4316-B018-3A0D1C8473DB}"/>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2 3" xfId="11920" xr:uid="{7BDE6FC0-073A-4D3E-9AC2-07B9F5390213}"/>
    <cellStyle name="Normal 4 2 4 2 2 2 3 2 4" xfId="16131" xr:uid="{EFF54835-85C0-4D94-8355-F2911240A230}"/>
    <cellStyle name="Normal 4 2 4 2 2 2 3 3" xfId="5564" xr:uid="{00000000-0005-0000-0000-000036130000}"/>
    <cellStyle name="Normal 4 2 4 2 2 2 3 4" xfId="9775" xr:uid="{1642260A-3045-4DB8-A392-862A16F70459}"/>
    <cellStyle name="Normal 4 2 4 2 2 2 3 5" xfId="13986" xr:uid="{B8F3AD35-544A-4EA4-B426-ED7EA8179324}"/>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2 3" xfId="12333" xr:uid="{7CD6CC0E-6F4D-4C6F-8A49-0BEB19928557}"/>
    <cellStyle name="Normal 4 2 4 2 2 2 4 2 4" xfId="16544" xr:uid="{CDFDA5EF-3E81-42A3-B77A-3115C05761EF}"/>
    <cellStyle name="Normal 4 2 4 2 2 2 4 3" xfId="5977" xr:uid="{00000000-0005-0000-0000-00003A130000}"/>
    <cellStyle name="Normal 4 2 4 2 2 2 4 4" xfId="10188" xr:uid="{1AA78F0A-490C-4509-B31F-120B6658ABB1}"/>
    <cellStyle name="Normal 4 2 4 2 2 2 4 5" xfId="14399" xr:uid="{342D9650-EA97-4CB8-860D-39A275498AD6}"/>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2 3" xfId="12746" xr:uid="{43CEC54B-A15F-4AFE-8DC3-60D63CD89E42}"/>
    <cellStyle name="Normal 4 2 4 2 2 2 5 2 4" xfId="16957" xr:uid="{822BD6F0-B54E-4F1E-869B-AECE3910C235}"/>
    <cellStyle name="Normal 4 2 4 2 2 2 5 3" xfId="6390" xr:uid="{00000000-0005-0000-0000-00003E130000}"/>
    <cellStyle name="Normal 4 2 4 2 2 2 5 4" xfId="10601" xr:uid="{4C6E09D8-4B54-4EF7-9EC5-F168BC52FEEE}"/>
    <cellStyle name="Normal 4 2 4 2 2 2 5 5" xfId="14812" xr:uid="{EE7B9701-E395-4865-8D3E-C18ACB7BBB9D}"/>
    <cellStyle name="Normal 4 2 4 2 2 2 6" xfId="2518" xr:uid="{00000000-0005-0000-0000-00003F130000}"/>
    <cellStyle name="Normal 4 2 4 2 2 2 6 2" xfId="6803" xr:uid="{00000000-0005-0000-0000-000040130000}"/>
    <cellStyle name="Normal 4 2 4 2 2 2 6 3" xfId="11014" xr:uid="{15C32771-01A2-403C-B06D-89F602F0F1B7}"/>
    <cellStyle name="Normal 4 2 4 2 2 2 6 4" xfId="15225" xr:uid="{FF2009FA-E0E5-4E84-946A-BF84F02D39EC}"/>
    <cellStyle name="Normal 4 2 4 2 2 2 7" xfId="4738" xr:uid="{00000000-0005-0000-0000-000041130000}"/>
    <cellStyle name="Normal 4 2 4 2 2 2 8" xfId="8949" xr:uid="{B1ACA6FE-280D-4265-A37D-FD08F4F97C9D}"/>
    <cellStyle name="Normal 4 2 4 2 2 2 9" xfId="13160" xr:uid="{3776DDF7-FFEB-483E-921B-297A8599FDE4}"/>
    <cellStyle name="Normal 4 2 4 2 2 3" xfId="834" xr:uid="{00000000-0005-0000-0000-000042130000}"/>
    <cellStyle name="Normal 4 2 4 2 2 3 2" xfId="3071" xr:uid="{00000000-0005-0000-0000-000043130000}"/>
    <cellStyle name="Normal 4 2 4 2 2 3 2 2" xfId="7295" xr:uid="{00000000-0005-0000-0000-000044130000}"/>
    <cellStyle name="Normal 4 2 4 2 2 3 2 3" xfId="11506" xr:uid="{B460436A-9837-4E4C-8D6C-80E6F9CF6E0E}"/>
    <cellStyle name="Normal 4 2 4 2 2 3 2 4" xfId="15717" xr:uid="{14C97C7C-82BD-4618-AE20-31D6F9A452CA}"/>
    <cellStyle name="Normal 4 2 4 2 2 3 3" xfId="5150" xr:uid="{00000000-0005-0000-0000-000045130000}"/>
    <cellStyle name="Normal 4 2 4 2 2 3 4" xfId="9361" xr:uid="{96B31541-B750-440D-A951-78FE9ACFBC66}"/>
    <cellStyle name="Normal 4 2 4 2 2 3 5" xfId="13572" xr:uid="{49251121-6483-468C-AF24-E26F134A1363}"/>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2 3" xfId="11919" xr:uid="{7340FFF8-67EA-4590-A2FA-26BAA5B200FD}"/>
    <cellStyle name="Normal 4 2 4 2 2 4 2 4" xfId="16130" xr:uid="{CA21119A-7606-4A6C-AA5E-9EF627581DB5}"/>
    <cellStyle name="Normal 4 2 4 2 2 4 3" xfId="5563" xr:uid="{00000000-0005-0000-0000-000049130000}"/>
    <cellStyle name="Normal 4 2 4 2 2 4 4" xfId="9774" xr:uid="{3DEC44E0-6ACE-4B6B-9097-652C7AE2AD7C}"/>
    <cellStyle name="Normal 4 2 4 2 2 4 5" xfId="13985" xr:uid="{D535EF66-44D8-4574-9C17-877D00A1DEDD}"/>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2 3" xfId="12332" xr:uid="{D2CE1DB5-3490-4F69-93E9-5D746F203CF4}"/>
    <cellStyle name="Normal 4 2 4 2 2 5 2 4" xfId="16543" xr:uid="{530D3B00-E31F-40C0-9EFE-229E80232811}"/>
    <cellStyle name="Normal 4 2 4 2 2 5 3" xfId="5976" xr:uid="{00000000-0005-0000-0000-00004D130000}"/>
    <cellStyle name="Normal 4 2 4 2 2 5 4" xfId="10187" xr:uid="{9CDA64D0-033A-4A1C-AD72-112AD0819FAE}"/>
    <cellStyle name="Normal 4 2 4 2 2 5 5" xfId="14398" xr:uid="{4CDB13D2-0C12-4A9B-8638-D382E5D1A87A}"/>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2 3" xfId="12745" xr:uid="{9EA8FA76-E231-45F2-84F9-FDD28E668A98}"/>
    <cellStyle name="Normal 4 2 4 2 2 6 2 4" xfId="16956" xr:uid="{9C06D991-23DC-4297-B645-D2C9057556B6}"/>
    <cellStyle name="Normal 4 2 4 2 2 6 3" xfId="6389" xr:uid="{00000000-0005-0000-0000-000051130000}"/>
    <cellStyle name="Normal 4 2 4 2 2 6 4" xfId="10600" xr:uid="{034ACA81-3AA6-447C-9BD9-55D1EF33A482}"/>
    <cellStyle name="Normal 4 2 4 2 2 6 5" xfId="14811" xr:uid="{695435A6-4057-4D32-B345-415365F1EB76}"/>
    <cellStyle name="Normal 4 2 4 2 2 7" xfId="2517" xr:uid="{00000000-0005-0000-0000-000052130000}"/>
    <cellStyle name="Normal 4 2 4 2 2 7 2" xfId="6802" xr:uid="{00000000-0005-0000-0000-000053130000}"/>
    <cellStyle name="Normal 4 2 4 2 2 7 3" xfId="11013" xr:uid="{D10429AF-F56F-4136-AC6D-A4434CBD9192}"/>
    <cellStyle name="Normal 4 2 4 2 2 7 4" xfId="15224" xr:uid="{95057275-54AD-48E9-982C-5132B1065DFC}"/>
    <cellStyle name="Normal 4 2 4 2 2 8" xfId="4737" xr:uid="{00000000-0005-0000-0000-000054130000}"/>
    <cellStyle name="Normal 4 2 4 2 2 9" xfId="8948" xr:uid="{8EA9EC8C-C092-44FA-A3F2-150147F3A01D}"/>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2 3" xfId="11508" xr:uid="{64A6AB34-408C-4C05-9363-3C93DB206265}"/>
    <cellStyle name="Normal 4 2 4 2 3 2 2 4" xfId="15719" xr:uid="{876A8EAE-869B-462F-89FA-2D5B8BB14514}"/>
    <cellStyle name="Normal 4 2 4 2 3 2 3" xfId="5152" xr:uid="{00000000-0005-0000-0000-000059130000}"/>
    <cellStyle name="Normal 4 2 4 2 3 2 4" xfId="9363" xr:uid="{290B5A2C-281F-4B84-8360-9773B2481CA4}"/>
    <cellStyle name="Normal 4 2 4 2 3 2 5" xfId="13574" xr:uid="{9F07251D-158A-48BC-92BE-7016293DA8CB}"/>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2 3" xfId="11921" xr:uid="{B0DE86C2-7453-4F5F-A4A2-F0E03849F1E0}"/>
    <cellStyle name="Normal 4 2 4 2 3 3 2 4" xfId="16132" xr:uid="{F8A73A09-7DB3-4DDD-9A30-00F2A831320D}"/>
    <cellStyle name="Normal 4 2 4 2 3 3 3" xfId="5565" xr:uid="{00000000-0005-0000-0000-00005D130000}"/>
    <cellStyle name="Normal 4 2 4 2 3 3 4" xfId="9776" xr:uid="{72EA274D-8E18-4880-BDD5-808D39FB1FD1}"/>
    <cellStyle name="Normal 4 2 4 2 3 3 5" xfId="13987" xr:uid="{07F9EF7D-1BFB-4CEB-8CB6-B1D77B405D58}"/>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2 3" xfId="12334" xr:uid="{3C4E629B-ABC9-4C0E-A41E-C451ABEC1438}"/>
    <cellStyle name="Normal 4 2 4 2 3 4 2 4" xfId="16545" xr:uid="{8AFEC9A3-5153-4533-AC5D-670BABE83390}"/>
    <cellStyle name="Normal 4 2 4 2 3 4 3" xfId="5978" xr:uid="{00000000-0005-0000-0000-000061130000}"/>
    <cellStyle name="Normal 4 2 4 2 3 4 4" xfId="10189" xr:uid="{7E04D053-D3E6-4CC4-83ED-B7B6379D7842}"/>
    <cellStyle name="Normal 4 2 4 2 3 4 5" xfId="14400" xr:uid="{2129146C-7AB8-4467-B7B2-92A828FD0F42}"/>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2 3" xfId="12747" xr:uid="{3D369A62-7A85-40E6-99B1-20C13FD61434}"/>
    <cellStyle name="Normal 4 2 4 2 3 5 2 4" xfId="16958" xr:uid="{FCF6314F-B154-46AA-A58F-20C466F0D55A}"/>
    <cellStyle name="Normal 4 2 4 2 3 5 3" xfId="6391" xr:uid="{00000000-0005-0000-0000-000065130000}"/>
    <cellStyle name="Normal 4 2 4 2 3 5 4" xfId="10602" xr:uid="{B41DAA4F-6491-4D5E-B1D6-01CF2F3B9F30}"/>
    <cellStyle name="Normal 4 2 4 2 3 5 5" xfId="14813" xr:uid="{6DBCBDC7-9456-469E-B2CF-D392AAB32D8A}"/>
    <cellStyle name="Normal 4 2 4 2 3 6" xfId="2519" xr:uid="{00000000-0005-0000-0000-000066130000}"/>
    <cellStyle name="Normal 4 2 4 2 3 6 2" xfId="6804" xr:uid="{00000000-0005-0000-0000-000067130000}"/>
    <cellStyle name="Normal 4 2 4 2 3 6 3" xfId="11015" xr:uid="{F2F9E7DC-F5E8-4495-8010-0119D14723E1}"/>
    <cellStyle name="Normal 4 2 4 2 3 6 4" xfId="15226" xr:uid="{650A9114-AB36-4CBC-A9BE-6D299AC879C7}"/>
    <cellStyle name="Normal 4 2 4 2 3 7" xfId="4739" xr:uid="{00000000-0005-0000-0000-000068130000}"/>
    <cellStyle name="Normal 4 2 4 2 3 8" xfId="8950" xr:uid="{6438DB47-A987-45EF-BD4B-A2FCB5111D15}"/>
    <cellStyle name="Normal 4 2 4 2 3 9" xfId="13161" xr:uid="{861EE8A5-5E98-4A5D-B3F6-1D5E02DE544D}"/>
    <cellStyle name="Normal 4 2 4 2 4" xfId="833" xr:uid="{00000000-0005-0000-0000-000069130000}"/>
    <cellStyle name="Normal 4 2 4 2 4 2" xfId="3070" xr:uid="{00000000-0005-0000-0000-00006A130000}"/>
    <cellStyle name="Normal 4 2 4 2 4 2 2" xfId="7294" xr:uid="{00000000-0005-0000-0000-00006B130000}"/>
    <cellStyle name="Normal 4 2 4 2 4 2 3" xfId="11505" xr:uid="{7EB13124-A943-4930-A3E8-227B5F652053}"/>
    <cellStyle name="Normal 4 2 4 2 4 2 4" xfId="15716" xr:uid="{CD7E79AB-6F07-415D-A0DE-14A9905DC353}"/>
    <cellStyle name="Normal 4 2 4 2 4 3" xfId="5149" xr:uid="{00000000-0005-0000-0000-00006C130000}"/>
    <cellStyle name="Normal 4 2 4 2 4 4" xfId="9360" xr:uid="{F8129866-44BD-4185-8D0F-7F998123F6FC}"/>
    <cellStyle name="Normal 4 2 4 2 4 5" xfId="13571" xr:uid="{2F53225C-435F-4985-8665-9939C7EAB064}"/>
    <cellStyle name="Normal 4 2 4 2 5" xfId="1253" xr:uid="{00000000-0005-0000-0000-00006D130000}"/>
    <cellStyle name="Normal 4 2 4 2 5 2" xfId="3483" xr:uid="{00000000-0005-0000-0000-00006E130000}"/>
    <cellStyle name="Normal 4 2 4 2 5 2 2" xfId="7707" xr:uid="{00000000-0005-0000-0000-00006F130000}"/>
    <cellStyle name="Normal 4 2 4 2 5 2 3" xfId="11918" xr:uid="{207EDEA2-5FAA-43FD-BC5B-E3C8A50D28E4}"/>
    <cellStyle name="Normal 4 2 4 2 5 2 4" xfId="16129" xr:uid="{034AE4D2-42BD-4693-A225-DC06FF05DC34}"/>
    <cellStyle name="Normal 4 2 4 2 5 3" xfId="5562" xr:uid="{00000000-0005-0000-0000-000070130000}"/>
    <cellStyle name="Normal 4 2 4 2 5 4" xfId="9773" xr:uid="{709A8495-F6DF-4178-8801-F158512A6A3E}"/>
    <cellStyle name="Normal 4 2 4 2 5 5" xfId="13984" xr:uid="{11432186-BBF6-4D1A-9347-055B045DD162}"/>
    <cellStyle name="Normal 4 2 4 2 6" xfId="1666" xr:uid="{00000000-0005-0000-0000-000071130000}"/>
    <cellStyle name="Normal 4 2 4 2 6 2" xfId="3896" xr:uid="{00000000-0005-0000-0000-000072130000}"/>
    <cellStyle name="Normal 4 2 4 2 6 2 2" xfId="8120" xr:uid="{00000000-0005-0000-0000-000073130000}"/>
    <cellStyle name="Normal 4 2 4 2 6 2 3" xfId="12331" xr:uid="{85F8AB63-4F50-4D6E-82CF-D5C284A34DB8}"/>
    <cellStyle name="Normal 4 2 4 2 6 2 4" xfId="16542" xr:uid="{8FA33FCF-64E3-4136-AC82-96E24827D586}"/>
    <cellStyle name="Normal 4 2 4 2 6 3" xfId="5975" xr:uid="{00000000-0005-0000-0000-000074130000}"/>
    <cellStyle name="Normal 4 2 4 2 6 4" xfId="10186" xr:uid="{0AC84201-5700-40EA-B42D-FD4CCBBE7983}"/>
    <cellStyle name="Normal 4 2 4 2 6 5" xfId="14397" xr:uid="{E5A8215D-104C-481C-ABC2-3664C3698658}"/>
    <cellStyle name="Normal 4 2 4 2 7" xfId="2080" xr:uid="{00000000-0005-0000-0000-000075130000}"/>
    <cellStyle name="Normal 4 2 4 2 7 2" xfId="4309" xr:uid="{00000000-0005-0000-0000-000076130000}"/>
    <cellStyle name="Normal 4 2 4 2 7 2 2" xfId="8533" xr:uid="{00000000-0005-0000-0000-000077130000}"/>
    <cellStyle name="Normal 4 2 4 2 7 2 3" xfId="12744" xr:uid="{1ABB2373-859B-43A4-8062-EE796DD7CE1A}"/>
    <cellStyle name="Normal 4 2 4 2 7 2 4" xfId="16955" xr:uid="{C306202A-2224-4C86-A071-F4DC132556FF}"/>
    <cellStyle name="Normal 4 2 4 2 7 3" xfId="6388" xr:uid="{00000000-0005-0000-0000-000078130000}"/>
    <cellStyle name="Normal 4 2 4 2 7 4" xfId="10599" xr:uid="{88198969-162E-44B7-A684-A16546FAC292}"/>
    <cellStyle name="Normal 4 2 4 2 7 5" xfId="14810" xr:uid="{9DA3736C-6B67-4D42-B2E9-9B0071825FA3}"/>
    <cellStyle name="Normal 4 2 4 2 8" xfId="2516" xr:uid="{00000000-0005-0000-0000-000079130000}"/>
    <cellStyle name="Normal 4 2 4 2 8 2" xfId="6801" xr:uid="{00000000-0005-0000-0000-00007A130000}"/>
    <cellStyle name="Normal 4 2 4 2 8 3" xfId="11012" xr:uid="{B4AF075E-AE61-483C-9557-8F3C1C9C5A0E}"/>
    <cellStyle name="Normal 4 2 4 2 8 4" xfId="15223" xr:uid="{E37BD2B0-4D21-43C8-98E7-A4BEDC95B62D}"/>
    <cellStyle name="Normal 4 2 4 2 9" xfId="4736" xr:uid="{00000000-0005-0000-0000-00007B130000}"/>
    <cellStyle name="Normal 4 2 4 3" xfId="360" xr:uid="{00000000-0005-0000-0000-00007C130000}"/>
    <cellStyle name="Normal 4 2 4 3 10" xfId="13162" xr:uid="{8F8B4F00-01C5-4AF1-8855-BAB7270A65F5}"/>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2 3" xfId="11510" xr:uid="{3C5D2B02-7932-4495-A750-91E756FD1FCC}"/>
    <cellStyle name="Normal 4 2 4 3 2 2 2 4" xfId="15721" xr:uid="{71EAE163-15B3-4FFF-B26C-997748B91363}"/>
    <cellStyle name="Normal 4 2 4 3 2 2 3" xfId="5154" xr:uid="{00000000-0005-0000-0000-000081130000}"/>
    <cellStyle name="Normal 4 2 4 3 2 2 4" xfId="9365" xr:uid="{9AF32E1D-0605-48F6-97F0-521414FD0505}"/>
    <cellStyle name="Normal 4 2 4 3 2 2 5" xfId="13576" xr:uid="{20F8D6AE-B996-46C2-B3CD-37EFDAB3C1D4}"/>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2 3" xfId="11923" xr:uid="{43981549-DDE9-47CE-9FAF-27873E198E15}"/>
    <cellStyle name="Normal 4 2 4 3 2 3 2 4" xfId="16134" xr:uid="{07E50E5D-AE4F-4474-85D7-3901DAD06166}"/>
    <cellStyle name="Normal 4 2 4 3 2 3 3" xfId="5567" xr:uid="{00000000-0005-0000-0000-000085130000}"/>
    <cellStyle name="Normal 4 2 4 3 2 3 4" xfId="9778" xr:uid="{D265D471-07E0-459A-87BE-6E68E873D29E}"/>
    <cellStyle name="Normal 4 2 4 3 2 3 5" xfId="13989" xr:uid="{F48A0EFC-6789-4A5D-BDA1-80288F525448}"/>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2 3" xfId="12336" xr:uid="{54185543-354B-4266-9FE1-0AB181D7985D}"/>
    <cellStyle name="Normal 4 2 4 3 2 4 2 4" xfId="16547" xr:uid="{B4BA244B-68DC-46DB-8F16-7B22C3941284}"/>
    <cellStyle name="Normal 4 2 4 3 2 4 3" xfId="5980" xr:uid="{00000000-0005-0000-0000-000089130000}"/>
    <cellStyle name="Normal 4 2 4 3 2 4 4" xfId="10191" xr:uid="{845379E5-32BA-4B03-A95F-A6630B9BC03F}"/>
    <cellStyle name="Normal 4 2 4 3 2 4 5" xfId="14402" xr:uid="{4BEC1D44-A551-4AE5-B1F1-B0B27505B6E7}"/>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2 3" xfId="12749" xr:uid="{29E649BF-3E2D-4AE1-B735-41F86B892498}"/>
    <cellStyle name="Normal 4 2 4 3 2 5 2 4" xfId="16960" xr:uid="{BADBBBF4-5556-4330-B28A-A5B9C4AA0D3A}"/>
    <cellStyle name="Normal 4 2 4 3 2 5 3" xfId="6393" xr:uid="{00000000-0005-0000-0000-00008D130000}"/>
    <cellStyle name="Normal 4 2 4 3 2 5 4" xfId="10604" xr:uid="{1897E248-A8BF-4A38-9664-9D4D42E7FAD9}"/>
    <cellStyle name="Normal 4 2 4 3 2 5 5" xfId="14815" xr:uid="{BFCB9368-38A4-48C3-88BD-9C500488B362}"/>
    <cellStyle name="Normal 4 2 4 3 2 6" xfId="2521" xr:uid="{00000000-0005-0000-0000-00008E130000}"/>
    <cellStyle name="Normal 4 2 4 3 2 6 2" xfId="6806" xr:uid="{00000000-0005-0000-0000-00008F130000}"/>
    <cellStyle name="Normal 4 2 4 3 2 6 3" xfId="11017" xr:uid="{0BBDF91C-1917-4D49-BF8D-2F0B702361D4}"/>
    <cellStyle name="Normal 4 2 4 3 2 6 4" xfId="15228" xr:uid="{7E039119-3463-46C5-B9B2-8757B3337CC4}"/>
    <cellStyle name="Normal 4 2 4 3 2 7" xfId="4741" xr:uid="{00000000-0005-0000-0000-000090130000}"/>
    <cellStyle name="Normal 4 2 4 3 2 8" xfId="8952" xr:uid="{CC235578-A397-4B51-8347-913326D009DC}"/>
    <cellStyle name="Normal 4 2 4 3 2 9" xfId="13163" xr:uid="{4C41E759-5018-4046-97C2-5B14615230EE}"/>
    <cellStyle name="Normal 4 2 4 3 3" xfId="837" xr:uid="{00000000-0005-0000-0000-000091130000}"/>
    <cellStyle name="Normal 4 2 4 3 3 2" xfId="3074" xr:uid="{00000000-0005-0000-0000-000092130000}"/>
    <cellStyle name="Normal 4 2 4 3 3 2 2" xfId="7298" xr:uid="{00000000-0005-0000-0000-000093130000}"/>
    <cellStyle name="Normal 4 2 4 3 3 2 3" xfId="11509" xr:uid="{5D7D3D74-78D4-4A09-833B-D18EF0576767}"/>
    <cellStyle name="Normal 4 2 4 3 3 2 4" xfId="15720" xr:uid="{26E011C9-9106-4FEA-9C22-CC2371D1289F}"/>
    <cellStyle name="Normal 4 2 4 3 3 3" xfId="5153" xr:uid="{00000000-0005-0000-0000-000094130000}"/>
    <cellStyle name="Normal 4 2 4 3 3 4" xfId="9364" xr:uid="{86A9B0E5-4F14-4BF3-8005-F28778C7C30E}"/>
    <cellStyle name="Normal 4 2 4 3 3 5" xfId="13575" xr:uid="{19B6D623-9ED8-4741-BF9D-BCB9C734CFBF}"/>
    <cellStyle name="Normal 4 2 4 3 4" xfId="1257" xr:uid="{00000000-0005-0000-0000-000095130000}"/>
    <cellStyle name="Normal 4 2 4 3 4 2" xfId="3487" xr:uid="{00000000-0005-0000-0000-000096130000}"/>
    <cellStyle name="Normal 4 2 4 3 4 2 2" xfId="7711" xr:uid="{00000000-0005-0000-0000-000097130000}"/>
    <cellStyle name="Normal 4 2 4 3 4 2 3" xfId="11922" xr:uid="{D86D6D34-6528-4251-85B4-8778AB8E6F59}"/>
    <cellStyle name="Normal 4 2 4 3 4 2 4" xfId="16133" xr:uid="{732879EC-796B-4ABA-A738-102291B16B14}"/>
    <cellStyle name="Normal 4 2 4 3 4 3" xfId="5566" xr:uid="{00000000-0005-0000-0000-000098130000}"/>
    <cellStyle name="Normal 4 2 4 3 4 4" xfId="9777" xr:uid="{D7FE33F8-0DA7-4937-9E7B-228845690E0C}"/>
    <cellStyle name="Normal 4 2 4 3 4 5" xfId="13988" xr:uid="{C5E9F343-095F-4178-80F2-5D4CF5DE67BF}"/>
    <cellStyle name="Normal 4 2 4 3 5" xfId="1670" xr:uid="{00000000-0005-0000-0000-000099130000}"/>
    <cellStyle name="Normal 4 2 4 3 5 2" xfId="3900" xr:uid="{00000000-0005-0000-0000-00009A130000}"/>
    <cellStyle name="Normal 4 2 4 3 5 2 2" xfId="8124" xr:uid="{00000000-0005-0000-0000-00009B130000}"/>
    <cellStyle name="Normal 4 2 4 3 5 2 3" xfId="12335" xr:uid="{D9B86B7E-8B95-49ED-B69E-FB0343663AC1}"/>
    <cellStyle name="Normal 4 2 4 3 5 2 4" xfId="16546" xr:uid="{E4EE0C3C-9F27-4737-855B-EBA9DE1EE1B7}"/>
    <cellStyle name="Normal 4 2 4 3 5 3" xfId="5979" xr:uid="{00000000-0005-0000-0000-00009C130000}"/>
    <cellStyle name="Normal 4 2 4 3 5 4" xfId="10190" xr:uid="{8FE87C5A-AB0E-4253-B473-933A2B764D09}"/>
    <cellStyle name="Normal 4 2 4 3 5 5" xfId="14401" xr:uid="{84F70F91-B6F2-462D-92B0-81C05558E893}"/>
    <cellStyle name="Normal 4 2 4 3 6" xfId="2084" xr:uid="{00000000-0005-0000-0000-00009D130000}"/>
    <cellStyle name="Normal 4 2 4 3 6 2" xfId="4313" xr:uid="{00000000-0005-0000-0000-00009E130000}"/>
    <cellStyle name="Normal 4 2 4 3 6 2 2" xfId="8537" xr:uid="{00000000-0005-0000-0000-00009F130000}"/>
    <cellStyle name="Normal 4 2 4 3 6 2 3" xfId="12748" xr:uid="{90EE08AE-4136-4955-9AE8-852F81287D8E}"/>
    <cellStyle name="Normal 4 2 4 3 6 2 4" xfId="16959" xr:uid="{52FC936A-D5FB-4A11-9589-4DDC9B4777BE}"/>
    <cellStyle name="Normal 4 2 4 3 6 3" xfId="6392" xr:uid="{00000000-0005-0000-0000-0000A0130000}"/>
    <cellStyle name="Normal 4 2 4 3 6 4" xfId="10603" xr:uid="{E548BDA4-E18B-4F7B-8DE6-2DC297E58C9B}"/>
    <cellStyle name="Normal 4 2 4 3 6 5" xfId="14814" xr:uid="{AEEB8A6D-381A-4A96-89F0-399B4FA08C6C}"/>
    <cellStyle name="Normal 4 2 4 3 7" xfId="2520" xr:uid="{00000000-0005-0000-0000-0000A1130000}"/>
    <cellStyle name="Normal 4 2 4 3 7 2" xfId="6805" xr:uid="{00000000-0005-0000-0000-0000A2130000}"/>
    <cellStyle name="Normal 4 2 4 3 7 3" xfId="11016" xr:uid="{EE22EE74-C160-4FE4-9E28-131C4ECCA4E0}"/>
    <cellStyle name="Normal 4 2 4 3 7 4" xfId="15227" xr:uid="{B4E888F9-5B6B-4706-B45C-D3A65576F23D}"/>
    <cellStyle name="Normal 4 2 4 3 8" xfId="4740" xr:uid="{00000000-0005-0000-0000-0000A3130000}"/>
    <cellStyle name="Normal 4 2 4 3 9" xfId="8951" xr:uid="{C5FC259E-9D2E-4D92-9E67-9FA2AB161831}"/>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2 3" xfId="11511" xr:uid="{B2ACB519-1026-48C2-9C2C-B073FAC41821}"/>
    <cellStyle name="Normal 4 2 4 4 2 2 4" xfId="15722" xr:uid="{B33CC2A3-C183-427D-8B8C-1829626B9FC8}"/>
    <cellStyle name="Normal 4 2 4 4 2 3" xfId="5155" xr:uid="{00000000-0005-0000-0000-0000A8130000}"/>
    <cellStyle name="Normal 4 2 4 4 2 4" xfId="9366" xr:uid="{B8B6DEF3-B79E-453C-80B8-075F09FCF62A}"/>
    <cellStyle name="Normal 4 2 4 4 2 5" xfId="13577" xr:uid="{80EE584F-4931-44C3-964A-8BA684D43C1E}"/>
    <cellStyle name="Normal 4 2 4 4 3" xfId="1259" xr:uid="{00000000-0005-0000-0000-0000A9130000}"/>
    <cellStyle name="Normal 4 2 4 4 3 2" xfId="3489" xr:uid="{00000000-0005-0000-0000-0000AA130000}"/>
    <cellStyle name="Normal 4 2 4 4 3 2 2" xfId="7713" xr:uid="{00000000-0005-0000-0000-0000AB130000}"/>
    <cellStyle name="Normal 4 2 4 4 3 2 3" xfId="11924" xr:uid="{DF339FF9-71CD-4C14-A00F-194AC4CA4023}"/>
    <cellStyle name="Normal 4 2 4 4 3 2 4" xfId="16135" xr:uid="{6D5408E6-38D8-44B2-8389-1FD7869ED217}"/>
    <cellStyle name="Normal 4 2 4 4 3 3" xfId="5568" xr:uid="{00000000-0005-0000-0000-0000AC130000}"/>
    <cellStyle name="Normal 4 2 4 4 3 4" xfId="9779" xr:uid="{7CA8FCA0-8ED1-4FF8-970A-D25A2F05A420}"/>
    <cellStyle name="Normal 4 2 4 4 3 5" xfId="13990" xr:uid="{CB547191-33EB-4156-8A41-037134E15082}"/>
    <cellStyle name="Normal 4 2 4 4 4" xfId="1672" xr:uid="{00000000-0005-0000-0000-0000AD130000}"/>
    <cellStyle name="Normal 4 2 4 4 4 2" xfId="3902" xr:uid="{00000000-0005-0000-0000-0000AE130000}"/>
    <cellStyle name="Normal 4 2 4 4 4 2 2" xfId="8126" xr:uid="{00000000-0005-0000-0000-0000AF130000}"/>
    <cellStyle name="Normal 4 2 4 4 4 2 3" xfId="12337" xr:uid="{7A45B196-CF1E-41A6-8724-200613409A11}"/>
    <cellStyle name="Normal 4 2 4 4 4 2 4" xfId="16548" xr:uid="{D0BAA21D-F608-445F-B36D-4549CAABA858}"/>
    <cellStyle name="Normal 4 2 4 4 4 3" xfId="5981" xr:uid="{00000000-0005-0000-0000-0000B0130000}"/>
    <cellStyle name="Normal 4 2 4 4 4 4" xfId="10192" xr:uid="{FCFE6B40-2F92-4FB6-93FB-73EB31511E04}"/>
    <cellStyle name="Normal 4 2 4 4 4 5" xfId="14403" xr:uid="{C02C1D1B-C459-4F46-8A21-C817E3C272D4}"/>
    <cellStyle name="Normal 4 2 4 4 5" xfId="2086" xr:uid="{00000000-0005-0000-0000-0000B1130000}"/>
    <cellStyle name="Normal 4 2 4 4 5 2" xfId="4315" xr:uid="{00000000-0005-0000-0000-0000B2130000}"/>
    <cellStyle name="Normal 4 2 4 4 5 2 2" xfId="8539" xr:uid="{00000000-0005-0000-0000-0000B3130000}"/>
    <cellStyle name="Normal 4 2 4 4 5 2 3" xfId="12750" xr:uid="{A8CD65CB-1489-49F5-BCCF-8691B4AFD540}"/>
    <cellStyle name="Normal 4 2 4 4 5 2 4" xfId="16961" xr:uid="{0296721F-FAD9-4089-BF10-F6DAF4DE8305}"/>
    <cellStyle name="Normal 4 2 4 4 5 3" xfId="6394" xr:uid="{00000000-0005-0000-0000-0000B4130000}"/>
    <cellStyle name="Normal 4 2 4 4 5 4" xfId="10605" xr:uid="{1A16FBDA-1E15-4C3E-9F6F-48BB0041AD8F}"/>
    <cellStyle name="Normal 4 2 4 4 5 5" xfId="14816" xr:uid="{48CFC649-1696-4D4B-A00D-3D825911ADD3}"/>
    <cellStyle name="Normal 4 2 4 4 6" xfId="2522" xr:uid="{00000000-0005-0000-0000-0000B5130000}"/>
    <cellStyle name="Normal 4 2 4 4 6 2" xfId="6807" xr:uid="{00000000-0005-0000-0000-0000B6130000}"/>
    <cellStyle name="Normal 4 2 4 4 6 3" xfId="11018" xr:uid="{8051E763-7BFE-412D-B295-3F2DD496D4F2}"/>
    <cellStyle name="Normal 4 2 4 4 6 4" xfId="15229" xr:uid="{5FA3ACA6-968E-49C9-88A5-964A613CB505}"/>
    <cellStyle name="Normal 4 2 4 4 7" xfId="4742" xr:uid="{00000000-0005-0000-0000-0000B7130000}"/>
    <cellStyle name="Normal 4 2 4 4 8" xfId="8953" xr:uid="{1D2BF0E1-6D22-42A0-AC40-C6D5A0F62628}"/>
    <cellStyle name="Normal 4 2 4 4 9" xfId="13164" xr:uid="{31482BAE-0F7F-4171-A173-F969962B8B24}"/>
    <cellStyle name="Normal 4 2 4 5" xfId="832" xr:uid="{00000000-0005-0000-0000-0000B8130000}"/>
    <cellStyle name="Normal 4 2 4 5 2" xfId="3069" xr:uid="{00000000-0005-0000-0000-0000B9130000}"/>
    <cellStyle name="Normal 4 2 4 5 2 2" xfId="7293" xr:uid="{00000000-0005-0000-0000-0000BA130000}"/>
    <cellStyle name="Normal 4 2 4 5 2 3" xfId="11504" xr:uid="{7A1455DF-E8D6-417B-8977-C40F057B99DD}"/>
    <cellStyle name="Normal 4 2 4 5 2 4" xfId="15715" xr:uid="{8046048D-3230-413C-A2C0-86F7F1F3348B}"/>
    <cellStyle name="Normal 4 2 4 5 3" xfId="5148" xr:uid="{00000000-0005-0000-0000-0000BB130000}"/>
    <cellStyle name="Normal 4 2 4 5 4" xfId="9359" xr:uid="{5DC2D3E3-CA5B-4605-B7DE-A85FEBEDD750}"/>
    <cellStyle name="Normal 4 2 4 5 5" xfId="13570" xr:uid="{33AAA0D1-7A2C-4E9A-856A-30ECF0085864}"/>
    <cellStyle name="Normal 4 2 4 6" xfId="1252" xr:uid="{00000000-0005-0000-0000-0000BC130000}"/>
    <cellStyle name="Normal 4 2 4 6 2" xfId="3482" xr:uid="{00000000-0005-0000-0000-0000BD130000}"/>
    <cellStyle name="Normal 4 2 4 6 2 2" xfId="7706" xr:uid="{00000000-0005-0000-0000-0000BE130000}"/>
    <cellStyle name="Normal 4 2 4 6 2 3" xfId="11917" xr:uid="{4403BD6E-3C57-4BA7-BC41-F96C0F0FFCBA}"/>
    <cellStyle name="Normal 4 2 4 6 2 4" xfId="16128" xr:uid="{7F3EBDFC-D606-4E3F-BDFF-350BF716F0D3}"/>
    <cellStyle name="Normal 4 2 4 6 3" xfId="5561" xr:uid="{00000000-0005-0000-0000-0000BF130000}"/>
    <cellStyle name="Normal 4 2 4 6 4" xfId="9772" xr:uid="{364D05A4-6A72-4C30-A08A-1D3B1C8B5CAC}"/>
    <cellStyle name="Normal 4 2 4 6 5" xfId="13983" xr:uid="{28BC0B3E-772F-4669-A007-DDF9686DA093}"/>
    <cellStyle name="Normal 4 2 4 7" xfId="1665" xr:uid="{00000000-0005-0000-0000-0000C0130000}"/>
    <cellStyle name="Normal 4 2 4 7 2" xfId="3895" xr:uid="{00000000-0005-0000-0000-0000C1130000}"/>
    <cellStyle name="Normal 4 2 4 7 2 2" xfId="8119" xr:uid="{00000000-0005-0000-0000-0000C2130000}"/>
    <cellStyle name="Normal 4 2 4 7 2 3" xfId="12330" xr:uid="{02D62638-217F-4B5D-88A1-129291A9040E}"/>
    <cellStyle name="Normal 4 2 4 7 2 4" xfId="16541" xr:uid="{0821672C-61F9-496B-A7C8-F57D8B6AFE10}"/>
    <cellStyle name="Normal 4 2 4 7 3" xfId="5974" xr:uid="{00000000-0005-0000-0000-0000C3130000}"/>
    <cellStyle name="Normal 4 2 4 7 4" xfId="10185" xr:uid="{CFEF803C-DD7E-42B9-A51C-2DBA057B9650}"/>
    <cellStyle name="Normal 4 2 4 7 5" xfId="14396" xr:uid="{AB4704CF-3CA7-4577-AC4C-26BC6D339AE9}"/>
    <cellStyle name="Normal 4 2 4 8" xfId="2079" xr:uid="{00000000-0005-0000-0000-0000C4130000}"/>
    <cellStyle name="Normal 4 2 4 8 2" xfId="4308" xr:uid="{00000000-0005-0000-0000-0000C5130000}"/>
    <cellStyle name="Normal 4 2 4 8 2 2" xfId="8532" xr:uid="{00000000-0005-0000-0000-0000C6130000}"/>
    <cellStyle name="Normal 4 2 4 8 2 3" xfId="12743" xr:uid="{1E702F2C-F7BF-4683-ACEF-D68CE8F70F02}"/>
    <cellStyle name="Normal 4 2 4 8 2 4" xfId="16954" xr:uid="{740FEF00-6BAD-4137-ACF7-2F0730C336E7}"/>
    <cellStyle name="Normal 4 2 4 8 3" xfId="6387" xr:uid="{00000000-0005-0000-0000-0000C7130000}"/>
    <cellStyle name="Normal 4 2 4 8 4" xfId="10598" xr:uid="{1B962ABB-BD3E-491F-BA73-DE08B9DC2912}"/>
    <cellStyle name="Normal 4 2 4 8 5" xfId="14809" xr:uid="{E58DAF21-3794-4C9E-9084-518200785976}"/>
    <cellStyle name="Normal 4 2 4 9" xfId="2515" xr:uid="{00000000-0005-0000-0000-0000C8130000}"/>
    <cellStyle name="Normal 4 2 4 9 2" xfId="6800" xr:uid="{00000000-0005-0000-0000-0000C9130000}"/>
    <cellStyle name="Normal 4 2 4 9 3" xfId="11011" xr:uid="{439B46DF-9130-4D69-BF35-2A83DD61D37E}"/>
    <cellStyle name="Normal 4 2 4 9 4" xfId="15222" xr:uid="{BA209B6D-1970-402B-843E-046480AD2A25}"/>
    <cellStyle name="Normal 4 2 5" xfId="363" xr:uid="{00000000-0005-0000-0000-0000CA130000}"/>
    <cellStyle name="Normal 4 2 5 10" xfId="13165" xr:uid="{6743BAED-1924-4782-8DC9-48A1754748A2}"/>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2 3" xfId="11513" xr:uid="{0F385009-71D3-476F-8986-0B04496011A7}"/>
    <cellStyle name="Normal 4 2 5 2 2 2 4" xfId="15724" xr:uid="{E99E899C-DF70-492D-8B15-54001DE07732}"/>
    <cellStyle name="Normal 4 2 5 2 2 3" xfId="5157" xr:uid="{00000000-0005-0000-0000-0000CF130000}"/>
    <cellStyle name="Normal 4 2 5 2 2 4" xfId="9368" xr:uid="{1BBB3B03-96A7-4D5B-95BB-D07A4FC99A87}"/>
    <cellStyle name="Normal 4 2 5 2 2 5" xfId="13579" xr:uid="{9674F205-EA06-4585-A117-1123E5273E1F}"/>
    <cellStyle name="Normal 4 2 5 2 3" xfId="1261" xr:uid="{00000000-0005-0000-0000-0000D0130000}"/>
    <cellStyle name="Normal 4 2 5 2 3 2" xfId="3491" xr:uid="{00000000-0005-0000-0000-0000D1130000}"/>
    <cellStyle name="Normal 4 2 5 2 3 2 2" xfId="7715" xr:uid="{00000000-0005-0000-0000-0000D2130000}"/>
    <cellStyle name="Normal 4 2 5 2 3 2 3" xfId="11926" xr:uid="{A0C6D985-C21D-436C-8ACE-12D8E3BD334D}"/>
    <cellStyle name="Normal 4 2 5 2 3 2 4" xfId="16137" xr:uid="{FEEDC0F8-F927-4CE0-90C9-C6EFAFBC8EAF}"/>
    <cellStyle name="Normal 4 2 5 2 3 3" xfId="5570" xr:uid="{00000000-0005-0000-0000-0000D3130000}"/>
    <cellStyle name="Normal 4 2 5 2 3 4" xfId="9781" xr:uid="{3D25049F-CDC6-460B-9497-E49EABCAC0AE}"/>
    <cellStyle name="Normal 4 2 5 2 3 5" xfId="13992" xr:uid="{E3C831D9-DA3E-40C8-A10F-2423E7508F98}"/>
    <cellStyle name="Normal 4 2 5 2 4" xfId="1674" xr:uid="{00000000-0005-0000-0000-0000D4130000}"/>
    <cellStyle name="Normal 4 2 5 2 4 2" xfId="3904" xr:uid="{00000000-0005-0000-0000-0000D5130000}"/>
    <cellStyle name="Normal 4 2 5 2 4 2 2" xfId="8128" xr:uid="{00000000-0005-0000-0000-0000D6130000}"/>
    <cellStyle name="Normal 4 2 5 2 4 2 3" xfId="12339" xr:uid="{71C5BC04-28AF-451F-B422-A94201200F28}"/>
    <cellStyle name="Normal 4 2 5 2 4 2 4" xfId="16550" xr:uid="{5E45A06E-C834-41B2-B898-A3572A4FD8DC}"/>
    <cellStyle name="Normal 4 2 5 2 4 3" xfId="5983" xr:uid="{00000000-0005-0000-0000-0000D7130000}"/>
    <cellStyle name="Normal 4 2 5 2 4 4" xfId="10194" xr:uid="{A4C40BC9-8B47-4962-AE8B-73B63252015C}"/>
    <cellStyle name="Normal 4 2 5 2 4 5" xfId="14405" xr:uid="{15A1489A-A66B-42FA-BD1B-280342D2835D}"/>
    <cellStyle name="Normal 4 2 5 2 5" xfId="2088" xr:uid="{00000000-0005-0000-0000-0000D8130000}"/>
    <cellStyle name="Normal 4 2 5 2 5 2" xfId="4317" xr:uid="{00000000-0005-0000-0000-0000D9130000}"/>
    <cellStyle name="Normal 4 2 5 2 5 2 2" xfId="8541" xr:uid="{00000000-0005-0000-0000-0000DA130000}"/>
    <cellStyle name="Normal 4 2 5 2 5 2 3" xfId="12752" xr:uid="{D72A9F6E-219B-4242-A73A-4E7F1516DA92}"/>
    <cellStyle name="Normal 4 2 5 2 5 2 4" xfId="16963" xr:uid="{1B82DEB5-EE57-4F79-AA2E-56364A76C745}"/>
    <cellStyle name="Normal 4 2 5 2 5 3" xfId="6396" xr:uid="{00000000-0005-0000-0000-0000DB130000}"/>
    <cellStyle name="Normal 4 2 5 2 5 4" xfId="10607" xr:uid="{94DC7541-61FD-4CF7-B2B9-1B1ECAA002A0}"/>
    <cellStyle name="Normal 4 2 5 2 5 5" xfId="14818" xr:uid="{FD8797D7-71E0-409B-9AB9-E063FAE87A9D}"/>
    <cellStyle name="Normal 4 2 5 2 6" xfId="2524" xr:uid="{00000000-0005-0000-0000-0000DC130000}"/>
    <cellStyle name="Normal 4 2 5 2 6 2" xfId="6809" xr:uid="{00000000-0005-0000-0000-0000DD130000}"/>
    <cellStyle name="Normal 4 2 5 2 6 3" xfId="11020" xr:uid="{5B6900A6-1220-448F-AD63-76BDDE28973A}"/>
    <cellStyle name="Normal 4 2 5 2 6 4" xfId="15231" xr:uid="{28F58F91-9342-42BE-97D9-C2D4B280B389}"/>
    <cellStyle name="Normal 4 2 5 2 7" xfId="4744" xr:uid="{00000000-0005-0000-0000-0000DE130000}"/>
    <cellStyle name="Normal 4 2 5 2 8" xfId="8955" xr:uid="{96C84D5B-B7C6-43A8-A9BF-41EC7855ECF2}"/>
    <cellStyle name="Normal 4 2 5 2 9" xfId="13166" xr:uid="{6058F698-A560-4932-B6C6-7C24D5B0014F}"/>
    <cellStyle name="Normal 4 2 5 3" xfId="840" xr:uid="{00000000-0005-0000-0000-0000DF130000}"/>
    <cellStyle name="Normal 4 2 5 3 2" xfId="3077" xr:uid="{00000000-0005-0000-0000-0000E0130000}"/>
    <cellStyle name="Normal 4 2 5 3 2 2" xfId="7301" xr:uid="{00000000-0005-0000-0000-0000E1130000}"/>
    <cellStyle name="Normal 4 2 5 3 2 3" xfId="11512" xr:uid="{EC7D5EF2-90BC-46C7-841C-431F6EFB70A6}"/>
    <cellStyle name="Normal 4 2 5 3 2 4" xfId="15723" xr:uid="{E76460E6-E530-4C91-AB5C-59BFCD3945D6}"/>
    <cellStyle name="Normal 4 2 5 3 3" xfId="5156" xr:uid="{00000000-0005-0000-0000-0000E2130000}"/>
    <cellStyle name="Normal 4 2 5 3 4" xfId="9367" xr:uid="{ACB3424E-ABFA-4A21-BFD6-8AA545603EA6}"/>
    <cellStyle name="Normal 4 2 5 3 5" xfId="13578" xr:uid="{AAC3AF83-06BB-41A1-ADE0-AA94F4F36904}"/>
    <cellStyle name="Normal 4 2 5 4" xfId="1260" xr:uid="{00000000-0005-0000-0000-0000E3130000}"/>
    <cellStyle name="Normal 4 2 5 4 2" xfId="3490" xr:uid="{00000000-0005-0000-0000-0000E4130000}"/>
    <cellStyle name="Normal 4 2 5 4 2 2" xfId="7714" xr:uid="{00000000-0005-0000-0000-0000E5130000}"/>
    <cellStyle name="Normal 4 2 5 4 2 3" xfId="11925" xr:uid="{1871B5AC-5DEC-4A1B-88E8-A628393A35E0}"/>
    <cellStyle name="Normal 4 2 5 4 2 4" xfId="16136" xr:uid="{F430EECA-48BC-4AC8-A787-28BA5A2017E4}"/>
    <cellStyle name="Normal 4 2 5 4 3" xfId="5569" xr:uid="{00000000-0005-0000-0000-0000E6130000}"/>
    <cellStyle name="Normal 4 2 5 4 4" xfId="9780" xr:uid="{77E8529F-2B85-4693-B3A1-24FAA1D600D4}"/>
    <cellStyle name="Normal 4 2 5 4 5" xfId="13991" xr:uid="{643AA37C-A30B-43B6-9345-0D22C41EC0A1}"/>
    <cellStyle name="Normal 4 2 5 5" xfId="1673" xr:uid="{00000000-0005-0000-0000-0000E7130000}"/>
    <cellStyle name="Normal 4 2 5 5 2" xfId="3903" xr:uid="{00000000-0005-0000-0000-0000E8130000}"/>
    <cellStyle name="Normal 4 2 5 5 2 2" xfId="8127" xr:uid="{00000000-0005-0000-0000-0000E9130000}"/>
    <cellStyle name="Normal 4 2 5 5 2 3" xfId="12338" xr:uid="{7AF360CB-493B-471E-B688-6DB62AE5B22B}"/>
    <cellStyle name="Normal 4 2 5 5 2 4" xfId="16549" xr:uid="{1DC91134-47D3-494C-AD88-B04A25C79B58}"/>
    <cellStyle name="Normal 4 2 5 5 3" xfId="5982" xr:uid="{00000000-0005-0000-0000-0000EA130000}"/>
    <cellStyle name="Normal 4 2 5 5 4" xfId="10193" xr:uid="{88F4E54E-081D-4664-BE81-E48AC5AA4638}"/>
    <cellStyle name="Normal 4 2 5 5 5" xfId="14404" xr:uid="{AE23BF98-3D45-4E65-9196-E8FAF81CA642}"/>
    <cellStyle name="Normal 4 2 5 6" xfId="2087" xr:uid="{00000000-0005-0000-0000-0000EB130000}"/>
    <cellStyle name="Normal 4 2 5 6 2" xfId="4316" xr:uid="{00000000-0005-0000-0000-0000EC130000}"/>
    <cellStyle name="Normal 4 2 5 6 2 2" xfId="8540" xr:uid="{00000000-0005-0000-0000-0000ED130000}"/>
    <cellStyle name="Normal 4 2 5 6 2 3" xfId="12751" xr:uid="{49439E71-8F1E-45E4-8B2A-88A431428924}"/>
    <cellStyle name="Normal 4 2 5 6 2 4" xfId="16962" xr:uid="{A8AED844-9E13-4410-A007-F882239FC900}"/>
    <cellStyle name="Normal 4 2 5 6 3" xfId="6395" xr:uid="{00000000-0005-0000-0000-0000EE130000}"/>
    <cellStyle name="Normal 4 2 5 6 4" xfId="10606" xr:uid="{42CD0B85-9BB8-432E-927A-ADD367BFBC9C}"/>
    <cellStyle name="Normal 4 2 5 6 5" xfId="14817" xr:uid="{F6B41530-DD14-4955-9C0F-2BD1E9E217BA}"/>
    <cellStyle name="Normal 4 2 5 7" xfId="2523" xr:uid="{00000000-0005-0000-0000-0000EF130000}"/>
    <cellStyle name="Normal 4 2 5 7 2" xfId="6808" xr:uid="{00000000-0005-0000-0000-0000F0130000}"/>
    <cellStyle name="Normal 4 2 5 7 3" xfId="11019" xr:uid="{3FF4B0D2-10B4-47A7-8CB3-F3BAD59047DE}"/>
    <cellStyle name="Normal 4 2 5 7 4" xfId="15230" xr:uid="{3F5B1A43-D732-40A3-917B-B71158E89BF4}"/>
    <cellStyle name="Normal 4 2 5 8" xfId="4743" xr:uid="{00000000-0005-0000-0000-0000F1130000}"/>
    <cellStyle name="Normal 4 2 5 9" xfId="8954" xr:uid="{45BC6E32-8BC6-4C7D-9C2C-1395844B708B}"/>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2 3" xfId="11514" xr:uid="{992E6F0B-DAEB-4B16-8548-54B0F5340856}"/>
    <cellStyle name="Normal 4 2 6 2 2 4" xfId="15725" xr:uid="{227340C9-FF6F-4C73-90BC-09E13A874B93}"/>
    <cellStyle name="Normal 4 2 6 2 3" xfId="5158" xr:uid="{00000000-0005-0000-0000-0000F6130000}"/>
    <cellStyle name="Normal 4 2 6 2 4" xfId="9369" xr:uid="{4701D8AB-7975-4E34-BB63-D3BCC488DCC3}"/>
    <cellStyle name="Normal 4 2 6 2 5" xfId="13580" xr:uid="{DBC4D79B-476D-4F72-90FC-A28C373758AE}"/>
    <cellStyle name="Normal 4 2 6 3" xfId="1262" xr:uid="{00000000-0005-0000-0000-0000F7130000}"/>
    <cellStyle name="Normal 4 2 6 3 2" xfId="3492" xr:uid="{00000000-0005-0000-0000-0000F8130000}"/>
    <cellStyle name="Normal 4 2 6 3 2 2" xfId="7716" xr:uid="{00000000-0005-0000-0000-0000F9130000}"/>
    <cellStyle name="Normal 4 2 6 3 2 3" xfId="11927" xr:uid="{21D23F9E-A078-475C-96CF-5F825F18FCEF}"/>
    <cellStyle name="Normal 4 2 6 3 2 4" xfId="16138" xr:uid="{63747F5E-E14D-49D9-A69E-474A6BE85BE8}"/>
    <cellStyle name="Normal 4 2 6 3 3" xfId="5571" xr:uid="{00000000-0005-0000-0000-0000FA130000}"/>
    <cellStyle name="Normal 4 2 6 3 4" xfId="9782" xr:uid="{09F4A2BE-9E3F-456C-89AE-584A5B0692FA}"/>
    <cellStyle name="Normal 4 2 6 3 5" xfId="13993" xr:uid="{E03BE20D-F49D-41DE-B142-5C9E380CB816}"/>
    <cellStyle name="Normal 4 2 6 4" xfId="1675" xr:uid="{00000000-0005-0000-0000-0000FB130000}"/>
    <cellStyle name="Normal 4 2 6 4 2" xfId="3905" xr:uid="{00000000-0005-0000-0000-0000FC130000}"/>
    <cellStyle name="Normal 4 2 6 4 2 2" xfId="8129" xr:uid="{00000000-0005-0000-0000-0000FD130000}"/>
    <cellStyle name="Normal 4 2 6 4 2 3" xfId="12340" xr:uid="{1BA18B72-FC01-4776-A21C-CDA1F2AE4D11}"/>
    <cellStyle name="Normal 4 2 6 4 2 4" xfId="16551" xr:uid="{CE76A8C9-FBDB-45C4-9765-C27EBD4E3B32}"/>
    <cellStyle name="Normal 4 2 6 4 3" xfId="5984" xr:uid="{00000000-0005-0000-0000-0000FE130000}"/>
    <cellStyle name="Normal 4 2 6 4 4" xfId="10195" xr:uid="{6C84C603-3816-48B4-9E39-57002F705CE2}"/>
    <cellStyle name="Normal 4 2 6 4 5" xfId="14406" xr:uid="{2E7C8C79-DB7A-42C5-B091-817B53F86CAA}"/>
    <cellStyle name="Normal 4 2 6 5" xfId="2089" xr:uid="{00000000-0005-0000-0000-0000FF130000}"/>
    <cellStyle name="Normal 4 2 6 5 2" xfId="4318" xr:uid="{00000000-0005-0000-0000-000000140000}"/>
    <cellStyle name="Normal 4 2 6 5 2 2" xfId="8542" xr:uid="{00000000-0005-0000-0000-000001140000}"/>
    <cellStyle name="Normal 4 2 6 5 2 3" xfId="12753" xr:uid="{97385278-486E-4024-97AA-2D7F88883433}"/>
    <cellStyle name="Normal 4 2 6 5 2 4" xfId="16964" xr:uid="{3146691F-CB11-4BD6-8BCE-5239D18B25BF}"/>
    <cellStyle name="Normal 4 2 6 5 3" xfId="6397" xr:uid="{00000000-0005-0000-0000-000002140000}"/>
    <cellStyle name="Normal 4 2 6 5 4" xfId="10608" xr:uid="{27AB4B27-D689-43CC-A0D8-502D2AC5A081}"/>
    <cellStyle name="Normal 4 2 6 5 5" xfId="14819" xr:uid="{313CE735-B3BC-4E35-BBB7-56F4A58F2263}"/>
    <cellStyle name="Normal 4 2 6 6" xfId="2525" xr:uid="{00000000-0005-0000-0000-000003140000}"/>
    <cellStyle name="Normal 4 2 6 6 2" xfId="6810" xr:uid="{00000000-0005-0000-0000-000004140000}"/>
    <cellStyle name="Normal 4 2 6 6 3" xfId="11021" xr:uid="{CC53FA43-AAFE-499B-9E7B-07661F63357F}"/>
    <cellStyle name="Normal 4 2 6 6 4" xfId="15232" xr:uid="{9CBAF345-1677-4AF9-8B64-0F0E4A7BEEEC}"/>
    <cellStyle name="Normal 4 2 6 7" xfId="4745" xr:uid="{00000000-0005-0000-0000-000005140000}"/>
    <cellStyle name="Normal 4 2 6 8" xfId="8956" xr:uid="{30E2EEDA-5ECF-46C8-8CC8-00735844BDF2}"/>
    <cellStyle name="Normal 4 2 6 9" xfId="13167" xr:uid="{C04B7D98-32D6-4A54-8035-E117CD2EEEFB}"/>
    <cellStyle name="Normal 4 3" xfId="366" xr:uid="{00000000-0005-0000-0000-000006140000}"/>
    <cellStyle name="Normal 4 3 10" xfId="8957" xr:uid="{5211D344-86EF-4607-8611-A81BAB272E6E}"/>
    <cellStyle name="Normal 4 3 11" xfId="13168" xr:uid="{897D33CF-A524-41AE-A9B5-0AE31B348E4A}"/>
    <cellStyle name="Normal 4 3 2" xfId="367" xr:uid="{00000000-0005-0000-0000-000007140000}"/>
    <cellStyle name="Normal 4 3 2 2" xfId="368" xr:uid="{00000000-0005-0000-0000-000008140000}"/>
    <cellStyle name="Normal 4 3 2 2 2" xfId="369" xr:uid="{00000000-0005-0000-0000-000009140000}"/>
    <cellStyle name="Normal 4 3 2 2 2 10" xfId="8958" xr:uid="{7D666FCB-40BF-4AB7-A7D3-E08B93524B5D}"/>
    <cellStyle name="Normal 4 3 2 2 2 11" xfId="13169" xr:uid="{38155154-443D-4A39-872C-D6E1CFBC9020}"/>
    <cellStyle name="Normal 4 3 2 2 2 2" xfId="370" xr:uid="{00000000-0005-0000-0000-00000A140000}"/>
    <cellStyle name="Normal 4 3 2 2 2 2 10" xfId="13170" xr:uid="{45B11682-7804-49E1-B47A-4762042DD099}"/>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2 3" xfId="11518" xr:uid="{2EAD440F-EDAF-4C02-8985-2D7E41E28C74}"/>
    <cellStyle name="Normal 4 3 2 2 2 2 2 2 2 4" xfId="15729" xr:uid="{57ECD18E-0466-4284-A67E-1FE16D1F268E}"/>
    <cellStyle name="Normal 4 3 2 2 2 2 2 2 3" xfId="5162" xr:uid="{00000000-0005-0000-0000-00000F140000}"/>
    <cellStyle name="Normal 4 3 2 2 2 2 2 2 4" xfId="9373" xr:uid="{82558BE1-583B-4AC8-AAA0-710C5C853E56}"/>
    <cellStyle name="Normal 4 3 2 2 2 2 2 2 5" xfId="13584" xr:uid="{591ED1F9-0CFD-42DE-B4B0-78AE6A24571A}"/>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2 3" xfId="11931" xr:uid="{C5E3F39B-8C9C-4908-AFF8-6F2ACE3AAA07}"/>
    <cellStyle name="Normal 4 3 2 2 2 2 2 3 2 4" xfId="16142" xr:uid="{D539092C-8E6B-4394-9966-6812C77F9BF2}"/>
    <cellStyle name="Normal 4 3 2 2 2 2 2 3 3" xfId="5575" xr:uid="{00000000-0005-0000-0000-000013140000}"/>
    <cellStyle name="Normal 4 3 2 2 2 2 2 3 4" xfId="9786" xr:uid="{005CF40B-A2C2-46D0-9EE2-F9B9AD86C382}"/>
    <cellStyle name="Normal 4 3 2 2 2 2 2 3 5" xfId="13997" xr:uid="{5D672192-0602-4B55-9070-95816B3404AA}"/>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2 3" xfId="12344" xr:uid="{2C42749C-EDED-41FC-99B8-8EBE57452A00}"/>
    <cellStyle name="Normal 4 3 2 2 2 2 2 4 2 4" xfId="16555" xr:uid="{D1FEB95D-25B4-42CF-8C2B-2B1560A0BFC2}"/>
    <cellStyle name="Normal 4 3 2 2 2 2 2 4 3" xfId="5988" xr:uid="{00000000-0005-0000-0000-000017140000}"/>
    <cellStyle name="Normal 4 3 2 2 2 2 2 4 4" xfId="10199" xr:uid="{121607E0-87DA-4674-9452-91B398A1898C}"/>
    <cellStyle name="Normal 4 3 2 2 2 2 2 4 5" xfId="14410" xr:uid="{5279A836-8B8F-4562-85C9-CFAD0FCD1C62}"/>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2 3" xfId="12757" xr:uid="{D37E5C34-131F-41FA-8215-1F7FC193620F}"/>
    <cellStyle name="Normal 4 3 2 2 2 2 2 5 2 4" xfId="16968" xr:uid="{D2F1D9EC-B1C7-49C1-A7F0-9B80E873E076}"/>
    <cellStyle name="Normal 4 3 2 2 2 2 2 5 3" xfId="6401" xr:uid="{00000000-0005-0000-0000-00001B140000}"/>
    <cellStyle name="Normal 4 3 2 2 2 2 2 5 4" xfId="10612" xr:uid="{4BDB400A-8377-4EB6-801B-A1223D2034D2}"/>
    <cellStyle name="Normal 4 3 2 2 2 2 2 5 5" xfId="14823" xr:uid="{A1BA74A6-31D9-42F2-8FE6-DC9C4013B8DC}"/>
    <cellStyle name="Normal 4 3 2 2 2 2 2 6" xfId="2529" xr:uid="{00000000-0005-0000-0000-00001C140000}"/>
    <cellStyle name="Normal 4 3 2 2 2 2 2 6 2" xfId="6814" xr:uid="{00000000-0005-0000-0000-00001D140000}"/>
    <cellStyle name="Normal 4 3 2 2 2 2 2 6 3" xfId="11025" xr:uid="{D406A12D-284E-407C-B4F4-B7D6D51454CD}"/>
    <cellStyle name="Normal 4 3 2 2 2 2 2 6 4" xfId="15236" xr:uid="{842466DF-5D42-4FC8-B7CD-4A34063059AF}"/>
    <cellStyle name="Normal 4 3 2 2 2 2 2 7" xfId="4749" xr:uid="{00000000-0005-0000-0000-00001E140000}"/>
    <cellStyle name="Normal 4 3 2 2 2 2 2 8" xfId="8960" xr:uid="{E8661855-5F25-4056-A30B-71CEB436DFB0}"/>
    <cellStyle name="Normal 4 3 2 2 2 2 2 9" xfId="13171" xr:uid="{E2574239-6D00-405D-81B3-4485FB6B249C}"/>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2 3" xfId="11517" xr:uid="{84AF0966-F10F-44BC-B5C8-CF70F2DA9B70}"/>
    <cellStyle name="Normal 4 3 2 2 2 2 3 2 4" xfId="15728" xr:uid="{22224878-C4C4-4A50-9F19-9395F5A67F2D}"/>
    <cellStyle name="Normal 4 3 2 2 2 2 3 3" xfId="5161" xr:uid="{00000000-0005-0000-0000-000022140000}"/>
    <cellStyle name="Normal 4 3 2 2 2 2 3 4" xfId="9372" xr:uid="{42D26808-32FD-483C-847B-72ACE9E834FC}"/>
    <cellStyle name="Normal 4 3 2 2 2 2 3 5" xfId="13583" xr:uid="{ABDDAC52-3BA6-4A56-935D-10AC4C480AD9}"/>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2 3" xfId="11930" xr:uid="{4380E6B0-EFCD-4DCF-8652-F47332F3CA96}"/>
    <cellStyle name="Normal 4 3 2 2 2 2 4 2 4" xfId="16141" xr:uid="{E1F6172D-838D-40DE-B96C-DD7522673281}"/>
    <cellStyle name="Normal 4 3 2 2 2 2 4 3" xfId="5574" xr:uid="{00000000-0005-0000-0000-000026140000}"/>
    <cellStyle name="Normal 4 3 2 2 2 2 4 4" xfId="9785" xr:uid="{CD0DAF20-A369-4BAE-8296-4F17D4408477}"/>
    <cellStyle name="Normal 4 3 2 2 2 2 4 5" xfId="13996" xr:uid="{4A132E16-7AB0-40B1-85D8-A0472852AC34}"/>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2 3" xfId="12343" xr:uid="{D2110D00-FCA5-4E45-9461-DF22B643E245}"/>
    <cellStyle name="Normal 4 3 2 2 2 2 5 2 4" xfId="16554" xr:uid="{477DC7D7-0629-4961-B2E6-223F9138861B}"/>
    <cellStyle name="Normal 4 3 2 2 2 2 5 3" xfId="5987" xr:uid="{00000000-0005-0000-0000-00002A140000}"/>
    <cellStyle name="Normal 4 3 2 2 2 2 5 4" xfId="10198" xr:uid="{8657FEC2-0B4A-4779-BC8C-7AEC5610F10C}"/>
    <cellStyle name="Normal 4 3 2 2 2 2 5 5" xfId="14409" xr:uid="{840CD42E-E3E9-48C7-BB86-1A979FFF23C7}"/>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2 3" xfId="12756" xr:uid="{F9C3F4E6-E403-4999-9071-EF48BBD56E27}"/>
    <cellStyle name="Normal 4 3 2 2 2 2 6 2 4" xfId="16967" xr:uid="{A494514C-36D1-4944-AEED-2885F9448E90}"/>
    <cellStyle name="Normal 4 3 2 2 2 2 6 3" xfId="6400" xr:uid="{00000000-0005-0000-0000-00002E140000}"/>
    <cellStyle name="Normal 4 3 2 2 2 2 6 4" xfId="10611" xr:uid="{DD67EDC1-54D1-42C6-8EA2-F538F0F76DD0}"/>
    <cellStyle name="Normal 4 3 2 2 2 2 6 5" xfId="14822" xr:uid="{75F94FC0-4CEB-4E15-87C0-B57159E29CA6}"/>
    <cellStyle name="Normal 4 3 2 2 2 2 7" xfId="2528" xr:uid="{00000000-0005-0000-0000-00002F140000}"/>
    <cellStyle name="Normal 4 3 2 2 2 2 7 2" xfId="6813" xr:uid="{00000000-0005-0000-0000-000030140000}"/>
    <cellStyle name="Normal 4 3 2 2 2 2 7 3" xfId="11024" xr:uid="{D794EB63-7B24-4BAD-B171-EB2BA00053F4}"/>
    <cellStyle name="Normal 4 3 2 2 2 2 7 4" xfId="15235" xr:uid="{8EF216DD-4197-4700-A2F0-3AB3D2D63881}"/>
    <cellStyle name="Normal 4 3 2 2 2 2 8" xfId="4748" xr:uid="{00000000-0005-0000-0000-000031140000}"/>
    <cellStyle name="Normal 4 3 2 2 2 2 9" xfId="8959" xr:uid="{32D55E12-DC14-47FA-95B3-F94B56914328}"/>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2 3" xfId="11519" xr:uid="{FF59F569-ADAC-47FE-9910-D45150BD1CCB}"/>
    <cellStyle name="Normal 4 3 2 2 2 3 2 2 4" xfId="15730" xr:uid="{FFE0C44C-F0C7-47CF-85CC-5E0060BE9931}"/>
    <cellStyle name="Normal 4 3 2 2 2 3 2 3" xfId="5163" xr:uid="{00000000-0005-0000-0000-000036140000}"/>
    <cellStyle name="Normal 4 3 2 2 2 3 2 4" xfId="9374" xr:uid="{AA143987-2F5C-4C83-86D2-7C3127B1CB03}"/>
    <cellStyle name="Normal 4 3 2 2 2 3 2 5" xfId="13585" xr:uid="{C7620E12-C82F-4A56-BFD4-980D117E9D96}"/>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2 3" xfId="11932" xr:uid="{4D9FDDF5-96F6-4859-8A7C-F6CD280FD83D}"/>
    <cellStyle name="Normal 4 3 2 2 2 3 3 2 4" xfId="16143" xr:uid="{020CB747-534C-4F57-8880-8887A563976C}"/>
    <cellStyle name="Normal 4 3 2 2 2 3 3 3" xfId="5576" xr:uid="{00000000-0005-0000-0000-00003A140000}"/>
    <cellStyle name="Normal 4 3 2 2 2 3 3 4" xfId="9787" xr:uid="{4403688E-ABFC-477A-9052-4AA48748F4FA}"/>
    <cellStyle name="Normal 4 3 2 2 2 3 3 5" xfId="13998" xr:uid="{6DDA2045-AA91-4D90-92DE-5B5FBDAD64EE}"/>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2 3" xfId="12345" xr:uid="{D665FD15-A512-42EE-B6BB-2478CAC96DAA}"/>
    <cellStyle name="Normal 4 3 2 2 2 3 4 2 4" xfId="16556" xr:uid="{899DBF65-AED8-421B-A2EE-FF66F9CC1C23}"/>
    <cellStyle name="Normal 4 3 2 2 2 3 4 3" xfId="5989" xr:uid="{00000000-0005-0000-0000-00003E140000}"/>
    <cellStyle name="Normal 4 3 2 2 2 3 4 4" xfId="10200" xr:uid="{CF1ED47C-B6DF-48D9-92EB-D8C327EA68C2}"/>
    <cellStyle name="Normal 4 3 2 2 2 3 4 5" xfId="14411" xr:uid="{4C1C09F1-62E1-4C80-8220-D0AC2552399D}"/>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2 3" xfId="12758" xr:uid="{DB3CCC43-3D5C-4C81-898A-DF6327169A25}"/>
    <cellStyle name="Normal 4 3 2 2 2 3 5 2 4" xfId="16969" xr:uid="{4703C084-ED86-4995-8572-B52470E939B5}"/>
    <cellStyle name="Normal 4 3 2 2 2 3 5 3" xfId="6402" xr:uid="{00000000-0005-0000-0000-000042140000}"/>
    <cellStyle name="Normal 4 3 2 2 2 3 5 4" xfId="10613" xr:uid="{B5B25995-A6C2-4E42-ACF8-828F0AC0C361}"/>
    <cellStyle name="Normal 4 3 2 2 2 3 5 5" xfId="14824" xr:uid="{BAFD75CF-EFFF-4235-AAD3-FC583D5CEBFF}"/>
    <cellStyle name="Normal 4 3 2 2 2 3 6" xfId="2530" xr:uid="{00000000-0005-0000-0000-000043140000}"/>
    <cellStyle name="Normal 4 3 2 2 2 3 6 2" xfId="6815" xr:uid="{00000000-0005-0000-0000-000044140000}"/>
    <cellStyle name="Normal 4 3 2 2 2 3 6 3" xfId="11026" xr:uid="{FD52A1BE-0961-4516-8FC5-8927AE50C281}"/>
    <cellStyle name="Normal 4 3 2 2 2 3 6 4" xfId="15237" xr:uid="{7ABE9F67-ACE8-4500-ABA1-DECD422CF67A}"/>
    <cellStyle name="Normal 4 3 2 2 2 3 7" xfId="4750" xr:uid="{00000000-0005-0000-0000-000045140000}"/>
    <cellStyle name="Normal 4 3 2 2 2 3 8" xfId="8961" xr:uid="{73426DBC-E0D1-4D38-8242-43FF4790407E}"/>
    <cellStyle name="Normal 4 3 2 2 2 3 9" xfId="13172" xr:uid="{B5974F59-BA00-4E47-B3CE-D336955D2AD5}"/>
    <cellStyle name="Normal 4 3 2 2 2 4" xfId="845" xr:uid="{00000000-0005-0000-0000-000046140000}"/>
    <cellStyle name="Normal 4 3 2 2 2 4 2" xfId="3081" xr:uid="{00000000-0005-0000-0000-000047140000}"/>
    <cellStyle name="Normal 4 3 2 2 2 4 2 2" xfId="7305" xr:uid="{00000000-0005-0000-0000-000048140000}"/>
    <cellStyle name="Normal 4 3 2 2 2 4 2 3" xfId="11516" xr:uid="{6687B730-3184-447B-8403-100522783643}"/>
    <cellStyle name="Normal 4 3 2 2 2 4 2 4" xfId="15727" xr:uid="{FD28A950-1EE0-4C15-A706-C636183C68A8}"/>
    <cellStyle name="Normal 4 3 2 2 2 4 3" xfId="5160" xr:uid="{00000000-0005-0000-0000-000049140000}"/>
    <cellStyle name="Normal 4 3 2 2 2 4 4" xfId="9371" xr:uid="{5612CC79-1E8A-4B27-A0F2-B71E537341A7}"/>
    <cellStyle name="Normal 4 3 2 2 2 4 5" xfId="13582" xr:uid="{F4E3522A-BF6B-47C9-95B3-AC9997ADB951}"/>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2 3" xfId="11929" xr:uid="{8898C8E1-2935-45BC-87E3-CF5A87D328EE}"/>
    <cellStyle name="Normal 4 3 2 2 2 5 2 4" xfId="16140" xr:uid="{03D642A4-30E4-469F-A08A-C90601A11B4D}"/>
    <cellStyle name="Normal 4 3 2 2 2 5 3" xfId="5573" xr:uid="{00000000-0005-0000-0000-00004D140000}"/>
    <cellStyle name="Normal 4 3 2 2 2 5 4" xfId="9784" xr:uid="{907D0571-173A-46C9-AB14-0C2CBCD3A9E4}"/>
    <cellStyle name="Normal 4 3 2 2 2 5 5" xfId="13995" xr:uid="{3EF4532D-DCDB-4156-AFFE-A5F1EE6D247F}"/>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2 3" xfId="12342" xr:uid="{0F86C0A2-BE7B-4D64-AB3D-3717568728BE}"/>
    <cellStyle name="Normal 4 3 2 2 2 6 2 4" xfId="16553" xr:uid="{BF04B09A-9AB7-4BAC-ADEE-59C5D55FC827}"/>
    <cellStyle name="Normal 4 3 2 2 2 6 3" xfId="5986" xr:uid="{00000000-0005-0000-0000-000051140000}"/>
    <cellStyle name="Normal 4 3 2 2 2 6 4" xfId="10197" xr:uid="{B1D2DBB0-CFBC-46B7-9F1A-6998CD401DDE}"/>
    <cellStyle name="Normal 4 3 2 2 2 6 5" xfId="14408" xr:uid="{CA0C654E-31A8-4146-AFBB-C2B3149E97DF}"/>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2 3" xfId="12755" xr:uid="{E1329117-8E08-465A-88FF-943D24DB26B2}"/>
    <cellStyle name="Normal 4 3 2 2 2 7 2 4" xfId="16966" xr:uid="{F68FD24F-716E-40D7-AA13-0BB1D464099B}"/>
    <cellStyle name="Normal 4 3 2 2 2 7 3" xfId="6399" xr:uid="{00000000-0005-0000-0000-000055140000}"/>
    <cellStyle name="Normal 4 3 2 2 2 7 4" xfId="10610" xr:uid="{E18F72EB-5B24-4A49-B672-D6112D1CC654}"/>
    <cellStyle name="Normal 4 3 2 2 2 7 5" xfId="14821" xr:uid="{A3E16C7E-8D9C-4982-9AA0-260834A8D2C2}"/>
    <cellStyle name="Normal 4 3 2 2 2 8" xfId="2527" xr:uid="{00000000-0005-0000-0000-000056140000}"/>
    <cellStyle name="Normal 4 3 2 2 2 8 2" xfId="6812" xr:uid="{00000000-0005-0000-0000-000057140000}"/>
    <cellStyle name="Normal 4 3 2 2 2 8 3" xfId="11023" xr:uid="{F00CDA06-7F62-4713-80FE-D0B2A69D752F}"/>
    <cellStyle name="Normal 4 3 2 2 2 8 4" xfId="15234" xr:uid="{94D9CD26-2664-4A6E-A71E-F20EBE8958B8}"/>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10" xfId="8962" xr:uid="{C52B09F9-4199-4408-A570-38B76BE2AAB3}"/>
    <cellStyle name="Normal 4 3 3 11" xfId="13173" xr:uid="{F7879FFE-A6E8-4542-9426-70216D33DDF9}"/>
    <cellStyle name="Normal 4 3 3 2" xfId="375" xr:uid="{00000000-0005-0000-0000-00005D140000}"/>
    <cellStyle name="Normal 4 3 3 2 10" xfId="13174" xr:uid="{C68AB078-CD20-4412-9375-26B5712D25C1}"/>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2 3" xfId="11522" xr:uid="{A587EAEB-BB63-4350-BBB2-023039A7F9F5}"/>
    <cellStyle name="Normal 4 3 3 2 2 2 2 4" xfId="15733" xr:uid="{2753F95D-DF95-4E9A-BF65-13500E0AD94E}"/>
    <cellStyle name="Normal 4 3 3 2 2 2 3" xfId="5166" xr:uid="{00000000-0005-0000-0000-000062140000}"/>
    <cellStyle name="Normal 4 3 3 2 2 2 4" xfId="9377" xr:uid="{018D6C1C-871B-4A8A-B3E5-467C7F841C48}"/>
    <cellStyle name="Normal 4 3 3 2 2 2 5" xfId="13588" xr:uid="{C9C24C75-50A3-4235-B477-2515F8F3CF84}"/>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2 3" xfId="11935" xr:uid="{F5C0CC4D-DDE8-4DA7-AD9B-D0E0CD0680B3}"/>
    <cellStyle name="Normal 4 3 3 2 2 3 2 4" xfId="16146" xr:uid="{316E9131-F409-4C9F-A0CF-35426EC3147B}"/>
    <cellStyle name="Normal 4 3 3 2 2 3 3" xfId="5579" xr:uid="{00000000-0005-0000-0000-000066140000}"/>
    <cellStyle name="Normal 4 3 3 2 2 3 4" xfId="9790" xr:uid="{DE2D85FE-FB8E-456A-BAEE-503715045C2C}"/>
    <cellStyle name="Normal 4 3 3 2 2 3 5" xfId="14001" xr:uid="{CEA13619-0BEE-49DE-8550-5040A021D693}"/>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2 3" xfId="12348" xr:uid="{246E190C-EF91-4A5B-B8E5-352D06543EBB}"/>
    <cellStyle name="Normal 4 3 3 2 2 4 2 4" xfId="16559" xr:uid="{FB7D6DAD-B2BD-4F58-95A4-E8FBFC8FC2E4}"/>
    <cellStyle name="Normal 4 3 3 2 2 4 3" xfId="5992" xr:uid="{00000000-0005-0000-0000-00006A140000}"/>
    <cellStyle name="Normal 4 3 3 2 2 4 4" xfId="10203" xr:uid="{ECF315B1-6731-4187-80B8-F04B86DE73FD}"/>
    <cellStyle name="Normal 4 3 3 2 2 4 5" xfId="14414" xr:uid="{191802BD-09E1-4DF6-BCD8-F2811292485A}"/>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2 3" xfId="12761" xr:uid="{A46B6DDB-C953-44F4-A3F0-AEF8F85936A4}"/>
    <cellStyle name="Normal 4 3 3 2 2 5 2 4" xfId="16972" xr:uid="{9E9F5FE6-E89D-4B05-8A26-927E62601E11}"/>
    <cellStyle name="Normal 4 3 3 2 2 5 3" xfId="6405" xr:uid="{00000000-0005-0000-0000-00006E140000}"/>
    <cellStyle name="Normal 4 3 3 2 2 5 4" xfId="10616" xr:uid="{429BAB65-C572-488C-A26B-A5B19ADCAB0A}"/>
    <cellStyle name="Normal 4 3 3 2 2 5 5" xfId="14827" xr:uid="{EA43162D-909A-4458-A0BC-6E9953107CFA}"/>
    <cellStyle name="Normal 4 3 3 2 2 6" xfId="2533" xr:uid="{00000000-0005-0000-0000-00006F140000}"/>
    <cellStyle name="Normal 4 3 3 2 2 6 2" xfId="6818" xr:uid="{00000000-0005-0000-0000-000070140000}"/>
    <cellStyle name="Normal 4 3 3 2 2 6 3" xfId="11029" xr:uid="{99A3F9D2-9E6A-4945-85FA-A509A961CA0E}"/>
    <cellStyle name="Normal 4 3 3 2 2 6 4" xfId="15240" xr:uid="{49837717-9114-47C1-99E1-72F2C79D2B34}"/>
    <cellStyle name="Normal 4 3 3 2 2 7" xfId="4753" xr:uid="{00000000-0005-0000-0000-000071140000}"/>
    <cellStyle name="Normal 4 3 3 2 2 8" xfId="8964" xr:uid="{C79902EB-1065-481E-9F54-304979CF8DAE}"/>
    <cellStyle name="Normal 4 3 3 2 2 9" xfId="13175" xr:uid="{3D089BAD-314E-4670-853E-100A8BB0BE43}"/>
    <cellStyle name="Normal 4 3 3 2 3" xfId="851" xr:uid="{00000000-0005-0000-0000-000072140000}"/>
    <cellStyle name="Normal 4 3 3 2 3 2" xfId="3086" xr:uid="{00000000-0005-0000-0000-000073140000}"/>
    <cellStyle name="Normal 4 3 3 2 3 2 2" xfId="7310" xr:uid="{00000000-0005-0000-0000-000074140000}"/>
    <cellStyle name="Normal 4 3 3 2 3 2 3" xfId="11521" xr:uid="{4F1B2FAE-8520-4F8F-848E-C866CC396DCD}"/>
    <cellStyle name="Normal 4 3 3 2 3 2 4" xfId="15732" xr:uid="{A38AA624-4058-43B2-A870-827BC819AD29}"/>
    <cellStyle name="Normal 4 3 3 2 3 3" xfId="5165" xr:uid="{00000000-0005-0000-0000-000075140000}"/>
    <cellStyle name="Normal 4 3 3 2 3 4" xfId="9376" xr:uid="{DBEED1BC-88A1-4444-A202-9FE7DF2F512C}"/>
    <cellStyle name="Normal 4 3 3 2 3 5" xfId="13587" xr:uid="{36137981-5E2F-4FB3-BCBB-3CEE05E8F26D}"/>
    <cellStyle name="Normal 4 3 3 2 4" xfId="1269" xr:uid="{00000000-0005-0000-0000-000076140000}"/>
    <cellStyle name="Normal 4 3 3 2 4 2" xfId="3499" xr:uid="{00000000-0005-0000-0000-000077140000}"/>
    <cellStyle name="Normal 4 3 3 2 4 2 2" xfId="7723" xr:uid="{00000000-0005-0000-0000-000078140000}"/>
    <cellStyle name="Normal 4 3 3 2 4 2 3" xfId="11934" xr:uid="{2FDD304D-43AE-4C5F-8B4C-72CB001AB2AD}"/>
    <cellStyle name="Normal 4 3 3 2 4 2 4" xfId="16145" xr:uid="{A2AC4422-1FBE-4F78-82A3-833E740DF187}"/>
    <cellStyle name="Normal 4 3 3 2 4 3" xfId="5578" xr:uid="{00000000-0005-0000-0000-000079140000}"/>
    <cellStyle name="Normal 4 3 3 2 4 4" xfId="9789" xr:uid="{E07DA7E2-A4BE-4D58-AD7E-2A5F6831CB82}"/>
    <cellStyle name="Normal 4 3 3 2 4 5" xfId="14000" xr:uid="{524BF610-041D-4E4F-B4EF-04E58DC04A80}"/>
    <cellStyle name="Normal 4 3 3 2 5" xfId="1682" xr:uid="{00000000-0005-0000-0000-00007A140000}"/>
    <cellStyle name="Normal 4 3 3 2 5 2" xfId="3912" xr:uid="{00000000-0005-0000-0000-00007B140000}"/>
    <cellStyle name="Normal 4 3 3 2 5 2 2" xfId="8136" xr:uid="{00000000-0005-0000-0000-00007C140000}"/>
    <cellStyle name="Normal 4 3 3 2 5 2 3" xfId="12347" xr:uid="{088AF3B1-C775-46A8-B724-BDABD1191C73}"/>
    <cellStyle name="Normal 4 3 3 2 5 2 4" xfId="16558" xr:uid="{50CF389A-C44C-411C-A5AB-64BED1CDFD74}"/>
    <cellStyle name="Normal 4 3 3 2 5 3" xfId="5991" xr:uid="{00000000-0005-0000-0000-00007D140000}"/>
    <cellStyle name="Normal 4 3 3 2 5 4" xfId="10202" xr:uid="{B4F5CD26-C722-4C51-845A-579DB8729E29}"/>
    <cellStyle name="Normal 4 3 3 2 5 5" xfId="14413" xr:uid="{317A2C7E-D39D-43B4-87C2-5715B5C204EB}"/>
    <cellStyle name="Normal 4 3 3 2 6" xfId="2096" xr:uid="{00000000-0005-0000-0000-00007E140000}"/>
    <cellStyle name="Normal 4 3 3 2 6 2" xfId="4325" xr:uid="{00000000-0005-0000-0000-00007F140000}"/>
    <cellStyle name="Normal 4 3 3 2 6 2 2" xfId="8549" xr:uid="{00000000-0005-0000-0000-000080140000}"/>
    <cellStyle name="Normal 4 3 3 2 6 2 3" xfId="12760" xr:uid="{B075AD42-B20E-49DC-85F3-A1F8C0889576}"/>
    <cellStyle name="Normal 4 3 3 2 6 2 4" xfId="16971" xr:uid="{F3297AB3-E718-47AC-8235-330443A1A9EF}"/>
    <cellStyle name="Normal 4 3 3 2 6 3" xfId="6404" xr:uid="{00000000-0005-0000-0000-000081140000}"/>
    <cellStyle name="Normal 4 3 3 2 6 4" xfId="10615" xr:uid="{F4F44674-A07D-4005-8113-3C21C2EFB39E}"/>
    <cellStyle name="Normal 4 3 3 2 6 5" xfId="14826" xr:uid="{45121340-F126-414D-88CD-B739FC46BDAC}"/>
    <cellStyle name="Normal 4 3 3 2 7" xfId="2532" xr:uid="{00000000-0005-0000-0000-000082140000}"/>
    <cellStyle name="Normal 4 3 3 2 7 2" xfId="6817" xr:uid="{00000000-0005-0000-0000-000083140000}"/>
    <cellStyle name="Normal 4 3 3 2 7 3" xfId="11028" xr:uid="{0286C20D-2C8C-4BFD-B3BC-C3918DCA4FA2}"/>
    <cellStyle name="Normal 4 3 3 2 7 4" xfId="15239" xr:uid="{953760D8-00D0-45C3-9FA9-E8C0BA1B1087}"/>
    <cellStyle name="Normal 4 3 3 2 8" xfId="4752" xr:uid="{00000000-0005-0000-0000-000084140000}"/>
    <cellStyle name="Normal 4 3 3 2 9" xfId="8963" xr:uid="{3D1CB3E3-7524-4269-B254-15C96AE99E7B}"/>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2 3" xfId="11523" xr:uid="{75ED3EF7-C74F-4327-B8C9-D896ED78A6A8}"/>
    <cellStyle name="Normal 4 3 3 3 2 2 4" xfId="15734" xr:uid="{98D05093-BB52-4DCD-BA5B-1FA3B30D380A}"/>
    <cellStyle name="Normal 4 3 3 3 2 3" xfId="5167" xr:uid="{00000000-0005-0000-0000-000089140000}"/>
    <cellStyle name="Normal 4 3 3 3 2 4" xfId="9378" xr:uid="{D476D8DC-A8B9-4F5F-A50F-183506D2EAC3}"/>
    <cellStyle name="Normal 4 3 3 3 2 5" xfId="13589" xr:uid="{2BDB3539-D7E1-4D01-AEA0-B7129050419A}"/>
    <cellStyle name="Normal 4 3 3 3 3" xfId="1271" xr:uid="{00000000-0005-0000-0000-00008A140000}"/>
    <cellStyle name="Normal 4 3 3 3 3 2" xfId="3501" xr:uid="{00000000-0005-0000-0000-00008B140000}"/>
    <cellStyle name="Normal 4 3 3 3 3 2 2" xfId="7725" xr:uid="{00000000-0005-0000-0000-00008C140000}"/>
    <cellStyle name="Normal 4 3 3 3 3 2 3" xfId="11936" xr:uid="{7BAD96FE-1048-4BBB-92EB-52BD93C0FA5C}"/>
    <cellStyle name="Normal 4 3 3 3 3 2 4" xfId="16147" xr:uid="{0A77A930-A56C-468D-AD70-0954AA371834}"/>
    <cellStyle name="Normal 4 3 3 3 3 3" xfId="5580" xr:uid="{00000000-0005-0000-0000-00008D140000}"/>
    <cellStyle name="Normal 4 3 3 3 3 4" xfId="9791" xr:uid="{752F1A81-DA72-4E58-8B87-54D0EDFB3B5B}"/>
    <cellStyle name="Normal 4 3 3 3 3 5" xfId="14002" xr:uid="{298CDBC8-9DCF-4C1F-8FCA-66F3D1365AC1}"/>
    <cellStyle name="Normal 4 3 3 3 4" xfId="1684" xr:uid="{00000000-0005-0000-0000-00008E140000}"/>
    <cellStyle name="Normal 4 3 3 3 4 2" xfId="3914" xr:uid="{00000000-0005-0000-0000-00008F140000}"/>
    <cellStyle name="Normal 4 3 3 3 4 2 2" xfId="8138" xr:uid="{00000000-0005-0000-0000-000090140000}"/>
    <cellStyle name="Normal 4 3 3 3 4 2 3" xfId="12349" xr:uid="{70635822-0C15-4FD4-9983-94123BF1C4A7}"/>
    <cellStyle name="Normal 4 3 3 3 4 2 4" xfId="16560" xr:uid="{FC0EBBC7-97CD-447B-8CE5-43B68660DBBA}"/>
    <cellStyle name="Normal 4 3 3 3 4 3" xfId="5993" xr:uid="{00000000-0005-0000-0000-000091140000}"/>
    <cellStyle name="Normal 4 3 3 3 4 4" xfId="10204" xr:uid="{60E91DA2-AC94-4329-9D4B-DABEB749323B}"/>
    <cellStyle name="Normal 4 3 3 3 4 5" xfId="14415" xr:uid="{FEFD0E9B-447D-4149-B709-48D5E090BBC4}"/>
    <cellStyle name="Normal 4 3 3 3 5" xfId="2098" xr:uid="{00000000-0005-0000-0000-000092140000}"/>
    <cellStyle name="Normal 4 3 3 3 5 2" xfId="4327" xr:uid="{00000000-0005-0000-0000-000093140000}"/>
    <cellStyle name="Normal 4 3 3 3 5 2 2" xfId="8551" xr:uid="{00000000-0005-0000-0000-000094140000}"/>
    <cellStyle name="Normal 4 3 3 3 5 2 3" xfId="12762" xr:uid="{A4208DA8-A50C-4516-9C15-E9C3981608BF}"/>
    <cellStyle name="Normal 4 3 3 3 5 2 4" xfId="16973" xr:uid="{8283AB1E-C115-47E8-A64B-CEA452F6CB78}"/>
    <cellStyle name="Normal 4 3 3 3 5 3" xfId="6406" xr:uid="{00000000-0005-0000-0000-000095140000}"/>
    <cellStyle name="Normal 4 3 3 3 5 4" xfId="10617" xr:uid="{7E20C923-ACA0-41FA-9834-FEAD085F6BB1}"/>
    <cellStyle name="Normal 4 3 3 3 5 5" xfId="14828" xr:uid="{1826393A-DB3C-4A76-9B84-4188D4404A39}"/>
    <cellStyle name="Normal 4 3 3 3 6" xfId="2534" xr:uid="{00000000-0005-0000-0000-000096140000}"/>
    <cellStyle name="Normal 4 3 3 3 6 2" xfId="6819" xr:uid="{00000000-0005-0000-0000-000097140000}"/>
    <cellStyle name="Normal 4 3 3 3 6 3" xfId="11030" xr:uid="{023060EA-2183-47BD-8FE5-6D879425FC44}"/>
    <cellStyle name="Normal 4 3 3 3 6 4" xfId="15241" xr:uid="{E8E81CBE-BC12-47A6-9C7E-DC6ADA5EA28F}"/>
    <cellStyle name="Normal 4 3 3 3 7" xfId="4754" xr:uid="{00000000-0005-0000-0000-000098140000}"/>
    <cellStyle name="Normal 4 3 3 3 8" xfId="8965" xr:uid="{E6E2B223-10EC-40DA-BB07-83400B68D95E}"/>
    <cellStyle name="Normal 4 3 3 3 9" xfId="13176" xr:uid="{BDA0C8EE-CCC3-4A23-9AAC-3AEEDE252E10}"/>
    <cellStyle name="Normal 4 3 3 4" xfId="850" xr:uid="{00000000-0005-0000-0000-000099140000}"/>
    <cellStyle name="Normal 4 3 3 4 2" xfId="3085" xr:uid="{00000000-0005-0000-0000-00009A140000}"/>
    <cellStyle name="Normal 4 3 3 4 2 2" xfId="7309" xr:uid="{00000000-0005-0000-0000-00009B140000}"/>
    <cellStyle name="Normal 4 3 3 4 2 3" xfId="11520" xr:uid="{7623D72A-302E-46A3-BCE0-C858A9E9E044}"/>
    <cellStyle name="Normal 4 3 3 4 2 4" xfId="15731" xr:uid="{3ED7CB84-334D-4B04-A1E9-4E8BC9785A05}"/>
    <cellStyle name="Normal 4 3 3 4 3" xfId="5164" xr:uid="{00000000-0005-0000-0000-00009C140000}"/>
    <cellStyle name="Normal 4 3 3 4 4" xfId="9375" xr:uid="{12C61688-01C1-47C8-8D94-A755F58E61A1}"/>
    <cellStyle name="Normal 4 3 3 4 5" xfId="13586" xr:uid="{6F39F320-028B-42C8-AC45-3403C0BAC4AC}"/>
    <cellStyle name="Normal 4 3 3 5" xfId="1268" xr:uid="{00000000-0005-0000-0000-00009D140000}"/>
    <cellStyle name="Normal 4 3 3 5 2" xfId="3498" xr:uid="{00000000-0005-0000-0000-00009E140000}"/>
    <cellStyle name="Normal 4 3 3 5 2 2" xfId="7722" xr:uid="{00000000-0005-0000-0000-00009F140000}"/>
    <cellStyle name="Normal 4 3 3 5 2 3" xfId="11933" xr:uid="{B332694D-DDAF-4A70-902B-33CB2CB757EA}"/>
    <cellStyle name="Normal 4 3 3 5 2 4" xfId="16144" xr:uid="{900A6A18-D6C9-48E1-9C57-5496CFDBFB73}"/>
    <cellStyle name="Normal 4 3 3 5 3" xfId="5577" xr:uid="{00000000-0005-0000-0000-0000A0140000}"/>
    <cellStyle name="Normal 4 3 3 5 4" xfId="9788" xr:uid="{8302EC12-CF79-4D6D-8979-6A05A702DE34}"/>
    <cellStyle name="Normal 4 3 3 5 5" xfId="13999" xr:uid="{703D004F-CBC8-4653-B4FB-F7393D248B5B}"/>
    <cellStyle name="Normal 4 3 3 6" xfId="1681" xr:uid="{00000000-0005-0000-0000-0000A1140000}"/>
    <cellStyle name="Normal 4 3 3 6 2" xfId="3911" xr:uid="{00000000-0005-0000-0000-0000A2140000}"/>
    <cellStyle name="Normal 4 3 3 6 2 2" xfId="8135" xr:uid="{00000000-0005-0000-0000-0000A3140000}"/>
    <cellStyle name="Normal 4 3 3 6 2 3" xfId="12346" xr:uid="{E3B2A92F-9567-48C0-9FB6-DC8FB3743F12}"/>
    <cellStyle name="Normal 4 3 3 6 2 4" xfId="16557" xr:uid="{C770284B-2047-4904-A44E-91BF0607A19F}"/>
    <cellStyle name="Normal 4 3 3 6 3" xfId="5990" xr:uid="{00000000-0005-0000-0000-0000A4140000}"/>
    <cellStyle name="Normal 4 3 3 6 4" xfId="10201" xr:uid="{C0D4D1A3-9A37-4DB9-925F-93E43F95052E}"/>
    <cellStyle name="Normal 4 3 3 6 5" xfId="14412" xr:uid="{6E3319CB-A06A-41CD-8D7E-3A3E35BD4942}"/>
    <cellStyle name="Normal 4 3 3 7" xfId="2095" xr:uid="{00000000-0005-0000-0000-0000A5140000}"/>
    <cellStyle name="Normal 4 3 3 7 2" xfId="4324" xr:uid="{00000000-0005-0000-0000-0000A6140000}"/>
    <cellStyle name="Normal 4 3 3 7 2 2" xfId="8548" xr:uid="{00000000-0005-0000-0000-0000A7140000}"/>
    <cellStyle name="Normal 4 3 3 7 2 3" xfId="12759" xr:uid="{A936195B-B217-4090-8BD5-278F0B68B0A6}"/>
    <cellStyle name="Normal 4 3 3 7 2 4" xfId="16970" xr:uid="{48070083-C970-40F7-B51A-F5C443A66E0F}"/>
    <cellStyle name="Normal 4 3 3 7 3" xfId="6403" xr:uid="{00000000-0005-0000-0000-0000A8140000}"/>
    <cellStyle name="Normal 4 3 3 7 4" xfId="10614" xr:uid="{5E2F7132-10A9-4680-A4A7-548A632A8FDB}"/>
    <cellStyle name="Normal 4 3 3 7 5" xfId="14825" xr:uid="{3701009D-C36E-449A-86FF-AA62862FBF64}"/>
    <cellStyle name="Normal 4 3 3 8" xfId="2531" xr:uid="{00000000-0005-0000-0000-0000A9140000}"/>
    <cellStyle name="Normal 4 3 3 8 2" xfId="6816" xr:uid="{00000000-0005-0000-0000-0000AA140000}"/>
    <cellStyle name="Normal 4 3 3 8 3" xfId="11027" xr:uid="{6FB6A48D-6C44-40CA-ABC0-5B7B1D3BB4EE}"/>
    <cellStyle name="Normal 4 3 3 8 4" xfId="15238" xr:uid="{110CF3D9-2DFD-46BD-A5CD-92352C60191E}"/>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2 3" xfId="11515" xr:uid="{F6514329-AF36-4A90-96FE-5C7FDF1A07CF}"/>
    <cellStyle name="Normal 4 3 4 2 4" xfId="15726" xr:uid="{030C8577-B3B7-4077-A78D-137F4F9CBB00}"/>
    <cellStyle name="Normal 4 3 4 3" xfId="5159" xr:uid="{00000000-0005-0000-0000-0000AF140000}"/>
    <cellStyle name="Normal 4 3 4 4" xfId="9370" xr:uid="{A0216A17-2F8D-44FA-AE81-9EF21D9EAC5C}"/>
    <cellStyle name="Normal 4 3 4 5" xfId="13581" xr:uid="{8AD41CAB-E846-40AB-A091-696252804855}"/>
    <cellStyle name="Normal 4 3 5" xfId="1263" xr:uid="{00000000-0005-0000-0000-0000B0140000}"/>
    <cellStyle name="Normal 4 3 5 2" xfId="3493" xr:uid="{00000000-0005-0000-0000-0000B1140000}"/>
    <cellStyle name="Normal 4 3 5 2 2" xfId="7717" xr:uid="{00000000-0005-0000-0000-0000B2140000}"/>
    <cellStyle name="Normal 4 3 5 2 3" xfId="11928" xr:uid="{20EBF45F-972F-401E-A335-860B6BE7606F}"/>
    <cellStyle name="Normal 4 3 5 2 4" xfId="16139" xr:uid="{97DD9F17-A3B8-4457-88AE-3952502692D4}"/>
    <cellStyle name="Normal 4 3 5 3" xfId="5572" xr:uid="{00000000-0005-0000-0000-0000B3140000}"/>
    <cellStyle name="Normal 4 3 5 4" xfId="9783" xr:uid="{4B9113A5-32E2-40D0-BD03-F22E4A177042}"/>
    <cellStyle name="Normal 4 3 5 5" xfId="13994" xr:uid="{41CDE549-B0DA-410C-B21C-D1DFF5DD3C68}"/>
    <cellStyle name="Normal 4 3 6" xfId="1676" xr:uid="{00000000-0005-0000-0000-0000B4140000}"/>
    <cellStyle name="Normal 4 3 6 2" xfId="3906" xr:uid="{00000000-0005-0000-0000-0000B5140000}"/>
    <cellStyle name="Normal 4 3 6 2 2" xfId="8130" xr:uid="{00000000-0005-0000-0000-0000B6140000}"/>
    <cellStyle name="Normal 4 3 6 2 3" xfId="12341" xr:uid="{4B31CE47-357A-4040-854B-9D09C7629DDF}"/>
    <cellStyle name="Normal 4 3 6 2 4" xfId="16552" xr:uid="{C31C1DF7-44FF-424E-AE2B-D9323ED5CBEB}"/>
    <cellStyle name="Normal 4 3 6 3" xfId="5985" xr:uid="{00000000-0005-0000-0000-0000B7140000}"/>
    <cellStyle name="Normal 4 3 6 4" xfId="10196" xr:uid="{4E33688B-EE6F-4056-958A-11B9F8363BFC}"/>
    <cellStyle name="Normal 4 3 6 5" xfId="14407" xr:uid="{50067834-A772-43D9-B970-B270A89403F1}"/>
    <cellStyle name="Normal 4 3 7" xfId="2090" xr:uid="{00000000-0005-0000-0000-0000B8140000}"/>
    <cellStyle name="Normal 4 3 7 2" xfId="4319" xr:uid="{00000000-0005-0000-0000-0000B9140000}"/>
    <cellStyle name="Normal 4 3 7 2 2" xfId="8543" xr:uid="{00000000-0005-0000-0000-0000BA140000}"/>
    <cellStyle name="Normal 4 3 7 2 3" xfId="12754" xr:uid="{AB40BB84-1425-4054-A397-4FAE4F2683ED}"/>
    <cellStyle name="Normal 4 3 7 2 4" xfId="16965" xr:uid="{EA21B188-4DE3-43B6-852D-C56342D91D8D}"/>
    <cellStyle name="Normal 4 3 7 3" xfId="6398" xr:uid="{00000000-0005-0000-0000-0000BB140000}"/>
    <cellStyle name="Normal 4 3 7 4" xfId="10609" xr:uid="{75B6BD77-DF0A-4771-9BBA-88C69C071C12}"/>
    <cellStyle name="Normal 4 3 7 5" xfId="14820" xr:uid="{A4E533E8-F55A-45C1-AD20-C558FDE57C7D}"/>
    <cellStyle name="Normal 4 3 8" xfId="2526" xr:uid="{00000000-0005-0000-0000-0000BC140000}"/>
    <cellStyle name="Normal 4 3 8 2" xfId="6811" xr:uid="{00000000-0005-0000-0000-0000BD140000}"/>
    <cellStyle name="Normal 4 3 8 3" xfId="11022" xr:uid="{4E6FC942-CCF7-446D-9572-A21866F1CC0B}"/>
    <cellStyle name="Normal 4 3 8 4" xfId="15233" xr:uid="{E93944BC-B88E-4BAD-A65B-98050BCE63E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0 3" xfId="11031" xr:uid="{C647EDCF-4AF7-44A9-ADC0-518D443A0BCD}"/>
    <cellStyle name="Normal 4 4 10 4" xfId="15242" xr:uid="{816E6415-2449-4A2A-8B37-69BB536528BA}"/>
    <cellStyle name="Normal 4 4 11" xfId="4755" xr:uid="{00000000-0005-0000-0000-0000C2140000}"/>
    <cellStyle name="Normal 4 4 12" xfId="8966" xr:uid="{38278757-0719-4438-B486-2BD835A727A3}"/>
    <cellStyle name="Normal 4 4 13" xfId="13177" xr:uid="{358F2989-5342-4B0E-A97E-B57E51F83B1A}"/>
    <cellStyle name="Normal 4 4 2" xfId="379" xr:uid="{00000000-0005-0000-0000-0000C3140000}"/>
    <cellStyle name="Normal 4 4 2 10" xfId="4756" xr:uid="{00000000-0005-0000-0000-0000C4140000}"/>
    <cellStyle name="Normal 4 4 2 11" xfId="8967" xr:uid="{089C6F00-C483-4215-BFFD-36BE82E44F19}"/>
    <cellStyle name="Normal 4 4 2 12" xfId="13178" xr:uid="{5E0F1F97-5F8B-4AE7-A5A6-210CC6A8180A}"/>
    <cellStyle name="Normal 4 4 2 2" xfId="380" xr:uid="{00000000-0005-0000-0000-0000C5140000}"/>
    <cellStyle name="Normal 4 4 2 2 10" xfId="8968" xr:uid="{02B96045-46E6-4053-AEB6-412CF410C2D1}"/>
    <cellStyle name="Normal 4 4 2 2 11" xfId="13179" xr:uid="{4B191AAC-3C3E-4A5A-8ECF-741000B806FE}"/>
    <cellStyle name="Normal 4 4 2 2 2" xfId="381" xr:uid="{00000000-0005-0000-0000-0000C6140000}"/>
    <cellStyle name="Normal 4 4 2 2 2 10" xfId="13180" xr:uid="{A5B4DCE1-3DBE-4070-8370-0BD68ED5F00B}"/>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2 3" xfId="11528" xr:uid="{59343CCA-BED8-41B5-8D3E-3FBD742CAC72}"/>
    <cellStyle name="Normal 4 4 2 2 2 2 2 2 4" xfId="15739" xr:uid="{68EDD907-E538-455E-A409-AC9FEF884537}"/>
    <cellStyle name="Normal 4 4 2 2 2 2 2 3" xfId="5172" xr:uid="{00000000-0005-0000-0000-0000CB140000}"/>
    <cellStyle name="Normal 4 4 2 2 2 2 2 4" xfId="9383" xr:uid="{AC99EFA6-5391-4C46-B931-D38725605D99}"/>
    <cellStyle name="Normal 4 4 2 2 2 2 2 5" xfId="13594" xr:uid="{4C24418A-52B6-4F15-A56C-A0BCB712BAD1}"/>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2 3" xfId="11941" xr:uid="{2E0AA409-6255-48B8-A662-B8D0CA78C729}"/>
    <cellStyle name="Normal 4 4 2 2 2 2 3 2 4" xfId="16152" xr:uid="{8F3C2B30-15FF-48D3-987F-EB7788D5247F}"/>
    <cellStyle name="Normal 4 4 2 2 2 2 3 3" xfId="5585" xr:uid="{00000000-0005-0000-0000-0000CF140000}"/>
    <cellStyle name="Normal 4 4 2 2 2 2 3 4" xfId="9796" xr:uid="{16B66A71-18AF-491E-90BD-747423CE5EF2}"/>
    <cellStyle name="Normal 4 4 2 2 2 2 3 5" xfId="14007" xr:uid="{5FEBDFDC-9CB1-4A5F-B6B7-8B8C616DF246}"/>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2 3" xfId="12354" xr:uid="{294409DB-594B-4FF8-8C3E-8CF587DBC8A1}"/>
    <cellStyle name="Normal 4 4 2 2 2 2 4 2 4" xfId="16565" xr:uid="{C593D89B-81FA-4CC8-9702-9A9B811BEA30}"/>
    <cellStyle name="Normal 4 4 2 2 2 2 4 3" xfId="5998" xr:uid="{00000000-0005-0000-0000-0000D3140000}"/>
    <cellStyle name="Normal 4 4 2 2 2 2 4 4" xfId="10209" xr:uid="{651F626E-75A1-433A-8C8F-186D9221EB8D}"/>
    <cellStyle name="Normal 4 4 2 2 2 2 4 5" xfId="14420" xr:uid="{F6A80A9C-1198-45E7-8BB7-083EF8B259B6}"/>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2 3" xfId="12767" xr:uid="{92F01C9A-E5CA-4E09-B181-F3BEE407C3B9}"/>
    <cellStyle name="Normal 4 4 2 2 2 2 5 2 4" xfId="16978" xr:uid="{B2B96EC4-400F-4886-A973-48A47FBB55A9}"/>
    <cellStyle name="Normal 4 4 2 2 2 2 5 3" xfId="6411" xr:uid="{00000000-0005-0000-0000-0000D7140000}"/>
    <cellStyle name="Normal 4 4 2 2 2 2 5 4" xfId="10622" xr:uid="{34074A17-68CE-4986-9D6B-BFA3BD26D672}"/>
    <cellStyle name="Normal 4 4 2 2 2 2 5 5" xfId="14833" xr:uid="{4BE20B6A-3D66-49B9-BAE0-360549D7FEF5}"/>
    <cellStyle name="Normal 4 4 2 2 2 2 6" xfId="2539" xr:uid="{00000000-0005-0000-0000-0000D8140000}"/>
    <cellStyle name="Normal 4 4 2 2 2 2 6 2" xfId="6824" xr:uid="{00000000-0005-0000-0000-0000D9140000}"/>
    <cellStyle name="Normal 4 4 2 2 2 2 6 3" xfId="11035" xr:uid="{6BFA84CF-4BFB-4420-A0D4-D212587B0257}"/>
    <cellStyle name="Normal 4 4 2 2 2 2 6 4" xfId="15246" xr:uid="{F2A20DC9-80FB-4129-8DC4-32D14A0D3882}"/>
    <cellStyle name="Normal 4 4 2 2 2 2 7" xfId="4759" xr:uid="{00000000-0005-0000-0000-0000DA140000}"/>
    <cellStyle name="Normal 4 4 2 2 2 2 8" xfId="8970" xr:uid="{3E56F9B2-10EB-4601-90F0-E5171614E5C0}"/>
    <cellStyle name="Normal 4 4 2 2 2 2 9" xfId="13181" xr:uid="{E00DCE29-4CDE-4ACE-90F5-FA582B8588AB}"/>
    <cellStyle name="Normal 4 4 2 2 2 3" xfId="857" xr:uid="{00000000-0005-0000-0000-0000DB140000}"/>
    <cellStyle name="Normal 4 4 2 2 2 3 2" xfId="3092" xr:uid="{00000000-0005-0000-0000-0000DC140000}"/>
    <cellStyle name="Normal 4 4 2 2 2 3 2 2" xfId="7316" xr:uid="{00000000-0005-0000-0000-0000DD140000}"/>
    <cellStyle name="Normal 4 4 2 2 2 3 2 3" xfId="11527" xr:uid="{8879DC09-618B-43C9-B0AF-DDC700D1E690}"/>
    <cellStyle name="Normal 4 4 2 2 2 3 2 4" xfId="15738" xr:uid="{FE273461-54A1-406A-853A-8BA9F05AB8B5}"/>
    <cellStyle name="Normal 4 4 2 2 2 3 3" xfId="5171" xr:uid="{00000000-0005-0000-0000-0000DE140000}"/>
    <cellStyle name="Normal 4 4 2 2 2 3 4" xfId="9382" xr:uid="{F6409D64-6A8D-4F5B-AABE-F6FEE2B90F5B}"/>
    <cellStyle name="Normal 4 4 2 2 2 3 5" xfId="13593" xr:uid="{FF59D8BA-408A-4158-AE6D-934E4A75B80A}"/>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2 3" xfId="11940" xr:uid="{808439F0-7A71-4D61-AB12-0EF292405D4C}"/>
    <cellStyle name="Normal 4 4 2 2 2 4 2 4" xfId="16151" xr:uid="{BB383B32-A323-4B3C-9792-78EB151BE494}"/>
    <cellStyle name="Normal 4 4 2 2 2 4 3" xfId="5584" xr:uid="{00000000-0005-0000-0000-0000E2140000}"/>
    <cellStyle name="Normal 4 4 2 2 2 4 4" xfId="9795" xr:uid="{19595C28-FD32-4AE9-A3B5-0EE054008B5C}"/>
    <cellStyle name="Normal 4 4 2 2 2 4 5" xfId="14006" xr:uid="{9145DEE7-DB91-4D9B-A209-4FC7815425DA}"/>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2 3" xfId="12353" xr:uid="{CD46EAF4-104E-4C88-A28B-0EC34000CCF1}"/>
    <cellStyle name="Normal 4 4 2 2 2 5 2 4" xfId="16564" xr:uid="{0072B96F-057C-4D00-AB56-8EC332D7ADCE}"/>
    <cellStyle name="Normal 4 4 2 2 2 5 3" xfId="5997" xr:uid="{00000000-0005-0000-0000-0000E6140000}"/>
    <cellStyle name="Normal 4 4 2 2 2 5 4" xfId="10208" xr:uid="{28A2E9BF-0601-44A3-BEF2-97F3DD4834F1}"/>
    <cellStyle name="Normal 4 4 2 2 2 5 5" xfId="14419" xr:uid="{2C0A5845-86BD-41C2-9155-227A32AA1042}"/>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2 3" xfId="12766" xr:uid="{D9F58315-6D2E-410A-9EE4-8F2140C5E373}"/>
    <cellStyle name="Normal 4 4 2 2 2 6 2 4" xfId="16977" xr:uid="{E5365C65-BB48-4ED3-8869-C340589F8C53}"/>
    <cellStyle name="Normal 4 4 2 2 2 6 3" xfId="6410" xr:uid="{00000000-0005-0000-0000-0000EA140000}"/>
    <cellStyle name="Normal 4 4 2 2 2 6 4" xfId="10621" xr:uid="{520858E2-97C1-4A08-BE3D-C0730DBA58C9}"/>
    <cellStyle name="Normal 4 4 2 2 2 6 5" xfId="14832" xr:uid="{8E3013D2-C906-4254-8E7D-C49C17890C95}"/>
    <cellStyle name="Normal 4 4 2 2 2 7" xfId="2538" xr:uid="{00000000-0005-0000-0000-0000EB140000}"/>
    <cellStyle name="Normal 4 4 2 2 2 7 2" xfId="6823" xr:uid="{00000000-0005-0000-0000-0000EC140000}"/>
    <cellStyle name="Normal 4 4 2 2 2 7 3" xfId="11034" xr:uid="{6DB30E1E-2F52-4E02-B0BA-9EF7F8276DE1}"/>
    <cellStyle name="Normal 4 4 2 2 2 7 4" xfId="15245" xr:uid="{99BEDBC9-FFE6-4D1C-B700-7A4619A4195E}"/>
    <cellStyle name="Normal 4 4 2 2 2 8" xfId="4758" xr:uid="{00000000-0005-0000-0000-0000ED140000}"/>
    <cellStyle name="Normal 4 4 2 2 2 9" xfId="8969" xr:uid="{CFE2A004-3205-4857-B648-64AB5D5BBFC6}"/>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2 3" xfId="11529" xr:uid="{25AC5FB7-87D9-40F6-B126-5A16C52E6BA5}"/>
    <cellStyle name="Normal 4 4 2 2 3 2 2 4" xfId="15740" xr:uid="{1B71435F-E62D-4033-B538-A971B1979210}"/>
    <cellStyle name="Normal 4 4 2 2 3 2 3" xfId="5173" xr:uid="{00000000-0005-0000-0000-0000F2140000}"/>
    <cellStyle name="Normal 4 4 2 2 3 2 4" xfId="9384" xr:uid="{6DB14A05-DA2B-44ED-BBD5-CBFFC797171E}"/>
    <cellStyle name="Normal 4 4 2 2 3 2 5" xfId="13595" xr:uid="{398BE4FE-3B4D-4FFF-9737-B851D6DD4D59}"/>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2 3" xfId="11942" xr:uid="{97DC82E4-A601-4C58-AF2C-C140D0D6292B}"/>
    <cellStyle name="Normal 4 4 2 2 3 3 2 4" xfId="16153" xr:uid="{FC6C940F-56C1-4CDE-B493-87A7CB7CD5A7}"/>
    <cellStyle name="Normal 4 4 2 2 3 3 3" xfId="5586" xr:uid="{00000000-0005-0000-0000-0000F6140000}"/>
    <cellStyle name="Normal 4 4 2 2 3 3 4" xfId="9797" xr:uid="{6317D7F5-453E-46C5-B9ED-CEC2C66D1D06}"/>
    <cellStyle name="Normal 4 4 2 2 3 3 5" xfId="14008" xr:uid="{07C6DED2-8E85-4AD2-8124-E098E7528CEF}"/>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2 3" xfId="12355" xr:uid="{12411B4A-41EE-4FED-9166-8FC81E10A8CE}"/>
    <cellStyle name="Normal 4 4 2 2 3 4 2 4" xfId="16566" xr:uid="{F5CF21A3-C4F5-425D-80BA-AE294208563A}"/>
    <cellStyle name="Normal 4 4 2 2 3 4 3" xfId="5999" xr:uid="{00000000-0005-0000-0000-0000FA140000}"/>
    <cellStyle name="Normal 4 4 2 2 3 4 4" xfId="10210" xr:uid="{77180F9C-13B9-457E-81E0-045A9437A4C7}"/>
    <cellStyle name="Normal 4 4 2 2 3 4 5" xfId="14421" xr:uid="{02B1D3B6-4D5E-49BD-8D9C-6EC7564B3A6B}"/>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2 3" xfId="12768" xr:uid="{129EA008-5544-44D3-8C04-6105A44E3CF6}"/>
    <cellStyle name="Normal 4 4 2 2 3 5 2 4" xfId="16979" xr:uid="{366DC9E4-8331-41F5-B587-26F7D96E5951}"/>
    <cellStyle name="Normal 4 4 2 2 3 5 3" xfId="6412" xr:uid="{00000000-0005-0000-0000-0000FE140000}"/>
    <cellStyle name="Normal 4 4 2 2 3 5 4" xfId="10623" xr:uid="{3EEBF847-1A7E-4611-8002-254A65904FE2}"/>
    <cellStyle name="Normal 4 4 2 2 3 5 5" xfId="14834" xr:uid="{CD088BA7-B2A8-4A9D-B3EA-48814A4B7DF8}"/>
    <cellStyle name="Normal 4 4 2 2 3 6" xfId="2540" xr:uid="{00000000-0005-0000-0000-0000FF140000}"/>
    <cellStyle name="Normal 4 4 2 2 3 6 2" xfId="6825" xr:uid="{00000000-0005-0000-0000-000000150000}"/>
    <cellStyle name="Normal 4 4 2 2 3 6 3" xfId="11036" xr:uid="{822E1D74-3F53-4AA5-9560-E1E56964D45B}"/>
    <cellStyle name="Normal 4 4 2 2 3 6 4" xfId="15247" xr:uid="{0D6FA8D9-87E1-44F7-B43B-F94A50878860}"/>
    <cellStyle name="Normal 4 4 2 2 3 7" xfId="4760" xr:uid="{00000000-0005-0000-0000-000001150000}"/>
    <cellStyle name="Normal 4 4 2 2 3 8" xfId="8971" xr:uid="{E3557036-683B-49D7-8756-1A0D76594E7C}"/>
    <cellStyle name="Normal 4 4 2 2 3 9" xfId="13182" xr:uid="{408044B6-A06E-42BA-824E-D09B6796B5E7}"/>
    <cellStyle name="Normal 4 4 2 2 4" xfId="856" xr:uid="{00000000-0005-0000-0000-000002150000}"/>
    <cellStyle name="Normal 4 4 2 2 4 2" xfId="3091" xr:uid="{00000000-0005-0000-0000-000003150000}"/>
    <cellStyle name="Normal 4 4 2 2 4 2 2" xfId="7315" xr:uid="{00000000-0005-0000-0000-000004150000}"/>
    <cellStyle name="Normal 4 4 2 2 4 2 3" xfId="11526" xr:uid="{895D39CB-012B-4A40-B7B2-2A56F80C9749}"/>
    <cellStyle name="Normal 4 4 2 2 4 2 4" xfId="15737" xr:uid="{87665876-483A-4400-8271-BC5FACDA964F}"/>
    <cellStyle name="Normal 4 4 2 2 4 3" xfId="5170" xr:uid="{00000000-0005-0000-0000-000005150000}"/>
    <cellStyle name="Normal 4 4 2 2 4 4" xfId="9381" xr:uid="{160BAB40-9AF5-464C-AF3E-E199C06252E0}"/>
    <cellStyle name="Normal 4 4 2 2 4 5" xfId="13592" xr:uid="{5EB0CB6D-7CDD-403D-A386-2C43CDC2AD96}"/>
    <cellStyle name="Normal 4 4 2 2 5" xfId="1274" xr:uid="{00000000-0005-0000-0000-000006150000}"/>
    <cellStyle name="Normal 4 4 2 2 5 2" xfId="3504" xr:uid="{00000000-0005-0000-0000-000007150000}"/>
    <cellStyle name="Normal 4 4 2 2 5 2 2" xfId="7728" xr:uid="{00000000-0005-0000-0000-000008150000}"/>
    <cellStyle name="Normal 4 4 2 2 5 2 3" xfId="11939" xr:uid="{836E9C8F-39D8-4D7C-8651-CF6C41F09831}"/>
    <cellStyle name="Normal 4 4 2 2 5 2 4" xfId="16150" xr:uid="{F4A72EFF-4778-44F5-B197-8005D59ABD8F}"/>
    <cellStyle name="Normal 4 4 2 2 5 3" xfId="5583" xr:uid="{00000000-0005-0000-0000-000009150000}"/>
    <cellStyle name="Normal 4 4 2 2 5 4" xfId="9794" xr:uid="{4F6E52A5-EAFB-4843-966F-4BE2C5C40A56}"/>
    <cellStyle name="Normal 4 4 2 2 5 5" xfId="14005" xr:uid="{77181585-38B3-49EB-A997-1E1380EA637F}"/>
    <cellStyle name="Normal 4 4 2 2 6" xfId="1687" xr:uid="{00000000-0005-0000-0000-00000A150000}"/>
    <cellStyle name="Normal 4 4 2 2 6 2" xfId="3917" xr:uid="{00000000-0005-0000-0000-00000B150000}"/>
    <cellStyle name="Normal 4 4 2 2 6 2 2" xfId="8141" xr:uid="{00000000-0005-0000-0000-00000C150000}"/>
    <cellStyle name="Normal 4 4 2 2 6 2 3" xfId="12352" xr:uid="{3DF2F413-2447-4888-AD13-A5100BA10C02}"/>
    <cellStyle name="Normal 4 4 2 2 6 2 4" xfId="16563" xr:uid="{86DDB5AF-369F-469D-B8F1-562ED062F183}"/>
    <cellStyle name="Normal 4 4 2 2 6 3" xfId="5996" xr:uid="{00000000-0005-0000-0000-00000D150000}"/>
    <cellStyle name="Normal 4 4 2 2 6 4" xfId="10207" xr:uid="{09538626-CD0A-44BC-80B3-EEE9E39B05BF}"/>
    <cellStyle name="Normal 4 4 2 2 6 5" xfId="14418" xr:uid="{00E575F6-8397-4B36-A027-F939D8CA698C}"/>
    <cellStyle name="Normal 4 4 2 2 7" xfId="2101" xr:uid="{00000000-0005-0000-0000-00000E150000}"/>
    <cellStyle name="Normal 4 4 2 2 7 2" xfId="4330" xr:uid="{00000000-0005-0000-0000-00000F150000}"/>
    <cellStyle name="Normal 4 4 2 2 7 2 2" xfId="8554" xr:uid="{00000000-0005-0000-0000-000010150000}"/>
    <cellStyle name="Normal 4 4 2 2 7 2 3" xfId="12765" xr:uid="{6DB9A899-39E0-43BE-AC20-CEC3AB533C44}"/>
    <cellStyle name="Normal 4 4 2 2 7 2 4" xfId="16976" xr:uid="{084A2709-5F6E-4D99-AEE1-E396F650D87A}"/>
    <cellStyle name="Normal 4 4 2 2 7 3" xfId="6409" xr:uid="{00000000-0005-0000-0000-000011150000}"/>
    <cellStyle name="Normal 4 4 2 2 7 4" xfId="10620" xr:uid="{E2E705D6-8DAF-47CF-B5BB-BDB996296B31}"/>
    <cellStyle name="Normal 4 4 2 2 7 5" xfId="14831" xr:uid="{0BF81FA6-9925-4EE6-9350-FAB5F1FBDB84}"/>
    <cellStyle name="Normal 4 4 2 2 8" xfId="2537" xr:uid="{00000000-0005-0000-0000-000012150000}"/>
    <cellStyle name="Normal 4 4 2 2 8 2" xfId="6822" xr:uid="{00000000-0005-0000-0000-000013150000}"/>
    <cellStyle name="Normal 4 4 2 2 8 3" xfId="11033" xr:uid="{0564C1F4-CAE3-4AF4-B772-6F01E6911C0A}"/>
    <cellStyle name="Normal 4 4 2 2 8 4" xfId="15244" xr:uid="{687AFD10-ED7A-4FF5-9A75-C79C18BC0F7F}"/>
    <cellStyle name="Normal 4 4 2 2 9" xfId="4757" xr:uid="{00000000-0005-0000-0000-000014150000}"/>
    <cellStyle name="Normal 4 4 2 3" xfId="384" xr:uid="{00000000-0005-0000-0000-000015150000}"/>
    <cellStyle name="Normal 4 4 2 3 10" xfId="13183" xr:uid="{7924B96A-C078-49F7-9D71-8F80191A7D86}"/>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2 3" xfId="11531" xr:uid="{B357764A-4325-45EA-87CF-767F589A91B9}"/>
    <cellStyle name="Normal 4 4 2 3 2 2 2 4" xfId="15742" xr:uid="{9A41F756-3236-4CE9-989C-A6DF519B8E24}"/>
    <cellStyle name="Normal 4 4 2 3 2 2 3" xfId="5175" xr:uid="{00000000-0005-0000-0000-00001A150000}"/>
    <cellStyle name="Normal 4 4 2 3 2 2 4" xfId="9386" xr:uid="{C1A3CDE5-103C-43E2-B221-704225A7711E}"/>
    <cellStyle name="Normal 4 4 2 3 2 2 5" xfId="13597" xr:uid="{84639D7F-A7EF-40D8-B9F3-431449F26FDD}"/>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2 3" xfId="11944" xr:uid="{E81A471F-03F5-414C-A215-F80691CCD514}"/>
    <cellStyle name="Normal 4 4 2 3 2 3 2 4" xfId="16155" xr:uid="{C24DCA16-440A-43BC-A0CB-233A90C99203}"/>
    <cellStyle name="Normal 4 4 2 3 2 3 3" xfId="5588" xr:uid="{00000000-0005-0000-0000-00001E150000}"/>
    <cellStyle name="Normal 4 4 2 3 2 3 4" xfId="9799" xr:uid="{6351C21B-C9A5-4509-BDFC-F33F2DB8C67A}"/>
    <cellStyle name="Normal 4 4 2 3 2 3 5" xfId="14010" xr:uid="{4896F27B-98B5-4A7A-AD02-A069DA112E02}"/>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2 3" xfId="12357" xr:uid="{2947C58D-4EA8-44EC-878C-66925A3FF409}"/>
    <cellStyle name="Normal 4 4 2 3 2 4 2 4" xfId="16568" xr:uid="{31C74A83-E455-4003-8609-5A31BDC6FB03}"/>
    <cellStyle name="Normal 4 4 2 3 2 4 3" xfId="6001" xr:uid="{00000000-0005-0000-0000-000022150000}"/>
    <cellStyle name="Normal 4 4 2 3 2 4 4" xfId="10212" xr:uid="{88001093-BB72-4A98-92C3-7C8A05114EBB}"/>
    <cellStyle name="Normal 4 4 2 3 2 4 5" xfId="14423" xr:uid="{A72A621E-64E1-4697-8048-1FDCA3CB8C09}"/>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2 3" xfId="12770" xr:uid="{2B8AFC56-BD0C-408C-A432-2BC18F392F87}"/>
    <cellStyle name="Normal 4 4 2 3 2 5 2 4" xfId="16981" xr:uid="{6CF1D193-7F56-4E08-9CB0-2908BDCDEF82}"/>
    <cellStyle name="Normal 4 4 2 3 2 5 3" xfId="6414" xr:uid="{00000000-0005-0000-0000-000026150000}"/>
    <cellStyle name="Normal 4 4 2 3 2 5 4" xfId="10625" xr:uid="{59989709-3924-4938-AA74-3449C0E84976}"/>
    <cellStyle name="Normal 4 4 2 3 2 5 5" xfId="14836" xr:uid="{4189B658-4DE3-4F9A-ACED-FA9B30B7AA5E}"/>
    <cellStyle name="Normal 4 4 2 3 2 6" xfId="2542" xr:uid="{00000000-0005-0000-0000-000027150000}"/>
    <cellStyle name="Normal 4 4 2 3 2 6 2" xfId="6827" xr:uid="{00000000-0005-0000-0000-000028150000}"/>
    <cellStyle name="Normal 4 4 2 3 2 6 3" xfId="11038" xr:uid="{D6F472EE-9FA0-4468-BCEB-AF3A1B31BB5B}"/>
    <cellStyle name="Normal 4 4 2 3 2 6 4" xfId="15249" xr:uid="{FDECB9CB-96C2-40E2-840B-5D90B38A20A1}"/>
    <cellStyle name="Normal 4 4 2 3 2 7" xfId="4762" xr:uid="{00000000-0005-0000-0000-000029150000}"/>
    <cellStyle name="Normal 4 4 2 3 2 8" xfId="8973" xr:uid="{1229C471-D158-495E-8014-424E8460678C}"/>
    <cellStyle name="Normal 4 4 2 3 2 9" xfId="13184" xr:uid="{E60123B9-F8B0-49AC-84F8-9BA0C3259D51}"/>
    <cellStyle name="Normal 4 4 2 3 3" xfId="860" xr:uid="{00000000-0005-0000-0000-00002A150000}"/>
    <cellStyle name="Normal 4 4 2 3 3 2" xfId="3095" xr:uid="{00000000-0005-0000-0000-00002B150000}"/>
    <cellStyle name="Normal 4 4 2 3 3 2 2" xfId="7319" xr:uid="{00000000-0005-0000-0000-00002C150000}"/>
    <cellStyle name="Normal 4 4 2 3 3 2 3" xfId="11530" xr:uid="{2CE1D2DC-F225-4B8A-BF91-9E56C2BB71F9}"/>
    <cellStyle name="Normal 4 4 2 3 3 2 4" xfId="15741" xr:uid="{8381E572-0EA8-4C16-95CC-35C3E84F5AC7}"/>
    <cellStyle name="Normal 4 4 2 3 3 3" xfId="5174" xr:uid="{00000000-0005-0000-0000-00002D150000}"/>
    <cellStyle name="Normal 4 4 2 3 3 4" xfId="9385" xr:uid="{F54F903E-A624-4012-9994-2ADB8A0B50B0}"/>
    <cellStyle name="Normal 4 4 2 3 3 5" xfId="13596" xr:uid="{A21E750A-8CC2-487D-956D-8B8AFAACE186}"/>
    <cellStyle name="Normal 4 4 2 3 4" xfId="1278" xr:uid="{00000000-0005-0000-0000-00002E150000}"/>
    <cellStyle name="Normal 4 4 2 3 4 2" xfId="3508" xr:uid="{00000000-0005-0000-0000-00002F150000}"/>
    <cellStyle name="Normal 4 4 2 3 4 2 2" xfId="7732" xr:uid="{00000000-0005-0000-0000-000030150000}"/>
    <cellStyle name="Normal 4 4 2 3 4 2 3" xfId="11943" xr:uid="{FAA3048D-83C3-4803-9694-FFD3394AD85D}"/>
    <cellStyle name="Normal 4 4 2 3 4 2 4" xfId="16154" xr:uid="{885EF3E6-5DA4-4CDD-B006-F6A456D901D9}"/>
    <cellStyle name="Normal 4 4 2 3 4 3" xfId="5587" xr:uid="{00000000-0005-0000-0000-000031150000}"/>
    <cellStyle name="Normal 4 4 2 3 4 4" xfId="9798" xr:uid="{DDA00D85-B791-434F-98E3-2914F89C5AF7}"/>
    <cellStyle name="Normal 4 4 2 3 4 5" xfId="14009" xr:uid="{88109529-E529-4074-BAD8-A225916F94A1}"/>
    <cellStyle name="Normal 4 4 2 3 5" xfId="1691" xr:uid="{00000000-0005-0000-0000-000032150000}"/>
    <cellStyle name="Normal 4 4 2 3 5 2" xfId="3921" xr:uid="{00000000-0005-0000-0000-000033150000}"/>
    <cellStyle name="Normal 4 4 2 3 5 2 2" xfId="8145" xr:uid="{00000000-0005-0000-0000-000034150000}"/>
    <cellStyle name="Normal 4 4 2 3 5 2 3" xfId="12356" xr:uid="{B58E4B2A-6923-4CD0-86A7-328694C4B688}"/>
    <cellStyle name="Normal 4 4 2 3 5 2 4" xfId="16567" xr:uid="{10C1335B-588B-4DD1-B0EC-3E67835B0DAF}"/>
    <cellStyle name="Normal 4 4 2 3 5 3" xfId="6000" xr:uid="{00000000-0005-0000-0000-000035150000}"/>
    <cellStyle name="Normal 4 4 2 3 5 4" xfId="10211" xr:uid="{F7EE72A6-6C97-4C72-B03B-C3BE55ECB60A}"/>
    <cellStyle name="Normal 4 4 2 3 5 5" xfId="14422" xr:uid="{B4A6D93E-4044-4B65-B525-8AA185E58885}"/>
    <cellStyle name="Normal 4 4 2 3 6" xfId="2105" xr:uid="{00000000-0005-0000-0000-000036150000}"/>
    <cellStyle name="Normal 4 4 2 3 6 2" xfId="4334" xr:uid="{00000000-0005-0000-0000-000037150000}"/>
    <cellStyle name="Normal 4 4 2 3 6 2 2" xfId="8558" xr:uid="{00000000-0005-0000-0000-000038150000}"/>
    <cellStyle name="Normal 4 4 2 3 6 2 3" xfId="12769" xr:uid="{E83CFD5F-6ECF-4E36-A114-0487E233C408}"/>
    <cellStyle name="Normal 4 4 2 3 6 2 4" xfId="16980" xr:uid="{86C0459B-DCA2-43EA-A1C5-D9DDB38F5E95}"/>
    <cellStyle name="Normal 4 4 2 3 6 3" xfId="6413" xr:uid="{00000000-0005-0000-0000-000039150000}"/>
    <cellStyle name="Normal 4 4 2 3 6 4" xfId="10624" xr:uid="{0705832E-A303-4A8C-AAB6-14CA9F66E0E3}"/>
    <cellStyle name="Normal 4 4 2 3 6 5" xfId="14835" xr:uid="{7CE19A1E-1A23-4CD5-9AD9-FE05D5FF172E}"/>
    <cellStyle name="Normal 4 4 2 3 7" xfId="2541" xr:uid="{00000000-0005-0000-0000-00003A150000}"/>
    <cellStyle name="Normal 4 4 2 3 7 2" xfId="6826" xr:uid="{00000000-0005-0000-0000-00003B150000}"/>
    <cellStyle name="Normal 4 4 2 3 7 3" xfId="11037" xr:uid="{83EEF824-97DA-4C49-96FD-124C86D755F2}"/>
    <cellStyle name="Normal 4 4 2 3 7 4" xfId="15248" xr:uid="{0E167BBC-D5F7-4844-AE19-16C3CF28696D}"/>
    <cellStyle name="Normal 4 4 2 3 8" xfId="4761" xr:uid="{00000000-0005-0000-0000-00003C150000}"/>
    <cellStyle name="Normal 4 4 2 3 9" xfId="8972" xr:uid="{941CA1B1-8B32-4101-8823-66AC8FC0C6CB}"/>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2 3" xfId="11532" xr:uid="{B6871B11-0590-4483-BF2A-B941C8AE2CF5}"/>
    <cellStyle name="Normal 4 4 2 4 2 2 4" xfId="15743" xr:uid="{411DD67E-5E8C-491A-890E-11710FEFE0E4}"/>
    <cellStyle name="Normal 4 4 2 4 2 3" xfId="5176" xr:uid="{00000000-0005-0000-0000-000041150000}"/>
    <cellStyle name="Normal 4 4 2 4 2 4" xfId="9387" xr:uid="{18B1A602-4057-4ADC-AD2D-F4D1594BC8D1}"/>
    <cellStyle name="Normal 4 4 2 4 2 5" xfId="13598" xr:uid="{7E1683A9-5493-4E57-B038-885E0FF29064}"/>
    <cellStyle name="Normal 4 4 2 4 3" xfId="1280" xr:uid="{00000000-0005-0000-0000-000042150000}"/>
    <cellStyle name="Normal 4 4 2 4 3 2" xfId="3510" xr:uid="{00000000-0005-0000-0000-000043150000}"/>
    <cellStyle name="Normal 4 4 2 4 3 2 2" xfId="7734" xr:uid="{00000000-0005-0000-0000-000044150000}"/>
    <cellStyle name="Normal 4 4 2 4 3 2 3" xfId="11945" xr:uid="{3AB84305-5666-4D86-855F-CC250EC3C9E5}"/>
    <cellStyle name="Normal 4 4 2 4 3 2 4" xfId="16156" xr:uid="{1793ED2D-0D61-4EF0-BE55-7A49035CEF64}"/>
    <cellStyle name="Normal 4 4 2 4 3 3" xfId="5589" xr:uid="{00000000-0005-0000-0000-000045150000}"/>
    <cellStyle name="Normal 4 4 2 4 3 4" xfId="9800" xr:uid="{03534F92-B97D-402C-BF55-F9C7CBA42BA1}"/>
    <cellStyle name="Normal 4 4 2 4 3 5" xfId="14011" xr:uid="{AEC122B6-9D82-4A04-A490-88E8E8782E9C}"/>
    <cellStyle name="Normal 4 4 2 4 4" xfId="1693" xr:uid="{00000000-0005-0000-0000-000046150000}"/>
    <cellStyle name="Normal 4 4 2 4 4 2" xfId="3923" xr:uid="{00000000-0005-0000-0000-000047150000}"/>
    <cellStyle name="Normal 4 4 2 4 4 2 2" xfId="8147" xr:uid="{00000000-0005-0000-0000-000048150000}"/>
    <cellStyle name="Normal 4 4 2 4 4 2 3" xfId="12358" xr:uid="{D0596C15-9F30-4E9A-9B29-0246937F3518}"/>
    <cellStyle name="Normal 4 4 2 4 4 2 4" xfId="16569" xr:uid="{6E374AF7-283B-49E1-B352-1660202AE93D}"/>
    <cellStyle name="Normal 4 4 2 4 4 3" xfId="6002" xr:uid="{00000000-0005-0000-0000-000049150000}"/>
    <cellStyle name="Normal 4 4 2 4 4 4" xfId="10213" xr:uid="{9C097E85-144F-4620-B614-CF9270D78ACD}"/>
    <cellStyle name="Normal 4 4 2 4 4 5" xfId="14424" xr:uid="{C5BAE695-7C43-4137-8F2C-CA4DBF03E579}"/>
    <cellStyle name="Normal 4 4 2 4 5" xfId="2107" xr:uid="{00000000-0005-0000-0000-00004A150000}"/>
    <cellStyle name="Normal 4 4 2 4 5 2" xfId="4336" xr:uid="{00000000-0005-0000-0000-00004B150000}"/>
    <cellStyle name="Normal 4 4 2 4 5 2 2" xfId="8560" xr:uid="{00000000-0005-0000-0000-00004C150000}"/>
    <cellStyle name="Normal 4 4 2 4 5 2 3" xfId="12771" xr:uid="{1602312B-DEED-4AE8-8994-D35D11735F57}"/>
    <cellStyle name="Normal 4 4 2 4 5 2 4" xfId="16982" xr:uid="{978634AD-7C91-4CDE-B02A-1BD4E2BF719C}"/>
    <cellStyle name="Normal 4 4 2 4 5 3" xfId="6415" xr:uid="{00000000-0005-0000-0000-00004D150000}"/>
    <cellStyle name="Normal 4 4 2 4 5 4" xfId="10626" xr:uid="{8D97C1AA-8D18-4FF5-9C04-1BDEE8E37EB7}"/>
    <cellStyle name="Normal 4 4 2 4 5 5" xfId="14837" xr:uid="{75D7ECF3-A3C6-4694-B198-18AB4CD1CA54}"/>
    <cellStyle name="Normal 4 4 2 4 6" xfId="2543" xr:uid="{00000000-0005-0000-0000-00004E150000}"/>
    <cellStyle name="Normal 4 4 2 4 6 2" xfId="6828" xr:uid="{00000000-0005-0000-0000-00004F150000}"/>
    <cellStyle name="Normal 4 4 2 4 6 3" xfId="11039" xr:uid="{0000F011-8A7D-42C8-A8A1-C6CD90D6D711}"/>
    <cellStyle name="Normal 4 4 2 4 6 4" xfId="15250" xr:uid="{03973123-B3CB-4F19-8025-66F4197285BF}"/>
    <cellStyle name="Normal 4 4 2 4 7" xfId="4763" xr:uid="{00000000-0005-0000-0000-000050150000}"/>
    <cellStyle name="Normal 4 4 2 4 8" xfId="8974" xr:uid="{1B967231-0D11-4393-8A64-88DE2F8A04D4}"/>
    <cellStyle name="Normal 4 4 2 4 9" xfId="13185" xr:uid="{D3BA8FB6-844A-4A03-9A96-9467880617D2}"/>
    <cellStyle name="Normal 4 4 2 5" xfId="855" xr:uid="{00000000-0005-0000-0000-000051150000}"/>
    <cellStyle name="Normal 4 4 2 5 2" xfId="3090" xr:uid="{00000000-0005-0000-0000-000052150000}"/>
    <cellStyle name="Normal 4 4 2 5 2 2" xfId="7314" xr:uid="{00000000-0005-0000-0000-000053150000}"/>
    <cellStyle name="Normal 4 4 2 5 2 3" xfId="11525" xr:uid="{77EFFF20-1ACC-4AF6-B341-3C34F8108CFC}"/>
    <cellStyle name="Normal 4 4 2 5 2 4" xfId="15736" xr:uid="{D7B1EBA9-3B04-4633-AFFE-2F8DFA665E85}"/>
    <cellStyle name="Normal 4 4 2 5 3" xfId="5169" xr:uid="{00000000-0005-0000-0000-000054150000}"/>
    <cellStyle name="Normal 4 4 2 5 4" xfId="9380" xr:uid="{AE19F621-CC42-4B45-8D5F-41660626A836}"/>
    <cellStyle name="Normal 4 4 2 5 5" xfId="13591" xr:uid="{DE74F69A-FF47-4DEA-BB86-F1CD0CE53CFE}"/>
    <cellStyle name="Normal 4 4 2 6" xfId="1273" xr:uid="{00000000-0005-0000-0000-000055150000}"/>
    <cellStyle name="Normal 4 4 2 6 2" xfId="3503" xr:uid="{00000000-0005-0000-0000-000056150000}"/>
    <cellStyle name="Normal 4 4 2 6 2 2" xfId="7727" xr:uid="{00000000-0005-0000-0000-000057150000}"/>
    <cellStyle name="Normal 4 4 2 6 2 3" xfId="11938" xr:uid="{90BC1DBB-8E2C-4CBD-93ED-FDD47961D99E}"/>
    <cellStyle name="Normal 4 4 2 6 2 4" xfId="16149" xr:uid="{9B295E9A-5038-4E84-9C47-23BCDBC2BCAD}"/>
    <cellStyle name="Normal 4 4 2 6 3" xfId="5582" xr:uid="{00000000-0005-0000-0000-000058150000}"/>
    <cellStyle name="Normal 4 4 2 6 4" xfId="9793" xr:uid="{48F089F4-40AB-4A84-86C2-842239BAFAF8}"/>
    <cellStyle name="Normal 4 4 2 6 5" xfId="14004" xr:uid="{201E93B4-CD6C-4A8F-A7EB-91D4853894B8}"/>
    <cellStyle name="Normal 4 4 2 7" xfId="1686" xr:uid="{00000000-0005-0000-0000-000059150000}"/>
    <cellStyle name="Normal 4 4 2 7 2" xfId="3916" xr:uid="{00000000-0005-0000-0000-00005A150000}"/>
    <cellStyle name="Normal 4 4 2 7 2 2" xfId="8140" xr:uid="{00000000-0005-0000-0000-00005B150000}"/>
    <cellStyle name="Normal 4 4 2 7 2 3" xfId="12351" xr:uid="{BB29D176-D23A-4C93-9020-C5F055D6E84C}"/>
    <cellStyle name="Normal 4 4 2 7 2 4" xfId="16562" xr:uid="{2BAAE381-A98E-4DED-BEE4-B81AF4CE10DB}"/>
    <cellStyle name="Normal 4 4 2 7 3" xfId="5995" xr:uid="{00000000-0005-0000-0000-00005C150000}"/>
    <cellStyle name="Normal 4 4 2 7 4" xfId="10206" xr:uid="{EF4B2AB5-3371-4338-A02C-38C38CAD07B4}"/>
    <cellStyle name="Normal 4 4 2 7 5" xfId="14417" xr:uid="{7841E22A-27DD-493D-A8E0-45530E3D53E6}"/>
    <cellStyle name="Normal 4 4 2 8" xfId="2100" xr:uid="{00000000-0005-0000-0000-00005D150000}"/>
    <cellStyle name="Normal 4 4 2 8 2" xfId="4329" xr:uid="{00000000-0005-0000-0000-00005E150000}"/>
    <cellStyle name="Normal 4 4 2 8 2 2" xfId="8553" xr:uid="{00000000-0005-0000-0000-00005F150000}"/>
    <cellStyle name="Normal 4 4 2 8 2 3" xfId="12764" xr:uid="{0391A442-B894-43F8-9C58-731C4F9E4F34}"/>
    <cellStyle name="Normal 4 4 2 8 2 4" xfId="16975" xr:uid="{4A8EB83F-2C52-49EE-966F-0AA060177CBC}"/>
    <cellStyle name="Normal 4 4 2 8 3" xfId="6408" xr:uid="{00000000-0005-0000-0000-000060150000}"/>
    <cellStyle name="Normal 4 4 2 8 4" xfId="10619" xr:uid="{8EA59858-48B5-4905-859A-803518EC9047}"/>
    <cellStyle name="Normal 4 4 2 8 5" xfId="14830" xr:uid="{2E8030B9-7655-481B-81EB-E4D579DD8E2A}"/>
    <cellStyle name="Normal 4 4 2 9" xfId="2536" xr:uid="{00000000-0005-0000-0000-000061150000}"/>
    <cellStyle name="Normal 4 4 2 9 2" xfId="6821" xr:uid="{00000000-0005-0000-0000-000062150000}"/>
    <cellStyle name="Normal 4 4 2 9 3" xfId="11032" xr:uid="{209CCFC0-9AC8-4BC7-918C-6AB366671343}"/>
    <cellStyle name="Normal 4 4 2 9 4" xfId="15243" xr:uid="{F79AF428-2A0F-4A72-892A-FB65FE5962DD}"/>
    <cellStyle name="Normal 4 4 3" xfId="387" xr:uid="{00000000-0005-0000-0000-000063150000}"/>
    <cellStyle name="Normal 4 4 3 10" xfId="8975" xr:uid="{C0BE5B2B-0C9A-43EC-954F-5DE33DBFC920}"/>
    <cellStyle name="Normal 4 4 3 11" xfId="13186" xr:uid="{576976F8-C7A9-4EB5-875B-1DA0B63BF08D}"/>
    <cellStyle name="Normal 4 4 3 2" xfId="388" xr:uid="{00000000-0005-0000-0000-000064150000}"/>
    <cellStyle name="Normal 4 4 3 2 10" xfId="13187" xr:uid="{141AB9ED-8DF3-4F27-8C76-5CE3BF069FD6}"/>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2 3" xfId="11535" xr:uid="{F42AC396-7CCF-4AB8-9D0F-C9A4A31F75F5}"/>
    <cellStyle name="Normal 4 4 3 2 2 2 2 4" xfId="15746" xr:uid="{FFD37A56-F90D-4A20-BE1B-D075918219DF}"/>
    <cellStyle name="Normal 4 4 3 2 2 2 3" xfId="5179" xr:uid="{00000000-0005-0000-0000-000069150000}"/>
    <cellStyle name="Normal 4 4 3 2 2 2 4" xfId="9390" xr:uid="{1A567C0C-314C-4E65-A96B-8E075AE97D78}"/>
    <cellStyle name="Normal 4 4 3 2 2 2 5" xfId="13601" xr:uid="{FD1AD75D-371F-4B8C-B43C-C002276B6188}"/>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2 3" xfId="11948" xr:uid="{ECE751E1-6004-493D-94EE-D2F4E25E6B27}"/>
    <cellStyle name="Normal 4 4 3 2 2 3 2 4" xfId="16159" xr:uid="{B29F2DC9-D0B4-4B71-98D2-B672F45055EE}"/>
    <cellStyle name="Normal 4 4 3 2 2 3 3" xfId="5592" xr:uid="{00000000-0005-0000-0000-00006D150000}"/>
    <cellStyle name="Normal 4 4 3 2 2 3 4" xfId="9803" xr:uid="{6D32F902-F2D1-42F4-A7D3-DB2E65A1CD94}"/>
    <cellStyle name="Normal 4 4 3 2 2 3 5" xfId="14014" xr:uid="{9984D7E9-60A5-47B4-A112-BD42EFD1258C}"/>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2 3" xfId="12361" xr:uid="{DA3AA55F-9F0C-4359-AB0D-310499A61567}"/>
    <cellStyle name="Normal 4 4 3 2 2 4 2 4" xfId="16572" xr:uid="{75C7DD35-A193-4D41-9170-B191BC5A8D4F}"/>
    <cellStyle name="Normal 4 4 3 2 2 4 3" xfId="6005" xr:uid="{00000000-0005-0000-0000-000071150000}"/>
    <cellStyle name="Normal 4 4 3 2 2 4 4" xfId="10216" xr:uid="{A0ED0F33-0135-4F01-9458-8FFCDC92CE71}"/>
    <cellStyle name="Normal 4 4 3 2 2 4 5" xfId="14427" xr:uid="{FA59F164-B7E4-446F-998D-C97834E3E203}"/>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2 3" xfId="12774" xr:uid="{39AB406A-196B-4A42-A61A-7084EB8C3F9D}"/>
    <cellStyle name="Normal 4 4 3 2 2 5 2 4" xfId="16985" xr:uid="{A4EC9D55-F7EC-4022-A030-A74EF016D288}"/>
    <cellStyle name="Normal 4 4 3 2 2 5 3" xfId="6418" xr:uid="{00000000-0005-0000-0000-000075150000}"/>
    <cellStyle name="Normal 4 4 3 2 2 5 4" xfId="10629" xr:uid="{666256A1-362C-44B1-A1B9-9DA63788C6C6}"/>
    <cellStyle name="Normal 4 4 3 2 2 5 5" xfId="14840" xr:uid="{7B8CA577-E9D3-4F85-A99D-87F86BEF2774}"/>
    <cellStyle name="Normal 4 4 3 2 2 6" xfId="2546" xr:uid="{00000000-0005-0000-0000-000076150000}"/>
    <cellStyle name="Normal 4 4 3 2 2 6 2" xfId="6831" xr:uid="{00000000-0005-0000-0000-000077150000}"/>
    <cellStyle name="Normal 4 4 3 2 2 6 3" xfId="11042" xr:uid="{6B9E40CA-A12B-4A6B-AFC5-49DCCDF53D4C}"/>
    <cellStyle name="Normal 4 4 3 2 2 6 4" xfId="15253" xr:uid="{1C9EA34D-F2FF-43E2-A6E6-03F2204E577A}"/>
    <cellStyle name="Normal 4 4 3 2 2 7" xfId="4766" xr:uid="{00000000-0005-0000-0000-000078150000}"/>
    <cellStyle name="Normal 4 4 3 2 2 8" xfId="8977" xr:uid="{A43A2B47-1B6E-46FF-9FD5-48E6B21D55C2}"/>
    <cellStyle name="Normal 4 4 3 2 2 9" xfId="13188" xr:uid="{100C6AB8-69A4-4DD8-8D0C-BE7EB64FEF0C}"/>
    <cellStyle name="Normal 4 4 3 2 3" xfId="864" xr:uid="{00000000-0005-0000-0000-000079150000}"/>
    <cellStyle name="Normal 4 4 3 2 3 2" xfId="3099" xr:uid="{00000000-0005-0000-0000-00007A150000}"/>
    <cellStyle name="Normal 4 4 3 2 3 2 2" xfId="7323" xr:uid="{00000000-0005-0000-0000-00007B150000}"/>
    <cellStyle name="Normal 4 4 3 2 3 2 3" xfId="11534" xr:uid="{B3FF5313-D1CE-487D-870A-4BBD164D1043}"/>
    <cellStyle name="Normal 4 4 3 2 3 2 4" xfId="15745" xr:uid="{0B8DE4AB-73B5-491F-9B1C-6310824E8608}"/>
    <cellStyle name="Normal 4 4 3 2 3 3" xfId="5178" xr:uid="{00000000-0005-0000-0000-00007C150000}"/>
    <cellStyle name="Normal 4 4 3 2 3 4" xfId="9389" xr:uid="{126BE309-078B-4156-A4A5-6F7716465B52}"/>
    <cellStyle name="Normal 4 4 3 2 3 5" xfId="13600" xr:uid="{5F5D81EE-E3F7-4E13-B70B-5D2A3C41BB19}"/>
    <cellStyle name="Normal 4 4 3 2 4" xfId="1282" xr:uid="{00000000-0005-0000-0000-00007D150000}"/>
    <cellStyle name="Normal 4 4 3 2 4 2" xfId="3512" xr:uid="{00000000-0005-0000-0000-00007E150000}"/>
    <cellStyle name="Normal 4 4 3 2 4 2 2" xfId="7736" xr:uid="{00000000-0005-0000-0000-00007F150000}"/>
    <cellStyle name="Normal 4 4 3 2 4 2 3" xfId="11947" xr:uid="{4E73694D-2963-4B85-828E-0568BBB1B8BD}"/>
    <cellStyle name="Normal 4 4 3 2 4 2 4" xfId="16158" xr:uid="{4F622F3C-125A-4C49-A2B7-623514B09BDE}"/>
    <cellStyle name="Normal 4 4 3 2 4 3" xfId="5591" xr:uid="{00000000-0005-0000-0000-000080150000}"/>
    <cellStyle name="Normal 4 4 3 2 4 4" xfId="9802" xr:uid="{3BD267AC-4CB3-4DF1-ADDF-1768485AF63C}"/>
    <cellStyle name="Normal 4 4 3 2 4 5" xfId="14013" xr:uid="{28350E77-F478-434C-AE70-3E83CE0604A8}"/>
    <cellStyle name="Normal 4 4 3 2 5" xfId="1695" xr:uid="{00000000-0005-0000-0000-000081150000}"/>
    <cellStyle name="Normal 4 4 3 2 5 2" xfId="3925" xr:uid="{00000000-0005-0000-0000-000082150000}"/>
    <cellStyle name="Normal 4 4 3 2 5 2 2" xfId="8149" xr:uid="{00000000-0005-0000-0000-000083150000}"/>
    <cellStyle name="Normal 4 4 3 2 5 2 3" xfId="12360" xr:uid="{68DCC2EC-B1EC-418B-85F6-9327C0CF641B}"/>
    <cellStyle name="Normal 4 4 3 2 5 2 4" xfId="16571" xr:uid="{B21267FA-0C65-4A91-9162-143D48FE3BB2}"/>
    <cellStyle name="Normal 4 4 3 2 5 3" xfId="6004" xr:uid="{00000000-0005-0000-0000-000084150000}"/>
    <cellStyle name="Normal 4 4 3 2 5 4" xfId="10215" xr:uid="{C86AE7A1-7504-4B39-ADF7-9AF8708368B4}"/>
    <cellStyle name="Normal 4 4 3 2 5 5" xfId="14426" xr:uid="{3B630EDC-F691-40C5-91B9-D60A0873A50C}"/>
    <cellStyle name="Normal 4 4 3 2 6" xfId="2109" xr:uid="{00000000-0005-0000-0000-000085150000}"/>
    <cellStyle name="Normal 4 4 3 2 6 2" xfId="4338" xr:uid="{00000000-0005-0000-0000-000086150000}"/>
    <cellStyle name="Normal 4 4 3 2 6 2 2" xfId="8562" xr:uid="{00000000-0005-0000-0000-000087150000}"/>
    <cellStyle name="Normal 4 4 3 2 6 2 3" xfId="12773" xr:uid="{1C09534C-FFB7-470F-B8AA-5BBDD8380D2C}"/>
    <cellStyle name="Normal 4 4 3 2 6 2 4" xfId="16984" xr:uid="{9D8F23CE-9B6F-4FCF-86E9-94C13DCD7D72}"/>
    <cellStyle name="Normal 4 4 3 2 6 3" xfId="6417" xr:uid="{00000000-0005-0000-0000-000088150000}"/>
    <cellStyle name="Normal 4 4 3 2 6 4" xfId="10628" xr:uid="{BA84A040-D285-46F7-A7E5-E87C0F7CE975}"/>
    <cellStyle name="Normal 4 4 3 2 6 5" xfId="14839" xr:uid="{4E0CA338-E3F9-4770-AB4B-B361410C0886}"/>
    <cellStyle name="Normal 4 4 3 2 7" xfId="2545" xr:uid="{00000000-0005-0000-0000-000089150000}"/>
    <cellStyle name="Normal 4 4 3 2 7 2" xfId="6830" xr:uid="{00000000-0005-0000-0000-00008A150000}"/>
    <cellStyle name="Normal 4 4 3 2 7 3" xfId="11041" xr:uid="{23C3D7D2-7E0D-4531-A927-451EAEF214A8}"/>
    <cellStyle name="Normal 4 4 3 2 7 4" xfId="15252" xr:uid="{FE439C22-D0E0-4D2E-B33D-F3084BDA9E5E}"/>
    <cellStyle name="Normal 4 4 3 2 8" xfId="4765" xr:uid="{00000000-0005-0000-0000-00008B150000}"/>
    <cellStyle name="Normal 4 4 3 2 9" xfId="8976" xr:uid="{3B1014EA-11DF-4101-B932-465627B362EC}"/>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2 3" xfId="11536" xr:uid="{7161F45A-B96F-491D-98AA-55690C9DB565}"/>
    <cellStyle name="Normal 4 4 3 3 2 2 4" xfId="15747" xr:uid="{4715C83D-63C1-4ECE-B4B2-F6F95BD19A5C}"/>
    <cellStyle name="Normal 4 4 3 3 2 3" xfId="5180" xr:uid="{00000000-0005-0000-0000-000090150000}"/>
    <cellStyle name="Normal 4 4 3 3 2 4" xfId="9391" xr:uid="{F791BA9D-FFD9-44D1-834C-D9988A832203}"/>
    <cellStyle name="Normal 4 4 3 3 2 5" xfId="13602" xr:uid="{2B36FFD4-7CAD-4B2A-92FA-9FEEB395751B}"/>
    <cellStyle name="Normal 4 4 3 3 3" xfId="1284" xr:uid="{00000000-0005-0000-0000-000091150000}"/>
    <cellStyle name="Normal 4 4 3 3 3 2" xfId="3514" xr:uid="{00000000-0005-0000-0000-000092150000}"/>
    <cellStyle name="Normal 4 4 3 3 3 2 2" xfId="7738" xr:uid="{00000000-0005-0000-0000-000093150000}"/>
    <cellStyle name="Normal 4 4 3 3 3 2 3" xfId="11949" xr:uid="{8D6EF0D4-BF85-463F-9AD8-99E51572BD40}"/>
    <cellStyle name="Normal 4 4 3 3 3 2 4" xfId="16160" xr:uid="{6A868708-F34F-4B8D-86DB-A2EF0222760C}"/>
    <cellStyle name="Normal 4 4 3 3 3 3" xfId="5593" xr:uid="{00000000-0005-0000-0000-000094150000}"/>
    <cellStyle name="Normal 4 4 3 3 3 4" xfId="9804" xr:uid="{63DB356E-6D53-4E46-8685-E1300260742A}"/>
    <cellStyle name="Normal 4 4 3 3 3 5" xfId="14015" xr:uid="{31E9CC6D-62E8-4DA4-9654-B598A344AF2A}"/>
    <cellStyle name="Normal 4 4 3 3 4" xfId="1697" xr:uid="{00000000-0005-0000-0000-000095150000}"/>
    <cellStyle name="Normal 4 4 3 3 4 2" xfId="3927" xr:uid="{00000000-0005-0000-0000-000096150000}"/>
    <cellStyle name="Normal 4 4 3 3 4 2 2" xfId="8151" xr:uid="{00000000-0005-0000-0000-000097150000}"/>
    <cellStyle name="Normal 4 4 3 3 4 2 3" xfId="12362" xr:uid="{F8499531-6A2A-4962-A90F-8ECD15FC4722}"/>
    <cellStyle name="Normal 4 4 3 3 4 2 4" xfId="16573" xr:uid="{EF3B5C02-C9E2-4295-915F-AF1A9DD5773F}"/>
    <cellStyle name="Normal 4 4 3 3 4 3" xfId="6006" xr:uid="{00000000-0005-0000-0000-000098150000}"/>
    <cellStyle name="Normal 4 4 3 3 4 4" xfId="10217" xr:uid="{4349F60C-7BEB-4942-BA92-51D623E29A4F}"/>
    <cellStyle name="Normal 4 4 3 3 4 5" xfId="14428" xr:uid="{A4F332FB-4B4C-4FAD-8341-217565B9EAB6}"/>
    <cellStyle name="Normal 4 4 3 3 5" xfId="2111" xr:uid="{00000000-0005-0000-0000-000099150000}"/>
    <cellStyle name="Normal 4 4 3 3 5 2" xfId="4340" xr:uid="{00000000-0005-0000-0000-00009A150000}"/>
    <cellStyle name="Normal 4 4 3 3 5 2 2" xfId="8564" xr:uid="{00000000-0005-0000-0000-00009B150000}"/>
    <cellStyle name="Normal 4 4 3 3 5 2 3" xfId="12775" xr:uid="{F783A64F-CCAD-497F-91F4-3E9AD06565D2}"/>
    <cellStyle name="Normal 4 4 3 3 5 2 4" xfId="16986" xr:uid="{A2B94E27-D7C7-4860-8038-F7E0C915146C}"/>
    <cellStyle name="Normal 4 4 3 3 5 3" xfId="6419" xr:uid="{00000000-0005-0000-0000-00009C150000}"/>
    <cellStyle name="Normal 4 4 3 3 5 4" xfId="10630" xr:uid="{99973D5B-C8BC-4560-9A68-B8DCDB93768F}"/>
    <cellStyle name="Normal 4 4 3 3 5 5" xfId="14841" xr:uid="{769384DC-8185-4E7F-A4B6-E923F382632D}"/>
    <cellStyle name="Normal 4 4 3 3 6" xfId="2547" xr:uid="{00000000-0005-0000-0000-00009D150000}"/>
    <cellStyle name="Normal 4 4 3 3 6 2" xfId="6832" xr:uid="{00000000-0005-0000-0000-00009E150000}"/>
    <cellStyle name="Normal 4 4 3 3 6 3" xfId="11043" xr:uid="{6AA512B6-4A24-4313-9CAE-3B022ADE1589}"/>
    <cellStyle name="Normal 4 4 3 3 6 4" xfId="15254" xr:uid="{32E4C7E4-3888-4E29-81BF-A7E21079D9B3}"/>
    <cellStyle name="Normal 4 4 3 3 7" xfId="4767" xr:uid="{00000000-0005-0000-0000-00009F150000}"/>
    <cellStyle name="Normal 4 4 3 3 8" xfId="8978" xr:uid="{5F5877AD-9B2B-4EAD-9973-63D33FCF9C4F}"/>
    <cellStyle name="Normal 4 4 3 3 9" xfId="13189" xr:uid="{A2A53056-C181-4A46-890A-073E5ACD8E2F}"/>
    <cellStyle name="Normal 4 4 3 4" xfId="863" xr:uid="{00000000-0005-0000-0000-0000A0150000}"/>
    <cellStyle name="Normal 4 4 3 4 2" xfId="3098" xr:uid="{00000000-0005-0000-0000-0000A1150000}"/>
    <cellStyle name="Normal 4 4 3 4 2 2" xfId="7322" xr:uid="{00000000-0005-0000-0000-0000A2150000}"/>
    <cellStyle name="Normal 4 4 3 4 2 3" xfId="11533" xr:uid="{46DB1EDB-9643-45BC-96EF-40FA4C0F9163}"/>
    <cellStyle name="Normal 4 4 3 4 2 4" xfId="15744" xr:uid="{E7FFBC2C-C442-4F2D-B20D-B219DD54193D}"/>
    <cellStyle name="Normal 4 4 3 4 3" xfId="5177" xr:uid="{00000000-0005-0000-0000-0000A3150000}"/>
    <cellStyle name="Normal 4 4 3 4 4" xfId="9388" xr:uid="{A3983D1A-D61E-4854-AD91-A04992799038}"/>
    <cellStyle name="Normal 4 4 3 4 5" xfId="13599" xr:uid="{685B9125-DEA3-4C00-905F-3F310D60420F}"/>
    <cellStyle name="Normal 4 4 3 5" xfId="1281" xr:uid="{00000000-0005-0000-0000-0000A4150000}"/>
    <cellStyle name="Normal 4 4 3 5 2" xfId="3511" xr:uid="{00000000-0005-0000-0000-0000A5150000}"/>
    <cellStyle name="Normal 4 4 3 5 2 2" xfId="7735" xr:uid="{00000000-0005-0000-0000-0000A6150000}"/>
    <cellStyle name="Normal 4 4 3 5 2 3" xfId="11946" xr:uid="{80AC8B5B-9661-4BCA-931E-57D0E020B5C1}"/>
    <cellStyle name="Normal 4 4 3 5 2 4" xfId="16157" xr:uid="{9B1F5DD8-9DAB-4902-9B18-AE3DC5FDE609}"/>
    <cellStyle name="Normal 4 4 3 5 3" xfId="5590" xr:uid="{00000000-0005-0000-0000-0000A7150000}"/>
    <cellStyle name="Normal 4 4 3 5 4" xfId="9801" xr:uid="{79C9C2C9-70FF-4202-85B3-53DC8DC68A7E}"/>
    <cellStyle name="Normal 4 4 3 5 5" xfId="14012" xr:uid="{E9EE71A0-76B5-4E02-8A84-21AFDC37C4BC}"/>
    <cellStyle name="Normal 4 4 3 6" xfId="1694" xr:uid="{00000000-0005-0000-0000-0000A8150000}"/>
    <cellStyle name="Normal 4 4 3 6 2" xfId="3924" xr:uid="{00000000-0005-0000-0000-0000A9150000}"/>
    <cellStyle name="Normal 4 4 3 6 2 2" xfId="8148" xr:uid="{00000000-0005-0000-0000-0000AA150000}"/>
    <cellStyle name="Normal 4 4 3 6 2 3" xfId="12359" xr:uid="{E2CF45CD-BD0F-4E34-B4EC-29331D9CC754}"/>
    <cellStyle name="Normal 4 4 3 6 2 4" xfId="16570" xr:uid="{6FF32DF4-BD08-4D18-83E8-1962E0EA2D26}"/>
    <cellStyle name="Normal 4 4 3 6 3" xfId="6003" xr:uid="{00000000-0005-0000-0000-0000AB150000}"/>
    <cellStyle name="Normal 4 4 3 6 4" xfId="10214" xr:uid="{E8A1085C-9AFD-49EF-BB07-B0D7C07A7702}"/>
    <cellStyle name="Normal 4 4 3 6 5" xfId="14425" xr:uid="{7CDC29B3-36F0-4E58-8BD3-51E0922B76E3}"/>
    <cellStyle name="Normal 4 4 3 7" xfId="2108" xr:uid="{00000000-0005-0000-0000-0000AC150000}"/>
    <cellStyle name="Normal 4 4 3 7 2" xfId="4337" xr:uid="{00000000-0005-0000-0000-0000AD150000}"/>
    <cellStyle name="Normal 4 4 3 7 2 2" xfId="8561" xr:uid="{00000000-0005-0000-0000-0000AE150000}"/>
    <cellStyle name="Normal 4 4 3 7 2 3" xfId="12772" xr:uid="{97A000A7-1AF6-4A28-9E9C-EC0FF5818688}"/>
    <cellStyle name="Normal 4 4 3 7 2 4" xfId="16983" xr:uid="{4721563A-0B65-4D5E-98DA-47B16CE7DB70}"/>
    <cellStyle name="Normal 4 4 3 7 3" xfId="6416" xr:uid="{00000000-0005-0000-0000-0000AF150000}"/>
    <cellStyle name="Normal 4 4 3 7 4" xfId="10627" xr:uid="{A7136761-B4AA-4D8A-9A81-895DC24D494B}"/>
    <cellStyle name="Normal 4 4 3 7 5" xfId="14838" xr:uid="{8ACC9016-3168-4E63-B3C2-313A816AA52E}"/>
    <cellStyle name="Normal 4 4 3 8" xfId="2544" xr:uid="{00000000-0005-0000-0000-0000B0150000}"/>
    <cellStyle name="Normal 4 4 3 8 2" xfId="6829" xr:uid="{00000000-0005-0000-0000-0000B1150000}"/>
    <cellStyle name="Normal 4 4 3 8 3" xfId="11040" xr:uid="{4E6241DD-69AD-49B5-A300-FE1F088A874B}"/>
    <cellStyle name="Normal 4 4 3 8 4" xfId="15251" xr:uid="{E0E40A65-F4B6-48B8-850A-24C1CD467E56}"/>
    <cellStyle name="Normal 4 4 3 9" xfId="4764" xr:uid="{00000000-0005-0000-0000-0000B2150000}"/>
    <cellStyle name="Normal 4 4 4" xfId="391" xr:uid="{00000000-0005-0000-0000-0000B3150000}"/>
    <cellStyle name="Normal 4 4 4 10" xfId="13190" xr:uid="{FC844FAB-5734-44A0-AC3C-861E9139B61A}"/>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2 3" xfId="11538" xr:uid="{F0E44484-EBF7-4011-B52D-870F7C79D488}"/>
    <cellStyle name="Normal 4 4 4 2 2 2 4" xfId="15749" xr:uid="{838BA36F-BA93-4ABD-A212-D704C332C158}"/>
    <cellStyle name="Normal 4 4 4 2 2 3" xfId="5182" xr:uid="{00000000-0005-0000-0000-0000B8150000}"/>
    <cellStyle name="Normal 4 4 4 2 2 4" xfId="9393" xr:uid="{DC581F41-803D-459C-BE60-0A00902DD1D8}"/>
    <cellStyle name="Normal 4 4 4 2 2 5" xfId="13604" xr:uid="{BA8D67D7-C796-4D14-A09A-C3207949A160}"/>
    <cellStyle name="Normal 4 4 4 2 3" xfId="1286" xr:uid="{00000000-0005-0000-0000-0000B9150000}"/>
    <cellStyle name="Normal 4 4 4 2 3 2" xfId="3516" xr:uid="{00000000-0005-0000-0000-0000BA150000}"/>
    <cellStyle name="Normal 4 4 4 2 3 2 2" xfId="7740" xr:uid="{00000000-0005-0000-0000-0000BB150000}"/>
    <cellStyle name="Normal 4 4 4 2 3 2 3" xfId="11951" xr:uid="{7493CEA2-2EC7-45B7-8606-ED846256ABC0}"/>
    <cellStyle name="Normal 4 4 4 2 3 2 4" xfId="16162" xr:uid="{8C5B3DEB-457E-4F3D-9DB1-F7CAC458C269}"/>
    <cellStyle name="Normal 4 4 4 2 3 3" xfId="5595" xr:uid="{00000000-0005-0000-0000-0000BC150000}"/>
    <cellStyle name="Normal 4 4 4 2 3 4" xfId="9806" xr:uid="{28EFFA31-16FC-41D9-B528-E3B5956D017B}"/>
    <cellStyle name="Normal 4 4 4 2 3 5" xfId="14017" xr:uid="{48E892A9-F090-46BE-B25D-AC9D05A1D4BE}"/>
    <cellStyle name="Normal 4 4 4 2 4" xfId="1699" xr:uid="{00000000-0005-0000-0000-0000BD150000}"/>
    <cellStyle name="Normal 4 4 4 2 4 2" xfId="3929" xr:uid="{00000000-0005-0000-0000-0000BE150000}"/>
    <cellStyle name="Normal 4 4 4 2 4 2 2" xfId="8153" xr:uid="{00000000-0005-0000-0000-0000BF150000}"/>
    <cellStyle name="Normal 4 4 4 2 4 2 3" xfId="12364" xr:uid="{50D23F57-AD04-4C73-9DAF-0B8F99068B76}"/>
    <cellStyle name="Normal 4 4 4 2 4 2 4" xfId="16575" xr:uid="{8C1AE20C-859C-4336-88E3-C9FBF5B249AC}"/>
    <cellStyle name="Normal 4 4 4 2 4 3" xfId="6008" xr:uid="{00000000-0005-0000-0000-0000C0150000}"/>
    <cellStyle name="Normal 4 4 4 2 4 4" xfId="10219" xr:uid="{4A5BDC51-869F-49F5-AF1E-6F7D316AC9D1}"/>
    <cellStyle name="Normal 4 4 4 2 4 5" xfId="14430" xr:uid="{1BFD9609-94BF-46B0-B5AB-17CDF01A443E}"/>
    <cellStyle name="Normal 4 4 4 2 5" xfId="2113" xr:uid="{00000000-0005-0000-0000-0000C1150000}"/>
    <cellStyle name="Normal 4 4 4 2 5 2" xfId="4342" xr:uid="{00000000-0005-0000-0000-0000C2150000}"/>
    <cellStyle name="Normal 4 4 4 2 5 2 2" xfId="8566" xr:uid="{00000000-0005-0000-0000-0000C3150000}"/>
    <cellStyle name="Normal 4 4 4 2 5 2 3" xfId="12777" xr:uid="{F5FF1BDE-48D8-45B3-9643-9D371AA94DBD}"/>
    <cellStyle name="Normal 4 4 4 2 5 2 4" xfId="16988" xr:uid="{9340AD53-CB28-4D50-935A-41EDCF945B9B}"/>
    <cellStyle name="Normal 4 4 4 2 5 3" xfId="6421" xr:uid="{00000000-0005-0000-0000-0000C4150000}"/>
    <cellStyle name="Normal 4 4 4 2 5 4" xfId="10632" xr:uid="{B94E6708-4F6E-48CD-B979-15758E67DD70}"/>
    <cellStyle name="Normal 4 4 4 2 5 5" xfId="14843" xr:uid="{69391102-0BA1-446A-9F19-94F220D9718A}"/>
    <cellStyle name="Normal 4 4 4 2 6" xfId="2549" xr:uid="{00000000-0005-0000-0000-0000C5150000}"/>
    <cellStyle name="Normal 4 4 4 2 6 2" xfId="6834" xr:uid="{00000000-0005-0000-0000-0000C6150000}"/>
    <cellStyle name="Normal 4 4 4 2 6 3" xfId="11045" xr:uid="{624EF1C3-99F8-4439-8A7D-45480D6CD3E7}"/>
    <cellStyle name="Normal 4 4 4 2 6 4" xfId="15256" xr:uid="{7DE0DF20-5EA9-431E-9B6B-96C06A319F81}"/>
    <cellStyle name="Normal 4 4 4 2 7" xfId="4769" xr:uid="{00000000-0005-0000-0000-0000C7150000}"/>
    <cellStyle name="Normal 4 4 4 2 8" xfId="8980" xr:uid="{9315A97B-E3E9-4F08-B3F0-54762183746D}"/>
    <cellStyle name="Normal 4 4 4 2 9" xfId="13191" xr:uid="{C12A8137-E5D0-4FCA-B9EB-C02F527230BD}"/>
    <cellStyle name="Normal 4 4 4 3" xfId="867" xr:uid="{00000000-0005-0000-0000-0000C8150000}"/>
    <cellStyle name="Normal 4 4 4 3 2" xfId="3102" xr:uid="{00000000-0005-0000-0000-0000C9150000}"/>
    <cellStyle name="Normal 4 4 4 3 2 2" xfId="7326" xr:uid="{00000000-0005-0000-0000-0000CA150000}"/>
    <cellStyle name="Normal 4 4 4 3 2 3" xfId="11537" xr:uid="{6A79DBCC-7746-46C5-8582-C87CD7818086}"/>
    <cellStyle name="Normal 4 4 4 3 2 4" xfId="15748" xr:uid="{FD234807-B449-4A54-92CF-CF2AD87E253C}"/>
    <cellStyle name="Normal 4 4 4 3 3" xfId="5181" xr:uid="{00000000-0005-0000-0000-0000CB150000}"/>
    <cellStyle name="Normal 4 4 4 3 4" xfId="9392" xr:uid="{1FEBB8E3-A7F7-4A9E-B56B-2A7BCED680FD}"/>
    <cellStyle name="Normal 4 4 4 3 5" xfId="13603" xr:uid="{8C2B57DC-704F-4C96-802E-3D1EEFA41792}"/>
    <cellStyle name="Normal 4 4 4 4" xfId="1285" xr:uid="{00000000-0005-0000-0000-0000CC150000}"/>
    <cellStyle name="Normal 4 4 4 4 2" xfId="3515" xr:uid="{00000000-0005-0000-0000-0000CD150000}"/>
    <cellStyle name="Normal 4 4 4 4 2 2" xfId="7739" xr:uid="{00000000-0005-0000-0000-0000CE150000}"/>
    <cellStyle name="Normal 4 4 4 4 2 3" xfId="11950" xr:uid="{8312FC6D-DA99-48C3-AF5D-EE5E608C2A1A}"/>
    <cellStyle name="Normal 4 4 4 4 2 4" xfId="16161" xr:uid="{A05E15A4-9077-4FBB-A4D8-7CEE4990F758}"/>
    <cellStyle name="Normal 4 4 4 4 3" xfId="5594" xr:uid="{00000000-0005-0000-0000-0000CF150000}"/>
    <cellStyle name="Normal 4 4 4 4 4" xfId="9805" xr:uid="{A876C3C1-5401-4782-B7C7-731F5D034898}"/>
    <cellStyle name="Normal 4 4 4 4 5" xfId="14016" xr:uid="{69604625-771D-4183-A9AA-19672B1535E9}"/>
    <cellStyle name="Normal 4 4 4 5" xfId="1698" xr:uid="{00000000-0005-0000-0000-0000D0150000}"/>
    <cellStyle name="Normal 4 4 4 5 2" xfId="3928" xr:uid="{00000000-0005-0000-0000-0000D1150000}"/>
    <cellStyle name="Normal 4 4 4 5 2 2" xfId="8152" xr:uid="{00000000-0005-0000-0000-0000D2150000}"/>
    <cellStyle name="Normal 4 4 4 5 2 3" xfId="12363" xr:uid="{468EABFF-1459-4B1B-90B5-A5866230FDED}"/>
    <cellStyle name="Normal 4 4 4 5 2 4" xfId="16574" xr:uid="{45AE117E-7A20-4059-8A44-81970CB20F98}"/>
    <cellStyle name="Normal 4 4 4 5 3" xfId="6007" xr:uid="{00000000-0005-0000-0000-0000D3150000}"/>
    <cellStyle name="Normal 4 4 4 5 4" xfId="10218" xr:uid="{B4030248-BF22-4F5D-A55C-243A1220D8E5}"/>
    <cellStyle name="Normal 4 4 4 5 5" xfId="14429" xr:uid="{A740D657-1433-40D7-9A1D-5E729FF35C0E}"/>
    <cellStyle name="Normal 4 4 4 6" xfId="2112" xr:uid="{00000000-0005-0000-0000-0000D4150000}"/>
    <cellStyle name="Normal 4 4 4 6 2" xfId="4341" xr:uid="{00000000-0005-0000-0000-0000D5150000}"/>
    <cellStyle name="Normal 4 4 4 6 2 2" xfId="8565" xr:uid="{00000000-0005-0000-0000-0000D6150000}"/>
    <cellStyle name="Normal 4 4 4 6 2 3" xfId="12776" xr:uid="{84D90083-D00F-4AA4-88CF-680995FB08ED}"/>
    <cellStyle name="Normal 4 4 4 6 2 4" xfId="16987" xr:uid="{20156409-7DCB-48E8-994D-D5B1A2AFD431}"/>
    <cellStyle name="Normal 4 4 4 6 3" xfId="6420" xr:uid="{00000000-0005-0000-0000-0000D7150000}"/>
    <cellStyle name="Normal 4 4 4 6 4" xfId="10631" xr:uid="{4336686D-C63D-4189-81C8-74833C23AEBE}"/>
    <cellStyle name="Normal 4 4 4 6 5" xfId="14842" xr:uid="{CAAEE208-DE85-482B-B823-C33CC06CAA22}"/>
    <cellStyle name="Normal 4 4 4 7" xfId="2548" xr:uid="{00000000-0005-0000-0000-0000D8150000}"/>
    <cellStyle name="Normal 4 4 4 7 2" xfId="6833" xr:uid="{00000000-0005-0000-0000-0000D9150000}"/>
    <cellStyle name="Normal 4 4 4 7 3" xfId="11044" xr:uid="{DFC9FFFA-7728-4CD6-B446-971FA2ED6C57}"/>
    <cellStyle name="Normal 4 4 4 7 4" xfId="15255" xr:uid="{A91676AE-33DC-4896-8469-5C4F2EDA8C62}"/>
    <cellStyle name="Normal 4 4 4 8" xfId="4768" xr:uid="{00000000-0005-0000-0000-0000DA150000}"/>
    <cellStyle name="Normal 4 4 4 9" xfId="8979" xr:uid="{0212CC8A-0B16-4CD9-8A6F-298C178A65D4}"/>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2 3" xfId="11539" xr:uid="{4BB0B307-8A36-4925-8D1C-FC9CE09D5133}"/>
    <cellStyle name="Normal 4 4 5 2 2 4" xfId="15750" xr:uid="{B56EB4C6-3767-4A52-9601-008EA3085D16}"/>
    <cellStyle name="Normal 4 4 5 2 3" xfId="5183" xr:uid="{00000000-0005-0000-0000-0000DF150000}"/>
    <cellStyle name="Normal 4 4 5 2 4" xfId="9394" xr:uid="{C576398B-BBDC-4B13-9DC0-3A425AA4E32B}"/>
    <cellStyle name="Normal 4 4 5 2 5" xfId="13605" xr:uid="{A5EE5AEF-95CD-4816-8CF6-F675AE54B85A}"/>
    <cellStyle name="Normal 4 4 5 3" xfId="1287" xr:uid="{00000000-0005-0000-0000-0000E0150000}"/>
    <cellStyle name="Normal 4 4 5 3 2" xfId="3517" xr:uid="{00000000-0005-0000-0000-0000E1150000}"/>
    <cellStyle name="Normal 4 4 5 3 2 2" xfId="7741" xr:uid="{00000000-0005-0000-0000-0000E2150000}"/>
    <cellStyle name="Normal 4 4 5 3 2 3" xfId="11952" xr:uid="{92D4E780-0C78-4A27-A6F0-C954C9972C2B}"/>
    <cellStyle name="Normal 4 4 5 3 2 4" xfId="16163" xr:uid="{BA950FD4-5AAA-4086-9172-CE50343231E2}"/>
    <cellStyle name="Normal 4 4 5 3 3" xfId="5596" xr:uid="{00000000-0005-0000-0000-0000E3150000}"/>
    <cellStyle name="Normal 4 4 5 3 4" xfId="9807" xr:uid="{CB3428FB-435F-4C1B-A14D-36E3C0F69D0B}"/>
    <cellStyle name="Normal 4 4 5 3 5" xfId="14018" xr:uid="{146C049E-13D7-4EA4-A5E7-B5A478CE68BB}"/>
    <cellStyle name="Normal 4 4 5 4" xfId="1700" xr:uid="{00000000-0005-0000-0000-0000E4150000}"/>
    <cellStyle name="Normal 4 4 5 4 2" xfId="3930" xr:uid="{00000000-0005-0000-0000-0000E5150000}"/>
    <cellStyle name="Normal 4 4 5 4 2 2" xfId="8154" xr:uid="{00000000-0005-0000-0000-0000E6150000}"/>
    <cellStyle name="Normal 4 4 5 4 2 3" xfId="12365" xr:uid="{0F696181-02A7-42C4-B9BB-9314E3943018}"/>
    <cellStyle name="Normal 4 4 5 4 2 4" xfId="16576" xr:uid="{49533EF3-2B6E-46B2-8E2B-243204F506C2}"/>
    <cellStyle name="Normal 4 4 5 4 3" xfId="6009" xr:uid="{00000000-0005-0000-0000-0000E7150000}"/>
    <cellStyle name="Normal 4 4 5 4 4" xfId="10220" xr:uid="{58687396-9EBB-4A93-B4CA-8D1DDCBE75A7}"/>
    <cellStyle name="Normal 4 4 5 4 5" xfId="14431" xr:uid="{99D221DC-1DDE-4917-A4D6-5DDD812533C1}"/>
    <cellStyle name="Normal 4 4 5 5" xfId="2114" xr:uid="{00000000-0005-0000-0000-0000E8150000}"/>
    <cellStyle name="Normal 4 4 5 5 2" xfId="4343" xr:uid="{00000000-0005-0000-0000-0000E9150000}"/>
    <cellStyle name="Normal 4 4 5 5 2 2" xfId="8567" xr:uid="{00000000-0005-0000-0000-0000EA150000}"/>
    <cellStyle name="Normal 4 4 5 5 2 3" xfId="12778" xr:uid="{86F5CBCC-54BC-4DA8-B2B9-3AC82D3C652E}"/>
    <cellStyle name="Normal 4 4 5 5 2 4" xfId="16989" xr:uid="{49BAAFF5-6FD5-44F4-B7CF-668E4F6BC609}"/>
    <cellStyle name="Normal 4 4 5 5 3" xfId="6422" xr:uid="{00000000-0005-0000-0000-0000EB150000}"/>
    <cellStyle name="Normal 4 4 5 5 4" xfId="10633" xr:uid="{70DB1AC6-6490-4088-981F-060AC3292DCC}"/>
    <cellStyle name="Normal 4 4 5 5 5" xfId="14844" xr:uid="{A3112F30-77BA-4DF5-92C6-0603C044862C}"/>
    <cellStyle name="Normal 4 4 5 6" xfId="2550" xr:uid="{00000000-0005-0000-0000-0000EC150000}"/>
    <cellStyle name="Normal 4 4 5 6 2" xfId="6835" xr:uid="{00000000-0005-0000-0000-0000ED150000}"/>
    <cellStyle name="Normal 4 4 5 6 3" xfId="11046" xr:uid="{CC720487-C3DC-459B-BD72-2405AD09A7B3}"/>
    <cellStyle name="Normal 4 4 5 6 4" xfId="15257" xr:uid="{96A95E79-E2F7-4361-BDBA-B20910DD0955}"/>
    <cellStyle name="Normal 4 4 5 7" xfId="4770" xr:uid="{00000000-0005-0000-0000-0000EE150000}"/>
    <cellStyle name="Normal 4 4 5 8" xfId="8981" xr:uid="{9CF5AE6C-A16F-4A47-A351-5CB1BAF38E0E}"/>
    <cellStyle name="Normal 4 4 5 9" xfId="13192" xr:uid="{D265FF28-F899-4632-8D04-98198546DE1E}"/>
    <cellStyle name="Normal 4 4 6" xfId="854" xr:uid="{00000000-0005-0000-0000-0000EF150000}"/>
    <cellStyle name="Normal 4 4 6 2" xfId="3089" xr:uid="{00000000-0005-0000-0000-0000F0150000}"/>
    <cellStyle name="Normal 4 4 6 2 2" xfId="7313" xr:uid="{00000000-0005-0000-0000-0000F1150000}"/>
    <cellStyle name="Normal 4 4 6 2 3" xfId="11524" xr:uid="{6515482A-CAC2-4813-8D50-49F95DCCEEC0}"/>
    <cellStyle name="Normal 4 4 6 2 4" xfId="15735" xr:uid="{E430421B-D969-41AD-8D23-F43B563AA387}"/>
    <cellStyle name="Normal 4 4 6 3" xfId="5168" xr:uid="{00000000-0005-0000-0000-0000F2150000}"/>
    <cellStyle name="Normal 4 4 6 4" xfId="9379" xr:uid="{8DC291DB-9F1B-4F5B-8F8D-2580903CC51B}"/>
    <cellStyle name="Normal 4 4 6 5" xfId="13590" xr:uid="{E8A713B4-4DDB-44C6-B5AE-8DF28A7DD7CB}"/>
    <cellStyle name="Normal 4 4 7" xfId="1272" xr:uid="{00000000-0005-0000-0000-0000F3150000}"/>
    <cellStyle name="Normal 4 4 7 2" xfId="3502" xr:uid="{00000000-0005-0000-0000-0000F4150000}"/>
    <cellStyle name="Normal 4 4 7 2 2" xfId="7726" xr:uid="{00000000-0005-0000-0000-0000F5150000}"/>
    <cellStyle name="Normal 4 4 7 2 3" xfId="11937" xr:uid="{4D4D4386-8AFC-42A4-9A7C-50DC4FF9FBE4}"/>
    <cellStyle name="Normal 4 4 7 2 4" xfId="16148" xr:uid="{6AA52851-CF5A-42AB-9493-3241EC3B7C72}"/>
    <cellStyle name="Normal 4 4 7 3" xfId="5581" xr:uid="{00000000-0005-0000-0000-0000F6150000}"/>
    <cellStyle name="Normal 4 4 7 4" xfId="9792" xr:uid="{7270DE23-A8FE-45BA-84C2-3B5AD7ADC58D}"/>
    <cellStyle name="Normal 4 4 7 5" xfId="14003" xr:uid="{C10E8A45-D373-480E-B33B-39A20E803302}"/>
    <cellStyle name="Normal 4 4 8" xfId="1685" xr:uid="{00000000-0005-0000-0000-0000F7150000}"/>
    <cellStyle name="Normal 4 4 8 2" xfId="3915" xr:uid="{00000000-0005-0000-0000-0000F8150000}"/>
    <cellStyle name="Normal 4 4 8 2 2" xfId="8139" xr:uid="{00000000-0005-0000-0000-0000F9150000}"/>
    <cellStyle name="Normal 4 4 8 2 3" xfId="12350" xr:uid="{4E77861C-219B-42EE-8D95-BBA11BBFD5B5}"/>
    <cellStyle name="Normal 4 4 8 2 4" xfId="16561" xr:uid="{F82A5B77-8EA9-4D42-A912-EC7D785559D2}"/>
    <cellStyle name="Normal 4 4 8 3" xfId="5994" xr:uid="{00000000-0005-0000-0000-0000FA150000}"/>
    <cellStyle name="Normal 4 4 8 4" xfId="10205" xr:uid="{DDC86E4C-25B2-4A8F-A69A-F1F0478A3477}"/>
    <cellStyle name="Normal 4 4 8 5" xfId="14416" xr:uid="{C9DEB273-6790-4A22-B171-ACD8606EA747}"/>
    <cellStyle name="Normal 4 4 9" xfId="2099" xr:uid="{00000000-0005-0000-0000-0000FB150000}"/>
    <cellStyle name="Normal 4 4 9 2" xfId="4328" xr:uid="{00000000-0005-0000-0000-0000FC150000}"/>
    <cellStyle name="Normal 4 4 9 2 2" xfId="8552" xr:uid="{00000000-0005-0000-0000-0000FD150000}"/>
    <cellStyle name="Normal 4 4 9 2 3" xfId="12763" xr:uid="{875DC8CC-7D33-46FC-81F7-1A2683EEB8DF}"/>
    <cellStyle name="Normal 4 4 9 2 4" xfId="16974" xr:uid="{F7915374-B591-44AB-B612-929FAD51DB01}"/>
    <cellStyle name="Normal 4 4 9 3" xfId="6407" xr:uid="{00000000-0005-0000-0000-0000FE150000}"/>
    <cellStyle name="Normal 4 4 9 4" xfId="10618" xr:uid="{2277D87E-4EAB-4CD9-BCDC-3140C2CC3D6D}"/>
    <cellStyle name="Normal 4 4 9 5" xfId="14829" xr:uid="{E5EBFA69-ED72-4318-BF4C-31F3DD0DAFF5}"/>
    <cellStyle name="Normal 4 5" xfId="394" xr:uid="{00000000-0005-0000-0000-0000FF150000}"/>
    <cellStyle name="Normal 4 6" xfId="395" xr:uid="{00000000-0005-0000-0000-000000160000}"/>
    <cellStyle name="Normal 4 6 10" xfId="4771" xr:uid="{00000000-0005-0000-0000-000001160000}"/>
    <cellStyle name="Normal 4 6 11" xfId="8982" xr:uid="{58E938D5-E10E-4A87-B631-585F460B741A}"/>
    <cellStyle name="Normal 4 6 12" xfId="13193" xr:uid="{38ED112E-FCD0-46D8-BDC8-9D2D4EC9680B}"/>
    <cellStyle name="Normal 4 6 2" xfId="396" xr:uid="{00000000-0005-0000-0000-000002160000}"/>
    <cellStyle name="Normal 4 6 2 10" xfId="8983" xr:uid="{19109CE5-20A3-4D6C-A414-224A8D0691F4}"/>
    <cellStyle name="Normal 4 6 2 11" xfId="13194" xr:uid="{7C8A56A5-E325-433D-9AD3-32E92635BABD}"/>
    <cellStyle name="Normal 4 6 2 2" xfId="397" xr:uid="{00000000-0005-0000-0000-000003160000}"/>
    <cellStyle name="Normal 4 6 2 2 10" xfId="13195" xr:uid="{8DF13177-D935-4E4A-A311-397F1665AE14}"/>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2 3" xfId="11543" xr:uid="{B66040F1-4657-4393-ADDE-9F264839AF25}"/>
    <cellStyle name="Normal 4 6 2 2 2 2 2 4" xfId="15754" xr:uid="{22CD5CF4-112D-49CE-989F-0977C3054E21}"/>
    <cellStyle name="Normal 4 6 2 2 2 2 3" xfId="5187" xr:uid="{00000000-0005-0000-0000-000008160000}"/>
    <cellStyle name="Normal 4 6 2 2 2 2 4" xfId="9398" xr:uid="{B5E36517-E414-4D8C-8977-D6B048335DF2}"/>
    <cellStyle name="Normal 4 6 2 2 2 2 5" xfId="13609" xr:uid="{F778BBEF-3021-44F3-951B-3C547B33484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2 3" xfId="11956" xr:uid="{5049945E-41CD-42C6-9E38-38F0EE6B23DC}"/>
    <cellStyle name="Normal 4 6 2 2 2 3 2 4" xfId="16167" xr:uid="{CF3EBE1C-0EAD-44FE-8BE9-E83D43547384}"/>
    <cellStyle name="Normal 4 6 2 2 2 3 3" xfId="5600" xr:uid="{00000000-0005-0000-0000-00000C160000}"/>
    <cellStyle name="Normal 4 6 2 2 2 3 4" xfId="9811" xr:uid="{338B9A39-E154-486C-9871-A40DC7950478}"/>
    <cellStyle name="Normal 4 6 2 2 2 3 5" xfId="14022" xr:uid="{81BDBC3F-56ED-401A-B185-7A21D467F85D}"/>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2 3" xfId="12369" xr:uid="{A9D88A32-0FAC-49D8-AAB0-9BB310B42F75}"/>
    <cellStyle name="Normal 4 6 2 2 2 4 2 4" xfId="16580" xr:uid="{AB4681BE-F10B-4EBB-9378-5EA1C6D1A51C}"/>
    <cellStyle name="Normal 4 6 2 2 2 4 3" xfId="6013" xr:uid="{00000000-0005-0000-0000-000010160000}"/>
    <cellStyle name="Normal 4 6 2 2 2 4 4" xfId="10224" xr:uid="{6937AD94-E8FE-469E-BF15-CA2BE2D32560}"/>
    <cellStyle name="Normal 4 6 2 2 2 4 5" xfId="14435" xr:uid="{3F105ED5-FC8C-4308-A2E9-5274E387C97B}"/>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2 3" xfId="12782" xr:uid="{7A68E0A3-FECB-4AD2-A352-184B8F1484EF}"/>
    <cellStyle name="Normal 4 6 2 2 2 5 2 4" xfId="16993" xr:uid="{65217FAE-B213-4E04-AF3F-FA19784A983A}"/>
    <cellStyle name="Normal 4 6 2 2 2 5 3" xfId="6426" xr:uid="{00000000-0005-0000-0000-000014160000}"/>
    <cellStyle name="Normal 4 6 2 2 2 5 4" xfId="10637" xr:uid="{8F43A217-7EA3-4076-95C9-0658173BDF4F}"/>
    <cellStyle name="Normal 4 6 2 2 2 5 5" xfId="14848" xr:uid="{498E29C4-FFC8-45A2-8F2B-3CAD5DCC9C3A}"/>
    <cellStyle name="Normal 4 6 2 2 2 6" xfId="2554" xr:uid="{00000000-0005-0000-0000-000015160000}"/>
    <cellStyle name="Normal 4 6 2 2 2 6 2" xfId="6839" xr:uid="{00000000-0005-0000-0000-000016160000}"/>
    <cellStyle name="Normal 4 6 2 2 2 6 3" xfId="11050" xr:uid="{7C744F99-33F0-4D23-AFD1-B9BC405383FD}"/>
    <cellStyle name="Normal 4 6 2 2 2 6 4" xfId="15261" xr:uid="{21163E19-6E54-4D58-8DF4-D6088C8DFEC1}"/>
    <cellStyle name="Normal 4 6 2 2 2 7" xfId="4774" xr:uid="{00000000-0005-0000-0000-000017160000}"/>
    <cellStyle name="Normal 4 6 2 2 2 8" xfId="8985" xr:uid="{E551D8AC-D6AD-47C0-9659-D73B5B3BB8F9}"/>
    <cellStyle name="Normal 4 6 2 2 2 9" xfId="13196" xr:uid="{B7D27231-4687-42E0-991C-ED0167C23302}"/>
    <cellStyle name="Normal 4 6 2 2 3" xfId="872" xr:uid="{00000000-0005-0000-0000-000018160000}"/>
    <cellStyle name="Normal 4 6 2 2 3 2" xfId="3107" xr:uid="{00000000-0005-0000-0000-000019160000}"/>
    <cellStyle name="Normal 4 6 2 2 3 2 2" xfId="7331" xr:uid="{00000000-0005-0000-0000-00001A160000}"/>
    <cellStyle name="Normal 4 6 2 2 3 2 3" xfId="11542" xr:uid="{75392554-8CDA-42DD-8158-5389BE45383F}"/>
    <cellStyle name="Normal 4 6 2 2 3 2 4" xfId="15753" xr:uid="{EB637875-E650-456A-A054-B4E07CE5F87F}"/>
    <cellStyle name="Normal 4 6 2 2 3 3" xfId="5186" xr:uid="{00000000-0005-0000-0000-00001B160000}"/>
    <cellStyle name="Normal 4 6 2 2 3 4" xfId="9397" xr:uid="{BB6E675F-9325-4449-9EC3-18C679A7F12F}"/>
    <cellStyle name="Normal 4 6 2 2 3 5" xfId="13608" xr:uid="{1447D072-0332-4720-BD4E-2C4CE07F839E}"/>
    <cellStyle name="Normal 4 6 2 2 4" xfId="1290" xr:uid="{00000000-0005-0000-0000-00001C160000}"/>
    <cellStyle name="Normal 4 6 2 2 4 2" xfId="3520" xr:uid="{00000000-0005-0000-0000-00001D160000}"/>
    <cellStyle name="Normal 4 6 2 2 4 2 2" xfId="7744" xr:uid="{00000000-0005-0000-0000-00001E160000}"/>
    <cellStyle name="Normal 4 6 2 2 4 2 3" xfId="11955" xr:uid="{13881F1B-A660-4848-B427-5DAA0BB4F3E1}"/>
    <cellStyle name="Normal 4 6 2 2 4 2 4" xfId="16166" xr:uid="{16A2FCE3-5BB0-4BF7-8C37-34F92DBCF385}"/>
    <cellStyle name="Normal 4 6 2 2 4 3" xfId="5599" xr:uid="{00000000-0005-0000-0000-00001F160000}"/>
    <cellStyle name="Normal 4 6 2 2 4 4" xfId="9810" xr:uid="{444543EC-77D3-4769-A9B5-553516AC3246}"/>
    <cellStyle name="Normal 4 6 2 2 4 5" xfId="14021" xr:uid="{CB52E1B7-7461-4C55-9522-46B46BBA20B3}"/>
    <cellStyle name="Normal 4 6 2 2 5" xfId="1703" xr:uid="{00000000-0005-0000-0000-000020160000}"/>
    <cellStyle name="Normal 4 6 2 2 5 2" xfId="3933" xr:uid="{00000000-0005-0000-0000-000021160000}"/>
    <cellStyle name="Normal 4 6 2 2 5 2 2" xfId="8157" xr:uid="{00000000-0005-0000-0000-000022160000}"/>
    <cellStyle name="Normal 4 6 2 2 5 2 3" xfId="12368" xr:uid="{F7C10E01-EC60-4A42-93AF-9640A2BE12A1}"/>
    <cellStyle name="Normal 4 6 2 2 5 2 4" xfId="16579" xr:uid="{B87FE97B-0E2A-452C-8A6E-0CB490502205}"/>
    <cellStyle name="Normal 4 6 2 2 5 3" xfId="6012" xr:uid="{00000000-0005-0000-0000-000023160000}"/>
    <cellStyle name="Normal 4 6 2 2 5 4" xfId="10223" xr:uid="{6BBD39AC-A85E-4DF5-BDF1-F122EEA0F79E}"/>
    <cellStyle name="Normal 4 6 2 2 5 5" xfId="14434" xr:uid="{FF4C2961-A5A2-478A-B09D-E69FD540C4CA}"/>
    <cellStyle name="Normal 4 6 2 2 6" xfId="2117" xr:uid="{00000000-0005-0000-0000-000024160000}"/>
    <cellStyle name="Normal 4 6 2 2 6 2" xfId="4346" xr:uid="{00000000-0005-0000-0000-000025160000}"/>
    <cellStyle name="Normal 4 6 2 2 6 2 2" xfId="8570" xr:uid="{00000000-0005-0000-0000-000026160000}"/>
    <cellStyle name="Normal 4 6 2 2 6 2 3" xfId="12781" xr:uid="{7E339D15-A74D-496C-B85F-0BDC6EEF8265}"/>
    <cellStyle name="Normal 4 6 2 2 6 2 4" xfId="16992" xr:uid="{6A3E1FBB-F250-4FF8-ABD1-9E081A3407EC}"/>
    <cellStyle name="Normal 4 6 2 2 6 3" xfId="6425" xr:uid="{00000000-0005-0000-0000-000027160000}"/>
    <cellStyle name="Normal 4 6 2 2 6 4" xfId="10636" xr:uid="{611F4C39-9309-46D8-B4C5-35C73AC3114C}"/>
    <cellStyle name="Normal 4 6 2 2 6 5" xfId="14847" xr:uid="{729D3B0F-7696-4D5B-A0EB-F6691ED2A712}"/>
    <cellStyle name="Normal 4 6 2 2 7" xfId="2553" xr:uid="{00000000-0005-0000-0000-000028160000}"/>
    <cellStyle name="Normal 4 6 2 2 7 2" xfId="6838" xr:uid="{00000000-0005-0000-0000-000029160000}"/>
    <cellStyle name="Normal 4 6 2 2 7 3" xfId="11049" xr:uid="{B7949310-1EA1-41BC-BE61-5927049AB44A}"/>
    <cellStyle name="Normal 4 6 2 2 7 4" xfId="15260" xr:uid="{532D24D9-9D35-4860-B815-6728E7F59F19}"/>
    <cellStyle name="Normal 4 6 2 2 8" xfId="4773" xr:uid="{00000000-0005-0000-0000-00002A160000}"/>
    <cellStyle name="Normal 4 6 2 2 9" xfId="8984" xr:uid="{63754DB9-B976-4902-A03E-FC2AB7E33D59}"/>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2 3" xfId="11544" xr:uid="{1440226F-D162-43DA-8E2A-127171EA6AF4}"/>
    <cellStyle name="Normal 4 6 2 3 2 2 4" xfId="15755" xr:uid="{D9961946-2CBC-4A35-B42F-77D9ACCC09AB}"/>
    <cellStyle name="Normal 4 6 2 3 2 3" xfId="5188" xr:uid="{00000000-0005-0000-0000-00002F160000}"/>
    <cellStyle name="Normal 4 6 2 3 2 4" xfId="9399" xr:uid="{7C531A77-2FC6-4BA9-B743-CE2A748E3743}"/>
    <cellStyle name="Normal 4 6 2 3 2 5" xfId="13610" xr:uid="{C34AD628-B59C-474B-8AB6-39A1B7507B26}"/>
    <cellStyle name="Normal 4 6 2 3 3" xfId="1292" xr:uid="{00000000-0005-0000-0000-000030160000}"/>
    <cellStyle name="Normal 4 6 2 3 3 2" xfId="3522" xr:uid="{00000000-0005-0000-0000-000031160000}"/>
    <cellStyle name="Normal 4 6 2 3 3 2 2" xfId="7746" xr:uid="{00000000-0005-0000-0000-000032160000}"/>
    <cellStyle name="Normal 4 6 2 3 3 2 3" xfId="11957" xr:uid="{EFF90429-E121-40B5-A062-3D28AB4459D7}"/>
    <cellStyle name="Normal 4 6 2 3 3 2 4" xfId="16168" xr:uid="{F16091D2-01DD-482A-AE9E-AEC7071F3838}"/>
    <cellStyle name="Normal 4 6 2 3 3 3" xfId="5601" xr:uid="{00000000-0005-0000-0000-000033160000}"/>
    <cellStyle name="Normal 4 6 2 3 3 4" xfId="9812" xr:uid="{5B1ABC15-0A3F-482B-AF1C-BF277C14B450}"/>
    <cellStyle name="Normal 4 6 2 3 3 5" xfId="14023" xr:uid="{F41B3453-47F8-44A8-AE00-B0079FD0311A}"/>
    <cellStyle name="Normal 4 6 2 3 4" xfId="1705" xr:uid="{00000000-0005-0000-0000-000034160000}"/>
    <cellStyle name="Normal 4 6 2 3 4 2" xfId="3935" xr:uid="{00000000-0005-0000-0000-000035160000}"/>
    <cellStyle name="Normal 4 6 2 3 4 2 2" xfId="8159" xr:uid="{00000000-0005-0000-0000-000036160000}"/>
    <cellStyle name="Normal 4 6 2 3 4 2 3" xfId="12370" xr:uid="{33824DB9-FEAE-42F0-BA40-A57D5B04F0CB}"/>
    <cellStyle name="Normal 4 6 2 3 4 2 4" xfId="16581" xr:uid="{A69AE229-009C-4D7C-9AD1-0546B1A4C677}"/>
    <cellStyle name="Normal 4 6 2 3 4 3" xfId="6014" xr:uid="{00000000-0005-0000-0000-000037160000}"/>
    <cellStyle name="Normal 4 6 2 3 4 4" xfId="10225" xr:uid="{23BA2D3E-F15C-4A6A-953B-C0498B3B493A}"/>
    <cellStyle name="Normal 4 6 2 3 4 5" xfId="14436" xr:uid="{B1F79176-B938-48EC-A40E-E0BB1FE5D565}"/>
    <cellStyle name="Normal 4 6 2 3 5" xfId="2119" xr:uid="{00000000-0005-0000-0000-000038160000}"/>
    <cellStyle name="Normal 4 6 2 3 5 2" xfId="4348" xr:uid="{00000000-0005-0000-0000-000039160000}"/>
    <cellStyle name="Normal 4 6 2 3 5 2 2" xfId="8572" xr:uid="{00000000-0005-0000-0000-00003A160000}"/>
    <cellStyle name="Normal 4 6 2 3 5 2 3" xfId="12783" xr:uid="{1B0FDF4C-EED2-4EC4-A4E5-2A5ED37AA4C7}"/>
    <cellStyle name="Normal 4 6 2 3 5 2 4" xfId="16994" xr:uid="{CC4F0857-A2A3-4E89-97C3-B4642E4CA7D8}"/>
    <cellStyle name="Normal 4 6 2 3 5 3" xfId="6427" xr:uid="{00000000-0005-0000-0000-00003B160000}"/>
    <cellStyle name="Normal 4 6 2 3 5 4" xfId="10638" xr:uid="{05D73E1F-5318-4B69-AD7D-6DEE74CE99C5}"/>
    <cellStyle name="Normal 4 6 2 3 5 5" xfId="14849" xr:uid="{5384A850-6915-45F4-9799-C2F0F50FAD8A}"/>
    <cellStyle name="Normal 4 6 2 3 6" xfId="2555" xr:uid="{00000000-0005-0000-0000-00003C160000}"/>
    <cellStyle name="Normal 4 6 2 3 6 2" xfId="6840" xr:uid="{00000000-0005-0000-0000-00003D160000}"/>
    <cellStyle name="Normal 4 6 2 3 6 3" xfId="11051" xr:uid="{1625750A-F12B-4160-9DA2-7303FB40F775}"/>
    <cellStyle name="Normal 4 6 2 3 6 4" xfId="15262" xr:uid="{01A8713B-459F-419D-9800-D6E3C2EE8CE4}"/>
    <cellStyle name="Normal 4 6 2 3 7" xfId="4775" xr:uid="{00000000-0005-0000-0000-00003E160000}"/>
    <cellStyle name="Normal 4 6 2 3 8" xfId="8986" xr:uid="{0F255D4B-412E-44F3-B6A1-BEC00163313D}"/>
    <cellStyle name="Normal 4 6 2 3 9" xfId="13197" xr:uid="{2D8D1559-30E1-4F8E-B905-FEA5CEBE00EA}"/>
    <cellStyle name="Normal 4 6 2 4" xfId="871" xr:uid="{00000000-0005-0000-0000-00003F160000}"/>
    <cellStyle name="Normal 4 6 2 4 2" xfId="3106" xr:uid="{00000000-0005-0000-0000-000040160000}"/>
    <cellStyle name="Normal 4 6 2 4 2 2" xfId="7330" xr:uid="{00000000-0005-0000-0000-000041160000}"/>
    <cellStyle name="Normal 4 6 2 4 2 3" xfId="11541" xr:uid="{F1F419A1-BCE1-4981-B52A-2BA37825F093}"/>
    <cellStyle name="Normal 4 6 2 4 2 4" xfId="15752" xr:uid="{A3F6FB5F-AF68-4FA7-AA82-E58F29B66A71}"/>
    <cellStyle name="Normal 4 6 2 4 3" xfId="5185" xr:uid="{00000000-0005-0000-0000-000042160000}"/>
    <cellStyle name="Normal 4 6 2 4 4" xfId="9396" xr:uid="{09F6BB2A-5A6E-47C1-91C7-BC4EABAA4506}"/>
    <cellStyle name="Normal 4 6 2 4 5" xfId="13607" xr:uid="{61E265CC-5D79-4490-ACE5-54C3707E8C74}"/>
    <cellStyle name="Normal 4 6 2 5" xfId="1289" xr:uid="{00000000-0005-0000-0000-000043160000}"/>
    <cellStyle name="Normal 4 6 2 5 2" xfId="3519" xr:uid="{00000000-0005-0000-0000-000044160000}"/>
    <cellStyle name="Normal 4 6 2 5 2 2" xfId="7743" xr:uid="{00000000-0005-0000-0000-000045160000}"/>
    <cellStyle name="Normal 4 6 2 5 2 3" xfId="11954" xr:uid="{23FB21CC-93F3-485A-9D06-93414E048BD4}"/>
    <cellStyle name="Normal 4 6 2 5 2 4" xfId="16165" xr:uid="{772B4DF6-1AC4-4C3F-9AA7-95C05658DFFD}"/>
    <cellStyle name="Normal 4 6 2 5 3" xfId="5598" xr:uid="{00000000-0005-0000-0000-000046160000}"/>
    <cellStyle name="Normal 4 6 2 5 4" xfId="9809" xr:uid="{F121FBA4-96E6-4057-B12F-D7D80F90FD90}"/>
    <cellStyle name="Normal 4 6 2 5 5" xfId="14020" xr:uid="{BD1D7040-0276-4153-A1DF-4B9DEF18019E}"/>
    <cellStyle name="Normal 4 6 2 6" xfId="1702" xr:uid="{00000000-0005-0000-0000-000047160000}"/>
    <cellStyle name="Normal 4 6 2 6 2" xfId="3932" xr:uid="{00000000-0005-0000-0000-000048160000}"/>
    <cellStyle name="Normal 4 6 2 6 2 2" xfId="8156" xr:uid="{00000000-0005-0000-0000-000049160000}"/>
    <cellStyle name="Normal 4 6 2 6 2 3" xfId="12367" xr:uid="{62F760F7-82E4-4FD8-83BB-5A78D4350650}"/>
    <cellStyle name="Normal 4 6 2 6 2 4" xfId="16578" xr:uid="{03ABAB52-7914-4647-8D48-E42EAA0FB6C4}"/>
    <cellStyle name="Normal 4 6 2 6 3" xfId="6011" xr:uid="{00000000-0005-0000-0000-00004A160000}"/>
    <cellStyle name="Normal 4 6 2 6 4" xfId="10222" xr:uid="{99145793-C3FE-407F-BD4B-140D5333E8F6}"/>
    <cellStyle name="Normal 4 6 2 6 5" xfId="14433" xr:uid="{386E1226-9295-41A3-9AAA-8247A6E28B56}"/>
    <cellStyle name="Normal 4 6 2 7" xfId="2116" xr:uid="{00000000-0005-0000-0000-00004B160000}"/>
    <cellStyle name="Normal 4 6 2 7 2" xfId="4345" xr:uid="{00000000-0005-0000-0000-00004C160000}"/>
    <cellStyle name="Normal 4 6 2 7 2 2" xfId="8569" xr:uid="{00000000-0005-0000-0000-00004D160000}"/>
    <cellStyle name="Normal 4 6 2 7 2 3" xfId="12780" xr:uid="{712C0A9D-07FC-442C-A635-16251C1F5919}"/>
    <cellStyle name="Normal 4 6 2 7 2 4" xfId="16991" xr:uid="{2830E8C6-E9FC-4BC7-87C5-10FB1733A9F0}"/>
    <cellStyle name="Normal 4 6 2 7 3" xfId="6424" xr:uid="{00000000-0005-0000-0000-00004E160000}"/>
    <cellStyle name="Normal 4 6 2 7 4" xfId="10635" xr:uid="{8F21B458-0AAD-4299-8B68-8F7404AD6598}"/>
    <cellStyle name="Normal 4 6 2 7 5" xfId="14846" xr:uid="{0A8AC845-C043-4AD4-807C-96C1F8A89664}"/>
    <cellStyle name="Normal 4 6 2 8" xfId="2552" xr:uid="{00000000-0005-0000-0000-00004F160000}"/>
    <cellStyle name="Normal 4 6 2 8 2" xfId="6837" xr:uid="{00000000-0005-0000-0000-000050160000}"/>
    <cellStyle name="Normal 4 6 2 8 3" xfId="11048" xr:uid="{3EFB372B-F59D-4718-9585-C68D2C5B7A12}"/>
    <cellStyle name="Normal 4 6 2 8 4" xfId="15259" xr:uid="{C99906DF-57D3-423A-B3F4-1ED1400353F4}"/>
    <cellStyle name="Normal 4 6 2 9" xfId="4772" xr:uid="{00000000-0005-0000-0000-000051160000}"/>
    <cellStyle name="Normal 4 6 3" xfId="400" xr:uid="{00000000-0005-0000-0000-000052160000}"/>
    <cellStyle name="Normal 4 6 3 10" xfId="13198" xr:uid="{AF743529-3B3F-454C-9129-780FE4A6E92A}"/>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2 3" xfId="11546" xr:uid="{5AD4AFB6-1F08-479F-A01B-C54C4E50B05D}"/>
    <cellStyle name="Normal 4 6 3 2 2 2 4" xfId="15757" xr:uid="{B78E0267-F66A-4A95-986E-C90D6A88811A}"/>
    <cellStyle name="Normal 4 6 3 2 2 3" xfId="5190" xr:uid="{00000000-0005-0000-0000-000057160000}"/>
    <cellStyle name="Normal 4 6 3 2 2 4" xfId="9401" xr:uid="{66869834-5405-4910-9068-8B835D2FF0D9}"/>
    <cellStyle name="Normal 4 6 3 2 2 5" xfId="13612" xr:uid="{7831011A-5F05-477C-940D-7302C9EDFA07}"/>
    <cellStyle name="Normal 4 6 3 2 3" xfId="1294" xr:uid="{00000000-0005-0000-0000-000058160000}"/>
    <cellStyle name="Normal 4 6 3 2 3 2" xfId="3524" xr:uid="{00000000-0005-0000-0000-000059160000}"/>
    <cellStyle name="Normal 4 6 3 2 3 2 2" xfId="7748" xr:uid="{00000000-0005-0000-0000-00005A160000}"/>
    <cellStyle name="Normal 4 6 3 2 3 2 3" xfId="11959" xr:uid="{89170B5D-D83C-4428-A3A6-3616930A4350}"/>
    <cellStyle name="Normal 4 6 3 2 3 2 4" xfId="16170" xr:uid="{D3304EB9-FDDD-4A1A-96D5-BB877C5AE10B}"/>
    <cellStyle name="Normal 4 6 3 2 3 3" xfId="5603" xr:uid="{00000000-0005-0000-0000-00005B160000}"/>
    <cellStyle name="Normal 4 6 3 2 3 4" xfId="9814" xr:uid="{A9CDE125-72DF-4C58-9E48-E559AC7FD058}"/>
    <cellStyle name="Normal 4 6 3 2 3 5" xfId="14025" xr:uid="{C81A2197-D829-46C4-827B-A6E0490BF1D7}"/>
    <cellStyle name="Normal 4 6 3 2 4" xfId="1707" xr:uid="{00000000-0005-0000-0000-00005C160000}"/>
    <cellStyle name="Normal 4 6 3 2 4 2" xfId="3937" xr:uid="{00000000-0005-0000-0000-00005D160000}"/>
    <cellStyle name="Normal 4 6 3 2 4 2 2" xfId="8161" xr:uid="{00000000-0005-0000-0000-00005E160000}"/>
    <cellStyle name="Normal 4 6 3 2 4 2 3" xfId="12372" xr:uid="{1F1BCC4D-EFD9-4F95-A669-9103AF0ECC66}"/>
    <cellStyle name="Normal 4 6 3 2 4 2 4" xfId="16583" xr:uid="{4E40F39F-55C3-4AC0-8115-50E1C2A4755C}"/>
    <cellStyle name="Normal 4 6 3 2 4 3" xfId="6016" xr:uid="{00000000-0005-0000-0000-00005F160000}"/>
    <cellStyle name="Normal 4 6 3 2 4 4" xfId="10227" xr:uid="{C9DB7CA5-08D4-49D3-88AD-2972C6D991F5}"/>
    <cellStyle name="Normal 4 6 3 2 4 5" xfId="14438" xr:uid="{C022258E-643C-432F-96C3-70D7C60A0DA2}"/>
    <cellStyle name="Normal 4 6 3 2 5" xfId="2121" xr:uid="{00000000-0005-0000-0000-000060160000}"/>
    <cellStyle name="Normal 4 6 3 2 5 2" xfId="4350" xr:uid="{00000000-0005-0000-0000-000061160000}"/>
    <cellStyle name="Normal 4 6 3 2 5 2 2" xfId="8574" xr:uid="{00000000-0005-0000-0000-000062160000}"/>
    <cellStyle name="Normal 4 6 3 2 5 2 3" xfId="12785" xr:uid="{29441075-783C-4B50-85C6-7C8D636BE266}"/>
    <cellStyle name="Normal 4 6 3 2 5 2 4" xfId="16996" xr:uid="{7657ED98-C8AF-45A0-89AB-02375AE78549}"/>
    <cellStyle name="Normal 4 6 3 2 5 3" xfId="6429" xr:uid="{00000000-0005-0000-0000-000063160000}"/>
    <cellStyle name="Normal 4 6 3 2 5 4" xfId="10640" xr:uid="{52FFB3E1-4386-4930-B8D3-F5E18A56D08D}"/>
    <cellStyle name="Normal 4 6 3 2 5 5" xfId="14851" xr:uid="{139AF643-720D-4A57-AA6B-6747AE4802C2}"/>
    <cellStyle name="Normal 4 6 3 2 6" xfId="2557" xr:uid="{00000000-0005-0000-0000-000064160000}"/>
    <cellStyle name="Normal 4 6 3 2 6 2" xfId="6842" xr:uid="{00000000-0005-0000-0000-000065160000}"/>
    <cellStyle name="Normal 4 6 3 2 6 3" xfId="11053" xr:uid="{8783F6C0-CBDE-4655-9973-250B09564A69}"/>
    <cellStyle name="Normal 4 6 3 2 6 4" xfId="15264" xr:uid="{D84461C8-5E9A-425D-AA68-194892435E9B}"/>
    <cellStyle name="Normal 4 6 3 2 7" xfId="4777" xr:uid="{00000000-0005-0000-0000-000066160000}"/>
    <cellStyle name="Normal 4 6 3 2 8" xfId="8988" xr:uid="{F5561789-77E4-4EBA-B3A3-88F90A240A2E}"/>
    <cellStyle name="Normal 4 6 3 2 9" xfId="13199" xr:uid="{454CF65E-25F6-4F2A-A68B-EDAEC606ACC4}"/>
    <cellStyle name="Normal 4 6 3 3" xfId="875" xr:uid="{00000000-0005-0000-0000-000067160000}"/>
    <cellStyle name="Normal 4 6 3 3 2" xfId="3110" xr:uid="{00000000-0005-0000-0000-000068160000}"/>
    <cellStyle name="Normal 4 6 3 3 2 2" xfId="7334" xr:uid="{00000000-0005-0000-0000-000069160000}"/>
    <cellStyle name="Normal 4 6 3 3 2 3" xfId="11545" xr:uid="{7299023F-8399-4F77-B705-916FB28E7CA1}"/>
    <cellStyle name="Normal 4 6 3 3 2 4" xfId="15756" xr:uid="{159FAF3A-F343-4D62-B21C-84B971E5FE33}"/>
    <cellStyle name="Normal 4 6 3 3 3" xfId="5189" xr:uid="{00000000-0005-0000-0000-00006A160000}"/>
    <cellStyle name="Normal 4 6 3 3 4" xfId="9400" xr:uid="{564E130D-66F2-4D61-B3F1-2E392742A760}"/>
    <cellStyle name="Normal 4 6 3 3 5" xfId="13611" xr:uid="{6AF80F66-5746-4DD8-A698-9FB37E09729C}"/>
    <cellStyle name="Normal 4 6 3 4" xfId="1293" xr:uid="{00000000-0005-0000-0000-00006B160000}"/>
    <cellStyle name="Normal 4 6 3 4 2" xfId="3523" xr:uid="{00000000-0005-0000-0000-00006C160000}"/>
    <cellStyle name="Normal 4 6 3 4 2 2" xfId="7747" xr:uid="{00000000-0005-0000-0000-00006D160000}"/>
    <cellStyle name="Normal 4 6 3 4 2 3" xfId="11958" xr:uid="{B32D6F0B-CDDC-4BAF-893A-34B9300A7215}"/>
    <cellStyle name="Normal 4 6 3 4 2 4" xfId="16169" xr:uid="{4255BDB6-9F40-4FFA-B0D5-CC467CFDD768}"/>
    <cellStyle name="Normal 4 6 3 4 3" xfId="5602" xr:uid="{00000000-0005-0000-0000-00006E160000}"/>
    <cellStyle name="Normal 4 6 3 4 4" xfId="9813" xr:uid="{AC5791C9-B109-4470-9FF6-A07D241EC774}"/>
    <cellStyle name="Normal 4 6 3 4 5" xfId="14024" xr:uid="{2FC4D324-F203-45B9-9068-1F55BE7DE092}"/>
    <cellStyle name="Normal 4 6 3 5" xfId="1706" xr:uid="{00000000-0005-0000-0000-00006F160000}"/>
    <cellStyle name="Normal 4 6 3 5 2" xfId="3936" xr:uid="{00000000-0005-0000-0000-000070160000}"/>
    <cellStyle name="Normal 4 6 3 5 2 2" xfId="8160" xr:uid="{00000000-0005-0000-0000-000071160000}"/>
    <cellStyle name="Normal 4 6 3 5 2 3" xfId="12371" xr:uid="{031C12BD-FB45-4BD7-B9B8-5F2D076AB7AB}"/>
    <cellStyle name="Normal 4 6 3 5 2 4" xfId="16582" xr:uid="{82FE317F-AD62-4B74-B0FE-CAEE940E55D6}"/>
    <cellStyle name="Normal 4 6 3 5 3" xfId="6015" xr:uid="{00000000-0005-0000-0000-000072160000}"/>
    <cellStyle name="Normal 4 6 3 5 4" xfId="10226" xr:uid="{CD1EB9CC-CD14-4525-BA12-34E03571FE67}"/>
    <cellStyle name="Normal 4 6 3 5 5" xfId="14437" xr:uid="{D212EDB5-80AF-4915-B998-1AD3AE91F911}"/>
    <cellStyle name="Normal 4 6 3 6" xfId="2120" xr:uid="{00000000-0005-0000-0000-000073160000}"/>
    <cellStyle name="Normal 4 6 3 6 2" xfId="4349" xr:uid="{00000000-0005-0000-0000-000074160000}"/>
    <cellStyle name="Normal 4 6 3 6 2 2" xfId="8573" xr:uid="{00000000-0005-0000-0000-000075160000}"/>
    <cellStyle name="Normal 4 6 3 6 2 3" xfId="12784" xr:uid="{529653B7-4ABD-4988-82EB-67B8E6719D78}"/>
    <cellStyle name="Normal 4 6 3 6 2 4" xfId="16995" xr:uid="{541202D0-E260-4FF8-BE92-83145B928610}"/>
    <cellStyle name="Normal 4 6 3 6 3" xfId="6428" xr:uid="{00000000-0005-0000-0000-000076160000}"/>
    <cellStyle name="Normal 4 6 3 6 4" xfId="10639" xr:uid="{AA408407-F0CF-440D-B42D-4FA862813429}"/>
    <cellStyle name="Normal 4 6 3 6 5" xfId="14850" xr:uid="{5FEA336B-FD7D-47B2-B915-2B0FC100EA0C}"/>
    <cellStyle name="Normal 4 6 3 7" xfId="2556" xr:uid="{00000000-0005-0000-0000-000077160000}"/>
    <cellStyle name="Normal 4 6 3 7 2" xfId="6841" xr:uid="{00000000-0005-0000-0000-000078160000}"/>
    <cellStyle name="Normal 4 6 3 7 3" xfId="11052" xr:uid="{5242EE78-939C-4C58-954E-F403A42B44B5}"/>
    <cellStyle name="Normal 4 6 3 7 4" xfId="15263" xr:uid="{6179C152-2255-4E74-99B5-658D67800093}"/>
    <cellStyle name="Normal 4 6 3 8" xfId="4776" xr:uid="{00000000-0005-0000-0000-000079160000}"/>
    <cellStyle name="Normal 4 6 3 9" xfId="8987" xr:uid="{1DE581A7-FD24-4A6A-8E48-7E9FE19C1322}"/>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2 3" xfId="11547" xr:uid="{AAA86CE9-0FC1-4993-8BC4-8C1274A11C15}"/>
    <cellStyle name="Normal 4 6 4 2 2 4" xfId="15758" xr:uid="{51FEBCCC-BA44-42DE-96ED-D0F8A77F4181}"/>
    <cellStyle name="Normal 4 6 4 2 3" xfId="5191" xr:uid="{00000000-0005-0000-0000-00007E160000}"/>
    <cellStyle name="Normal 4 6 4 2 4" xfId="9402" xr:uid="{C4E4541C-4267-4BDC-9172-2BA986361287}"/>
    <cellStyle name="Normal 4 6 4 2 5" xfId="13613" xr:uid="{BFED74CE-3847-4E4D-834B-D50386E21716}"/>
    <cellStyle name="Normal 4 6 4 3" xfId="1295" xr:uid="{00000000-0005-0000-0000-00007F160000}"/>
    <cellStyle name="Normal 4 6 4 3 2" xfId="3525" xr:uid="{00000000-0005-0000-0000-000080160000}"/>
    <cellStyle name="Normal 4 6 4 3 2 2" xfId="7749" xr:uid="{00000000-0005-0000-0000-000081160000}"/>
    <cellStyle name="Normal 4 6 4 3 2 3" xfId="11960" xr:uid="{493C4BFD-A6F5-44CC-B045-ED81361F66B4}"/>
    <cellStyle name="Normal 4 6 4 3 2 4" xfId="16171" xr:uid="{6644DD80-AFBB-4C63-8140-00F20E2A2F2B}"/>
    <cellStyle name="Normal 4 6 4 3 3" xfId="5604" xr:uid="{00000000-0005-0000-0000-000082160000}"/>
    <cellStyle name="Normal 4 6 4 3 4" xfId="9815" xr:uid="{6235169E-442E-4A3D-849C-395BD3FEE4AB}"/>
    <cellStyle name="Normal 4 6 4 3 5" xfId="14026" xr:uid="{910D0DAE-8969-48D3-9869-E6F674B11F2A}"/>
    <cellStyle name="Normal 4 6 4 4" xfId="1708" xr:uid="{00000000-0005-0000-0000-000083160000}"/>
    <cellStyle name="Normal 4 6 4 4 2" xfId="3938" xr:uid="{00000000-0005-0000-0000-000084160000}"/>
    <cellStyle name="Normal 4 6 4 4 2 2" xfId="8162" xr:uid="{00000000-0005-0000-0000-000085160000}"/>
    <cellStyle name="Normal 4 6 4 4 2 3" xfId="12373" xr:uid="{F743F3BB-1D1C-4627-A71D-7FBCA317573D}"/>
    <cellStyle name="Normal 4 6 4 4 2 4" xfId="16584" xr:uid="{26FAC1F7-FB0B-4763-AC6F-98EEBB5342BE}"/>
    <cellStyle name="Normal 4 6 4 4 3" xfId="6017" xr:uid="{00000000-0005-0000-0000-000086160000}"/>
    <cellStyle name="Normal 4 6 4 4 4" xfId="10228" xr:uid="{53CEFDA8-A9EB-421C-AD33-47F92F2154D2}"/>
    <cellStyle name="Normal 4 6 4 4 5" xfId="14439" xr:uid="{AC3DC09B-3509-4C4F-8F66-3369D4011742}"/>
    <cellStyle name="Normal 4 6 4 5" xfId="2122" xr:uid="{00000000-0005-0000-0000-000087160000}"/>
    <cellStyle name="Normal 4 6 4 5 2" xfId="4351" xr:uid="{00000000-0005-0000-0000-000088160000}"/>
    <cellStyle name="Normal 4 6 4 5 2 2" xfId="8575" xr:uid="{00000000-0005-0000-0000-000089160000}"/>
    <cellStyle name="Normal 4 6 4 5 2 3" xfId="12786" xr:uid="{6C559B07-71CB-4D2A-AEB0-266AA154468F}"/>
    <cellStyle name="Normal 4 6 4 5 2 4" xfId="16997" xr:uid="{B994A49C-6730-4173-BA07-7524DEAD836B}"/>
    <cellStyle name="Normal 4 6 4 5 3" xfId="6430" xr:uid="{00000000-0005-0000-0000-00008A160000}"/>
    <cellStyle name="Normal 4 6 4 5 4" xfId="10641" xr:uid="{D917A48F-7E7F-40C1-A587-1136C084DAC0}"/>
    <cellStyle name="Normal 4 6 4 5 5" xfId="14852" xr:uid="{0000EB5A-9D45-4608-9D3E-BD830D3AAC08}"/>
    <cellStyle name="Normal 4 6 4 6" xfId="2558" xr:uid="{00000000-0005-0000-0000-00008B160000}"/>
    <cellStyle name="Normal 4 6 4 6 2" xfId="6843" xr:uid="{00000000-0005-0000-0000-00008C160000}"/>
    <cellStyle name="Normal 4 6 4 6 3" xfId="11054" xr:uid="{5C4CB03F-54E3-427F-B566-E7BC179D3CF5}"/>
    <cellStyle name="Normal 4 6 4 6 4" xfId="15265" xr:uid="{293A8E48-0FBD-4FF6-9060-1E676D90DD08}"/>
    <cellStyle name="Normal 4 6 4 7" xfId="4778" xr:uid="{00000000-0005-0000-0000-00008D160000}"/>
    <cellStyle name="Normal 4 6 4 8" xfId="8989" xr:uid="{5D482899-FB70-402C-BF9D-846D475ABC5E}"/>
    <cellStyle name="Normal 4 6 4 9" xfId="13200" xr:uid="{B91713BE-EFD9-425A-82C7-07D9A385F7FF}"/>
    <cellStyle name="Normal 4 6 5" xfId="870" xr:uid="{00000000-0005-0000-0000-00008E160000}"/>
    <cellStyle name="Normal 4 6 5 2" xfId="3105" xr:uid="{00000000-0005-0000-0000-00008F160000}"/>
    <cellStyle name="Normal 4 6 5 2 2" xfId="7329" xr:uid="{00000000-0005-0000-0000-000090160000}"/>
    <cellStyle name="Normal 4 6 5 2 3" xfId="11540" xr:uid="{53F3BDEB-081E-45C6-B7CC-B97FD1BF916B}"/>
    <cellStyle name="Normal 4 6 5 2 4" xfId="15751" xr:uid="{AF309F5D-C1FF-420F-972A-D8EFD45F97A3}"/>
    <cellStyle name="Normal 4 6 5 3" xfId="5184" xr:uid="{00000000-0005-0000-0000-000091160000}"/>
    <cellStyle name="Normal 4 6 5 4" xfId="9395" xr:uid="{964ABECE-C8D6-4A4E-953A-EE3BC580947A}"/>
    <cellStyle name="Normal 4 6 5 5" xfId="13606" xr:uid="{FDBC9F7B-3D89-4FB9-BB3A-7DFD5A95D887}"/>
    <cellStyle name="Normal 4 6 6" xfId="1288" xr:uid="{00000000-0005-0000-0000-000092160000}"/>
    <cellStyle name="Normal 4 6 6 2" xfId="3518" xr:uid="{00000000-0005-0000-0000-000093160000}"/>
    <cellStyle name="Normal 4 6 6 2 2" xfId="7742" xr:uid="{00000000-0005-0000-0000-000094160000}"/>
    <cellStyle name="Normal 4 6 6 2 3" xfId="11953" xr:uid="{AF9E1976-8939-4A0F-B86F-C965D60D7F43}"/>
    <cellStyle name="Normal 4 6 6 2 4" xfId="16164" xr:uid="{B113E6F6-6886-4DDE-B024-0251EA8E5A88}"/>
    <cellStyle name="Normal 4 6 6 3" xfId="5597" xr:uid="{00000000-0005-0000-0000-000095160000}"/>
    <cellStyle name="Normal 4 6 6 4" xfId="9808" xr:uid="{FD636870-DF3C-4ED6-91FB-CBD20253624A}"/>
    <cellStyle name="Normal 4 6 6 5" xfId="14019" xr:uid="{BC956A32-4B01-4E45-96BE-EC3D2DD4329B}"/>
    <cellStyle name="Normal 4 6 7" xfId="1701" xr:uid="{00000000-0005-0000-0000-000096160000}"/>
    <cellStyle name="Normal 4 6 7 2" xfId="3931" xr:uid="{00000000-0005-0000-0000-000097160000}"/>
    <cellStyle name="Normal 4 6 7 2 2" xfId="8155" xr:uid="{00000000-0005-0000-0000-000098160000}"/>
    <cellStyle name="Normal 4 6 7 2 3" xfId="12366" xr:uid="{A2E4D289-5FF8-4B5C-8309-07FAADF2C1F3}"/>
    <cellStyle name="Normal 4 6 7 2 4" xfId="16577" xr:uid="{91FC546F-0F9F-4F1D-A0BE-9DA656E47FBF}"/>
    <cellStyle name="Normal 4 6 7 3" xfId="6010" xr:uid="{00000000-0005-0000-0000-000099160000}"/>
    <cellStyle name="Normal 4 6 7 4" xfId="10221" xr:uid="{4DAF6382-189B-44F2-8950-7AED5354A026}"/>
    <cellStyle name="Normal 4 6 7 5" xfId="14432" xr:uid="{FD4F3D19-F1BF-4EE3-BA5B-24EEB2A747A8}"/>
    <cellStyle name="Normal 4 6 8" xfId="2115" xr:uid="{00000000-0005-0000-0000-00009A160000}"/>
    <cellStyle name="Normal 4 6 8 2" xfId="4344" xr:uid="{00000000-0005-0000-0000-00009B160000}"/>
    <cellStyle name="Normal 4 6 8 2 2" xfId="8568" xr:uid="{00000000-0005-0000-0000-00009C160000}"/>
    <cellStyle name="Normal 4 6 8 2 3" xfId="12779" xr:uid="{124B3929-DDCC-4D02-AAC2-D8E73C62F6B8}"/>
    <cellStyle name="Normal 4 6 8 2 4" xfId="16990" xr:uid="{B15B1EEA-84B6-4B8E-BF02-775D5D60FE57}"/>
    <cellStyle name="Normal 4 6 8 3" xfId="6423" xr:uid="{00000000-0005-0000-0000-00009D160000}"/>
    <cellStyle name="Normal 4 6 8 4" xfId="10634" xr:uid="{57FAB823-DA93-4C31-ABF4-15F93F7DE950}"/>
    <cellStyle name="Normal 4 6 8 5" xfId="14845" xr:uid="{CB9E9530-F260-48D4-9AFC-9D497E13A6D1}"/>
    <cellStyle name="Normal 4 6 9" xfId="2551" xr:uid="{00000000-0005-0000-0000-00009E160000}"/>
    <cellStyle name="Normal 4 6 9 2" xfId="6836" xr:uid="{00000000-0005-0000-0000-00009F160000}"/>
    <cellStyle name="Normal 4 6 9 3" xfId="11047" xr:uid="{3278CEAA-09FD-4742-8513-46A576774083}"/>
    <cellStyle name="Normal 4 6 9 4" xfId="15258" xr:uid="{ECC1F23F-760F-43F0-B954-1928AC4414AF}"/>
    <cellStyle name="Normal 4 7" xfId="403" xr:uid="{00000000-0005-0000-0000-0000A0160000}"/>
    <cellStyle name="Normal 4 7 10" xfId="13201" xr:uid="{D4DE23F7-2A42-4F25-82E0-BB26CE0E2A58}"/>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2 3" xfId="11549" xr:uid="{685C1AB0-97DF-4E46-AC8F-3EC6793398CF}"/>
    <cellStyle name="Normal 4 7 2 2 2 4" xfId="15760" xr:uid="{7EE1759D-A963-450A-BE9B-1CFB3BEF3EB7}"/>
    <cellStyle name="Normal 4 7 2 2 3" xfId="5193" xr:uid="{00000000-0005-0000-0000-0000A5160000}"/>
    <cellStyle name="Normal 4 7 2 2 4" xfId="9404" xr:uid="{B70838FA-AC9D-4857-BAD1-10ECF2302E4F}"/>
    <cellStyle name="Normal 4 7 2 2 5" xfId="13615" xr:uid="{E190678B-E136-4C19-A729-14CD29E3B240}"/>
    <cellStyle name="Normal 4 7 2 3" xfId="1297" xr:uid="{00000000-0005-0000-0000-0000A6160000}"/>
    <cellStyle name="Normal 4 7 2 3 2" xfId="3527" xr:uid="{00000000-0005-0000-0000-0000A7160000}"/>
    <cellStyle name="Normal 4 7 2 3 2 2" xfId="7751" xr:uid="{00000000-0005-0000-0000-0000A8160000}"/>
    <cellStyle name="Normal 4 7 2 3 2 3" xfId="11962" xr:uid="{6A0E6176-091E-493F-B4E0-5A221BBEDBAF}"/>
    <cellStyle name="Normal 4 7 2 3 2 4" xfId="16173" xr:uid="{A5790AF1-0AAA-4695-B490-B227559FE6ED}"/>
    <cellStyle name="Normal 4 7 2 3 3" xfId="5606" xr:uid="{00000000-0005-0000-0000-0000A9160000}"/>
    <cellStyle name="Normal 4 7 2 3 4" xfId="9817" xr:uid="{843562E2-E913-4777-9698-5F16A45CF492}"/>
    <cellStyle name="Normal 4 7 2 3 5" xfId="14028" xr:uid="{53F51547-422C-4811-BB9B-15FBA43556D9}"/>
    <cellStyle name="Normal 4 7 2 4" xfId="1710" xr:uid="{00000000-0005-0000-0000-0000AA160000}"/>
    <cellStyle name="Normal 4 7 2 4 2" xfId="3940" xr:uid="{00000000-0005-0000-0000-0000AB160000}"/>
    <cellStyle name="Normal 4 7 2 4 2 2" xfId="8164" xr:uid="{00000000-0005-0000-0000-0000AC160000}"/>
    <cellStyle name="Normal 4 7 2 4 2 3" xfId="12375" xr:uid="{F1333E23-BDA1-4765-AE9B-683BE5D3B027}"/>
    <cellStyle name="Normal 4 7 2 4 2 4" xfId="16586" xr:uid="{4F90B3AE-8304-41E1-BEDA-B3DFB8574C18}"/>
    <cellStyle name="Normal 4 7 2 4 3" xfId="6019" xr:uid="{00000000-0005-0000-0000-0000AD160000}"/>
    <cellStyle name="Normal 4 7 2 4 4" xfId="10230" xr:uid="{88915DA9-9391-4F73-BE2B-FADDCD80417D}"/>
    <cellStyle name="Normal 4 7 2 4 5" xfId="14441" xr:uid="{076E4B3F-3992-462B-AF25-3AD251ADC45D}"/>
    <cellStyle name="Normal 4 7 2 5" xfId="2124" xr:uid="{00000000-0005-0000-0000-0000AE160000}"/>
    <cellStyle name="Normal 4 7 2 5 2" xfId="4353" xr:uid="{00000000-0005-0000-0000-0000AF160000}"/>
    <cellStyle name="Normal 4 7 2 5 2 2" xfId="8577" xr:uid="{00000000-0005-0000-0000-0000B0160000}"/>
    <cellStyle name="Normal 4 7 2 5 2 3" xfId="12788" xr:uid="{2BAF3995-6CD7-4713-8407-73E520AF521B}"/>
    <cellStyle name="Normal 4 7 2 5 2 4" xfId="16999" xr:uid="{2FDD31CE-E888-4038-80E7-C78ABD9B160A}"/>
    <cellStyle name="Normal 4 7 2 5 3" xfId="6432" xr:uid="{00000000-0005-0000-0000-0000B1160000}"/>
    <cellStyle name="Normal 4 7 2 5 4" xfId="10643" xr:uid="{726457DE-69D2-4260-A6B8-BD0212460D2F}"/>
    <cellStyle name="Normal 4 7 2 5 5" xfId="14854" xr:uid="{D7E2DD41-2345-4399-BABB-48685B2D6114}"/>
    <cellStyle name="Normal 4 7 2 6" xfId="2560" xr:uid="{00000000-0005-0000-0000-0000B2160000}"/>
    <cellStyle name="Normal 4 7 2 6 2" xfId="6845" xr:uid="{00000000-0005-0000-0000-0000B3160000}"/>
    <cellStyle name="Normal 4 7 2 6 3" xfId="11056" xr:uid="{A37CF10A-5F75-4CD1-A6FB-3C5DBC352449}"/>
    <cellStyle name="Normal 4 7 2 6 4" xfId="15267" xr:uid="{984A933E-B39C-4E25-B445-485E3F3EDF68}"/>
    <cellStyle name="Normal 4 7 2 7" xfId="4780" xr:uid="{00000000-0005-0000-0000-0000B4160000}"/>
    <cellStyle name="Normal 4 7 2 8" xfId="8991" xr:uid="{CF15F620-5B9F-4E40-880A-7FDCE27DD98D}"/>
    <cellStyle name="Normal 4 7 2 9" xfId="13202" xr:uid="{A7DCAC58-AF35-4727-AD57-791B42FD1736}"/>
    <cellStyle name="Normal 4 7 3" xfId="878" xr:uid="{00000000-0005-0000-0000-0000B5160000}"/>
    <cellStyle name="Normal 4 7 3 2" xfId="3113" xr:uid="{00000000-0005-0000-0000-0000B6160000}"/>
    <cellStyle name="Normal 4 7 3 2 2" xfId="7337" xr:uid="{00000000-0005-0000-0000-0000B7160000}"/>
    <cellStyle name="Normal 4 7 3 2 3" xfId="11548" xr:uid="{D027644D-29EC-4E7A-B2EC-027BB7CC61F5}"/>
    <cellStyle name="Normal 4 7 3 2 4" xfId="15759" xr:uid="{9ADBCD91-C8D4-4C45-8968-809EB80F7205}"/>
    <cellStyle name="Normal 4 7 3 3" xfId="5192" xr:uid="{00000000-0005-0000-0000-0000B8160000}"/>
    <cellStyle name="Normal 4 7 3 4" xfId="9403" xr:uid="{4C6705D7-6D96-4407-AC99-653C77E5CD29}"/>
    <cellStyle name="Normal 4 7 3 5" xfId="13614" xr:uid="{C23CB83C-0A26-44A2-98E0-528DC227A967}"/>
    <cellStyle name="Normal 4 7 4" xfId="1296" xr:uid="{00000000-0005-0000-0000-0000B9160000}"/>
    <cellStyle name="Normal 4 7 4 2" xfId="3526" xr:uid="{00000000-0005-0000-0000-0000BA160000}"/>
    <cellStyle name="Normal 4 7 4 2 2" xfId="7750" xr:uid="{00000000-0005-0000-0000-0000BB160000}"/>
    <cellStyle name="Normal 4 7 4 2 3" xfId="11961" xr:uid="{E2470098-6E6A-4A41-A5FF-3C2FBCBB9F61}"/>
    <cellStyle name="Normal 4 7 4 2 4" xfId="16172" xr:uid="{91D46762-FFAE-4601-BB1A-57CCF2D6C189}"/>
    <cellStyle name="Normal 4 7 4 3" xfId="5605" xr:uid="{00000000-0005-0000-0000-0000BC160000}"/>
    <cellStyle name="Normal 4 7 4 4" xfId="9816" xr:uid="{4577E903-29D4-48B7-930F-CD29A6CE087E}"/>
    <cellStyle name="Normal 4 7 4 5" xfId="14027" xr:uid="{297216A7-4756-406B-A843-B25F26B14B9F}"/>
    <cellStyle name="Normal 4 7 5" xfId="1709" xr:uid="{00000000-0005-0000-0000-0000BD160000}"/>
    <cellStyle name="Normal 4 7 5 2" xfId="3939" xr:uid="{00000000-0005-0000-0000-0000BE160000}"/>
    <cellStyle name="Normal 4 7 5 2 2" xfId="8163" xr:uid="{00000000-0005-0000-0000-0000BF160000}"/>
    <cellStyle name="Normal 4 7 5 2 3" xfId="12374" xr:uid="{73EAEB10-FC9D-49BE-90E3-C382B952EF33}"/>
    <cellStyle name="Normal 4 7 5 2 4" xfId="16585" xr:uid="{817A7458-5A9C-4187-AF20-865BCF5A15FE}"/>
    <cellStyle name="Normal 4 7 5 3" xfId="6018" xr:uid="{00000000-0005-0000-0000-0000C0160000}"/>
    <cellStyle name="Normal 4 7 5 4" xfId="10229" xr:uid="{47A9424A-2CD7-4573-AA8D-A939D04462AD}"/>
    <cellStyle name="Normal 4 7 5 5" xfId="14440" xr:uid="{ACCB48DB-913E-4FB2-BEFD-C55E62C295A9}"/>
    <cellStyle name="Normal 4 7 6" xfId="2123" xr:uid="{00000000-0005-0000-0000-0000C1160000}"/>
    <cellStyle name="Normal 4 7 6 2" xfId="4352" xr:uid="{00000000-0005-0000-0000-0000C2160000}"/>
    <cellStyle name="Normal 4 7 6 2 2" xfId="8576" xr:uid="{00000000-0005-0000-0000-0000C3160000}"/>
    <cellStyle name="Normal 4 7 6 2 3" xfId="12787" xr:uid="{47F6707E-1DFA-4994-9D72-777557F2AA4D}"/>
    <cellStyle name="Normal 4 7 6 2 4" xfId="16998" xr:uid="{727B80A8-9E08-44D2-95C6-22F8D9E3F786}"/>
    <cellStyle name="Normal 4 7 6 3" xfId="6431" xr:uid="{00000000-0005-0000-0000-0000C4160000}"/>
    <cellStyle name="Normal 4 7 6 4" xfId="10642" xr:uid="{6410C64E-1625-424E-8181-F6DE1980EBA7}"/>
    <cellStyle name="Normal 4 7 6 5" xfId="14853" xr:uid="{C7CFB81D-AB18-4B9B-8DE3-E94AD20A94EE}"/>
    <cellStyle name="Normal 4 7 7" xfId="2559" xr:uid="{00000000-0005-0000-0000-0000C5160000}"/>
    <cellStyle name="Normal 4 7 7 2" xfId="6844" xr:uid="{00000000-0005-0000-0000-0000C6160000}"/>
    <cellStyle name="Normal 4 7 7 3" xfId="11055" xr:uid="{4D200D07-2E1E-40D6-BEDB-21BFC40E3F5C}"/>
    <cellStyle name="Normal 4 7 7 4" xfId="15266" xr:uid="{F27C40B8-6178-41E6-A6CD-EF2F488670CA}"/>
    <cellStyle name="Normal 4 7 8" xfId="4779" xr:uid="{00000000-0005-0000-0000-0000C7160000}"/>
    <cellStyle name="Normal 4 7 9" xfId="8990" xr:uid="{1A97F0AC-BD08-45F6-BE4B-5A9174B9108C}"/>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2 3" xfId="11550" xr:uid="{332F5993-6109-4675-9A96-F0B97DF4A0A3}"/>
    <cellStyle name="Normal 4 8 2 2 4" xfId="15761" xr:uid="{199C7DC8-1185-461E-89C9-EE8F36E6AF13}"/>
    <cellStyle name="Normal 4 8 2 3" xfId="5194" xr:uid="{00000000-0005-0000-0000-0000CC160000}"/>
    <cellStyle name="Normal 4 8 2 4" xfId="9405" xr:uid="{AC689851-8A07-4E27-8FBD-812666A5A7C9}"/>
    <cellStyle name="Normal 4 8 2 5" xfId="13616" xr:uid="{B0340154-2793-4859-AFC8-3048267D762D}"/>
    <cellStyle name="Normal 4 8 3" xfId="1298" xr:uid="{00000000-0005-0000-0000-0000CD160000}"/>
    <cellStyle name="Normal 4 8 3 2" xfId="3528" xr:uid="{00000000-0005-0000-0000-0000CE160000}"/>
    <cellStyle name="Normal 4 8 3 2 2" xfId="7752" xr:uid="{00000000-0005-0000-0000-0000CF160000}"/>
    <cellStyle name="Normal 4 8 3 2 3" xfId="11963" xr:uid="{7C6E7B0F-1822-4250-A442-9255DDAB651B}"/>
    <cellStyle name="Normal 4 8 3 2 4" xfId="16174" xr:uid="{CD2E7D5C-105F-4A15-841A-A8C6735DCEA2}"/>
    <cellStyle name="Normal 4 8 3 3" xfId="5607" xr:uid="{00000000-0005-0000-0000-0000D0160000}"/>
    <cellStyle name="Normal 4 8 3 4" xfId="9818" xr:uid="{22FFB028-0FB5-40C6-9D0E-AADF621A5418}"/>
    <cellStyle name="Normal 4 8 3 5" xfId="14029" xr:uid="{C1905C6B-BA02-4F41-83C9-76F1B6B7C5F6}"/>
    <cellStyle name="Normal 4 8 4" xfId="1711" xr:uid="{00000000-0005-0000-0000-0000D1160000}"/>
    <cellStyle name="Normal 4 8 4 2" xfId="3941" xr:uid="{00000000-0005-0000-0000-0000D2160000}"/>
    <cellStyle name="Normal 4 8 4 2 2" xfId="8165" xr:uid="{00000000-0005-0000-0000-0000D3160000}"/>
    <cellStyle name="Normal 4 8 4 2 3" xfId="12376" xr:uid="{885986E7-B26A-4D80-932C-E76A8BF182DF}"/>
    <cellStyle name="Normal 4 8 4 2 4" xfId="16587" xr:uid="{B4A55C21-7441-4EFC-BD60-C2EB800B2A0C}"/>
    <cellStyle name="Normal 4 8 4 3" xfId="6020" xr:uid="{00000000-0005-0000-0000-0000D4160000}"/>
    <cellStyle name="Normal 4 8 4 4" xfId="10231" xr:uid="{D810B488-B7A0-4F0F-B9F9-4F12DC3CC5BC}"/>
    <cellStyle name="Normal 4 8 4 5" xfId="14442" xr:uid="{674F9DFB-FBB4-4635-AC23-E9CC8C937E1C}"/>
    <cellStyle name="Normal 4 8 5" xfId="2125" xr:uid="{00000000-0005-0000-0000-0000D5160000}"/>
    <cellStyle name="Normal 4 8 5 2" xfId="4354" xr:uid="{00000000-0005-0000-0000-0000D6160000}"/>
    <cellStyle name="Normal 4 8 5 2 2" xfId="8578" xr:uid="{00000000-0005-0000-0000-0000D7160000}"/>
    <cellStyle name="Normal 4 8 5 2 3" xfId="12789" xr:uid="{2703AEB7-EE36-465B-AA46-303719E07B06}"/>
    <cellStyle name="Normal 4 8 5 2 4" xfId="17000" xr:uid="{0716FB96-EAE4-463F-9664-41E46376CDE0}"/>
    <cellStyle name="Normal 4 8 5 3" xfId="6433" xr:uid="{00000000-0005-0000-0000-0000D8160000}"/>
    <cellStyle name="Normal 4 8 5 4" xfId="10644" xr:uid="{3252EA11-2160-40D7-8BFF-3416DA500537}"/>
    <cellStyle name="Normal 4 8 5 5" xfId="14855" xr:uid="{9BD266FF-B897-4FEA-ABA8-39EA7959CAF3}"/>
    <cellStyle name="Normal 4 8 6" xfId="2561" xr:uid="{00000000-0005-0000-0000-0000D9160000}"/>
    <cellStyle name="Normal 4 8 6 2" xfId="6846" xr:uid="{00000000-0005-0000-0000-0000DA160000}"/>
    <cellStyle name="Normal 4 8 6 3" xfId="11057" xr:uid="{9C222E1C-07A1-4280-82FD-BE0EE68CCF31}"/>
    <cellStyle name="Normal 4 8 6 4" xfId="15268" xr:uid="{9458F2D4-1E88-47DE-BA0C-441E3C438DFD}"/>
    <cellStyle name="Normal 4 8 7" xfId="4781" xr:uid="{00000000-0005-0000-0000-0000DB160000}"/>
    <cellStyle name="Normal 4 8 8" xfId="8992" xr:uid="{8E6CFA8F-8ADC-4581-BDAE-99B3A0A49299}"/>
    <cellStyle name="Normal 4 8 9" xfId="13203" xr:uid="{C7192D98-07E9-4395-A23A-B40381C6FD7D}"/>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2 3" xfId="12377" xr:uid="{D4A52165-B701-454E-A802-1C4DB3613FEE}"/>
    <cellStyle name="Normal 5 10 2 4" xfId="16588" xr:uid="{9205D2DC-1D97-4195-8659-418815FDFA02}"/>
    <cellStyle name="Normal 5 10 3" xfId="6021" xr:uid="{00000000-0005-0000-0000-0000E1160000}"/>
    <cellStyle name="Normal 5 10 4" xfId="10232" xr:uid="{F8CB1A58-3EA2-436B-8982-887C2AD307AC}"/>
    <cellStyle name="Normal 5 10 5" xfId="14443" xr:uid="{7294F9AA-6B2F-450C-8470-75F37752B947}"/>
    <cellStyle name="Normal 5 11" xfId="2126" xr:uid="{00000000-0005-0000-0000-0000E2160000}"/>
    <cellStyle name="Normal 5 11 2" xfId="4355" xr:uid="{00000000-0005-0000-0000-0000E3160000}"/>
    <cellStyle name="Normal 5 11 2 2" xfId="8579" xr:uid="{00000000-0005-0000-0000-0000E4160000}"/>
    <cellStyle name="Normal 5 11 2 3" xfId="12790" xr:uid="{644F7194-6FC1-4263-98DA-889E47CF7167}"/>
    <cellStyle name="Normal 5 11 2 4" xfId="17001" xr:uid="{57D0E8BB-6E23-4C7F-9977-953FF32D15CD}"/>
    <cellStyle name="Normal 5 11 3" xfId="6434" xr:uid="{00000000-0005-0000-0000-0000E5160000}"/>
    <cellStyle name="Normal 5 11 4" xfId="10645" xr:uid="{8CB4C248-B482-4A71-9C76-B75D4EBA0400}"/>
    <cellStyle name="Normal 5 11 5" xfId="14856" xr:uid="{64BBF0A3-9242-4D92-B6CE-1494C282C706}"/>
    <cellStyle name="Normal 5 12" xfId="2562" xr:uid="{00000000-0005-0000-0000-0000E6160000}"/>
    <cellStyle name="Normal 5 12 2" xfId="6847" xr:uid="{00000000-0005-0000-0000-0000E7160000}"/>
    <cellStyle name="Normal 5 12 3" xfId="11058" xr:uid="{E0997D6D-207B-4E0D-843E-50B4B2DAEBE9}"/>
    <cellStyle name="Normal 5 12 4" xfId="15269" xr:uid="{2632588E-98DA-4F2F-8231-6C85586A71FF}"/>
    <cellStyle name="Normal 5 13" xfId="4782" xr:uid="{00000000-0005-0000-0000-0000E8160000}"/>
    <cellStyle name="Normal 5 14" xfId="8993" xr:uid="{2B1A3013-79B6-4517-A094-107F57F91CFB}"/>
    <cellStyle name="Normal 5 15" xfId="13204" xr:uid="{DCCE0261-BD26-4B64-91C0-79F5E61CE731}"/>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2 3" xfId="12791" xr:uid="{AD2575B5-51B7-4527-AEAC-C5362E6B0B3B}"/>
    <cellStyle name="Normal 5 2 10 2 4" xfId="17002" xr:uid="{74A2D397-44F7-479C-AAF1-971E685D0E88}"/>
    <cellStyle name="Normal 5 2 10 3" xfId="6435" xr:uid="{00000000-0005-0000-0000-0000ED160000}"/>
    <cellStyle name="Normal 5 2 10 4" xfId="10646" xr:uid="{DD901A9B-CCF3-4527-AA39-CAE73D3960CE}"/>
    <cellStyle name="Normal 5 2 10 5" xfId="14857" xr:uid="{314E1B51-DE39-437C-8731-323AF4B71782}"/>
    <cellStyle name="Normal 5 2 11" xfId="2563" xr:uid="{00000000-0005-0000-0000-0000EE160000}"/>
    <cellStyle name="Normal 5 2 11 2" xfId="6848" xr:uid="{00000000-0005-0000-0000-0000EF160000}"/>
    <cellStyle name="Normal 5 2 11 3" xfId="11059" xr:uid="{71A93B7F-B245-4CDE-B398-04B6FC1A08E7}"/>
    <cellStyle name="Normal 5 2 11 4" xfId="15270" xr:uid="{836D1568-80C6-42DA-9BA9-871A2FFF6F5D}"/>
    <cellStyle name="Normal 5 2 12" xfId="4783" xr:uid="{00000000-0005-0000-0000-0000F0160000}"/>
    <cellStyle name="Normal 5 2 13" xfId="8994" xr:uid="{9158712F-E8B4-411D-8921-0EAE1F198291}"/>
    <cellStyle name="Normal 5 2 14" xfId="13205" xr:uid="{D8751087-8F71-4FB2-BD2E-FDA30987AF34}"/>
    <cellStyle name="Normal 5 2 2" xfId="408" xr:uid="{00000000-0005-0000-0000-0000F1160000}"/>
    <cellStyle name="Normal 5 2 2 10" xfId="2564" xr:uid="{00000000-0005-0000-0000-0000F2160000}"/>
    <cellStyle name="Normal 5 2 2 10 2" xfId="6849" xr:uid="{00000000-0005-0000-0000-0000F3160000}"/>
    <cellStyle name="Normal 5 2 2 10 3" xfId="11060" xr:uid="{DF2A5C3F-1491-4B15-9F80-C5EC7CBE70C4}"/>
    <cellStyle name="Normal 5 2 2 10 4" xfId="15271" xr:uid="{40712F43-E3AE-4864-B65F-6974407CD7CE}"/>
    <cellStyle name="Normal 5 2 2 11" xfId="4784" xr:uid="{00000000-0005-0000-0000-0000F4160000}"/>
    <cellStyle name="Normal 5 2 2 12" xfId="8995" xr:uid="{1C615E1D-8AE8-49D2-A2E0-C1706614BE22}"/>
    <cellStyle name="Normal 5 2 2 13" xfId="13206" xr:uid="{DA13C8E2-4FF3-4C76-8B29-33AD7EE9A279}"/>
    <cellStyle name="Normal 5 2 2 2" xfId="409" xr:uid="{00000000-0005-0000-0000-0000F5160000}"/>
    <cellStyle name="Normal 5 2 2 2 10" xfId="4785" xr:uid="{00000000-0005-0000-0000-0000F6160000}"/>
    <cellStyle name="Normal 5 2 2 2 11" xfId="8996" xr:uid="{6EA1989A-80E7-4E76-970F-747CD3F74015}"/>
    <cellStyle name="Normal 5 2 2 2 12" xfId="13207" xr:uid="{3DEF2A00-944F-41A0-B3C9-2A3760A31C8C}"/>
    <cellStyle name="Normal 5 2 2 2 2" xfId="410" xr:uid="{00000000-0005-0000-0000-0000F7160000}"/>
    <cellStyle name="Normal 5 2 2 2 2 10" xfId="8997" xr:uid="{3677A584-B668-4099-9528-02DD764BA19B}"/>
    <cellStyle name="Normal 5 2 2 2 2 11" xfId="13208" xr:uid="{136088C0-5869-4D3E-B0BF-87C7EAB52122}"/>
    <cellStyle name="Normal 5 2 2 2 2 2" xfId="411" xr:uid="{00000000-0005-0000-0000-0000F8160000}"/>
    <cellStyle name="Normal 5 2 2 2 2 2 10" xfId="13209" xr:uid="{90878659-6485-4144-AB48-7A0FD08C6633}"/>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2 3" xfId="11557" xr:uid="{2EB09215-FE7D-4495-BC2A-2C7F40A4833F}"/>
    <cellStyle name="Normal 5 2 2 2 2 2 2 2 2 4" xfId="15768" xr:uid="{F2A54866-8D71-4AE4-B6BD-10213DC23729}"/>
    <cellStyle name="Normal 5 2 2 2 2 2 2 2 3" xfId="5201" xr:uid="{00000000-0005-0000-0000-0000FD160000}"/>
    <cellStyle name="Normal 5 2 2 2 2 2 2 2 4" xfId="9412" xr:uid="{62FC6A6B-220D-48A9-AC49-A4600B6EEB83}"/>
    <cellStyle name="Normal 5 2 2 2 2 2 2 2 5" xfId="13623" xr:uid="{2AA52D02-F8B5-44FD-87FA-01E9C3BF8AB2}"/>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2 3" xfId="11970" xr:uid="{1058A49C-45B7-427F-BCEA-38E021A1EF8D}"/>
    <cellStyle name="Normal 5 2 2 2 2 2 2 3 2 4" xfId="16181" xr:uid="{A9EC43C1-831E-4222-9832-CA1E096EAB1C}"/>
    <cellStyle name="Normal 5 2 2 2 2 2 2 3 3" xfId="5614" xr:uid="{00000000-0005-0000-0000-000001170000}"/>
    <cellStyle name="Normal 5 2 2 2 2 2 2 3 4" xfId="9825" xr:uid="{35E933DF-BB2B-4AC4-9A36-3BAD5C424F51}"/>
    <cellStyle name="Normal 5 2 2 2 2 2 2 3 5" xfId="14036" xr:uid="{3EFAE113-0E0A-4695-97D4-099036E9D02E}"/>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2 3" xfId="12383" xr:uid="{C65400B4-56AD-4ECB-9E2B-75DDE4F17830}"/>
    <cellStyle name="Normal 5 2 2 2 2 2 2 4 2 4" xfId="16594" xr:uid="{C159591C-A565-4B06-85B3-4F138EF2B74B}"/>
    <cellStyle name="Normal 5 2 2 2 2 2 2 4 3" xfId="6027" xr:uid="{00000000-0005-0000-0000-000005170000}"/>
    <cellStyle name="Normal 5 2 2 2 2 2 2 4 4" xfId="10238" xr:uid="{D77FAB06-C064-4C50-8119-744B299EFEC6}"/>
    <cellStyle name="Normal 5 2 2 2 2 2 2 4 5" xfId="14449" xr:uid="{A7C80623-1781-4E71-BCB1-051CCA2CBC75}"/>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2 3" xfId="12796" xr:uid="{26BBDDC7-FCA6-46A5-B020-BA5A3D1A4A6F}"/>
    <cellStyle name="Normal 5 2 2 2 2 2 2 5 2 4" xfId="17007" xr:uid="{10529F8D-0AA3-449D-A9FD-5F543D38E971}"/>
    <cellStyle name="Normal 5 2 2 2 2 2 2 5 3" xfId="6440" xr:uid="{00000000-0005-0000-0000-000009170000}"/>
    <cellStyle name="Normal 5 2 2 2 2 2 2 5 4" xfId="10651" xr:uid="{1FBDE128-EA22-472C-840D-235136602F94}"/>
    <cellStyle name="Normal 5 2 2 2 2 2 2 5 5" xfId="14862" xr:uid="{4BA7E218-2691-4869-8A5B-56985A3A8651}"/>
    <cellStyle name="Normal 5 2 2 2 2 2 2 6" xfId="2568" xr:uid="{00000000-0005-0000-0000-00000A170000}"/>
    <cellStyle name="Normal 5 2 2 2 2 2 2 6 2" xfId="6853" xr:uid="{00000000-0005-0000-0000-00000B170000}"/>
    <cellStyle name="Normal 5 2 2 2 2 2 2 6 3" xfId="11064" xr:uid="{F0C42ACE-9319-44CE-A038-10144557A921}"/>
    <cellStyle name="Normal 5 2 2 2 2 2 2 6 4" xfId="15275" xr:uid="{FAD80EFE-A975-4DB8-8393-C201DD3C7D3D}"/>
    <cellStyle name="Normal 5 2 2 2 2 2 2 7" xfId="4788" xr:uid="{00000000-0005-0000-0000-00000C170000}"/>
    <cellStyle name="Normal 5 2 2 2 2 2 2 8" xfId="8999" xr:uid="{C71DC3B4-C4AE-4E1F-A4A9-1DCAA7FF1682}"/>
    <cellStyle name="Normal 5 2 2 2 2 2 2 9" xfId="13210" xr:uid="{20088BF0-BB92-4A3E-9B50-872FF7E3CA3A}"/>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2 3" xfId="11556" xr:uid="{6C9255D3-8DC8-47DC-8126-0CE25686D96D}"/>
    <cellStyle name="Normal 5 2 2 2 2 2 3 2 4" xfId="15767" xr:uid="{A455F067-3328-49A6-B489-FF73119E4829}"/>
    <cellStyle name="Normal 5 2 2 2 2 2 3 3" xfId="5200" xr:uid="{00000000-0005-0000-0000-000010170000}"/>
    <cellStyle name="Normal 5 2 2 2 2 2 3 4" xfId="9411" xr:uid="{19EBC067-3463-46EA-ABC8-5C2F3945F9A6}"/>
    <cellStyle name="Normal 5 2 2 2 2 2 3 5" xfId="13622" xr:uid="{B12A203A-D98F-45F5-B9CF-599BC181F279}"/>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2 3" xfId="11969" xr:uid="{BC632775-8C10-4AA3-A54F-82ACA89C2B72}"/>
    <cellStyle name="Normal 5 2 2 2 2 2 4 2 4" xfId="16180" xr:uid="{14A06B68-8E62-4809-91DD-4C4C31D68EAA}"/>
    <cellStyle name="Normal 5 2 2 2 2 2 4 3" xfId="5613" xr:uid="{00000000-0005-0000-0000-000014170000}"/>
    <cellStyle name="Normal 5 2 2 2 2 2 4 4" xfId="9824" xr:uid="{36CB46B0-7AF2-436B-8426-96434829D5CB}"/>
    <cellStyle name="Normal 5 2 2 2 2 2 4 5" xfId="14035" xr:uid="{11585473-57AB-4DAF-8D9A-944A36274EC3}"/>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2 3" xfId="12382" xr:uid="{A35F0590-8E88-4544-AC0D-443419887806}"/>
    <cellStyle name="Normal 5 2 2 2 2 2 5 2 4" xfId="16593" xr:uid="{AF5E07B5-BFA1-4C16-A70F-C74FBAF2DC36}"/>
    <cellStyle name="Normal 5 2 2 2 2 2 5 3" xfId="6026" xr:uid="{00000000-0005-0000-0000-000018170000}"/>
    <cellStyle name="Normal 5 2 2 2 2 2 5 4" xfId="10237" xr:uid="{F91F1E16-B042-44CE-8ACA-66E35368FC53}"/>
    <cellStyle name="Normal 5 2 2 2 2 2 5 5" xfId="14448" xr:uid="{BE018755-79E8-461D-A6DB-C3785DC320CE}"/>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2 3" xfId="12795" xr:uid="{75CCEC38-934A-450C-822B-C9086485882B}"/>
    <cellStyle name="Normal 5 2 2 2 2 2 6 2 4" xfId="17006" xr:uid="{7C2B3829-EB12-421E-8562-BA2309417624}"/>
    <cellStyle name="Normal 5 2 2 2 2 2 6 3" xfId="6439" xr:uid="{00000000-0005-0000-0000-00001C170000}"/>
    <cellStyle name="Normal 5 2 2 2 2 2 6 4" xfId="10650" xr:uid="{6A319D13-2740-4FE7-9E27-95CF192AF2E5}"/>
    <cellStyle name="Normal 5 2 2 2 2 2 6 5" xfId="14861" xr:uid="{6F548212-E314-41B4-AD6D-2F7E361BEAD9}"/>
    <cellStyle name="Normal 5 2 2 2 2 2 7" xfId="2567" xr:uid="{00000000-0005-0000-0000-00001D170000}"/>
    <cellStyle name="Normal 5 2 2 2 2 2 7 2" xfId="6852" xr:uid="{00000000-0005-0000-0000-00001E170000}"/>
    <cellStyle name="Normal 5 2 2 2 2 2 7 3" xfId="11063" xr:uid="{2D4364BE-4EA4-40EA-B722-7F7B44CC15F3}"/>
    <cellStyle name="Normal 5 2 2 2 2 2 7 4" xfId="15274" xr:uid="{4DAD34E3-8DC1-4A56-8379-A968766C50F6}"/>
    <cellStyle name="Normal 5 2 2 2 2 2 8" xfId="4787" xr:uid="{00000000-0005-0000-0000-00001F170000}"/>
    <cellStyle name="Normal 5 2 2 2 2 2 9" xfId="8998" xr:uid="{7CF1BBB8-E7D2-44D2-B4DD-29A56D09A7D3}"/>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2 3" xfId="11558" xr:uid="{16FF29F4-0A83-4493-987B-7668C90BE1C6}"/>
    <cellStyle name="Normal 5 2 2 2 2 3 2 2 4" xfId="15769" xr:uid="{DE9F99B6-D8A8-45DE-84AB-55DA043CDB3F}"/>
    <cellStyle name="Normal 5 2 2 2 2 3 2 3" xfId="5202" xr:uid="{00000000-0005-0000-0000-000024170000}"/>
    <cellStyle name="Normal 5 2 2 2 2 3 2 4" xfId="9413" xr:uid="{024DBE89-4C66-4D60-96F4-AA69FC4DCF5D}"/>
    <cellStyle name="Normal 5 2 2 2 2 3 2 5" xfId="13624" xr:uid="{B4FFC435-49C5-4DC2-94DB-EC931C67F9B5}"/>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2 3" xfId="11971" xr:uid="{208E6C54-9828-4F9E-A53E-C1B255FB75EE}"/>
    <cellStyle name="Normal 5 2 2 2 2 3 3 2 4" xfId="16182" xr:uid="{6291A2A7-8B44-410B-9FDA-20DC3B8C61CA}"/>
    <cellStyle name="Normal 5 2 2 2 2 3 3 3" xfId="5615" xr:uid="{00000000-0005-0000-0000-000028170000}"/>
    <cellStyle name="Normal 5 2 2 2 2 3 3 4" xfId="9826" xr:uid="{794AA295-6C53-42EC-8651-5C2DB2F8CC5F}"/>
    <cellStyle name="Normal 5 2 2 2 2 3 3 5" xfId="14037" xr:uid="{0890B1B1-343B-453F-82C9-DBA0645F728D}"/>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2 3" xfId="12384" xr:uid="{D8C43FF7-62B0-406F-8F92-FF4019DDA50A}"/>
    <cellStyle name="Normal 5 2 2 2 2 3 4 2 4" xfId="16595" xr:uid="{369E873B-ABB0-455A-82BC-23FC97D59C47}"/>
    <cellStyle name="Normal 5 2 2 2 2 3 4 3" xfId="6028" xr:uid="{00000000-0005-0000-0000-00002C170000}"/>
    <cellStyle name="Normal 5 2 2 2 2 3 4 4" xfId="10239" xr:uid="{2F5C4250-0873-4536-A7C6-70E42007C161}"/>
    <cellStyle name="Normal 5 2 2 2 2 3 4 5" xfId="14450" xr:uid="{B269B07E-B7CA-4570-B824-46A79431D323}"/>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2 3" xfId="12797" xr:uid="{3E86F888-C881-4B42-BBE0-A3E708540E9F}"/>
    <cellStyle name="Normal 5 2 2 2 2 3 5 2 4" xfId="17008" xr:uid="{2C71F6E3-ED97-4FC3-AECD-B0ADA794683F}"/>
    <cellStyle name="Normal 5 2 2 2 2 3 5 3" xfId="6441" xr:uid="{00000000-0005-0000-0000-000030170000}"/>
    <cellStyle name="Normal 5 2 2 2 2 3 5 4" xfId="10652" xr:uid="{0129E31B-263C-4FEA-9ACA-9AC37985D2F7}"/>
    <cellStyle name="Normal 5 2 2 2 2 3 5 5" xfId="14863" xr:uid="{5B7C462E-23EB-4C23-AF38-FF47BAD909BE}"/>
    <cellStyle name="Normal 5 2 2 2 2 3 6" xfId="2569" xr:uid="{00000000-0005-0000-0000-000031170000}"/>
    <cellStyle name="Normal 5 2 2 2 2 3 6 2" xfId="6854" xr:uid="{00000000-0005-0000-0000-000032170000}"/>
    <cellStyle name="Normal 5 2 2 2 2 3 6 3" xfId="11065" xr:uid="{4D0712A9-1E42-4821-B9EB-AEA86D71763B}"/>
    <cellStyle name="Normal 5 2 2 2 2 3 6 4" xfId="15276" xr:uid="{74A3DEEB-EFE0-42A0-B835-63916872C340}"/>
    <cellStyle name="Normal 5 2 2 2 2 3 7" xfId="4789" xr:uid="{00000000-0005-0000-0000-000033170000}"/>
    <cellStyle name="Normal 5 2 2 2 2 3 8" xfId="9000" xr:uid="{E9A48F52-8745-4F20-BA0E-C0A7C4DEA6A8}"/>
    <cellStyle name="Normal 5 2 2 2 2 3 9" xfId="13211" xr:uid="{3E826D3D-EF96-4FBD-A78D-CB28DA0A4FC7}"/>
    <cellStyle name="Normal 5 2 2 2 2 4" xfId="885" xr:uid="{00000000-0005-0000-0000-000034170000}"/>
    <cellStyle name="Normal 5 2 2 2 2 4 2" xfId="3120" xr:uid="{00000000-0005-0000-0000-000035170000}"/>
    <cellStyle name="Normal 5 2 2 2 2 4 2 2" xfId="7344" xr:uid="{00000000-0005-0000-0000-000036170000}"/>
    <cellStyle name="Normal 5 2 2 2 2 4 2 3" xfId="11555" xr:uid="{841B799D-97D6-45CD-BAF1-EAD729C3E14F}"/>
    <cellStyle name="Normal 5 2 2 2 2 4 2 4" xfId="15766" xr:uid="{00DDE237-012F-468E-AA47-1791D2D5316B}"/>
    <cellStyle name="Normal 5 2 2 2 2 4 3" xfId="5199" xr:uid="{00000000-0005-0000-0000-000037170000}"/>
    <cellStyle name="Normal 5 2 2 2 2 4 4" xfId="9410" xr:uid="{AE7683E4-BEE7-413D-862C-91C8B39EB375}"/>
    <cellStyle name="Normal 5 2 2 2 2 4 5" xfId="13621" xr:uid="{5983B08F-8451-4BCE-B1DF-87BE82F467C4}"/>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2 3" xfId="11968" xr:uid="{910AEACA-C2E2-4982-AE3C-7FEBC04C8013}"/>
    <cellStyle name="Normal 5 2 2 2 2 5 2 4" xfId="16179" xr:uid="{AC4E57DE-351A-4FC6-9007-DCD90D969A27}"/>
    <cellStyle name="Normal 5 2 2 2 2 5 3" xfId="5612" xr:uid="{00000000-0005-0000-0000-00003B170000}"/>
    <cellStyle name="Normal 5 2 2 2 2 5 4" xfId="9823" xr:uid="{0760601F-BE6B-4C01-8F72-22BBB4EA2843}"/>
    <cellStyle name="Normal 5 2 2 2 2 5 5" xfId="14034" xr:uid="{7AF6863D-8C50-412F-8915-A4ED1460A56A}"/>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2 3" xfId="12381" xr:uid="{922ED05A-C483-4791-A1D5-A6C2CEADC5BC}"/>
    <cellStyle name="Normal 5 2 2 2 2 6 2 4" xfId="16592" xr:uid="{3B088BED-E7E5-435A-8DCB-9787E26159F5}"/>
    <cellStyle name="Normal 5 2 2 2 2 6 3" xfId="6025" xr:uid="{00000000-0005-0000-0000-00003F170000}"/>
    <cellStyle name="Normal 5 2 2 2 2 6 4" xfId="10236" xr:uid="{AEA434CC-9254-4658-907F-000C2019B4AB}"/>
    <cellStyle name="Normal 5 2 2 2 2 6 5" xfId="14447" xr:uid="{412B60C3-F1A8-4D85-949B-82726CEC407F}"/>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2 3" xfId="12794" xr:uid="{C9A461C1-5FFA-4FDF-A54E-1189E18B9273}"/>
    <cellStyle name="Normal 5 2 2 2 2 7 2 4" xfId="17005" xr:uid="{963284EF-64DD-4F1C-A8F8-1B6CE700593C}"/>
    <cellStyle name="Normal 5 2 2 2 2 7 3" xfId="6438" xr:uid="{00000000-0005-0000-0000-000043170000}"/>
    <cellStyle name="Normal 5 2 2 2 2 7 4" xfId="10649" xr:uid="{F4FB171B-569D-4B04-94D1-FB1624529337}"/>
    <cellStyle name="Normal 5 2 2 2 2 7 5" xfId="14860" xr:uid="{80527692-EA42-47C8-AEBD-C5EE9BCD57F0}"/>
    <cellStyle name="Normal 5 2 2 2 2 8" xfId="2566" xr:uid="{00000000-0005-0000-0000-000044170000}"/>
    <cellStyle name="Normal 5 2 2 2 2 8 2" xfId="6851" xr:uid="{00000000-0005-0000-0000-000045170000}"/>
    <cellStyle name="Normal 5 2 2 2 2 8 3" xfId="11062" xr:uid="{0640BD20-DE9C-44A0-9B96-16AD4E131ACD}"/>
    <cellStyle name="Normal 5 2 2 2 2 8 4" xfId="15273" xr:uid="{E4D5CAF9-652A-497D-BC53-2B2BBCBAE0C0}"/>
    <cellStyle name="Normal 5 2 2 2 2 9" xfId="4786" xr:uid="{00000000-0005-0000-0000-000046170000}"/>
    <cellStyle name="Normal 5 2 2 2 3" xfId="414" xr:uid="{00000000-0005-0000-0000-000047170000}"/>
    <cellStyle name="Normal 5 2 2 2 3 10" xfId="13212" xr:uid="{40F7FE96-99A8-48C1-AF6B-91D2758BA95C}"/>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2 3" xfId="11560" xr:uid="{F0CF40B4-B4FB-4532-B103-1338A0AC44BE}"/>
    <cellStyle name="Normal 5 2 2 2 3 2 2 2 4" xfId="15771" xr:uid="{8FDCAC6F-69BE-4E7A-9BDB-C5B60482DDBE}"/>
    <cellStyle name="Normal 5 2 2 2 3 2 2 3" xfId="5204" xr:uid="{00000000-0005-0000-0000-00004C170000}"/>
    <cellStyle name="Normal 5 2 2 2 3 2 2 4" xfId="9415" xr:uid="{93F7758C-16C5-4E1C-B492-D2B77B7F578D}"/>
    <cellStyle name="Normal 5 2 2 2 3 2 2 5" xfId="13626" xr:uid="{4903003F-BE39-4EF2-82F9-A4E0B1E65F7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2 3" xfId="11973" xr:uid="{E7420F5B-85DE-4492-BBC1-8B239EFFA640}"/>
    <cellStyle name="Normal 5 2 2 2 3 2 3 2 4" xfId="16184" xr:uid="{67399BEC-3BCF-4FEE-ACC4-1ADADF43EF5A}"/>
    <cellStyle name="Normal 5 2 2 2 3 2 3 3" xfId="5617" xr:uid="{00000000-0005-0000-0000-000050170000}"/>
    <cellStyle name="Normal 5 2 2 2 3 2 3 4" xfId="9828" xr:uid="{AA23B465-663C-4620-A3EC-BEE3220AAC8C}"/>
    <cellStyle name="Normal 5 2 2 2 3 2 3 5" xfId="14039" xr:uid="{7B0092E7-E729-47AA-9B3B-2366B0AFDEBF}"/>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2 3" xfId="12386" xr:uid="{998E0019-1A48-469F-A6FA-A1AEB6019B14}"/>
    <cellStyle name="Normal 5 2 2 2 3 2 4 2 4" xfId="16597" xr:uid="{3452E4BB-0F71-4DFA-B7EE-1C351DA93C1B}"/>
    <cellStyle name="Normal 5 2 2 2 3 2 4 3" xfId="6030" xr:uid="{00000000-0005-0000-0000-000054170000}"/>
    <cellStyle name="Normal 5 2 2 2 3 2 4 4" xfId="10241" xr:uid="{3760F29E-6D52-49C2-B7A4-0615DFBFE5B0}"/>
    <cellStyle name="Normal 5 2 2 2 3 2 4 5" xfId="14452" xr:uid="{132BD1FB-E1EB-4FAC-90E8-81CF092A3212}"/>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2 3" xfId="12799" xr:uid="{49AADD7F-E1CC-402C-916C-A4A1E212644D}"/>
    <cellStyle name="Normal 5 2 2 2 3 2 5 2 4" xfId="17010" xr:uid="{DAD0FC8E-88D3-45F7-B57D-5F10C274B231}"/>
    <cellStyle name="Normal 5 2 2 2 3 2 5 3" xfId="6443" xr:uid="{00000000-0005-0000-0000-000058170000}"/>
    <cellStyle name="Normal 5 2 2 2 3 2 5 4" xfId="10654" xr:uid="{01192152-11FC-438D-B796-3DB3B194DB3C}"/>
    <cellStyle name="Normal 5 2 2 2 3 2 5 5" xfId="14865" xr:uid="{382A5216-4EFB-4CEF-AE68-FD9575EE146E}"/>
    <cellStyle name="Normal 5 2 2 2 3 2 6" xfId="2571" xr:uid="{00000000-0005-0000-0000-000059170000}"/>
    <cellStyle name="Normal 5 2 2 2 3 2 6 2" xfId="6856" xr:uid="{00000000-0005-0000-0000-00005A170000}"/>
    <cellStyle name="Normal 5 2 2 2 3 2 6 3" xfId="11067" xr:uid="{8C3B6476-CB73-4086-9224-092CB5809EBF}"/>
    <cellStyle name="Normal 5 2 2 2 3 2 6 4" xfId="15278" xr:uid="{088C6E2E-C61F-434F-8A61-448B3F64AE40}"/>
    <cellStyle name="Normal 5 2 2 2 3 2 7" xfId="4791" xr:uid="{00000000-0005-0000-0000-00005B170000}"/>
    <cellStyle name="Normal 5 2 2 2 3 2 8" xfId="9002" xr:uid="{27C030C5-75F8-4B96-819B-AB48FC5F7606}"/>
    <cellStyle name="Normal 5 2 2 2 3 2 9" xfId="13213" xr:uid="{5DDA07EB-07EA-4CEA-9365-25920CF99B0C}"/>
    <cellStyle name="Normal 5 2 2 2 3 3" xfId="889" xr:uid="{00000000-0005-0000-0000-00005C170000}"/>
    <cellStyle name="Normal 5 2 2 2 3 3 2" xfId="3124" xr:uid="{00000000-0005-0000-0000-00005D170000}"/>
    <cellStyle name="Normal 5 2 2 2 3 3 2 2" xfId="7348" xr:uid="{00000000-0005-0000-0000-00005E170000}"/>
    <cellStyle name="Normal 5 2 2 2 3 3 2 3" xfId="11559" xr:uid="{F62EA882-9706-4EBB-A3E7-3F99ACFCF915}"/>
    <cellStyle name="Normal 5 2 2 2 3 3 2 4" xfId="15770" xr:uid="{5F654885-517B-4CDD-9A3C-A038D72FCCFE}"/>
    <cellStyle name="Normal 5 2 2 2 3 3 3" xfId="5203" xr:uid="{00000000-0005-0000-0000-00005F170000}"/>
    <cellStyle name="Normal 5 2 2 2 3 3 4" xfId="9414" xr:uid="{D6F3027C-435D-4DA7-9F83-CD39DB0DA388}"/>
    <cellStyle name="Normal 5 2 2 2 3 3 5" xfId="13625" xr:uid="{7F454641-BFE5-4934-B2C1-35C6BE5CA82D}"/>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2 3" xfId="11972" xr:uid="{62A7FF96-64DC-4837-A9D8-F300F9DAEF4D}"/>
    <cellStyle name="Normal 5 2 2 2 3 4 2 4" xfId="16183" xr:uid="{F6CB7357-0976-40ED-8C11-EDDED3F42F82}"/>
    <cellStyle name="Normal 5 2 2 2 3 4 3" xfId="5616" xr:uid="{00000000-0005-0000-0000-000063170000}"/>
    <cellStyle name="Normal 5 2 2 2 3 4 4" xfId="9827" xr:uid="{44E930F7-C8E9-4D42-9DF0-BDF408AE15F5}"/>
    <cellStyle name="Normal 5 2 2 2 3 4 5" xfId="14038" xr:uid="{C08E3ED6-5421-458E-9457-0C655B7BAD2F}"/>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2 3" xfId="12385" xr:uid="{E09FFCA5-3601-44BE-BDBD-A547292F0BE9}"/>
    <cellStyle name="Normal 5 2 2 2 3 5 2 4" xfId="16596" xr:uid="{A21D984E-138A-47BC-81E7-75D68381387C}"/>
    <cellStyle name="Normal 5 2 2 2 3 5 3" xfId="6029" xr:uid="{00000000-0005-0000-0000-000067170000}"/>
    <cellStyle name="Normal 5 2 2 2 3 5 4" xfId="10240" xr:uid="{EDCD5B00-BA87-442F-9D69-C671EA8E93B0}"/>
    <cellStyle name="Normal 5 2 2 2 3 5 5" xfId="14451" xr:uid="{7E87CE59-3C1D-480D-8CF4-442875280B9B}"/>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2 3" xfId="12798" xr:uid="{86BDF635-DA71-4AC1-B418-A16C83C0F4E4}"/>
    <cellStyle name="Normal 5 2 2 2 3 6 2 4" xfId="17009" xr:uid="{DEF495AB-E0C2-460F-9987-F9328B9DF0ED}"/>
    <cellStyle name="Normal 5 2 2 2 3 6 3" xfId="6442" xr:uid="{00000000-0005-0000-0000-00006B170000}"/>
    <cellStyle name="Normal 5 2 2 2 3 6 4" xfId="10653" xr:uid="{6752EB4B-D8B4-4E4E-9C1B-5678C0C8F50A}"/>
    <cellStyle name="Normal 5 2 2 2 3 6 5" xfId="14864" xr:uid="{D8C9CCFB-04F5-44D7-95AA-E150B282DB3D}"/>
    <cellStyle name="Normal 5 2 2 2 3 7" xfId="2570" xr:uid="{00000000-0005-0000-0000-00006C170000}"/>
    <cellStyle name="Normal 5 2 2 2 3 7 2" xfId="6855" xr:uid="{00000000-0005-0000-0000-00006D170000}"/>
    <cellStyle name="Normal 5 2 2 2 3 7 3" xfId="11066" xr:uid="{334D8B95-1EA2-4692-BEBA-316FCBB47A17}"/>
    <cellStyle name="Normal 5 2 2 2 3 7 4" xfId="15277" xr:uid="{38CE4E33-A821-4DA7-A252-F2C5D65C83E1}"/>
    <cellStyle name="Normal 5 2 2 2 3 8" xfId="4790" xr:uid="{00000000-0005-0000-0000-00006E170000}"/>
    <cellStyle name="Normal 5 2 2 2 3 9" xfId="9001" xr:uid="{55279B06-A748-4B13-A399-416DB8577F17}"/>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2 3" xfId="11561" xr:uid="{F35C487B-2100-4757-BB50-AB095E058D08}"/>
    <cellStyle name="Normal 5 2 2 2 4 2 2 4" xfId="15772" xr:uid="{1ED50A92-BBBA-40AC-AA45-6832DB5B0365}"/>
    <cellStyle name="Normal 5 2 2 2 4 2 3" xfId="5205" xr:uid="{00000000-0005-0000-0000-000073170000}"/>
    <cellStyle name="Normal 5 2 2 2 4 2 4" xfId="9416" xr:uid="{7A08F0D4-AD88-46B2-93A9-ACFD1E54D61C}"/>
    <cellStyle name="Normal 5 2 2 2 4 2 5" xfId="13627" xr:uid="{112A413F-D643-43D6-B15C-B8E85F0CD5FD}"/>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2 3" xfId="11974" xr:uid="{539A602F-D622-4E01-9589-1F68AE865214}"/>
    <cellStyle name="Normal 5 2 2 2 4 3 2 4" xfId="16185" xr:uid="{EBEA522A-8FE6-4441-A056-A278F35FC109}"/>
    <cellStyle name="Normal 5 2 2 2 4 3 3" xfId="5618" xr:uid="{00000000-0005-0000-0000-000077170000}"/>
    <cellStyle name="Normal 5 2 2 2 4 3 4" xfId="9829" xr:uid="{66772B04-CC7C-4D03-990A-EB0F64638038}"/>
    <cellStyle name="Normal 5 2 2 2 4 3 5" xfId="14040" xr:uid="{7B20BE3C-BE59-4906-B5D8-A1B76DE0483A}"/>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2 3" xfId="12387" xr:uid="{CCAE1A89-D38B-432E-B539-85FB0A32DE37}"/>
    <cellStyle name="Normal 5 2 2 2 4 4 2 4" xfId="16598" xr:uid="{60F24188-5225-440A-9A8B-AB0A2D6B7CCC}"/>
    <cellStyle name="Normal 5 2 2 2 4 4 3" xfId="6031" xr:uid="{00000000-0005-0000-0000-00007B170000}"/>
    <cellStyle name="Normal 5 2 2 2 4 4 4" xfId="10242" xr:uid="{68076F55-2846-42F5-8B65-573BB5B69531}"/>
    <cellStyle name="Normal 5 2 2 2 4 4 5" xfId="14453" xr:uid="{7D3ECD0A-E7FA-410F-9E9E-1E0C5C43ED44}"/>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2 3" xfId="12800" xr:uid="{C84C5AD6-8F1A-4A71-B979-6CF411B25FC0}"/>
    <cellStyle name="Normal 5 2 2 2 4 5 2 4" xfId="17011" xr:uid="{048FCF40-DBAA-47FA-9A47-E177BE79198B}"/>
    <cellStyle name="Normal 5 2 2 2 4 5 3" xfId="6444" xr:uid="{00000000-0005-0000-0000-00007F170000}"/>
    <cellStyle name="Normal 5 2 2 2 4 5 4" xfId="10655" xr:uid="{8B061C2D-375F-475A-9BD6-1AB241EF651F}"/>
    <cellStyle name="Normal 5 2 2 2 4 5 5" xfId="14866" xr:uid="{E3A634E1-4003-46E7-AA3A-782A6B5835ED}"/>
    <cellStyle name="Normal 5 2 2 2 4 6" xfId="2572" xr:uid="{00000000-0005-0000-0000-000080170000}"/>
    <cellStyle name="Normal 5 2 2 2 4 6 2" xfId="6857" xr:uid="{00000000-0005-0000-0000-000081170000}"/>
    <cellStyle name="Normal 5 2 2 2 4 6 3" xfId="11068" xr:uid="{7F9509B8-E9BE-41B2-9F13-18788F67AD16}"/>
    <cellStyle name="Normal 5 2 2 2 4 6 4" xfId="15279" xr:uid="{12C6FC30-9AEF-4B1E-AE16-9EEC7A2C2A16}"/>
    <cellStyle name="Normal 5 2 2 2 4 7" xfId="4792" xr:uid="{00000000-0005-0000-0000-000082170000}"/>
    <cellStyle name="Normal 5 2 2 2 4 8" xfId="9003" xr:uid="{22470420-04EE-4844-A019-D84DF0E1D5D8}"/>
    <cellStyle name="Normal 5 2 2 2 4 9" xfId="13214" xr:uid="{C668EF19-2FF4-482B-8C25-56F87C2D4CAB}"/>
    <cellStyle name="Normal 5 2 2 2 5" xfId="884" xr:uid="{00000000-0005-0000-0000-000083170000}"/>
    <cellStyle name="Normal 5 2 2 2 5 2" xfId="3119" xr:uid="{00000000-0005-0000-0000-000084170000}"/>
    <cellStyle name="Normal 5 2 2 2 5 2 2" xfId="7343" xr:uid="{00000000-0005-0000-0000-000085170000}"/>
    <cellStyle name="Normal 5 2 2 2 5 2 3" xfId="11554" xr:uid="{E2E650F2-5544-4A9B-8D00-E53EECFB0273}"/>
    <cellStyle name="Normal 5 2 2 2 5 2 4" xfId="15765" xr:uid="{AF610D2C-042E-4317-9D24-2944D53D4582}"/>
    <cellStyle name="Normal 5 2 2 2 5 3" xfId="5198" xr:uid="{00000000-0005-0000-0000-000086170000}"/>
    <cellStyle name="Normal 5 2 2 2 5 4" xfId="9409" xr:uid="{677DCE17-D501-456E-BD1D-FFBE04A43EB4}"/>
    <cellStyle name="Normal 5 2 2 2 5 5" xfId="13620" xr:uid="{83E460E1-419E-46CC-8EB7-60FA511F360F}"/>
    <cellStyle name="Normal 5 2 2 2 6" xfId="1302" xr:uid="{00000000-0005-0000-0000-000087170000}"/>
    <cellStyle name="Normal 5 2 2 2 6 2" xfId="3532" xr:uid="{00000000-0005-0000-0000-000088170000}"/>
    <cellStyle name="Normal 5 2 2 2 6 2 2" xfId="7756" xr:uid="{00000000-0005-0000-0000-000089170000}"/>
    <cellStyle name="Normal 5 2 2 2 6 2 3" xfId="11967" xr:uid="{B727A9AF-D4D3-49A8-96B4-36BB45BEF20B}"/>
    <cellStyle name="Normal 5 2 2 2 6 2 4" xfId="16178" xr:uid="{98427F59-4112-45EF-83BA-582894A88488}"/>
    <cellStyle name="Normal 5 2 2 2 6 3" xfId="5611" xr:uid="{00000000-0005-0000-0000-00008A170000}"/>
    <cellStyle name="Normal 5 2 2 2 6 4" xfId="9822" xr:uid="{DC01546F-CE82-4892-B1B8-75A84E78D549}"/>
    <cellStyle name="Normal 5 2 2 2 6 5" xfId="14033" xr:uid="{4024B929-8DCB-46E8-BF19-B04DEA385781}"/>
    <cellStyle name="Normal 5 2 2 2 7" xfId="1715" xr:uid="{00000000-0005-0000-0000-00008B170000}"/>
    <cellStyle name="Normal 5 2 2 2 7 2" xfId="3945" xr:uid="{00000000-0005-0000-0000-00008C170000}"/>
    <cellStyle name="Normal 5 2 2 2 7 2 2" xfId="8169" xr:uid="{00000000-0005-0000-0000-00008D170000}"/>
    <cellStyle name="Normal 5 2 2 2 7 2 3" xfId="12380" xr:uid="{AFB3AA65-1F6B-481A-A923-327FCB8BFE92}"/>
    <cellStyle name="Normal 5 2 2 2 7 2 4" xfId="16591" xr:uid="{A90ED1AD-9DCB-4B72-B0C1-9E86E005D88E}"/>
    <cellStyle name="Normal 5 2 2 2 7 3" xfId="6024" xr:uid="{00000000-0005-0000-0000-00008E170000}"/>
    <cellStyle name="Normal 5 2 2 2 7 4" xfId="10235" xr:uid="{6D5B9CBA-09B4-4517-88D4-F1987891EC3D}"/>
    <cellStyle name="Normal 5 2 2 2 7 5" xfId="14446" xr:uid="{996B816C-6A40-463D-8D47-E14E34A1E666}"/>
    <cellStyle name="Normal 5 2 2 2 8" xfId="2129" xr:uid="{00000000-0005-0000-0000-00008F170000}"/>
    <cellStyle name="Normal 5 2 2 2 8 2" xfId="4358" xr:uid="{00000000-0005-0000-0000-000090170000}"/>
    <cellStyle name="Normal 5 2 2 2 8 2 2" xfId="8582" xr:uid="{00000000-0005-0000-0000-000091170000}"/>
    <cellStyle name="Normal 5 2 2 2 8 2 3" xfId="12793" xr:uid="{6CB59155-191A-4DA2-BDB5-4332CCA0FDC3}"/>
    <cellStyle name="Normal 5 2 2 2 8 2 4" xfId="17004" xr:uid="{371B8768-0E41-425A-A801-199030D75E80}"/>
    <cellStyle name="Normal 5 2 2 2 8 3" xfId="6437" xr:uid="{00000000-0005-0000-0000-000092170000}"/>
    <cellStyle name="Normal 5 2 2 2 8 4" xfId="10648" xr:uid="{1706EE32-57F4-4CDC-8983-53D38500E761}"/>
    <cellStyle name="Normal 5 2 2 2 8 5" xfId="14859" xr:uid="{E04A7916-ABDA-4A10-9253-EA1BCF6E8B11}"/>
    <cellStyle name="Normal 5 2 2 2 9" xfId="2565" xr:uid="{00000000-0005-0000-0000-000093170000}"/>
    <cellStyle name="Normal 5 2 2 2 9 2" xfId="6850" xr:uid="{00000000-0005-0000-0000-000094170000}"/>
    <cellStyle name="Normal 5 2 2 2 9 3" xfId="11061" xr:uid="{D64266AF-50C0-44D1-ADAE-CD2681F097FD}"/>
    <cellStyle name="Normal 5 2 2 2 9 4" xfId="15272" xr:uid="{7A98D9C2-BE2D-4C15-9F78-94B638AE3363}"/>
    <cellStyle name="Normal 5 2 2 3" xfId="417" xr:uid="{00000000-0005-0000-0000-000095170000}"/>
    <cellStyle name="Normal 5 2 2 3 10" xfId="9004" xr:uid="{66E50A32-68BA-4DB3-AB34-FD682BF4FA57}"/>
    <cellStyle name="Normal 5 2 2 3 11" xfId="13215" xr:uid="{33FE7885-924E-4E1D-A18F-C3436EDB72CC}"/>
    <cellStyle name="Normal 5 2 2 3 2" xfId="418" xr:uid="{00000000-0005-0000-0000-000096170000}"/>
    <cellStyle name="Normal 5 2 2 3 2 10" xfId="13216" xr:uid="{889726F3-0F67-4D50-BEDA-8A4D4A0EBF23}"/>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2 3" xfId="11564" xr:uid="{281ABA68-15EF-4E51-9AF5-E0B9107D4BBB}"/>
    <cellStyle name="Normal 5 2 2 3 2 2 2 2 4" xfId="15775" xr:uid="{2E67F5CE-A96E-46A4-9B64-C2D5988F2FC8}"/>
    <cellStyle name="Normal 5 2 2 3 2 2 2 3" xfId="5208" xr:uid="{00000000-0005-0000-0000-00009B170000}"/>
    <cellStyle name="Normal 5 2 2 3 2 2 2 4" xfId="9419" xr:uid="{790A53D3-DFB2-46DF-94A9-CF419E4E8176}"/>
    <cellStyle name="Normal 5 2 2 3 2 2 2 5" xfId="13630" xr:uid="{E9BAFAB1-D868-4507-8F45-6A0FB3F99CE9}"/>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2 3" xfId="11977" xr:uid="{9B0CE1C2-D243-4C2F-B5D2-1F8557185372}"/>
    <cellStyle name="Normal 5 2 2 3 2 2 3 2 4" xfId="16188" xr:uid="{285192C4-F61A-409E-BDDC-F24CA1D20AF1}"/>
    <cellStyle name="Normal 5 2 2 3 2 2 3 3" xfId="5621" xr:uid="{00000000-0005-0000-0000-00009F170000}"/>
    <cellStyle name="Normal 5 2 2 3 2 2 3 4" xfId="9832" xr:uid="{C6FBD858-ED4E-4D6D-AAD1-1A2BE6D133C9}"/>
    <cellStyle name="Normal 5 2 2 3 2 2 3 5" xfId="14043" xr:uid="{603AC038-8D6F-4F80-86B8-3C1E16FBFB7C}"/>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2 3" xfId="12390" xr:uid="{453477E5-E24D-4E11-8D72-89D099AE78AC}"/>
    <cellStyle name="Normal 5 2 2 3 2 2 4 2 4" xfId="16601" xr:uid="{404EFA52-6ABF-41B6-8747-D6E9F9DED7FE}"/>
    <cellStyle name="Normal 5 2 2 3 2 2 4 3" xfId="6034" xr:uid="{00000000-0005-0000-0000-0000A3170000}"/>
    <cellStyle name="Normal 5 2 2 3 2 2 4 4" xfId="10245" xr:uid="{1A8E0ADA-41A8-453C-A3B8-9DF1561FDD7D}"/>
    <cellStyle name="Normal 5 2 2 3 2 2 4 5" xfId="14456" xr:uid="{05ACD585-0005-44A7-BB3B-0FE635F0FBFC}"/>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2 3" xfId="12803" xr:uid="{8BF12316-F663-4C8D-A8D3-4F8FCB9884FB}"/>
    <cellStyle name="Normal 5 2 2 3 2 2 5 2 4" xfId="17014" xr:uid="{766F2976-77B2-44A7-8112-4C6F5F19AC46}"/>
    <cellStyle name="Normal 5 2 2 3 2 2 5 3" xfId="6447" xr:uid="{00000000-0005-0000-0000-0000A7170000}"/>
    <cellStyle name="Normal 5 2 2 3 2 2 5 4" xfId="10658" xr:uid="{B15E42BF-CFDA-4CD5-BE64-4E7E9ED0D181}"/>
    <cellStyle name="Normal 5 2 2 3 2 2 5 5" xfId="14869" xr:uid="{372D64BD-FFA5-4B16-8D16-A38285887A24}"/>
    <cellStyle name="Normal 5 2 2 3 2 2 6" xfId="2575" xr:uid="{00000000-0005-0000-0000-0000A8170000}"/>
    <cellStyle name="Normal 5 2 2 3 2 2 6 2" xfId="6860" xr:uid="{00000000-0005-0000-0000-0000A9170000}"/>
    <cellStyle name="Normal 5 2 2 3 2 2 6 3" xfId="11071" xr:uid="{E7881881-547C-467B-84A4-34F08A7EB34D}"/>
    <cellStyle name="Normal 5 2 2 3 2 2 6 4" xfId="15282" xr:uid="{B14DE851-E2CA-45DC-93D1-D2CFC6F44F84}"/>
    <cellStyle name="Normal 5 2 2 3 2 2 7" xfId="4795" xr:uid="{00000000-0005-0000-0000-0000AA170000}"/>
    <cellStyle name="Normal 5 2 2 3 2 2 8" xfId="9006" xr:uid="{07F077AA-621E-4BCF-B334-A550E28EC8D6}"/>
    <cellStyle name="Normal 5 2 2 3 2 2 9" xfId="13217" xr:uid="{A4A894B1-A500-4862-B9AF-DFF44334E8A8}"/>
    <cellStyle name="Normal 5 2 2 3 2 3" xfId="893" xr:uid="{00000000-0005-0000-0000-0000AB170000}"/>
    <cellStyle name="Normal 5 2 2 3 2 3 2" xfId="3128" xr:uid="{00000000-0005-0000-0000-0000AC170000}"/>
    <cellStyle name="Normal 5 2 2 3 2 3 2 2" xfId="7352" xr:uid="{00000000-0005-0000-0000-0000AD170000}"/>
    <cellStyle name="Normal 5 2 2 3 2 3 2 3" xfId="11563" xr:uid="{D7DBFDF2-5B14-4B06-942B-EE846CBCE5A8}"/>
    <cellStyle name="Normal 5 2 2 3 2 3 2 4" xfId="15774" xr:uid="{A64EB94F-B75C-437D-8BE6-2A393D33FF65}"/>
    <cellStyle name="Normal 5 2 2 3 2 3 3" xfId="5207" xr:uid="{00000000-0005-0000-0000-0000AE170000}"/>
    <cellStyle name="Normal 5 2 2 3 2 3 4" xfId="9418" xr:uid="{21B6C604-6D2C-407B-84D3-1B24A8F478DD}"/>
    <cellStyle name="Normal 5 2 2 3 2 3 5" xfId="13629" xr:uid="{313F76C7-2135-43F2-A871-D17EDA843071}"/>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2 3" xfId="11976" xr:uid="{6EBB4A05-E66D-4BA0-85B5-8784DCF81522}"/>
    <cellStyle name="Normal 5 2 2 3 2 4 2 4" xfId="16187" xr:uid="{965E7FBE-BC08-4959-A169-0F51C54AFF8A}"/>
    <cellStyle name="Normal 5 2 2 3 2 4 3" xfId="5620" xr:uid="{00000000-0005-0000-0000-0000B2170000}"/>
    <cellStyle name="Normal 5 2 2 3 2 4 4" xfId="9831" xr:uid="{5E8CC676-139C-4670-9867-E9FB4118AADC}"/>
    <cellStyle name="Normal 5 2 2 3 2 4 5" xfId="14042" xr:uid="{C4BE2013-DDAA-4E92-A682-B1A3E119B0B6}"/>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2 3" xfId="12389" xr:uid="{1AD96DC6-113A-49EF-9923-96F9F755AD94}"/>
    <cellStyle name="Normal 5 2 2 3 2 5 2 4" xfId="16600" xr:uid="{967ADEF8-ED05-4609-B84D-DF76DC3ACE9A}"/>
    <cellStyle name="Normal 5 2 2 3 2 5 3" xfId="6033" xr:uid="{00000000-0005-0000-0000-0000B6170000}"/>
    <cellStyle name="Normal 5 2 2 3 2 5 4" xfId="10244" xr:uid="{C62D4561-4347-4AE6-8F4E-65630A14A39C}"/>
    <cellStyle name="Normal 5 2 2 3 2 5 5" xfId="14455" xr:uid="{30BF0476-D0C3-41BB-85D3-3A7932E8B597}"/>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2 3" xfId="12802" xr:uid="{196FC7C5-6018-43C4-A5A5-494073384347}"/>
    <cellStyle name="Normal 5 2 2 3 2 6 2 4" xfId="17013" xr:uid="{BC930AF4-F75E-43D3-85F3-797848001459}"/>
    <cellStyle name="Normal 5 2 2 3 2 6 3" xfId="6446" xr:uid="{00000000-0005-0000-0000-0000BA170000}"/>
    <cellStyle name="Normal 5 2 2 3 2 6 4" xfId="10657" xr:uid="{FB09BF6A-DF56-4755-B44F-56C4818E3FB0}"/>
    <cellStyle name="Normal 5 2 2 3 2 6 5" xfId="14868" xr:uid="{31ADDD49-B05B-42C8-926D-16C40F79E148}"/>
    <cellStyle name="Normal 5 2 2 3 2 7" xfId="2574" xr:uid="{00000000-0005-0000-0000-0000BB170000}"/>
    <cellStyle name="Normal 5 2 2 3 2 7 2" xfId="6859" xr:uid="{00000000-0005-0000-0000-0000BC170000}"/>
    <cellStyle name="Normal 5 2 2 3 2 7 3" xfId="11070" xr:uid="{A45EE3BE-714F-4B6B-A04F-54CF1B48F8E2}"/>
    <cellStyle name="Normal 5 2 2 3 2 7 4" xfId="15281" xr:uid="{B38BD4FD-863E-415D-B7BD-FCE03704CFC4}"/>
    <cellStyle name="Normal 5 2 2 3 2 8" xfId="4794" xr:uid="{00000000-0005-0000-0000-0000BD170000}"/>
    <cellStyle name="Normal 5 2 2 3 2 9" xfId="9005" xr:uid="{BA0D4181-0B02-4269-AF4E-7F5E5FDEB556}"/>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2 3" xfId="11565" xr:uid="{AB002B19-1023-4E98-91C6-99B6998D3DF4}"/>
    <cellStyle name="Normal 5 2 2 3 3 2 2 4" xfId="15776" xr:uid="{5E1035E3-4F62-4C8D-953A-55ECFE7A3277}"/>
    <cellStyle name="Normal 5 2 2 3 3 2 3" xfId="5209" xr:uid="{00000000-0005-0000-0000-0000C2170000}"/>
    <cellStyle name="Normal 5 2 2 3 3 2 4" xfId="9420" xr:uid="{333B7EE3-7B99-4377-8F97-C2597F161942}"/>
    <cellStyle name="Normal 5 2 2 3 3 2 5" xfId="13631" xr:uid="{7B4519F9-EA26-42F8-B1BC-F035013509D5}"/>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2 3" xfId="11978" xr:uid="{2C456A2B-5FB9-4007-ABE0-9D337426A29A}"/>
    <cellStyle name="Normal 5 2 2 3 3 3 2 4" xfId="16189" xr:uid="{11A19B0C-1864-448D-A325-E31757D704EB}"/>
    <cellStyle name="Normal 5 2 2 3 3 3 3" xfId="5622" xr:uid="{00000000-0005-0000-0000-0000C6170000}"/>
    <cellStyle name="Normal 5 2 2 3 3 3 4" xfId="9833" xr:uid="{43C6CF7A-04ED-4668-BBAA-A478C689FB1E}"/>
    <cellStyle name="Normal 5 2 2 3 3 3 5" xfId="14044" xr:uid="{27393780-D3AB-47E7-B67B-03275834043E}"/>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2 3" xfId="12391" xr:uid="{4BACC434-9659-4F40-BBC5-C0A945FEB3A4}"/>
    <cellStyle name="Normal 5 2 2 3 3 4 2 4" xfId="16602" xr:uid="{76221855-4547-4062-8CA4-1054452EDC5F}"/>
    <cellStyle name="Normal 5 2 2 3 3 4 3" xfId="6035" xr:uid="{00000000-0005-0000-0000-0000CA170000}"/>
    <cellStyle name="Normal 5 2 2 3 3 4 4" xfId="10246" xr:uid="{83177521-3B0A-44A8-A905-21D9F4616A59}"/>
    <cellStyle name="Normal 5 2 2 3 3 4 5" xfId="14457" xr:uid="{4CCFEB48-24E1-450B-BA16-14BE1D3C8638}"/>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2 3" xfId="12804" xr:uid="{D262C811-4A9F-48F2-9E70-DEAD2B2EE0A2}"/>
    <cellStyle name="Normal 5 2 2 3 3 5 2 4" xfId="17015" xr:uid="{03038B68-D4FC-45EA-9C14-DCB81F8231E8}"/>
    <cellStyle name="Normal 5 2 2 3 3 5 3" xfId="6448" xr:uid="{00000000-0005-0000-0000-0000CE170000}"/>
    <cellStyle name="Normal 5 2 2 3 3 5 4" xfId="10659" xr:uid="{753F99AC-52B1-45C2-BF74-EEE28EA195C7}"/>
    <cellStyle name="Normal 5 2 2 3 3 5 5" xfId="14870" xr:uid="{6B208055-3318-4040-8CEF-D7881AE03D0E}"/>
    <cellStyle name="Normal 5 2 2 3 3 6" xfId="2576" xr:uid="{00000000-0005-0000-0000-0000CF170000}"/>
    <cellStyle name="Normal 5 2 2 3 3 6 2" xfId="6861" xr:uid="{00000000-0005-0000-0000-0000D0170000}"/>
    <cellStyle name="Normal 5 2 2 3 3 6 3" xfId="11072" xr:uid="{5F460D29-E885-48C3-B419-FF4AF03EF360}"/>
    <cellStyle name="Normal 5 2 2 3 3 6 4" xfId="15283" xr:uid="{021EB428-A7AD-4175-BB13-C7197E1C649D}"/>
    <cellStyle name="Normal 5 2 2 3 3 7" xfId="4796" xr:uid="{00000000-0005-0000-0000-0000D1170000}"/>
    <cellStyle name="Normal 5 2 2 3 3 8" xfId="9007" xr:uid="{AD8F2375-593A-429B-AFA8-3555A2BA8346}"/>
    <cellStyle name="Normal 5 2 2 3 3 9" xfId="13218" xr:uid="{A8A77451-8A25-4021-BB70-212269498F24}"/>
    <cellStyle name="Normal 5 2 2 3 4" xfId="892" xr:uid="{00000000-0005-0000-0000-0000D2170000}"/>
    <cellStyle name="Normal 5 2 2 3 4 2" xfId="3127" xr:uid="{00000000-0005-0000-0000-0000D3170000}"/>
    <cellStyle name="Normal 5 2 2 3 4 2 2" xfId="7351" xr:uid="{00000000-0005-0000-0000-0000D4170000}"/>
    <cellStyle name="Normal 5 2 2 3 4 2 3" xfId="11562" xr:uid="{A186A707-F814-43DE-A0BF-797404C912B6}"/>
    <cellStyle name="Normal 5 2 2 3 4 2 4" xfId="15773" xr:uid="{30C9CEDA-1EEC-43C1-B981-B63761796325}"/>
    <cellStyle name="Normal 5 2 2 3 4 3" xfId="5206" xr:uid="{00000000-0005-0000-0000-0000D5170000}"/>
    <cellStyle name="Normal 5 2 2 3 4 4" xfId="9417" xr:uid="{677F18AB-9B7F-416E-8004-C42A04277A14}"/>
    <cellStyle name="Normal 5 2 2 3 4 5" xfId="13628" xr:uid="{E4DEAA01-08C3-4748-A5B3-C76B3A963A38}"/>
    <cellStyle name="Normal 5 2 2 3 5" xfId="1310" xr:uid="{00000000-0005-0000-0000-0000D6170000}"/>
    <cellStyle name="Normal 5 2 2 3 5 2" xfId="3540" xr:uid="{00000000-0005-0000-0000-0000D7170000}"/>
    <cellStyle name="Normal 5 2 2 3 5 2 2" xfId="7764" xr:uid="{00000000-0005-0000-0000-0000D8170000}"/>
    <cellStyle name="Normal 5 2 2 3 5 2 3" xfId="11975" xr:uid="{E95CAB90-676B-4F6D-9345-66DB7CEC640B}"/>
    <cellStyle name="Normal 5 2 2 3 5 2 4" xfId="16186" xr:uid="{8BF2813D-9BB6-408E-8F88-517077D476D7}"/>
    <cellStyle name="Normal 5 2 2 3 5 3" xfId="5619" xr:uid="{00000000-0005-0000-0000-0000D9170000}"/>
    <cellStyle name="Normal 5 2 2 3 5 4" xfId="9830" xr:uid="{D0FE3B02-CF86-468C-96FF-2370D0332C41}"/>
    <cellStyle name="Normal 5 2 2 3 5 5" xfId="14041" xr:uid="{DDFF5FD0-601C-4954-AF5A-D875EE19A8B7}"/>
    <cellStyle name="Normal 5 2 2 3 6" xfId="1723" xr:uid="{00000000-0005-0000-0000-0000DA170000}"/>
    <cellStyle name="Normal 5 2 2 3 6 2" xfId="3953" xr:uid="{00000000-0005-0000-0000-0000DB170000}"/>
    <cellStyle name="Normal 5 2 2 3 6 2 2" xfId="8177" xr:uid="{00000000-0005-0000-0000-0000DC170000}"/>
    <cellStyle name="Normal 5 2 2 3 6 2 3" xfId="12388" xr:uid="{6BE05A97-D4CE-4C57-AECF-909E56771386}"/>
    <cellStyle name="Normal 5 2 2 3 6 2 4" xfId="16599" xr:uid="{382DB3CE-C84F-4779-B58B-E9E67D40FB78}"/>
    <cellStyle name="Normal 5 2 2 3 6 3" xfId="6032" xr:uid="{00000000-0005-0000-0000-0000DD170000}"/>
    <cellStyle name="Normal 5 2 2 3 6 4" xfId="10243" xr:uid="{72CC0060-6445-414D-9561-B61DE4D17E3A}"/>
    <cellStyle name="Normal 5 2 2 3 6 5" xfId="14454" xr:uid="{6D6D4D8A-43A4-4558-95AD-9930E05E3B82}"/>
    <cellStyle name="Normal 5 2 2 3 7" xfId="2137" xr:uid="{00000000-0005-0000-0000-0000DE170000}"/>
    <cellStyle name="Normal 5 2 2 3 7 2" xfId="4366" xr:uid="{00000000-0005-0000-0000-0000DF170000}"/>
    <cellStyle name="Normal 5 2 2 3 7 2 2" xfId="8590" xr:uid="{00000000-0005-0000-0000-0000E0170000}"/>
    <cellStyle name="Normal 5 2 2 3 7 2 3" xfId="12801" xr:uid="{4CA82F6C-55FA-4D25-964C-E7824EBFC0A1}"/>
    <cellStyle name="Normal 5 2 2 3 7 2 4" xfId="17012" xr:uid="{02852FAE-D1D1-4B69-866E-E24714B2DE89}"/>
    <cellStyle name="Normal 5 2 2 3 7 3" xfId="6445" xr:uid="{00000000-0005-0000-0000-0000E1170000}"/>
    <cellStyle name="Normal 5 2 2 3 7 4" xfId="10656" xr:uid="{EFC42528-D347-4D1C-8BB2-4756789339AE}"/>
    <cellStyle name="Normal 5 2 2 3 7 5" xfId="14867" xr:uid="{34D254EC-239A-4F83-9660-AE539E71017D}"/>
    <cellStyle name="Normal 5 2 2 3 8" xfId="2573" xr:uid="{00000000-0005-0000-0000-0000E2170000}"/>
    <cellStyle name="Normal 5 2 2 3 8 2" xfId="6858" xr:uid="{00000000-0005-0000-0000-0000E3170000}"/>
    <cellStyle name="Normal 5 2 2 3 8 3" xfId="11069" xr:uid="{BB1F700B-100E-4471-AFC4-EAA30A304B53}"/>
    <cellStyle name="Normal 5 2 2 3 8 4" xfId="15280" xr:uid="{C8899457-879B-4FCF-B12C-742FD52FC52F}"/>
    <cellStyle name="Normal 5 2 2 3 9" xfId="4793" xr:uid="{00000000-0005-0000-0000-0000E4170000}"/>
    <cellStyle name="Normal 5 2 2 4" xfId="421" xr:uid="{00000000-0005-0000-0000-0000E5170000}"/>
    <cellStyle name="Normal 5 2 2 4 10" xfId="13219" xr:uid="{851BF896-2439-49D0-823C-D0A5CE8087E3}"/>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2 3" xfId="11567" xr:uid="{417E7565-E552-4A45-9A4D-A7FE36C716B6}"/>
    <cellStyle name="Normal 5 2 2 4 2 2 2 4" xfId="15778" xr:uid="{38EF7DB0-764E-49B7-98A9-131D237E4974}"/>
    <cellStyle name="Normal 5 2 2 4 2 2 3" xfId="5211" xr:uid="{00000000-0005-0000-0000-0000EA170000}"/>
    <cellStyle name="Normal 5 2 2 4 2 2 4" xfId="9422" xr:uid="{6D0D731E-6159-424D-A8FB-DD0311DB4D14}"/>
    <cellStyle name="Normal 5 2 2 4 2 2 5" xfId="13633" xr:uid="{05AE5191-DA6E-402B-AD19-7CCF55CDF8DE}"/>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2 3" xfId="11980" xr:uid="{3E9CCB8F-9A54-4A73-B903-4CCAD591F9BE}"/>
    <cellStyle name="Normal 5 2 2 4 2 3 2 4" xfId="16191" xr:uid="{988E9B44-39F5-416E-A1B3-8A75DCF6C73F}"/>
    <cellStyle name="Normal 5 2 2 4 2 3 3" xfId="5624" xr:uid="{00000000-0005-0000-0000-0000EE170000}"/>
    <cellStyle name="Normal 5 2 2 4 2 3 4" xfId="9835" xr:uid="{F4355204-2C5C-4C01-8311-A412812843F9}"/>
    <cellStyle name="Normal 5 2 2 4 2 3 5" xfId="14046" xr:uid="{5525B105-0A7C-4BE6-8D33-373EC3B55198}"/>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2 3" xfId="12393" xr:uid="{FB9DDC3E-CC24-40D7-8ABD-52AD8EA2F7E8}"/>
    <cellStyle name="Normal 5 2 2 4 2 4 2 4" xfId="16604" xr:uid="{2F4E1DBE-3BEE-4868-8CEE-88676962DEE8}"/>
    <cellStyle name="Normal 5 2 2 4 2 4 3" xfId="6037" xr:uid="{00000000-0005-0000-0000-0000F2170000}"/>
    <cellStyle name="Normal 5 2 2 4 2 4 4" xfId="10248" xr:uid="{882F697E-9FF6-4E0F-8050-77312797E17D}"/>
    <cellStyle name="Normal 5 2 2 4 2 4 5" xfId="14459" xr:uid="{87DF07CB-4CF3-4058-B38C-FE1EB20FAFC9}"/>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2 3" xfId="12806" xr:uid="{A1A3B6BB-5591-4763-A3B6-4A6FA82B70BA}"/>
    <cellStyle name="Normal 5 2 2 4 2 5 2 4" xfId="17017" xr:uid="{72852650-35C0-4F99-A5C4-8CD7047616D8}"/>
    <cellStyle name="Normal 5 2 2 4 2 5 3" xfId="6450" xr:uid="{00000000-0005-0000-0000-0000F6170000}"/>
    <cellStyle name="Normal 5 2 2 4 2 5 4" xfId="10661" xr:uid="{B744803B-FED0-46F7-BE41-8DD232B51874}"/>
    <cellStyle name="Normal 5 2 2 4 2 5 5" xfId="14872" xr:uid="{5673AC0A-A055-4E28-BE15-A720E957E8F4}"/>
    <cellStyle name="Normal 5 2 2 4 2 6" xfId="2578" xr:uid="{00000000-0005-0000-0000-0000F7170000}"/>
    <cellStyle name="Normal 5 2 2 4 2 6 2" xfId="6863" xr:uid="{00000000-0005-0000-0000-0000F8170000}"/>
    <cellStyle name="Normal 5 2 2 4 2 6 3" xfId="11074" xr:uid="{EE449770-7E68-42EE-BA2E-17D0E783AFC2}"/>
    <cellStyle name="Normal 5 2 2 4 2 6 4" xfId="15285" xr:uid="{973C3D26-7612-4DC3-A6E4-A3D763CE88D7}"/>
    <cellStyle name="Normal 5 2 2 4 2 7" xfId="4798" xr:uid="{00000000-0005-0000-0000-0000F9170000}"/>
    <cellStyle name="Normal 5 2 2 4 2 8" xfId="9009" xr:uid="{C121689F-2E89-4803-BFA4-AAD4AFC3CBF2}"/>
    <cellStyle name="Normal 5 2 2 4 2 9" xfId="13220" xr:uid="{619A14F5-1408-4CC1-813A-8BB35B1F560B}"/>
    <cellStyle name="Normal 5 2 2 4 3" xfId="896" xr:uid="{00000000-0005-0000-0000-0000FA170000}"/>
    <cellStyle name="Normal 5 2 2 4 3 2" xfId="3131" xr:uid="{00000000-0005-0000-0000-0000FB170000}"/>
    <cellStyle name="Normal 5 2 2 4 3 2 2" xfId="7355" xr:uid="{00000000-0005-0000-0000-0000FC170000}"/>
    <cellStyle name="Normal 5 2 2 4 3 2 3" xfId="11566" xr:uid="{4A17BC6B-C285-4962-8AD4-E870D72F90D8}"/>
    <cellStyle name="Normal 5 2 2 4 3 2 4" xfId="15777" xr:uid="{0E32822E-DD96-4A93-9F8C-491816167C22}"/>
    <cellStyle name="Normal 5 2 2 4 3 3" xfId="5210" xr:uid="{00000000-0005-0000-0000-0000FD170000}"/>
    <cellStyle name="Normal 5 2 2 4 3 4" xfId="9421" xr:uid="{5831E8E7-BF07-40E7-BEC4-D9D7A6287B4B}"/>
    <cellStyle name="Normal 5 2 2 4 3 5" xfId="13632" xr:uid="{4BC2C2DF-F8A1-4EB9-9D58-B3E27CA7DA33}"/>
    <cellStyle name="Normal 5 2 2 4 4" xfId="1314" xr:uid="{00000000-0005-0000-0000-0000FE170000}"/>
    <cellStyle name="Normal 5 2 2 4 4 2" xfId="3544" xr:uid="{00000000-0005-0000-0000-0000FF170000}"/>
    <cellStyle name="Normal 5 2 2 4 4 2 2" xfId="7768" xr:uid="{00000000-0005-0000-0000-000000180000}"/>
    <cellStyle name="Normal 5 2 2 4 4 2 3" xfId="11979" xr:uid="{2878D510-FED9-4534-B856-BF3413916815}"/>
    <cellStyle name="Normal 5 2 2 4 4 2 4" xfId="16190" xr:uid="{7979EBBE-3D17-4C04-B9A3-2A061FE635A7}"/>
    <cellStyle name="Normal 5 2 2 4 4 3" xfId="5623" xr:uid="{00000000-0005-0000-0000-000001180000}"/>
    <cellStyle name="Normal 5 2 2 4 4 4" xfId="9834" xr:uid="{54858046-B808-4FB5-AFB6-DCD0F693654B}"/>
    <cellStyle name="Normal 5 2 2 4 4 5" xfId="14045" xr:uid="{4022D76D-EACE-41EE-97FB-8E5B97922BBF}"/>
    <cellStyle name="Normal 5 2 2 4 5" xfId="1727" xr:uid="{00000000-0005-0000-0000-000002180000}"/>
    <cellStyle name="Normal 5 2 2 4 5 2" xfId="3957" xr:uid="{00000000-0005-0000-0000-000003180000}"/>
    <cellStyle name="Normal 5 2 2 4 5 2 2" xfId="8181" xr:uid="{00000000-0005-0000-0000-000004180000}"/>
    <cellStyle name="Normal 5 2 2 4 5 2 3" xfId="12392" xr:uid="{B31AF59B-8129-4D6C-8C37-1667D1526D2D}"/>
    <cellStyle name="Normal 5 2 2 4 5 2 4" xfId="16603" xr:uid="{18CF3B37-E19A-4EFD-99E4-E4CDBE3B1A07}"/>
    <cellStyle name="Normal 5 2 2 4 5 3" xfId="6036" xr:uid="{00000000-0005-0000-0000-000005180000}"/>
    <cellStyle name="Normal 5 2 2 4 5 4" xfId="10247" xr:uid="{C331421D-7315-49C2-BFC0-D776D63B7B30}"/>
    <cellStyle name="Normal 5 2 2 4 5 5" xfId="14458" xr:uid="{32578514-8436-4EDD-8F24-F732C76F4710}"/>
    <cellStyle name="Normal 5 2 2 4 6" xfId="2141" xr:uid="{00000000-0005-0000-0000-000006180000}"/>
    <cellStyle name="Normal 5 2 2 4 6 2" xfId="4370" xr:uid="{00000000-0005-0000-0000-000007180000}"/>
    <cellStyle name="Normal 5 2 2 4 6 2 2" xfId="8594" xr:uid="{00000000-0005-0000-0000-000008180000}"/>
    <cellStyle name="Normal 5 2 2 4 6 2 3" xfId="12805" xr:uid="{61582D6F-283E-44AD-9DBF-B5A77CC957C1}"/>
    <cellStyle name="Normal 5 2 2 4 6 2 4" xfId="17016" xr:uid="{A312BF2F-8AC7-43F4-9149-7C6C3D49189C}"/>
    <cellStyle name="Normal 5 2 2 4 6 3" xfId="6449" xr:uid="{00000000-0005-0000-0000-000009180000}"/>
    <cellStyle name="Normal 5 2 2 4 6 4" xfId="10660" xr:uid="{FCD78709-2E71-4D7A-832A-334E351F8C9E}"/>
    <cellStyle name="Normal 5 2 2 4 6 5" xfId="14871" xr:uid="{AC79B9B6-A4D0-4948-AA60-CBE19C40C22C}"/>
    <cellStyle name="Normal 5 2 2 4 7" xfId="2577" xr:uid="{00000000-0005-0000-0000-00000A180000}"/>
    <cellStyle name="Normal 5 2 2 4 7 2" xfId="6862" xr:uid="{00000000-0005-0000-0000-00000B180000}"/>
    <cellStyle name="Normal 5 2 2 4 7 3" xfId="11073" xr:uid="{6EA0899D-B38A-4494-B16D-F612B280606B}"/>
    <cellStyle name="Normal 5 2 2 4 7 4" xfId="15284" xr:uid="{41370623-E908-4266-B665-43F46EA0763D}"/>
    <cellStyle name="Normal 5 2 2 4 8" xfId="4797" xr:uid="{00000000-0005-0000-0000-00000C180000}"/>
    <cellStyle name="Normal 5 2 2 4 9" xfId="9008" xr:uid="{8F0D2B37-D00F-441D-A945-D0B7B4ADB15C}"/>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2 3" xfId="11568" xr:uid="{5A7B6596-FAA7-41EB-8361-8846B0DD8852}"/>
    <cellStyle name="Normal 5 2 2 5 2 2 4" xfId="15779" xr:uid="{3A9058BB-AACF-4456-9D38-88753AA90C76}"/>
    <cellStyle name="Normal 5 2 2 5 2 3" xfId="5212" xr:uid="{00000000-0005-0000-0000-000011180000}"/>
    <cellStyle name="Normal 5 2 2 5 2 4" xfId="9423" xr:uid="{2415FF0A-F291-4B58-B7B3-F3A6F45E6AB9}"/>
    <cellStyle name="Normal 5 2 2 5 2 5" xfId="13634" xr:uid="{6E89F79B-5DAD-49BD-8221-8FD4923D9FA3}"/>
    <cellStyle name="Normal 5 2 2 5 3" xfId="1316" xr:uid="{00000000-0005-0000-0000-000012180000}"/>
    <cellStyle name="Normal 5 2 2 5 3 2" xfId="3546" xr:uid="{00000000-0005-0000-0000-000013180000}"/>
    <cellStyle name="Normal 5 2 2 5 3 2 2" xfId="7770" xr:uid="{00000000-0005-0000-0000-000014180000}"/>
    <cellStyle name="Normal 5 2 2 5 3 2 3" xfId="11981" xr:uid="{6C5094EC-E88C-4990-9169-B95937789268}"/>
    <cellStyle name="Normal 5 2 2 5 3 2 4" xfId="16192" xr:uid="{CAA5F88D-13EB-4B35-B555-4704E24ABFDF}"/>
    <cellStyle name="Normal 5 2 2 5 3 3" xfId="5625" xr:uid="{00000000-0005-0000-0000-000015180000}"/>
    <cellStyle name="Normal 5 2 2 5 3 4" xfId="9836" xr:uid="{D5E03B42-E089-4173-BFB3-5D4F0E5A0B46}"/>
    <cellStyle name="Normal 5 2 2 5 3 5" xfId="14047" xr:uid="{DBEA5A5F-5B97-4B04-972D-C2CB3384869A}"/>
    <cellStyle name="Normal 5 2 2 5 4" xfId="1729" xr:uid="{00000000-0005-0000-0000-000016180000}"/>
    <cellStyle name="Normal 5 2 2 5 4 2" xfId="3959" xr:uid="{00000000-0005-0000-0000-000017180000}"/>
    <cellStyle name="Normal 5 2 2 5 4 2 2" xfId="8183" xr:uid="{00000000-0005-0000-0000-000018180000}"/>
    <cellStyle name="Normal 5 2 2 5 4 2 3" xfId="12394" xr:uid="{C92B4CD8-102D-4ABA-9107-55DA5818FBD0}"/>
    <cellStyle name="Normal 5 2 2 5 4 2 4" xfId="16605" xr:uid="{4853F34A-6C06-4C2F-A4B8-2638B774B520}"/>
    <cellStyle name="Normal 5 2 2 5 4 3" xfId="6038" xr:uid="{00000000-0005-0000-0000-000019180000}"/>
    <cellStyle name="Normal 5 2 2 5 4 4" xfId="10249" xr:uid="{B7261077-152D-4175-A4B9-EE790452753B}"/>
    <cellStyle name="Normal 5 2 2 5 4 5" xfId="14460" xr:uid="{C09D77B4-378D-49FD-9D79-F3C6294EC1AD}"/>
    <cellStyle name="Normal 5 2 2 5 5" xfId="2143" xr:uid="{00000000-0005-0000-0000-00001A180000}"/>
    <cellStyle name="Normal 5 2 2 5 5 2" xfId="4372" xr:uid="{00000000-0005-0000-0000-00001B180000}"/>
    <cellStyle name="Normal 5 2 2 5 5 2 2" xfId="8596" xr:uid="{00000000-0005-0000-0000-00001C180000}"/>
    <cellStyle name="Normal 5 2 2 5 5 2 3" xfId="12807" xr:uid="{F7B9365D-22A0-4988-BFF4-D26ADDCD9E93}"/>
    <cellStyle name="Normal 5 2 2 5 5 2 4" xfId="17018" xr:uid="{9567E42E-5B37-40E2-9BD6-C3A4BC28A6B4}"/>
    <cellStyle name="Normal 5 2 2 5 5 3" xfId="6451" xr:uid="{00000000-0005-0000-0000-00001D180000}"/>
    <cellStyle name="Normal 5 2 2 5 5 4" xfId="10662" xr:uid="{B91A06A0-31EF-45CB-A4D1-C6759B0C9091}"/>
    <cellStyle name="Normal 5 2 2 5 5 5" xfId="14873" xr:uid="{E1E1090C-EAE3-4205-9076-208135DC8ADB}"/>
    <cellStyle name="Normal 5 2 2 5 6" xfId="2579" xr:uid="{00000000-0005-0000-0000-00001E180000}"/>
    <cellStyle name="Normal 5 2 2 5 6 2" xfId="6864" xr:uid="{00000000-0005-0000-0000-00001F180000}"/>
    <cellStyle name="Normal 5 2 2 5 6 3" xfId="11075" xr:uid="{ED3454A6-07BD-4EDB-82A6-94E8AF19FF7B}"/>
    <cellStyle name="Normal 5 2 2 5 6 4" xfId="15286" xr:uid="{4CB73979-DAC4-472C-8644-7A9ED34E72DB}"/>
    <cellStyle name="Normal 5 2 2 5 7" xfId="4799" xr:uid="{00000000-0005-0000-0000-000020180000}"/>
    <cellStyle name="Normal 5 2 2 5 8" xfId="9010" xr:uid="{79366B62-2EF3-4FE1-BD88-26E11F0055D7}"/>
    <cellStyle name="Normal 5 2 2 5 9" xfId="13221" xr:uid="{53E6FD2C-B6DD-487B-BC2F-4C46C4B6C633}"/>
    <cellStyle name="Normal 5 2 2 6" xfId="883" xr:uid="{00000000-0005-0000-0000-000021180000}"/>
    <cellStyle name="Normal 5 2 2 6 2" xfId="3118" xr:uid="{00000000-0005-0000-0000-000022180000}"/>
    <cellStyle name="Normal 5 2 2 6 2 2" xfId="7342" xr:uid="{00000000-0005-0000-0000-000023180000}"/>
    <cellStyle name="Normal 5 2 2 6 2 3" xfId="11553" xr:uid="{FFD59CE0-FC7B-4037-858A-748DBB13F2DA}"/>
    <cellStyle name="Normal 5 2 2 6 2 4" xfId="15764" xr:uid="{0298D1A3-97F7-4887-A2B7-692AF1DA84C1}"/>
    <cellStyle name="Normal 5 2 2 6 3" xfId="5197" xr:uid="{00000000-0005-0000-0000-000024180000}"/>
    <cellStyle name="Normal 5 2 2 6 4" xfId="9408" xr:uid="{9BAF29CD-F5A4-440F-9657-4468E0D182B6}"/>
    <cellStyle name="Normal 5 2 2 6 5" xfId="13619" xr:uid="{B70A8195-FE22-4EE3-BFB4-772113179203}"/>
    <cellStyle name="Normal 5 2 2 7" xfId="1301" xr:uid="{00000000-0005-0000-0000-000025180000}"/>
    <cellStyle name="Normal 5 2 2 7 2" xfId="3531" xr:uid="{00000000-0005-0000-0000-000026180000}"/>
    <cellStyle name="Normal 5 2 2 7 2 2" xfId="7755" xr:uid="{00000000-0005-0000-0000-000027180000}"/>
    <cellStyle name="Normal 5 2 2 7 2 3" xfId="11966" xr:uid="{F1BF20C2-51A0-4EE1-9B02-70F71BD9CF22}"/>
    <cellStyle name="Normal 5 2 2 7 2 4" xfId="16177" xr:uid="{9323F6B0-004C-433D-A057-D85239B017ED}"/>
    <cellStyle name="Normal 5 2 2 7 3" xfId="5610" xr:uid="{00000000-0005-0000-0000-000028180000}"/>
    <cellStyle name="Normal 5 2 2 7 4" xfId="9821" xr:uid="{B73DC74F-AB4E-4DBF-B92D-9C8BCF786A49}"/>
    <cellStyle name="Normal 5 2 2 7 5" xfId="14032" xr:uid="{9A8865ED-C397-42D5-AD8F-253FA9BE421C}"/>
    <cellStyle name="Normal 5 2 2 8" xfId="1714" xr:uid="{00000000-0005-0000-0000-000029180000}"/>
    <cellStyle name="Normal 5 2 2 8 2" xfId="3944" xr:uid="{00000000-0005-0000-0000-00002A180000}"/>
    <cellStyle name="Normal 5 2 2 8 2 2" xfId="8168" xr:uid="{00000000-0005-0000-0000-00002B180000}"/>
    <cellStyle name="Normal 5 2 2 8 2 3" xfId="12379" xr:uid="{8423635C-1930-4406-B5A6-3AEB3F279812}"/>
    <cellStyle name="Normal 5 2 2 8 2 4" xfId="16590" xr:uid="{9A239EFD-63A4-469F-A207-4268309EF87B}"/>
    <cellStyle name="Normal 5 2 2 8 3" xfId="6023" xr:uid="{00000000-0005-0000-0000-00002C180000}"/>
    <cellStyle name="Normal 5 2 2 8 4" xfId="10234" xr:uid="{CAE57B45-99CE-47BD-8545-29FB346807A5}"/>
    <cellStyle name="Normal 5 2 2 8 5" xfId="14445" xr:uid="{C66ACB0A-0763-4611-8DC5-A42401693530}"/>
    <cellStyle name="Normal 5 2 2 9" xfId="2128" xr:uid="{00000000-0005-0000-0000-00002D180000}"/>
    <cellStyle name="Normal 5 2 2 9 2" xfId="4357" xr:uid="{00000000-0005-0000-0000-00002E180000}"/>
    <cellStyle name="Normal 5 2 2 9 2 2" xfId="8581" xr:uid="{00000000-0005-0000-0000-00002F180000}"/>
    <cellStyle name="Normal 5 2 2 9 2 3" xfId="12792" xr:uid="{CA8AD505-2AC6-4490-AFE6-8B41677140B7}"/>
    <cellStyle name="Normal 5 2 2 9 2 4" xfId="17003" xr:uid="{3ADD8C23-1124-48DD-926F-443471604F85}"/>
    <cellStyle name="Normal 5 2 2 9 3" xfId="6436" xr:uid="{00000000-0005-0000-0000-000030180000}"/>
    <cellStyle name="Normal 5 2 2 9 4" xfId="10647" xr:uid="{E1A657C6-8B2C-4865-BA1E-EA7E37549FD7}"/>
    <cellStyle name="Normal 5 2 2 9 5" xfId="14858" xr:uid="{BBCA54B3-B846-4C1A-8B61-14B931BE61DF}"/>
    <cellStyle name="Normal 5 2 3" xfId="424" xr:uid="{00000000-0005-0000-0000-000031180000}"/>
    <cellStyle name="Normal 5 2 3 10" xfId="4800" xr:uid="{00000000-0005-0000-0000-000032180000}"/>
    <cellStyle name="Normal 5 2 3 11" xfId="9011" xr:uid="{3F476381-0B72-4563-A3F9-BFF1A761345E}"/>
    <cellStyle name="Normal 5 2 3 12" xfId="13222" xr:uid="{51188EA1-62CE-4552-842A-D88639996200}"/>
    <cellStyle name="Normal 5 2 3 2" xfId="425" xr:uid="{00000000-0005-0000-0000-000033180000}"/>
    <cellStyle name="Normal 5 2 3 2 10" xfId="9012" xr:uid="{18B63CD5-5860-46CB-9B51-CFD05B196744}"/>
    <cellStyle name="Normal 5 2 3 2 11" xfId="13223" xr:uid="{08DDC9D4-D19F-4D5C-B85D-57CF062BCB8D}"/>
    <cellStyle name="Normal 5 2 3 2 2" xfId="426" xr:uid="{00000000-0005-0000-0000-000034180000}"/>
    <cellStyle name="Normal 5 2 3 2 2 10" xfId="13224" xr:uid="{ACCB8740-7F2A-4D52-BD59-7DBBA59C67CA}"/>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2 3" xfId="11572" xr:uid="{3B0FF4A8-647A-4C39-810F-DCE46E58C306}"/>
    <cellStyle name="Normal 5 2 3 2 2 2 2 2 4" xfId="15783" xr:uid="{69608596-A911-4D1A-8662-AAB05F0D52F8}"/>
    <cellStyle name="Normal 5 2 3 2 2 2 2 3" xfId="5216" xr:uid="{00000000-0005-0000-0000-000039180000}"/>
    <cellStyle name="Normal 5 2 3 2 2 2 2 4" xfId="9427" xr:uid="{D731F489-D64F-4994-A244-D35BD3CA4D2D}"/>
    <cellStyle name="Normal 5 2 3 2 2 2 2 5" xfId="13638" xr:uid="{0A3F5198-772E-4976-A99A-1D931FAA7DA2}"/>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2 3" xfId="11985" xr:uid="{34453560-E7F4-40AC-AA88-7A15FFFBEF3D}"/>
    <cellStyle name="Normal 5 2 3 2 2 2 3 2 4" xfId="16196" xr:uid="{3207142D-9A18-4C8E-8F7F-C088C788A544}"/>
    <cellStyle name="Normal 5 2 3 2 2 2 3 3" xfId="5629" xr:uid="{00000000-0005-0000-0000-00003D180000}"/>
    <cellStyle name="Normal 5 2 3 2 2 2 3 4" xfId="9840" xr:uid="{25A64941-39C6-4887-A3CE-513DD5E1F140}"/>
    <cellStyle name="Normal 5 2 3 2 2 2 3 5" xfId="14051" xr:uid="{442007EA-266F-4416-89BF-6F774FF10C97}"/>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2 3" xfId="12398" xr:uid="{FF49961C-4DD4-4F02-9045-2419A55E74B2}"/>
    <cellStyle name="Normal 5 2 3 2 2 2 4 2 4" xfId="16609" xr:uid="{53F0A9AF-3C4D-4DD8-9132-3F5B6D5BAA98}"/>
    <cellStyle name="Normal 5 2 3 2 2 2 4 3" xfId="6042" xr:uid="{00000000-0005-0000-0000-000041180000}"/>
    <cellStyle name="Normal 5 2 3 2 2 2 4 4" xfId="10253" xr:uid="{2E10EC68-0BCB-4800-9EC0-15235C900F9E}"/>
    <cellStyle name="Normal 5 2 3 2 2 2 4 5" xfId="14464" xr:uid="{42FEA939-7AE9-408B-91C3-A341A9E5AD81}"/>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2 3" xfId="12811" xr:uid="{5487CFAA-4CCD-4FCC-9626-C45E0B9D9841}"/>
    <cellStyle name="Normal 5 2 3 2 2 2 5 2 4" xfId="17022" xr:uid="{21B14FDC-CB45-41CF-A6F5-2D8839D3E656}"/>
    <cellStyle name="Normal 5 2 3 2 2 2 5 3" xfId="6455" xr:uid="{00000000-0005-0000-0000-000045180000}"/>
    <cellStyle name="Normal 5 2 3 2 2 2 5 4" xfId="10666" xr:uid="{D4F3DBFC-17AD-4CD2-8277-FD1FF0E496D5}"/>
    <cellStyle name="Normal 5 2 3 2 2 2 5 5" xfId="14877" xr:uid="{32560704-594A-490C-976B-183806F2B05C}"/>
    <cellStyle name="Normal 5 2 3 2 2 2 6" xfId="2583" xr:uid="{00000000-0005-0000-0000-000046180000}"/>
    <cellStyle name="Normal 5 2 3 2 2 2 6 2" xfId="6868" xr:uid="{00000000-0005-0000-0000-000047180000}"/>
    <cellStyle name="Normal 5 2 3 2 2 2 6 3" xfId="11079" xr:uid="{52492DBD-4B5F-4C41-BF21-9F80E05B0C42}"/>
    <cellStyle name="Normal 5 2 3 2 2 2 6 4" xfId="15290" xr:uid="{82FFC849-20D4-4EAA-81CF-C1A7F978316A}"/>
    <cellStyle name="Normal 5 2 3 2 2 2 7" xfId="4803" xr:uid="{00000000-0005-0000-0000-000048180000}"/>
    <cellStyle name="Normal 5 2 3 2 2 2 8" xfId="9014" xr:uid="{87E8A8BF-7F48-40E3-BD95-5270D27E012A}"/>
    <cellStyle name="Normal 5 2 3 2 2 2 9" xfId="13225" xr:uid="{97BEC9F1-8616-4299-BF57-FF21E637EEB5}"/>
    <cellStyle name="Normal 5 2 3 2 2 3" xfId="901" xr:uid="{00000000-0005-0000-0000-000049180000}"/>
    <cellStyle name="Normal 5 2 3 2 2 3 2" xfId="3136" xr:uid="{00000000-0005-0000-0000-00004A180000}"/>
    <cellStyle name="Normal 5 2 3 2 2 3 2 2" xfId="7360" xr:uid="{00000000-0005-0000-0000-00004B180000}"/>
    <cellStyle name="Normal 5 2 3 2 2 3 2 3" xfId="11571" xr:uid="{FC7FA804-6165-49E1-9AE3-75684953BE26}"/>
    <cellStyle name="Normal 5 2 3 2 2 3 2 4" xfId="15782" xr:uid="{A46AF7BA-570F-487F-B7D6-9DA6368B1D54}"/>
    <cellStyle name="Normal 5 2 3 2 2 3 3" xfId="5215" xr:uid="{00000000-0005-0000-0000-00004C180000}"/>
    <cellStyle name="Normal 5 2 3 2 2 3 4" xfId="9426" xr:uid="{335EB668-6737-4251-B423-7D204A9770A0}"/>
    <cellStyle name="Normal 5 2 3 2 2 3 5" xfId="13637" xr:uid="{8207D07D-3F80-411A-9C55-28DEAC7E3802}"/>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2 3" xfId="11984" xr:uid="{39A6EB68-FE0C-4A88-9C7F-586CCDD3FE6B}"/>
    <cellStyle name="Normal 5 2 3 2 2 4 2 4" xfId="16195" xr:uid="{21AFCBA9-739B-42B3-AB12-DF16720FFC2C}"/>
    <cellStyle name="Normal 5 2 3 2 2 4 3" xfId="5628" xr:uid="{00000000-0005-0000-0000-000050180000}"/>
    <cellStyle name="Normal 5 2 3 2 2 4 4" xfId="9839" xr:uid="{1C1AA658-B934-485F-88A6-217816D6D1AD}"/>
    <cellStyle name="Normal 5 2 3 2 2 4 5" xfId="14050" xr:uid="{CCF51CC3-D089-4137-A59B-C2879F5CC4B2}"/>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2 3" xfId="12397" xr:uid="{31C5D193-5E84-41F5-8C4B-AB33CF0C3886}"/>
    <cellStyle name="Normal 5 2 3 2 2 5 2 4" xfId="16608" xr:uid="{2A7B9F67-7DAB-4CF2-87DB-5D90DF474294}"/>
    <cellStyle name="Normal 5 2 3 2 2 5 3" xfId="6041" xr:uid="{00000000-0005-0000-0000-000054180000}"/>
    <cellStyle name="Normal 5 2 3 2 2 5 4" xfId="10252" xr:uid="{4931D270-D7A8-4B50-BDFF-A4EBFFBA3216}"/>
    <cellStyle name="Normal 5 2 3 2 2 5 5" xfId="14463" xr:uid="{4DFC72FE-6D24-4907-A444-C9623D6D0AD6}"/>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2 3" xfId="12810" xr:uid="{28284F18-9FAF-46A2-BD37-B28354028C63}"/>
    <cellStyle name="Normal 5 2 3 2 2 6 2 4" xfId="17021" xr:uid="{FF9BD9A9-8AAB-475C-8081-A6DC9F5876A7}"/>
    <cellStyle name="Normal 5 2 3 2 2 6 3" xfId="6454" xr:uid="{00000000-0005-0000-0000-000058180000}"/>
    <cellStyle name="Normal 5 2 3 2 2 6 4" xfId="10665" xr:uid="{CC94E2C4-AB1C-4BCC-A770-8DAE562B2DEC}"/>
    <cellStyle name="Normal 5 2 3 2 2 6 5" xfId="14876" xr:uid="{7C6AD6D0-80F3-449E-9F28-36295F714C8D}"/>
    <cellStyle name="Normal 5 2 3 2 2 7" xfId="2582" xr:uid="{00000000-0005-0000-0000-000059180000}"/>
    <cellStyle name="Normal 5 2 3 2 2 7 2" xfId="6867" xr:uid="{00000000-0005-0000-0000-00005A180000}"/>
    <cellStyle name="Normal 5 2 3 2 2 7 3" xfId="11078" xr:uid="{FF6ED417-D164-4E1F-8A14-DEB37D492246}"/>
    <cellStyle name="Normal 5 2 3 2 2 7 4" xfId="15289" xr:uid="{C79D8236-8429-4A10-90AC-D0558CA4EFAC}"/>
    <cellStyle name="Normal 5 2 3 2 2 8" xfId="4802" xr:uid="{00000000-0005-0000-0000-00005B180000}"/>
    <cellStyle name="Normal 5 2 3 2 2 9" xfId="9013" xr:uid="{DC17A3B8-42CD-4FBF-A200-26CC21613E58}"/>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2 3" xfId="11573" xr:uid="{6A90E14E-04FC-49BF-8964-0E9C60EC45A5}"/>
    <cellStyle name="Normal 5 2 3 2 3 2 2 4" xfId="15784" xr:uid="{C793DEC5-B7ED-4FDD-9FCC-4045907EF8E9}"/>
    <cellStyle name="Normal 5 2 3 2 3 2 3" xfId="5217" xr:uid="{00000000-0005-0000-0000-000060180000}"/>
    <cellStyle name="Normal 5 2 3 2 3 2 4" xfId="9428" xr:uid="{602CFE81-D12D-4D37-A25A-EE815D7CAEC4}"/>
    <cellStyle name="Normal 5 2 3 2 3 2 5" xfId="13639" xr:uid="{3E49AD48-B553-49DE-973B-9FD1C2A65796}"/>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2 3" xfId="11986" xr:uid="{9A301124-9031-45A7-BCA0-EEDFDC16C18E}"/>
    <cellStyle name="Normal 5 2 3 2 3 3 2 4" xfId="16197" xr:uid="{2B487AEA-ED07-4492-A454-9795F8B495A6}"/>
    <cellStyle name="Normal 5 2 3 2 3 3 3" xfId="5630" xr:uid="{00000000-0005-0000-0000-000064180000}"/>
    <cellStyle name="Normal 5 2 3 2 3 3 4" xfId="9841" xr:uid="{011DD7B4-EC42-49C9-82A4-F41166858946}"/>
    <cellStyle name="Normal 5 2 3 2 3 3 5" xfId="14052" xr:uid="{5F4BF9FD-1CDB-4078-AA95-5BA37F8447D5}"/>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2 3" xfId="12399" xr:uid="{241CCBD3-585D-4842-B30D-B325C4020923}"/>
    <cellStyle name="Normal 5 2 3 2 3 4 2 4" xfId="16610" xr:uid="{5CAD0C50-D700-48F4-9A4D-D2BD05444999}"/>
    <cellStyle name="Normal 5 2 3 2 3 4 3" xfId="6043" xr:uid="{00000000-0005-0000-0000-000068180000}"/>
    <cellStyle name="Normal 5 2 3 2 3 4 4" xfId="10254" xr:uid="{7B38A432-84AA-4EFC-9EB4-8928281931A1}"/>
    <cellStyle name="Normal 5 2 3 2 3 4 5" xfId="14465" xr:uid="{5B1A7DA1-4AAC-46F7-82D0-72467D2284DB}"/>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2 3" xfId="12812" xr:uid="{4CA9A4E5-38B2-44D4-82CB-0DFE4B18C50A}"/>
    <cellStyle name="Normal 5 2 3 2 3 5 2 4" xfId="17023" xr:uid="{56D39BDE-814F-49AB-8DE7-1A5103B5CFE0}"/>
    <cellStyle name="Normal 5 2 3 2 3 5 3" xfId="6456" xr:uid="{00000000-0005-0000-0000-00006C180000}"/>
    <cellStyle name="Normal 5 2 3 2 3 5 4" xfId="10667" xr:uid="{9287D9B1-EA7C-4A7C-B8E4-618E60AF6B68}"/>
    <cellStyle name="Normal 5 2 3 2 3 5 5" xfId="14878" xr:uid="{BF2F8A6B-6C4D-46C8-8228-DFCF737040CB}"/>
    <cellStyle name="Normal 5 2 3 2 3 6" xfId="2584" xr:uid="{00000000-0005-0000-0000-00006D180000}"/>
    <cellStyle name="Normal 5 2 3 2 3 6 2" xfId="6869" xr:uid="{00000000-0005-0000-0000-00006E180000}"/>
    <cellStyle name="Normal 5 2 3 2 3 6 3" xfId="11080" xr:uid="{E30AF346-ADDC-491D-8E8C-5700058955BA}"/>
    <cellStyle name="Normal 5 2 3 2 3 6 4" xfId="15291" xr:uid="{16615575-C058-4853-8AD6-B72C1143A931}"/>
    <cellStyle name="Normal 5 2 3 2 3 7" xfId="4804" xr:uid="{00000000-0005-0000-0000-00006F180000}"/>
    <cellStyle name="Normal 5 2 3 2 3 8" xfId="9015" xr:uid="{620DB66D-7F65-46B2-A8F1-DE6B428F0C6F}"/>
    <cellStyle name="Normal 5 2 3 2 3 9" xfId="13226" xr:uid="{E691DDE5-EBC2-4557-B87C-0BC178DADE6A}"/>
    <cellStyle name="Normal 5 2 3 2 4" xfId="900" xr:uid="{00000000-0005-0000-0000-000070180000}"/>
    <cellStyle name="Normal 5 2 3 2 4 2" xfId="3135" xr:uid="{00000000-0005-0000-0000-000071180000}"/>
    <cellStyle name="Normal 5 2 3 2 4 2 2" xfId="7359" xr:uid="{00000000-0005-0000-0000-000072180000}"/>
    <cellStyle name="Normal 5 2 3 2 4 2 3" xfId="11570" xr:uid="{A3983CD9-82D5-4730-B23B-145BA2B08B4F}"/>
    <cellStyle name="Normal 5 2 3 2 4 2 4" xfId="15781" xr:uid="{7BD4AC98-3E2E-401F-B2CB-ED3990E883CD}"/>
    <cellStyle name="Normal 5 2 3 2 4 3" xfId="5214" xr:uid="{00000000-0005-0000-0000-000073180000}"/>
    <cellStyle name="Normal 5 2 3 2 4 4" xfId="9425" xr:uid="{4922FB22-DEFD-49C4-9A3C-C13E4AEF2D10}"/>
    <cellStyle name="Normal 5 2 3 2 4 5" xfId="13636" xr:uid="{355396DD-3EE1-4CDD-9AE2-6113D94D87B3}"/>
    <cellStyle name="Normal 5 2 3 2 5" xfId="1318" xr:uid="{00000000-0005-0000-0000-000074180000}"/>
    <cellStyle name="Normal 5 2 3 2 5 2" xfId="3548" xr:uid="{00000000-0005-0000-0000-000075180000}"/>
    <cellStyle name="Normal 5 2 3 2 5 2 2" xfId="7772" xr:uid="{00000000-0005-0000-0000-000076180000}"/>
    <cellStyle name="Normal 5 2 3 2 5 2 3" xfId="11983" xr:uid="{C9D60CC6-C334-4913-874F-B94B4E9BAA34}"/>
    <cellStyle name="Normal 5 2 3 2 5 2 4" xfId="16194" xr:uid="{02C79E06-A386-4C5E-926B-3128D5FF559A}"/>
    <cellStyle name="Normal 5 2 3 2 5 3" xfId="5627" xr:uid="{00000000-0005-0000-0000-000077180000}"/>
    <cellStyle name="Normal 5 2 3 2 5 4" xfId="9838" xr:uid="{7B64B49C-502C-4D29-A3F2-F84EFB5C1EC3}"/>
    <cellStyle name="Normal 5 2 3 2 5 5" xfId="14049" xr:uid="{191BA552-3CFC-423C-B1EB-44FF50AFB708}"/>
    <cellStyle name="Normal 5 2 3 2 6" xfId="1731" xr:uid="{00000000-0005-0000-0000-000078180000}"/>
    <cellStyle name="Normal 5 2 3 2 6 2" xfId="3961" xr:uid="{00000000-0005-0000-0000-000079180000}"/>
    <cellStyle name="Normal 5 2 3 2 6 2 2" xfId="8185" xr:uid="{00000000-0005-0000-0000-00007A180000}"/>
    <cellStyle name="Normal 5 2 3 2 6 2 3" xfId="12396" xr:uid="{1F9BFA64-E53F-4FEE-B19E-4EA572B62C29}"/>
    <cellStyle name="Normal 5 2 3 2 6 2 4" xfId="16607" xr:uid="{1E17F7D5-5957-4203-A608-43EA6E421E7D}"/>
    <cellStyle name="Normal 5 2 3 2 6 3" xfId="6040" xr:uid="{00000000-0005-0000-0000-00007B180000}"/>
    <cellStyle name="Normal 5 2 3 2 6 4" xfId="10251" xr:uid="{7DF52774-C673-47B6-82D4-3DB9F1DC145B}"/>
    <cellStyle name="Normal 5 2 3 2 6 5" xfId="14462" xr:uid="{170146E0-DC2E-478D-976C-B07ECC63B32B}"/>
    <cellStyle name="Normal 5 2 3 2 7" xfId="2145" xr:uid="{00000000-0005-0000-0000-00007C180000}"/>
    <cellStyle name="Normal 5 2 3 2 7 2" xfId="4374" xr:uid="{00000000-0005-0000-0000-00007D180000}"/>
    <cellStyle name="Normal 5 2 3 2 7 2 2" xfId="8598" xr:uid="{00000000-0005-0000-0000-00007E180000}"/>
    <cellStyle name="Normal 5 2 3 2 7 2 3" xfId="12809" xr:uid="{BC5FE49F-6A60-4CF7-820E-0BED8594D08B}"/>
    <cellStyle name="Normal 5 2 3 2 7 2 4" xfId="17020" xr:uid="{8D3BF1C7-E4AD-4E7A-B5C8-CA447314C1FA}"/>
    <cellStyle name="Normal 5 2 3 2 7 3" xfId="6453" xr:uid="{00000000-0005-0000-0000-00007F180000}"/>
    <cellStyle name="Normal 5 2 3 2 7 4" xfId="10664" xr:uid="{BA96966C-B2E5-4DF6-87C6-C23A6896B6F1}"/>
    <cellStyle name="Normal 5 2 3 2 7 5" xfId="14875" xr:uid="{6E5F2AAA-2B7A-4417-9FAD-F4780827068D}"/>
    <cellStyle name="Normal 5 2 3 2 8" xfId="2581" xr:uid="{00000000-0005-0000-0000-000080180000}"/>
    <cellStyle name="Normal 5 2 3 2 8 2" xfId="6866" xr:uid="{00000000-0005-0000-0000-000081180000}"/>
    <cellStyle name="Normal 5 2 3 2 8 3" xfId="11077" xr:uid="{E61C4C86-0455-4F17-BE17-881FB8F3F74A}"/>
    <cellStyle name="Normal 5 2 3 2 8 4" xfId="15288" xr:uid="{A1EDDCD8-12AB-470B-82C5-5948662913AD}"/>
    <cellStyle name="Normal 5 2 3 2 9" xfId="4801" xr:uid="{00000000-0005-0000-0000-000082180000}"/>
    <cellStyle name="Normal 5 2 3 3" xfId="429" xr:uid="{00000000-0005-0000-0000-000083180000}"/>
    <cellStyle name="Normal 5 2 3 3 10" xfId="13227" xr:uid="{C8920D4F-B9E3-4326-B92C-4424FBE8E93C}"/>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2 3" xfId="11575" xr:uid="{9145C654-0C38-463A-8515-6E95414A2ED6}"/>
    <cellStyle name="Normal 5 2 3 3 2 2 2 4" xfId="15786" xr:uid="{DA097787-8537-4F2D-8E20-3C472D8BDE21}"/>
    <cellStyle name="Normal 5 2 3 3 2 2 3" xfId="5219" xr:uid="{00000000-0005-0000-0000-000088180000}"/>
    <cellStyle name="Normal 5 2 3 3 2 2 4" xfId="9430" xr:uid="{E3E9261D-89C4-4D8C-B685-47904C737FB6}"/>
    <cellStyle name="Normal 5 2 3 3 2 2 5" xfId="13641" xr:uid="{8AD7A0A8-7F2D-4FA0-A779-A5CF9121F776}"/>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2 3" xfId="11988" xr:uid="{0505E6ED-F888-4B06-B94D-E72E0C13695F}"/>
    <cellStyle name="Normal 5 2 3 3 2 3 2 4" xfId="16199" xr:uid="{9FF28371-5D18-4D58-B9F1-D28F8360E20B}"/>
    <cellStyle name="Normal 5 2 3 3 2 3 3" xfId="5632" xr:uid="{00000000-0005-0000-0000-00008C180000}"/>
    <cellStyle name="Normal 5 2 3 3 2 3 4" xfId="9843" xr:uid="{34002A50-4550-4A17-A315-AC14C638FA86}"/>
    <cellStyle name="Normal 5 2 3 3 2 3 5" xfId="14054" xr:uid="{26C4BEF4-A827-41D5-AFF2-146D2E30FD3C}"/>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2 3" xfId="12401" xr:uid="{73C533CB-4ACB-41E2-A58B-467DDBE12A4F}"/>
    <cellStyle name="Normal 5 2 3 3 2 4 2 4" xfId="16612" xr:uid="{46C1A38A-A201-40AC-AAF8-EEF777FBA3D4}"/>
    <cellStyle name="Normal 5 2 3 3 2 4 3" xfId="6045" xr:uid="{00000000-0005-0000-0000-000090180000}"/>
    <cellStyle name="Normal 5 2 3 3 2 4 4" xfId="10256" xr:uid="{1C6B62E2-6206-45C3-B559-E4A7E414B6BD}"/>
    <cellStyle name="Normal 5 2 3 3 2 4 5" xfId="14467" xr:uid="{354DC2A5-FC5A-4444-8089-F00F5B4C91C9}"/>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2 3" xfId="12814" xr:uid="{F5D424C5-53FA-4287-9DAB-64CAE6061A27}"/>
    <cellStyle name="Normal 5 2 3 3 2 5 2 4" xfId="17025" xr:uid="{6E31AAAE-9C0F-4B06-B111-92A03E0176C3}"/>
    <cellStyle name="Normal 5 2 3 3 2 5 3" xfId="6458" xr:uid="{00000000-0005-0000-0000-000094180000}"/>
    <cellStyle name="Normal 5 2 3 3 2 5 4" xfId="10669" xr:uid="{FF47E93F-9D4F-4029-9234-9CF21B8A6358}"/>
    <cellStyle name="Normal 5 2 3 3 2 5 5" xfId="14880" xr:uid="{AFFF120E-5845-4A93-A6E2-C2383860F41B}"/>
    <cellStyle name="Normal 5 2 3 3 2 6" xfId="2586" xr:uid="{00000000-0005-0000-0000-000095180000}"/>
    <cellStyle name="Normal 5 2 3 3 2 6 2" xfId="6871" xr:uid="{00000000-0005-0000-0000-000096180000}"/>
    <cellStyle name="Normal 5 2 3 3 2 6 3" xfId="11082" xr:uid="{480D7046-E4D7-4BE0-BDEC-3C2BB0F56ADB}"/>
    <cellStyle name="Normal 5 2 3 3 2 6 4" xfId="15293" xr:uid="{B8EC00FF-B240-41FA-80E6-79BE0455F192}"/>
    <cellStyle name="Normal 5 2 3 3 2 7" xfId="4806" xr:uid="{00000000-0005-0000-0000-000097180000}"/>
    <cellStyle name="Normal 5 2 3 3 2 8" xfId="9017" xr:uid="{AF7BF5B8-3314-40E1-BC37-3962BF69E953}"/>
    <cellStyle name="Normal 5 2 3 3 2 9" xfId="13228" xr:uid="{6DA941CB-B400-4F12-BE9F-9EFED11D5747}"/>
    <cellStyle name="Normal 5 2 3 3 3" xfId="904" xr:uid="{00000000-0005-0000-0000-000098180000}"/>
    <cellStyle name="Normal 5 2 3 3 3 2" xfId="3139" xr:uid="{00000000-0005-0000-0000-000099180000}"/>
    <cellStyle name="Normal 5 2 3 3 3 2 2" xfId="7363" xr:uid="{00000000-0005-0000-0000-00009A180000}"/>
    <cellStyle name="Normal 5 2 3 3 3 2 3" xfId="11574" xr:uid="{A5EE832C-D081-4039-955F-1C01A6E05CD9}"/>
    <cellStyle name="Normal 5 2 3 3 3 2 4" xfId="15785" xr:uid="{F949C169-9586-43B9-A12B-E592993DB56E}"/>
    <cellStyle name="Normal 5 2 3 3 3 3" xfId="5218" xr:uid="{00000000-0005-0000-0000-00009B180000}"/>
    <cellStyle name="Normal 5 2 3 3 3 4" xfId="9429" xr:uid="{1B65782D-F9FF-4542-8CF6-B718E28118FD}"/>
    <cellStyle name="Normal 5 2 3 3 3 5" xfId="13640" xr:uid="{8DF82DF1-FEBF-468A-8CEA-662D1DAA6F65}"/>
    <cellStyle name="Normal 5 2 3 3 4" xfId="1322" xr:uid="{00000000-0005-0000-0000-00009C180000}"/>
    <cellStyle name="Normal 5 2 3 3 4 2" xfId="3552" xr:uid="{00000000-0005-0000-0000-00009D180000}"/>
    <cellStyle name="Normal 5 2 3 3 4 2 2" xfId="7776" xr:uid="{00000000-0005-0000-0000-00009E180000}"/>
    <cellStyle name="Normal 5 2 3 3 4 2 3" xfId="11987" xr:uid="{993BD8DF-6B2A-47CF-8068-E91EECE9BC8E}"/>
    <cellStyle name="Normal 5 2 3 3 4 2 4" xfId="16198" xr:uid="{F0FED4F5-5FF7-4F45-BDF4-99AEFACDCCCC}"/>
    <cellStyle name="Normal 5 2 3 3 4 3" xfId="5631" xr:uid="{00000000-0005-0000-0000-00009F180000}"/>
    <cellStyle name="Normal 5 2 3 3 4 4" xfId="9842" xr:uid="{BF75A049-5679-437D-88E7-E239E36E09C8}"/>
    <cellStyle name="Normal 5 2 3 3 4 5" xfId="14053" xr:uid="{2E35783B-A29C-4F4B-B172-458FBB88DF39}"/>
    <cellStyle name="Normal 5 2 3 3 5" xfId="1735" xr:uid="{00000000-0005-0000-0000-0000A0180000}"/>
    <cellStyle name="Normal 5 2 3 3 5 2" xfId="3965" xr:uid="{00000000-0005-0000-0000-0000A1180000}"/>
    <cellStyle name="Normal 5 2 3 3 5 2 2" xfId="8189" xr:uid="{00000000-0005-0000-0000-0000A2180000}"/>
    <cellStyle name="Normal 5 2 3 3 5 2 3" xfId="12400" xr:uid="{9DD2B189-062E-49DE-820C-733CCE683C17}"/>
    <cellStyle name="Normal 5 2 3 3 5 2 4" xfId="16611" xr:uid="{B0ABBBA3-69E2-4AF2-A597-537419977F67}"/>
    <cellStyle name="Normal 5 2 3 3 5 3" xfId="6044" xr:uid="{00000000-0005-0000-0000-0000A3180000}"/>
    <cellStyle name="Normal 5 2 3 3 5 4" xfId="10255" xr:uid="{0F2808A2-CBDC-44C6-B618-98EFED9622A1}"/>
    <cellStyle name="Normal 5 2 3 3 5 5" xfId="14466" xr:uid="{58373DBB-A6C2-4777-BD13-452483260CE5}"/>
    <cellStyle name="Normal 5 2 3 3 6" xfId="2149" xr:uid="{00000000-0005-0000-0000-0000A4180000}"/>
    <cellStyle name="Normal 5 2 3 3 6 2" xfId="4378" xr:uid="{00000000-0005-0000-0000-0000A5180000}"/>
    <cellStyle name="Normal 5 2 3 3 6 2 2" xfId="8602" xr:uid="{00000000-0005-0000-0000-0000A6180000}"/>
    <cellStyle name="Normal 5 2 3 3 6 2 3" xfId="12813" xr:uid="{C80F6CB8-F6F8-4111-928B-9C43E514E325}"/>
    <cellStyle name="Normal 5 2 3 3 6 2 4" xfId="17024" xr:uid="{FC79A045-2D00-4712-88C5-946CE464A9E6}"/>
    <cellStyle name="Normal 5 2 3 3 6 3" xfId="6457" xr:uid="{00000000-0005-0000-0000-0000A7180000}"/>
    <cellStyle name="Normal 5 2 3 3 6 4" xfId="10668" xr:uid="{3016E3B6-B17D-448E-B3FB-3BCDA1F45B4F}"/>
    <cellStyle name="Normal 5 2 3 3 6 5" xfId="14879" xr:uid="{B168EF45-6F22-4524-81C8-E6DBCF43183D}"/>
    <cellStyle name="Normal 5 2 3 3 7" xfId="2585" xr:uid="{00000000-0005-0000-0000-0000A8180000}"/>
    <cellStyle name="Normal 5 2 3 3 7 2" xfId="6870" xr:uid="{00000000-0005-0000-0000-0000A9180000}"/>
    <cellStyle name="Normal 5 2 3 3 7 3" xfId="11081" xr:uid="{D1EE2DA3-F8F2-4A6A-9854-BF868E0BE4D0}"/>
    <cellStyle name="Normal 5 2 3 3 7 4" xfId="15292" xr:uid="{3BE34EF0-8154-4144-93DF-AECE332B1389}"/>
    <cellStyle name="Normal 5 2 3 3 8" xfId="4805" xr:uid="{00000000-0005-0000-0000-0000AA180000}"/>
    <cellStyle name="Normal 5 2 3 3 9" xfId="9016" xr:uid="{12C684DC-5C96-4910-B573-C6F068BB8658}"/>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2 3" xfId="11576" xr:uid="{89D23A15-274F-4ECA-A02E-6C021B1B8E5D}"/>
    <cellStyle name="Normal 5 2 3 4 2 2 4" xfId="15787" xr:uid="{6EE6AF3A-4B3F-4CCB-9C84-9B9A580CE346}"/>
    <cellStyle name="Normal 5 2 3 4 2 3" xfId="5220" xr:uid="{00000000-0005-0000-0000-0000AF180000}"/>
    <cellStyle name="Normal 5 2 3 4 2 4" xfId="9431" xr:uid="{A4E11C28-37ED-45DD-AE45-826D0DBDB00C}"/>
    <cellStyle name="Normal 5 2 3 4 2 5" xfId="13642" xr:uid="{6FFC3D8B-1B31-4399-BBF2-94C4B9D90ADF}"/>
    <cellStyle name="Normal 5 2 3 4 3" xfId="1324" xr:uid="{00000000-0005-0000-0000-0000B0180000}"/>
    <cellStyle name="Normal 5 2 3 4 3 2" xfId="3554" xr:uid="{00000000-0005-0000-0000-0000B1180000}"/>
    <cellStyle name="Normal 5 2 3 4 3 2 2" xfId="7778" xr:uid="{00000000-0005-0000-0000-0000B2180000}"/>
    <cellStyle name="Normal 5 2 3 4 3 2 3" xfId="11989" xr:uid="{A9F24D51-C855-41D6-B988-353BDF7272E3}"/>
    <cellStyle name="Normal 5 2 3 4 3 2 4" xfId="16200" xr:uid="{6F45F959-DE14-49E9-84BA-E250F7D42EDD}"/>
    <cellStyle name="Normal 5 2 3 4 3 3" xfId="5633" xr:uid="{00000000-0005-0000-0000-0000B3180000}"/>
    <cellStyle name="Normal 5 2 3 4 3 4" xfId="9844" xr:uid="{501A770D-2E0B-4A7C-B683-58CAF988A932}"/>
    <cellStyle name="Normal 5 2 3 4 3 5" xfId="14055" xr:uid="{F6A86063-BEBA-4C98-8B00-F3FC5F3C72EF}"/>
    <cellStyle name="Normal 5 2 3 4 4" xfId="1737" xr:uid="{00000000-0005-0000-0000-0000B4180000}"/>
    <cellStyle name="Normal 5 2 3 4 4 2" xfId="3967" xr:uid="{00000000-0005-0000-0000-0000B5180000}"/>
    <cellStyle name="Normal 5 2 3 4 4 2 2" xfId="8191" xr:uid="{00000000-0005-0000-0000-0000B6180000}"/>
    <cellStyle name="Normal 5 2 3 4 4 2 3" xfId="12402" xr:uid="{CC0BA79E-7828-4F62-B741-E4244223F96D}"/>
    <cellStyle name="Normal 5 2 3 4 4 2 4" xfId="16613" xr:uid="{E4C89E8B-BA6A-4BED-89CE-C5B4F8A8D12E}"/>
    <cellStyle name="Normal 5 2 3 4 4 3" xfId="6046" xr:uid="{00000000-0005-0000-0000-0000B7180000}"/>
    <cellStyle name="Normal 5 2 3 4 4 4" xfId="10257" xr:uid="{AA1EE1C6-33C4-4916-9C4E-546345AC0EBF}"/>
    <cellStyle name="Normal 5 2 3 4 4 5" xfId="14468" xr:uid="{2DB015F7-2E15-4DD7-93C4-851EFB386E24}"/>
    <cellStyle name="Normal 5 2 3 4 5" xfId="2151" xr:uid="{00000000-0005-0000-0000-0000B8180000}"/>
    <cellStyle name="Normal 5 2 3 4 5 2" xfId="4380" xr:uid="{00000000-0005-0000-0000-0000B9180000}"/>
    <cellStyle name="Normal 5 2 3 4 5 2 2" xfId="8604" xr:uid="{00000000-0005-0000-0000-0000BA180000}"/>
    <cellStyle name="Normal 5 2 3 4 5 2 3" xfId="12815" xr:uid="{7EC0E889-20F4-4B6A-8899-5DB99A040C99}"/>
    <cellStyle name="Normal 5 2 3 4 5 2 4" xfId="17026" xr:uid="{785C51E5-ED7D-4066-90BB-E587B9507566}"/>
    <cellStyle name="Normal 5 2 3 4 5 3" xfId="6459" xr:uid="{00000000-0005-0000-0000-0000BB180000}"/>
    <cellStyle name="Normal 5 2 3 4 5 4" xfId="10670" xr:uid="{003CCED5-98B4-478D-A513-2DEF913E4A5D}"/>
    <cellStyle name="Normal 5 2 3 4 5 5" xfId="14881" xr:uid="{F37E013D-0AFE-45C9-A6D7-9B1D463649B4}"/>
    <cellStyle name="Normal 5 2 3 4 6" xfId="2587" xr:uid="{00000000-0005-0000-0000-0000BC180000}"/>
    <cellStyle name="Normal 5 2 3 4 6 2" xfId="6872" xr:uid="{00000000-0005-0000-0000-0000BD180000}"/>
    <cellStyle name="Normal 5 2 3 4 6 3" xfId="11083" xr:uid="{6520D2F9-B217-47AD-A2C4-F11F4DDA863C}"/>
    <cellStyle name="Normal 5 2 3 4 6 4" xfId="15294" xr:uid="{52A380B6-95D9-45B8-9617-B8B7097DC5D8}"/>
    <cellStyle name="Normal 5 2 3 4 7" xfId="4807" xr:uid="{00000000-0005-0000-0000-0000BE180000}"/>
    <cellStyle name="Normal 5 2 3 4 8" xfId="9018" xr:uid="{AFB3684D-EA26-4243-A809-A543BD7687BA}"/>
    <cellStyle name="Normal 5 2 3 4 9" xfId="13229" xr:uid="{6F3C8EF9-A32A-4BC0-8E28-95560EDA5650}"/>
    <cellStyle name="Normal 5 2 3 5" xfId="899" xr:uid="{00000000-0005-0000-0000-0000BF180000}"/>
    <cellStyle name="Normal 5 2 3 5 2" xfId="3134" xr:uid="{00000000-0005-0000-0000-0000C0180000}"/>
    <cellStyle name="Normal 5 2 3 5 2 2" xfId="7358" xr:uid="{00000000-0005-0000-0000-0000C1180000}"/>
    <cellStyle name="Normal 5 2 3 5 2 3" xfId="11569" xr:uid="{2BE7DD75-604A-450D-8207-900986508BE5}"/>
    <cellStyle name="Normal 5 2 3 5 2 4" xfId="15780" xr:uid="{B06031F8-C8BA-4420-AF11-88CCFF806177}"/>
    <cellStyle name="Normal 5 2 3 5 3" xfId="5213" xr:uid="{00000000-0005-0000-0000-0000C2180000}"/>
    <cellStyle name="Normal 5 2 3 5 4" xfId="9424" xr:uid="{254CBF2F-9079-4A6C-8FEB-8FAE7B6DCFDD}"/>
    <cellStyle name="Normal 5 2 3 5 5" xfId="13635" xr:uid="{E797B38D-3D95-4138-BD99-14E24E624588}"/>
    <cellStyle name="Normal 5 2 3 6" xfId="1317" xr:uid="{00000000-0005-0000-0000-0000C3180000}"/>
    <cellStyle name="Normal 5 2 3 6 2" xfId="3547" xr:uid="{00000000-0005-0000-0000-0000C4180000}"/>
    <cellStyle name="Normal 5 2 3 6 2 2" xfId="7771" xr:uid="{00000000-0005-0000-0000-0000C5180000}"/>
    <cellStyle name="Normal 5 2 3 6 2 3" xfId="11982" xr:uid="{97D30E48-DCBE-4979-85AB-289C268ACDA2}"/>
    <cellStyle name="Normal 5 2 3 6 2 4" xfId="16193" xr:uid="{A1327C66-D945-4067-9D23-3F0100A212C8}"/>
    <cellStyle name="Normal 5 2 3 6 3" xfId="5626" xr:uid="{00000000-0005-0000-0000-0000C6180000}"/>
    <cellStyle name="Normal 5 2 3 6 4" xfId="9837" xr:uid="{7DCA18EB-7285-49FD-A0D3-E7F1FF70961B}"/>
    <cellStyle name="Normal 5 2 3 6 5" xfId="14048" xr:uid="{C9637F01-9124-4648-96BD-01DE13DF8330}"/>
    <cellStyle name="Normal 5 2 3 7" xfId="1730" xr:uid="{00000000-0005-0000-0000-0000C7180000}"/>
    <cellStyle name="Normal 5 2 3 7 2" xfId="3960" xr:uid="{00000000-0005-0000-0000-0000C8180000}"/>
    <cellStyle name="Normal 5 2 3 7 2 2" xfId="8184" xr:uid="{00000000-0005-0000-0000-0000C9180000}"/>
    <cellStyle name="Normal 5 2 3 7 2 3" xfId="12395" xr:uid="{D7612494-82A1-4E75-85E5-D08541767A54}"/>
    <cellStyle name="Normal 5 2 3 7 2 4" xfId="16606" xr:uid="{A772ECA0-F255-48F9-B43D-FCD28F2B9F1A}"/>
    <cellStyle name="Normal 5 2 3 7 3" xfId="6039" xr:uid="{00000000-0005-0000-0000-0000CA180000}"/>
    <cellStyle name="Normal 5 2 3 7 4" xfId="10250" xr:uid="{E7C4701F-4A02-4379-A683-788A0E9F472D}"/>
    <cellStyle name="Normal 5 2 3 7 5" xfId="14461" xr:uid="{A55B30F2-8011-49B4-BCAC-0E3066B887B2}"/>
    <cellStyle name="Normal 5 2 3 8" xfId="2144" xr:uid="{00000000-0005-0000-0000-0000CB180000}"/>
    <cellStyle name="Normal 5 2 3 8 2" xfId="4373" xr:uid="{00000000-0005-0000-0000-0000CC180000}"/>
    <cellStyle name="Normal 5 2 3 8 2 2" xfId="8597" xr:uid="{00000000-0005-0000-0000-0000CD180000}"/>
    <cellStyle name="Normal 5 2 3 8 2 3" xfId="12808" xr:uid="{FCFF9EFD-58BA-4561-AE3B-E043A05F5253}"/>
    <cellStyle name="Normal 5 2 3 8 2 4" xfId="17019" xr:uid="{10215A05-BF59-41FC-BB88-8283FAA0CC3A}"/>
    <cellStyle name="Normal 5 2 3 8 3" xfId="6452" xr:uid="{00000000-0005-0000-0000-0000CE180000}"/>
    <cellStyle name="Normal 5 2 3 8 4" xfId="10663" xr:uid="{386F1732-B3D6-45AB-BD36-0DBAA03E52D9}"/>
    <cellStyle name="Normal 5 2 3 8 5" xfId="14874" xr:uid="{E8E5D7B7-FABD-4F58-9B77-5F2708627C11}"/>
    <cellStyle name="Normal 5 2 3 9" xfId="2580" xr:uid="{00000000-0005-0000-0000-0000CF180000}"/>
    <cellStyle name="Normal 5 2 3 9 2" xfId="6865" xr:uid="{00000000-0005-0000-0000-0000D0180000}"/>
    <cellStyle name="Normal 5 2 3 9 3" xfId="11076" xr:uid="{5B73FC01-1CF7-4CEE-8F4B-40DA5FC6E8F1}"/>
    <cellStyle name="Normal 5 2 3 9 4" xfId="15287" xr:uid="{3CF68B8C-CB15-4D8D-A59B-E789A730E66B}"/>
    <cellStyle name="Normal 5 2 4" xfId="432" xr:uid="{00000000-0005-0000-0000-0000D1180000}"/>
    <cellStyle name="Normal 5 2 4 10" xfId="9019" xr:uid="{5A302094-E9E9-49A4-B2EF-B8EB1C58639E}"/>
    <cellStyle name="Normal 5 2 4 11" xfId="13230" xr:uid="{8703F806-885A-491D-919D-FFDA1AA11DD5}"/>
    <cellStyle name="Normal 5 2 4 2" xfId="433" xr:uid="{00000000-0005-0000-0000-0000D2180000}"/>
    <cellStyle name="Normal 5 2 4 2 10" xfId="13231" xr:uid="{77F02CCC-B63B-43AF-8C22-80E40C519082}"/>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2 3" xfId="11579" xr:uid="{E19BCD80-5128-44B5-A3A4-F7838F8D18AA}"/>
    <cellStyle name="Normal 5 2 4 2 2 2 2 4" xfId="15790" xr:uid="{08FCA03D-A5F8-42CC-A0E3-2F67FABB3DB7}"/>
    <cellStyle name="Normal 5 2 4 2 2 2 3" xfId="5223" xr:uid="{00000000-0005-0000-0000-0000D7180000}"/>
    <cellStyle name="Normal 5 2 4 2 2 2 4" xfId="9434" xr:uid="{EF42D4DB-E224-46C7-A2D8-7EC354285442}"/>
    <cellStyle name="Normal 5 2 4 2 2 2 5" xfId="13645" xr:uid="{15BC7CEE-B178-4017-9416-5BB9FC875FBE}"/>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2 3" xfId="11992" xr:uid="{AF8B0DCE-4EBD-4CD2-AFB4-C47D90461719}"/>
    <cellStyle name="Normal 5 2 4 2 2 3 2 4" xfId="16203" xr:uid="{C97111BC-72BB-49EC-878E-0A440B2B6C6B}"/>
    <cellStyle name="Normal 5 2 4 2 2 3 3" xfId="5636" xr:uid="{00000000-0005-0000-0000-0000DB180000}"/>
    <cellStyle name="Normal 5 2 4 2 2 3 4" xfId="9847" xr:uid="{BE464509-809E-4FFE-9418-A6D4C91ADA67}"/>
    <cellStyle name="Normal 5 2 4 2 2 3 5" xfId="14058" xr:uid="{C3672857-C71A-4C72-87E3-F28D08958FC7}"/>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2 3" xfId="12405" xr:uid="{D40E7D15-90E4-4274-BBC2-1BDC75BB60D6}"/>
    <cellStyle name="Normal 5 2 4 2 2 4 2 4" xfId="16616" xr:uid="{90DBBF5C-E8A3-4B6F-B23E-176CA97E300F}"/>
    <cellStyle name="Normal 5 2 4 2 2 4 3" xfId="6049" xr:uid="{00000000-0005-0000-0000-0000DF180000}"/>
    <cellStyle name="Normal 5 2 4 2 2 4 4" xfId="10260" xr:uid="{3EC379B9-569C-418D-9D8B-248AB1C12BE0}"/>
    <cellStyle name="Normal 5 2 4 2 2 4 5" xfId="14471" xr:uid="{98FA5164-1740-4387-8BBA-5DBEC9FF7BA8}"/>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2 3" xfId="12818" xr:uid="{575DB46B-21B6-475B-A825-64DCC3977C3C}"/>
    <cellStyle name="Normal 5 2 4 2 2 5 2 4" xfId="17029" xr:uid="{86E072C0-2ABD-4036-BD90-82F26E44ED9A}"/>
    <cellStyle name="Normal 5 2 4 2 2 5 3" xfId="6462" xr:uid="{00000000-0005-0000-0000-0000E3180000}"/>
    <cellStyle name="Normal 5 2 4 2 2 5 4" xfId="10673" xr:uid="{36F1E54C-EBE9-40D4-8E1F-6D60B69E1B1E}"/>
    <cellStyle name="Normal 5 2 4 2 2 5 5" xfId="14884" xr:uid="{2F2902B6-CE20-4D19-BD37-DF71276CBBCC}"/>
    <cellStyle name="Normal 5 2 4 2 2 6" xfId="2590" xr:uid="{00000000-0005-0000-0000-0000E4180000}"/>
    <cellStyle name="Normal 5 2 4 2 2 6 2" xfId="6875" xr:uid="{00000000-0005-0000-0000-0000E5180000}"/>
    <cellStyle name="Normal 5 2 4 2 2 6 3" xfId="11086" xr:uid="{93A24CAD-BE9F-4D81-8F21-BA396F3A3E53}"/>
    <cellStyle name="Normal 5 2 4 2 2 6 4" xfId="15297" xr:uid="{566A2C66-8DCC-4620-BB15-22D21114F482}"/>
    <cellStyle name="Normal 5 2 4 2 2 7" xfId="4810" xr:uid="{00000000-0005-0000-0000-0000E6180000}"/>
    <cellStyle name="Normal 5 2 4 2 2 8" xfId="9021" xr:uid="{F76AAF75-C760-483C-82ED-BC90B723E675}"/>
    <cellStyle name="Normal 5 2 4 2 2 9" xfId="13232" xr:uid="{088F7232-2D50-4B73-BD93-94D79E7A3A5A}"/>
    <cellStyle name="Normal 5 2 4 2 3" xfId="908" xr:uid="{00000000-0005-0000-0000-0000E7180000}"/>
    <cellStyle name="Normal 5 2 4 2 3 2" xfId="3143" xr:uid="{00000000-0005-0000-0000-0000E8180000}"/>
    <cellStyle name="Normal 5 2 4 2 3 2 2" xfId="7367" xr:uid="{00000000-0005-0000-0000-0000E9180000}"/>
    <cellStyle name="Normal 5 2 4 2 3 2 3" xfId="11578" xr:uid="{5A2BB308-C234-4C69-A1FA-B94FCA64BA12}"/>
    <cellStyle name="Normal 5 2 4 2 3 2 4" xfId="15789" xr:uid="{481F7DA6-4F94-40DF-A4C8-FDF71078A1E8}"/>
    <cellStyle name="Normal 5 2 4 2 3 3" xfId="5222" xr:uid="{00000000-0005-0000-0000-0000EA180000}"/>
    <cellStyle name="Normal 5 2 4 2 3 4" xfId="9433" xr:uid="{5374AEAA-6A24-4294-87C4-7E094C9B9425}"/>
    <cellStyle name="Normal 5 2 4 2 3 5" xfId="13644" xr:uid="{20E3EAF2-7748-46C5-884F-FB60D1C0A8A7}"/>
    <cellStyle name="Normal 5 2 4 2 4" xfId="1326" xr:uid="{00000000-0005-0000-0000-0000EB180000}"/>
    <cellStyle name="Normal 5 2 4 2 4 2" xfId="3556" xr:uid="{00000000-0005-0000-0000-0000EC180000}"/>
    <cellStyle name="Normal 5 2 4 2 4 2 2" xfId="7780" xr:uid="{00000000-0005-0000-0000-0000ED180000}"/>
    <cellStyle name="Normal 5 2 4 2 4 2 3" xfId="11991" xr:uid="{303C5D4F-6723-41A1-8DF0-1A9B6DBC0682}"/>
    <cellStyle name="Normal 5 2 4 2 4 2 4" xfId="16202" xr:uid="{992B1E8E-3196-459D-8058-737B5884F33F}"/>
    <cellStyle name="Normal 5 2 4 2 4 3" xfId="5635" xr:uid="{00000000-0005-0000-0000-0000EE180000}"/>
    <cellStyle name="Normal 5 2 4 2 4 4" xfId="9846" xr:uid="{2717E5EC-E2AB-411D-BAA9-C6F8B098C9AB}"/>
    <cellStyle name="Normal 5 2 4 2 4 5" xfId="14057" xr:uid="{38714378-6D79-4CA2-A8F8-93C6B0C1B6C1}"/>
    <cellStyle name="Normal 5 2 4 2 5" xfId="1739" xr:uid="{00000000-0005-0000-0000-0000EF180000}"/>
    <cellStyle name="Normal 5 2 4 2 5 2" xfId="3969" xr:uid="{00000000-0005-0000-0000-0000F0180000}"/>
    <cellStyle name="Normal 5 2 4 2 5 2 2" xfId="8193" xr:uid="{00000000-0005-0000-0000-0000F1180000}"/>
    <cellStyle name="Normal 5 2 4 2 5 2 3" xfId="12404" xr:uid="{2B9FB67A-1E00-4FC7-A309-073F861D4D4F}"/>
    <cellStyle name="Normal 5 2 4 2 5 2 4" xfId="16615" xr:uid="{279930DE-2BBF-43A5-B583-ED2A3621A4EC}"/>
    <cellStyle name="Normal 5 2 4 2 5 3" xfId="6048" xr:uid="{00000000-0005-0000-0000-0000F2180000}"/>
    <cellStyle name="Normal 5 2 4 2 5 4" xfId="10259" xr:uid="{E8D7FE48-E782-4814-8B28-B25E15150DC6}"/>
    <cellStyle name="Normal 5 2 4 2 5 5" xfId="14470" xr:uid="{448A4B1C-B292-4653-A708-A8CABDC0E71B}"/>
    <cellStyle name="Normal 5 2 4 2 6" xfId="2153" xr:uid="{00000000-0005-0000-0000-0000F3180000}"/>
    <cellStyle name="Normal 5 2 4 2 6 2" xfId="4382" xr:uid="{00000000-0005-0000-0000-0000F4180000}"/>
    <cellStyle name="Normal 5 2 4 2 6 2 2" xfId="8606" xr:uid="{00000000-0005-0000-0000-0000F5180000}"/>
    <cellStyle name="Normal 5 2 4 2 6 2 3" xfId="12817" xr:uid="{A1AF39A4-6E03-4F0A-8610-03F8B8BF49C3}"/>
    <cellStyle name="Normal 5 2 4 2 6 2 4" xfId="17028" xr:uid="{8ADC5F7D-76D1-4CCA-8018-71D155AFD13F}"/>
    <cellStyle name="Normal 5 2 4 2 6 3" xfId="6461" xr:uid="{00000000-0005-0000-0000-0000F6180000}"/>
    <cellStyle name="Normal 5 2 4 2 6 4" xfId="10672" xr:uid="{F5B62C44-5753-4F0F-B3E3-81B34BCE97D4}"/>
    <cellStyle name="Normal 5 2 4 2 6 5" xfId="14883" xr:uid="{4A0961B4-11A1-43B6-8DC9-705F41F49180}"/>
    <cellStyle name="Normal 5 2 4 2 7" xfId="2589" xr:uid="{00000000-0005-0000-0000-0000F7180000}"/>
    <cellStyle name="Normal 5 2 4 2 7 2" xfId="6874" xr:uid="{00000000-0005-0000-0000-0000F8180000}"/>
    <cellStyle name="Normal 5 2 4 2 7 3" xfId="11085" xr:uid="{F6D2A368-75E4-423D-9A0B-E62A6BDE48C2}"/>
    <cellStyle name="Normal 5 2 4 2 7 4" xfId="15296" xr:uid="{894D8EE5-6ED9-4FD5-8C75-19FA824C9634}"/>
    <cellStyle name="Normal 5 2 4 2 8" xfId="4809" xr:uid="{00000000-0005-0000-0000-0000F9180000}"/>
    <cellStyle name="Normal 5 2 4 2 9" xfId="9020" xr:uid="{B5A36979-743B-4068-8C85-62B7251B0462}"/>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2 3" xfId="11580" xr:uid="{95559898-35C3-4E55-AA6A-90FDC0544711}"/>
    <cellStyle name="Normal 5 2 4 3 2 2 4" xfId="15791" xr:uid="{D786F7CD-5AF2-4BC9-A57C-C9E5264A4DCF}"/>
    <cellStyle name="Normal 5 2 4 3 2 3" xfId="5224" xr:uid="{00000000-0005-0000-0000-0000FE180000}"/>
    <cellStyle name="Normal 5 2 4 3 2 4" xfId="9435" xr:uid="{2D9ABDC7-E81D-4579-8630-7481CEAB0DBA}"/>
    <cellStyle name="Normal 5 2 4 3 2 5" xfId="13646" xr:uid="{5CBD95A0-E3AD-4D79-8163-360446F9EA8E}"/>
    <cellStyle name="Normal 5 2 4 3 3" xfId="1328" xr:uid="{00000000-0005-0000-0000-0000FF180000}"/>
    <cellStyle name="Normal 5 2 4 3 3 2" xfId="3558" xr:uid="{00000000-0005-0000-0000-000000190000}"/>
    <cellStyle name="Normal 5 2 4 3 3 2 2" xfId="7782" xr:uid="{00000000-0005-0000-0000-000001190000}"/>
    <cellStyle name="Normal 5 2 4 3 3 2 3" xfId="11993" xr:uid="{7FE7993F-2FA8-469B-B400-A9C15EF04D11}"/>
    <cellStyle name="Normal 5 2 4 3 3 2 4" xfId="16204" xr:uid="{B5890250-8241-4308-8528-7A3B915A5C01}"/>
    <cellStyle name="Normal 5 2 4 3 3 3" xfId="5637" xr:uid="{00000000-0005-0000-0000-000002190000}"/>
    <cellStyle name="Normal 5 2 4 3 3 4" xfId="9848" xr:uid="{C2EE81C4-E815-4A47-A526-EDACED9EDE11}"/>
    <cellStyle name="Normal 5 2 4 3 3 5" xfId="14059" xr:uid="{3034F0B5-0B5A-45E3-8B94-1998EA23F12E}"/>
    <cellStyle name="Normal 5 2 4 3 4" xfId="1741" xr:uid="{00000000-0005-0000-0000-000003190000}"/>
    <cellStyle name="Normal 5 2 4 3 4 2" xfId="3971" xr:uid="{00000000-0005-0000-0000-000004190000}"/>
    <cellStyle name="Normal 5 2 4 3 4 2 2" xfId="8195" xr:uid="{00000000-0005-0000-0000-000005190000}"/>
    <cellStyle name="Normal 5 2 4 3 4 2 3" xfId="12406" xr:uid="{22DD42B5-7023-49E2-8115-C81B5028AA77}"/>
    <cellStyle name="Normal 5 2 4 3 4 2 4" xfId="16617" xr:uid="{156A70C6-7299-4E57-9688-96AE53B0273E}"/>
    <cellStyle name="Normal 5 2 4 3 4 3" xfId="6050" xr:uid="{00000000-0005-0000-0000-000006190000}"/>
    <cellStyle name="Normal 5 2 4 3 4 4" xfId="10261" xr:uid="{E25DACC3-390D-4E5B-98EA-AA9911DF0C15}"/>
    <cellStyle name="Normal 5 2 4 3 4 5" xfId="14472" xr:uid="{D4785FA8-3B3A-4CD0-BD77-C005669049EE}"/>
    <cellStyle name="Normal 5 2 4 3 5" xfId="2155" xr:uid="{00000000-0005-0000-0000-000007190000}"/>
    <cellStyle name="Normal 5 2 4 3 5 2" xfId="4384" xr:uid="{00000000-0005-0000-0000-000008190000}"/>
    <cellStyle name="Normal 5 2 4 3 5 2 2" xfId="8608" xr:uid="{00000000-0005-0000-0000-000009190000}"/>
    <cellStyle name="Normal 5 2 4 3 5 2 3" xfId="12819" xr:uid="{C1D8FC7C-50D6-4A97-A063-F15233165B99}"/>
    <cellStyle name="Normal 5 2 4 3 5 2 4" xfId="17030" xr:uid="{51287B2E-69CE-4A18-8941-258D606C1F22}"/>
    <cellStyle name="Normal 5 2 4 3 5 3" xfId="6463" xr:uid="{00000000-0005-0000-0000-00000A190000}"/>
    <cellStyle name="Normal 5 2 4 3 5 4" xfId="10674" xr:uid="{BDA35FB5-17CE-4CC9-B936-76723CB8AE64}"/>
    <cellStyle name="Normal 5 2 4 3 5 5" xfId="14885" xr:uid="{45FA4F98-09C5-4371-AA64-A913D289F8B3}"/>
    <cellStyle name="Normal 5 2 4 3 6" xfId="2591" xr:uid="{00000000-0005-0000-0000-00000B190000}"/>
    <cellStyle name="Normal 5 2 4 3 6 2" xfId="6876" xr:uid="{00000000-0005-0000-0000-00000C190000}"/>
    <cellStyle name="Normal 5 2 4 3 6 3" xfId="11087" xr:uid="{16E2526D-33F2-43D8-AEF8-4E21ECC0A312}"/>
    <cellStyle name="Normal 5 2 4 3 6 4" xfId="15298" xr:uid="{A39A49B9-1ED8-4092-9CCA-BC878E9270D9}"/>
    <cellStyle name="Normal 5 2 4 3 7" xfId="4811" xr:uid="{00000000-0005-0000-0000-00000D190000}"/>
    <cellStyle name="Normal 5 2 4 3 8" xfId="9022" xr:uid="{1A59326E-7FA2-4533-BF20-7F627720FCD0}"/>
    <cellStyle name="Normal 5 2 4 3 9" xfId="13233" xr:uid="{837789C8-57D3-47B4-A05D-530D12B48676}"/>
    <cellStyle name="Normal 5 2 4 4" xfId="907" xr:uid="{00000000-0005-0000-0000-00000E190000}"/>
    <cellStyle name="Normal 5 2 4 4 2" xfId="3142" xr:uid="{00000000-0005-0000-0000-00000F190000}"/>
    <cellStyle name="Normal 5 2 4 4 2 2" xfId="7366" xr:uid="{00000000-0005-0000-0000-000010190000}"/>
    <cellStyle name="Normal 5 2 4 4 2 3" xfId="11577" xr:uid="{49CE0DA0-6CFC-4182-A88C-BEFD18194056}"/>
    <cellStyle name="Normal 5 2 4 4 2 4" xfId="15788" xr:uid="{9DC266E4-5E7F-4407-883E-6065321E627A}"/>
    <cellStyle name="Normal 5 2 4 4 3" xfId="5221" xr:uid="{00000000-0005-0000-0000-000011190000}"/>
    <cellStyle name="Normal 5 2 4 4 4" xfId="9432" xr:uid="{3D3789AB-7DBA-49D2-8105-F28F2D0C930C}"/>
    <cellStyle name="Normal 5 2 4 4 5" xfId="13643" xr:uid="{7E22280C-6859-4CA6-9EE2-E8BEEB144079}"/>
    <cellStyle name="Normal 5 2 4 5" xfId="1325" xr:uid="{00000000-0005-0000-0000-000012190000}"/>
    <cellStyle name="Normal 5 2 4 5 2" xfId="3555" xr:uid="{00000000-0005-0000-0000-000013190000}"/>
    <cellStyle name="Normal 5 2 4 5 2 2" xfId="7779" xr:uid="{00000000-0005-0000-0000-000014190000}"/>
    <cellStyle name="Normal 5 2 4 5 2 3" xfId="11990" xr:uid="{DD56BA3B-6D92-4D5A-8336-B74062F644DD}"/>
    <cellStyle name="Normal 5 2 4 5 2 4" xfId="16201" xr:uid="{0B88EBC3-C22E-4A87-85FC-1546F87F2B19}"/>
    <cellStyle name="Normal 5 2 4 5 3" xfId="5634" xr:uid="{00000000-0005-0000-0000-000015190000}"/>
    <cellStyle name="Normal 5 2 4 5 4" xfId="9845" xr:uid="{A542C270-CC78-47A3-9E17-3909194FA37A}"/>
    <cellStyle name="Normal 5 2 4 5 5" xfId="14056" xr:uid="{8C6736EC-8E07-4E95-8C3D-94FEF5639CD9}"/>
    <cellStyle name="Normal 5 2 4 6" xfId="1738" xr:uid="{00000000-0005-0000-0000-000016190000}"/>
    <cellStyle name="Normal 5 2 4 6 2" xfId="3968" xr:uid="{00000000-0005-0000-0000-000017190000}"/>
    <cellStyle name="Normal 5 2 4 6 2 2" xfId="8192" xr:uid="{00000000-0005-0000-0000-000018190000}"/>
    <cellStyle name="Normal 5 2 4 6 2 3" xfId="12403" xr:uid="{52514817-CED0-4044-A4EA-A8426918C576}"/>
    <cellStyle name="Normal 5 2 4 6 2 4" xfId="16614" xr:uid="{E0A155FA-6180-4A2A-848C-A24A73EB1588}"/>
    <cellStyle name="Normal 5 2 4 6 3" xfId="6047" xr:uid="{00000000-0005-0000-0000-000019190000}"/>
    <cellStyle name="Normal 5 2 4 6 4" xfId="10258" xr:uid="{35CC5458-00BD-4071-87A7-F2D28D0839D3}"/>
    <cellStyle name="Normal 5 2 4 6 5" xfId="14469" xr:uid="{C5ED304A-0870-4501-AEFC-CED64D9B506D}"/>
    <cellStyle name="Normal 5 2 4 7" xfId="2152" xr:uid="{00000000-0005-0000-0000-00001A190000}"/>
    <cellStyle name="Normal 5 2 4 7 2" xfId="4381" xr:uid="{00000000-0005-0000-0000-00001B190000}"/>
    <cellStyle name="Normal 5 2 4 7 2 2" xfId="8605" xr:uid="{00000000-0005-0000-0000-00001C190000}"/>
    <cellStyle name="Normal 5 2 4 7 2 3" xfId="12816" xr:uid="{372365E3-4EC9-4910-9FF1-B5A639FB3102}"/>
    <cellStyle name="Normal 5 2 4 7 2 4" xfId="17027" xr:uid="{03533060-BC4C-4A99-A8AB-0126D53AA572}"/>
    <cellStyle name="Normal 5 2 4 7 3" xfId="6460" xr:uid="{00000000-0005-0000-0000-00001D190000}"/>
    <cellStyle name="Normal 5 2 4 7 4" xfId="10671" xr:uid="{4C8874B1-2232-46A1-A5E3-92CAAEFEFC10}"/>
    <cellStyle name="Normal 5 2 4 7 5" xfId="14882" xr:uid="{BA69CDF6-A876-41E4-B2E7-EDDA574CDDA3}"/>
    <cellStyle name="Normal 5 2 4 8" xfId="2588" xr:uid="{00000000-0005-0000-0000-00001E190000}"/>
    <cellStyle name="Normal 5 2 4 8 2" xfId="6873" xr:uid="{00000000-0005-0000-0000-00001F190000}"/>
    <cellStyle name="Normal 5 2 4 8 3" xfId="11084" xr:uid="{DFD51481-1C13-4113-9A47-21C8F33CC1C2}"/>
    <cellStyle name="Normal 5 2 4 8 4" xfId="15295" xr:uid="{69516719-B868-4B9B-84BB-48E79C25F301}"/>
    <cellStyle name="Normal 5 2 4 9" xfId="4808" xr:uid="{00000000-0005-0000-0000-000020190000}"/>
    <cellStyle name="Normal 5 2 5" xfId="436" xr:uid="{00000000-0005-0000-0000-000021190000}"/>
    <cellStyle name="Normal 5 2 5 10" xfId="13234" xr:uid="{94C2CBE2-3822-47BC-ACC4-2FF9B7D11D6D}"/>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2 3" xfId="11582" xr:uid="{0585D314-7327-4DC5-835E-E8157121038F}"/>
    <cellStyle name="Normal 5 2 5 2 2 2 4" xfId="15793" xr:uid="{5F796BE5-E37E-4EF7-A682-AADD261F0C01}"/>
    <cellStyle name="Normal 5 2 5 2 2 3" xfId="5226" xr:uid="{00000000-0005-0000-0000-000026190000}"/>
    <cellStyle name="Normal 5 2 5 2 2 4" xfId="9437" xr:uid="{7F25483C-20CC-4291-BE29-4ECECF64A392}"/>
    <cellStyle name="Normal 5 2 5 2 2 5" xfId="13648" xr:uid="{D5505963-EAC0-43FA-9F68-A74D82583D51}"/>
    <cellStyle name="Normal 5 2 5 2 3" xfId="1330" xr:uid="{00000000-0005-0000-0000-000027190000}"/>
    <cellStyle name="Normal 5 2 5 2 3 2" xfId="3560" xr:uid="{00000000-0005-0000-0000-000028190000}"/>
    <cellStyle name="Normal 5 2 5 2 3 2 2" xfId="7784" xr:uid="{00000000-0005-0000-0000-000029190000}"/>
    <cellStyle name="Normal 5 2 5 2 3 2 3" xfId="11995" xr:uid="{D5162B35-0345-4EF0-B473-46FA5507427B}"/>
    <cellStyle name="Normal 5 2 5 2 3 2 4" xfId="16206" xr:uid="{B58578D0-531B-4BE2-B77B-FC938E1F4F46}"/>
    <cellStyle name="Normal 5 2 5 2 3 3" xfId="5639" xr:uid="{00000000-0005-0000-0000-00002A190000}"/>
    <cellStyle name="Normal 5 2 5 2 3 4" xfId="9850" xr:uid="{7F32D5FD-0276-471E-9D75-3DE57B7CE0A4}"/>
    <cellStyle name="Normal 5 2 5 2 3 5" xfId="14061" xr:uid="{F84A766B-244F-4D12-9DC8-BC3568957AB1}"/>
    <cellStyle name="Normal 5 2 5 2 4" xfId="1743" xr:uid="{00000000-0005-0000-0000-00002B190000}"/>
    <cellStyle name="Normal 5 2 5 2 4 2" xfId="3973" xr:uid="{00000000-0005-0000-0000-00002C190000}"/>
    <cellStyle name="Normal 5 2 5 2 4 2 2" xfId="8197" xr:uid="{00000000-0005-0000-0000-00002D190000}"/>
    <cellStyle name="Normal 5 2 5 2 4 2 3" xfId="12408" xr:uid="{DC5D545E-5516-48D7-92F5-65D18B21AA50}"/>
    <cellStyle name="Normal 5 2 5 2 4 2 4" xfId="16619" xr:uid="{E41A0FFE-450C-43B8-8A21-C8E2DD33383A}"/>
    <cellStyle name="Normal 5 2 5 2 4 3" xfId="6052" xr:uid="{00000000-0005-0000-0000-00002E190000}"/>
    <cellStyle name="Normal 5 2 5 2 4 4" xfId="10263" xr:uid="{8C0FE217-53D0-4B56-9B60-163FA24FA086}"/>
    <cellStyle name="Normal 5 2 5 2 4 5" xfId="14474" xr:uid="{4FED610F-FB34-459F-AB30-6A00E77E05F0}"/>
    <cellStyle name="Normal 5 2 5 2 5" xfId="2157" xr:uid="{00000000-0005-0000-0000-00002F190000}"/>
    <cellStyle name="Normal 5 2 5 2 5 2" xfId="4386" xr:uid="{00000000-0005-0000-0000-000030190000}"/>
    <cellStyle name="Normal 5 2 5 2 5 2 2" xfId="8610" xr:uid="{00000000-0005-0000-0000-000031190000}"/>
    <cellStyle name="Normal 5 2 5 2 5 2 3" xfId="12821" xr:uid="{F2C3490B-CA74-44C6-897F-15E26DADF8E3}"/>
    <cellStyle name="Normal 5 2 5 2 5 2 4" xfId="17032" xr:uid="{820D41E5-9C97-48E2-8B70-97FA1DFADCCF}"/>
    <cellStyle name="Normal 5 2 5 2 5 3" xfId="6465" xr:uid="{00000000-0005-0000-0000-000032190000}"/>
    <cellStyle name="Normal 5 2 5 2 5 4" xfId="10676" xr:uid="{3ECC7CBD-ACF2-4905-AFA7-2C5E0DCFBFDC}"/>
    <cellStyle name="Normal 5 2 5 2 5 5" xfId="14887" xr:uid="{1E95E52D-F806-4DAC-A07E-DC095EC01F35}"/>
    <cellStyle name="Normal 5 2 5 2 6" xfId="2593" xr:uid="{00000000-0005-0000-0000-000033190000}"/>
    <cellStyle name="Normal 5 2 5 2 6 2" xfId="6878" xr:uid="{00000000-0005-0000-0000-000034190000}"/>
    <cellStyle name="Normal 5 2 5 2 6 3" xfId="11089" xr:uid="{8F5BB8F7-DD3B-4AC1-9F2E-32BE6A1094C7}"/>
    <cellStyle name="Normal 5 2 5 2 6 4" xfId="15300" xr:uid="{02A5B56D-E9F8-40A0-B640-2ABFCEFF163B}"/>
    <cellStyle name="Normal 5 2 5 2 7" xfId="4813" xr:uid="{00000000-0005-0000-0000-000035190000}"/>
    <cellStyle name="Normal 5 2 5 2 8" xfId="9024" xr:uid="{DF0E7923-367B-4D97-8B42-695AE13B1F45}"/>
    <cellStyle name="Normal 5 2 5 2 9" xfId="13235" xr:uid="{DE7B6E5A-6895-42F3-BD1B-CEE5BEAE069A}"/>
    <cellStyle name="Normal 5 2 5 3" xfId="911" xr:uid="{00000000-0005-0000-0000-000036190000}"/>
    <cellStyle name="Normal 5 2 5 3 2" xfId="3146" xr:uid="{00000000-0005-0000-0000-000037190000}"/>
    <cellStyle name="Normal 5 2 5 3 2 2" xfId="7370" xr:uid="{00000000-0005-0000-0000-000038190000}"/>
    <cellStyle name="Normal 5 2 5 3 2 3" xfId="11581" xr:uid="{C166EEB5-83E0-4CB9-BDE5-931F96DA42C1}"/>
    <cellStyle name="Normal 5 2 5 3 2 4" xfId="15792" xr:uid="{D88572C7-35DA-41C6-B613-4D2A39D3934D}"/>
    <cellStyle name="Normal 5 2 5 3 3" xfId="5225" xr:uid="{00000000-0005-0000-0000-000039190000}"/>
    <cellStyle name="Normal 5 2 5 3 4" xfId="9436" xr:uid="{B0423AC0-9A9E-426D-8C7A-48D63D9664AB}"/>
    <cellStyle name="Normal 5 2 5 3 5" xfId="13647" xr:uid="{9AB21270-53D8-457E-92E6-BF21F291B9F7}"/>
    <cellStyle name="Normal 5 2 5 4" xfId="1329" xr:uid="{00000000-0005-0000-0000-00003A190000}"/>
    <cellStyle name="Normal 5 2 5 4 2" xfId="3559" xr:uid="{00000000-0005-0000-0000-00003B190000}"/>
    <cellStyle name="Normal 5 2 5 4 2 2" xfId="7783" xr:uid="{00000000-0005-0000-0000-00003C190000}"/>
    <cellStyle name="Normal 5 2 5 4 2 3" xfId="11994" xr:uid="{1A81088B-916E-4A33-A107-9E48C4E09172}"/>
    <cellStyle name="Normal 5 2 5 4 2 4" xfId="16205" xr:uid="{1CF99C48-45A6-4321-9CF0-035FDF60BFD7}"/>
    <cellStyle name="Normal 5 2 5 4 3" xfId="5638" xr:uid="{00000000-0005-0000-0000-00003D190000}"/>
    <cellStyle name="Normal 5 2 5 4 4" xfId="9849" xr:uid="{8ADBAA5D-20F5-4353-9884-E77CC68FA452}"/>
    <cellStyle name="Normal 5 2 5 4 5" xfId="14060" xr:uid="{B65E0C9F-08C0-4D3D-BEDB-A6D54DC68ACE}"/>
    <cellStyle name="Normal 5 2 5 5" xfId="1742" xr:uid="{00000000-0005-0000-0000-00003E190000}"/>
    <cellStyle name="Normal 5 2 5 5 2" xfId="3972" xr:uid="{00000000-0005-0000-0000-00003F190000}"/>
    <cellStyle name="Normal 5 2 5 5 2 2" xfId="8196" xr:uid="{00000000-0005-0000-0000-000040190000}"/>
    <cellStyle name="Normal 5 2 5 5 2 3" xfId="12407" xr:uid="{7D435C59-6F77-4742-96E1-628378EE8740}"/>
    <cellStyle name="Normal 5 2 5 5 2 4" xfId="16618" xr:uid="{569B26F7-1F87-43C5-8944-C48683AC18F4}"/>
    <cellStyle name="Normal 5 2 5 5 3" xfId="6051" xr:uid="{00000000-0005-0000-0000-000041190000}"/>
    <cellStyle name="Normal 5 2 5 5 4" xfId="10262" xr:uid="{69F4032D-0F09-4C10-8176-898E233E239D}"/>
    <cellStyle name="Normal 5 2 5 5 5" xfId="14473" xr:uid="{D6BF3515-DBB1-4978-944E-6518A943EFED}"/>
    <cellStyle name="Normal 5 2 5 6" xfId="2156" xr:uid="{00000000-0005-0000-0000-000042190000}"/>
    <cellStyle name="Normal 5 2 5 6 2" xfId="4385" xr:uid="{00000000-0005-0000-0000-000043190000}"/>
    <cellStyle name="Normal 5 2 5 6 2 2" xfId="8609" xr:uid="{00000000-0005-0000-0000-000044190000}"/>
    <cellStyle name="Normal 5 2 5 6 2 3" xfId="12820" xr:uid="{FF1E5040-3ABB-43B2-BA0A-F5F4ED4BC313}"/>
    <cellStyle name="Normal 5 2 5 6 2 4" xfId="17031" xr:uid="{739D1346-C6D9-4F96-ABFD-094E409BD47F}"/>
    <cellStyle name="Normal 5 2 5 6 3" xfId="6464" xr:uid="{00000000-0005-0000-0000-000045190000}"/>
    <cellStyle name="Normal 5 2 5 6 4" xfId="10675" xr:uid="{FC8C9693-1A95-4B4E-8A00-13855DD1E99C}"/>
    <cellStyle name="Normal 5 2 5 6 5" xfId="14886" xr:uid="{39332DBB-E15E-4577-BBF7-02BA70D32793}"/>
    <cellStyle name="Normal 5 2 5 7" xfId="2592" xr:uid="{00000000-0005-0000-0000-000046190000}"/>
    <cellStyle name="Normal 5 2 5 7 2" xfId="6877" xr:uid="{00000000-0005-0000-0000-000047190000}"/>
    <cellStyle name="Normal 5 2 5 7 3" xfId="11088" xr:uid="{E947AE57-49EA-49A3-94AD-2620CBF5B458}"/>
    <cellStyle name="Normal 5 2 5 7 4" xfId="15299" xr:uid="{1B4CE869-E03B-456C-BCD0-5D74C403759D}"/>
    <cellStyle name="Normal 5 2 5 8" xfId="4812" xr:uid="{00000000-0005-0000-0000-000048190000}"/>
    <cellStyle name="Normal 5 2 5 9" xfId="9023" xr:uid="{029D3EB8-826A-477E-B507-2F7D1D0903B8}"/>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2 3" xfId="11583" xr:uid="{823FA53B-E1B5-46A1-9CC7-686A78FBDD9C}"/>
    <cellStyle name="Normal 5 2 6 2 2 4" xfId="15794" xr:uid="{0B353B4B-547F-46F1-8FE2-3251E8D35BA3}"/>
    <cellStyle name="Normal 5 2 6 2 3" xfId="5227" xr:uid="{00000000-0005-0000-0000-00004D190000}"/>
    <cellStyle name="Normal 5 2 6 2 4" xfId="9438" xr:uid="{11AF0F8C-D622-4777-BB66-1B37818D9791}"/>
    <cellStyle name="Normal 5 2 6 2 5" xfId="13649" xr:uid="{05BF1744-8CF6-4BC6-A7C7-CB465D8C9DD2}"/>
    <cellStyle name="Normal 5 2 6 3" xfId="1331" xr:uid="{00000000-0005-0000-0000-00004E190000}"/>
    <cellStyle name="Normal 5 2 6 3 2" xfId="3561" xr:uid="{00000000-0005-0000-0000-00004F190000}"/>
    <cellStyle name="Normal 5 2 6 3 2 2" xfId="7785" xr:uid="{00000000-0005-0000-0000-000050190000}"/>
    <cellStyle name="Normal 5 2 6 3 2 3" xfId="11996" xr:uid="{DA701296-DE20-4EF1-8A7B-B1AF7F6D6A35}"/>
    <cellStyle name="Normal 5 2 6 3 2 4" xfId="16207" xr:uid="{1246245C-DE98-41EC-8417-C977809065D2}"/>
    <cellStyle name="Normal 5 2 6 3 3" xfId="5640" xr:uid="{00000000-0005-0000-0000-000051190000}"/>
    <cellStyle name="Normal 5 2 6 3 4" xfId="9851" xr:uid="{4A4D64CD-5880-4BEA-8CEE-9BDFBDA0596F}"/>
    <cellStyle name="Normal 5 2 6 3 5" xfId="14062" xr:uid="{7ECDB0D0-14E1-4684-A9A9-7D5517C98761}"/>
    <cellStyle name="Normal 5 2 6 4" xfId="1744" xr:uid="{00000000-0005-0000-0000-000052190000}"/>
    <cellStyle name="Normal 5 2 6 4 2" xfId="3974" xr:uid="{00000000-0005-0000-0000-000053190000}"/>
    <cellStyle name="Normal 5 2 6 4 2 2" xfId="8198" xr:uid="{00000000-0005-0000-0000-000054190000}"/>
    <cellStyle name="Normal 5 2 6 4 2 3" xfId="12409" xr:uid="{8404589F-20CE-40EC-BBD7-AFA79441B687}"/>
    <cellStyle name="Normal 5 2 6 4 2 4" xfId="16620" xr:uid="{07B5434E-D6CF-4D4B-86A9-AC4395D4A53A}"/>
    <cellStyle name="Normal 5 2 6 4 3" xfId="6053" xr:uid="{00000000-0005-0000-0000-000055190000}"/>
    <cellStyle name="Normal 5 2 6 4 4" xfId="10264" xr:uid="{EE51E063-D2B9-40DE-AD12-552198E2A8A3}"/>
    <cellStyle name="Normal 5 2 6 4 5" xfId="14475" xr:uid="{7B29D853-59DF-480C-B5EF-5DE9EB9F4D39}"/>
    <cellStyle name="Normal 5 2 6 5" xfId="2158" xr:uid="{00000000-0005-0000-0000-000056190000}"/>
    <cellStyle name="Normal 5 2 6 5 2" xfId="4387" xr:uid="{00000000-0005-0000-0000-000057190000}"/>
    <cellStyle name="Normal 5 2 6 5 2 2" xfId="8611" xr:uid="{00000000-0005-0000-0000-000058190000}"/>
    <cellStyle name="Normal 5 2 6 5 2 3" xfId="12822" xr:uid="{B53648E3-9788-41AA-B2B4-88F3427888EB}"/>
    <cellStyle name="Normal 5 2 6 5 2 4" xfId="17033" xr:uid="{74F1C4D8-5D8B-4428-BFDB-61AFD16C67BE}"/>
    <cellStyle name="Normal 5 2 6 5 3" xfId="6466" xr:uid="{00000000-0005-0000-0000-000059190000}"/>
    <cellStyle name="Normal 5 2 6 5 4" xfId="10677" xr:uid="{72BAB876-BF0B-48B1-8BE9-1AB50F58675D}"/>
    <cellStyle name="Normal 5 2 6 5 5" xfId="14888" xr:uid="{36771D59-670D-40A9-BB5A-C71429E0D8CD}"/>
    <cellStyle name="Normal 5 2 6 6" xfId="2594" xr:uid="{00000000-0005-0000-0000-00005A190000}"/>
    <cellStyle name="Normal 5 2 6 6 2" xfId="6879" xr:uid="{00000000-0005-0000-0000-00005B190000}"/>
    <cellStyle name="Normal 5 2 6 6 3" xfId="11090" xr:uid="{E834C4A5-AD51-432C-87F5-747EF8608FEA}"/>
    <cellStyle name="Normal 5 2 6 6 4" xfId="15301" xr:uid="{47F13CF7-35BF-4F25-920B-A6D0077ED4ED}"/>
    <cellStyle name="Normal 5 2 6 7" xfId="4814" xr:uid="{00000000-0005-0000-0000-00005C190000}"/>
    <cellStyle name="Normal 5 2 6 8" xfId="9025" xr:uid="{63C06515-0D71-479B-AAAE-A60A2B36D35E}"/>
    <cellStyle name="Normal 5 2 6 9" xfId="13236" xr:uid="{65B04766-9EF5-454A-9C68-771A567BDBB4}"/>
    <cellStyle name="Normal 5 2 7" xfId="882" xr:uid="{00000000-0005-0000-0000-00005D190000}"/>
    <cellStyle name="Normal 5 2 7 2" xfId="3117" xr:uid="{00000000-0005-0000-0000-00005E190000}"/>
    <cellStyle name="Normal 5 2 7 2 2" xfId="7341" xr:uid="{00000000-0005-0000-0000-00005F190000}"/>
    <cellStyle name="Normal 5 2 7 2 3" xfId="11552" xr:uid="{72989B96-9857-453B-BDF1-827350FBC4E6}"/>
    <cellStyle name="Normal 5 2 7 2 4" xfId="15763" xr:uid="{98184ADE-F650-4572-B6C8-A2BFB737371D}"/>
    <cellStyle name="Normal 5 2 7 3" xfId="5196" xr:uid="{00000000-0005-0000-0000-000060190000}"/>
    <cellStyle name="Normal 5 2 7 4" xfId="9407" xr:uid="{D01DDB27-1D71-4913-BB2C-BF9380F336DD}"/>
    <cellStyle name="Normal 5 2 7 5" xfId="13618" xr:uid="{3BA41634-3647-40B4-BF50-9AD09D729544}"/>
    <cellStyle name="Normal 5 2 8" xfId="1300" xr:uid="{00000000-0005-0000-0000-000061190000}"/>
    <cellStyle name="Normal 5 2 8 2" xfId="3530" xr:uid="{00000000-0005-0000-0000-000062190000}"/>
    <cellStyle name="Normal 5 2 8 2 2" xfId="7754" xr:uid="{00000000-0005-0000-0000-000063190000}"/>
    <cellStyle name="Normal 5 2 8 2 3" xfId="11965" xr:uid="{C901B2D3-5D30-4496-B291-FD90CC03F2CF}"/>
    <cellStyle name="Normal 5 2 8 2 4" xfId="16176" xr:uid="{954E9BFE-CBF9-4D14-ADC3-5771CB1AF654}"/>
    <cellStyle name="Normal 5 2 8 3" xfId="5609" xr:uid="{00000000-0005-0000-0000-000064190000}"/>
    <cellStyle name="Normal 5 2 8 4" xfId="9820" xr:uid="{4908247F-2B9C-46B6-B92B-8A879E62B770}"/>
    <cellStyle name="Normal 5 2 8 5" xfId="14031" xr:uid="{3C0A4CB6-64B1-4B6F-9DD7-30DB97130FC6}"/>
    <cellStyle name="Normal 5 2 9" xfId="1713" xr:uid="{00000000-0005-0000-0000-000065190000}"/>
    <cellStyle name="Normal 5 2 9 2" xfId="3943" xr:uid="{00000000-0005-0000-0000-000066190000}"/>
    <cellStyle name="Normal 5 2 9 2 2" xfId="8167" xr:uid="{00000000-0005-0000-0000-000067190000}"/>
    <cellStyle name="Normal 5 2 9 2 3" xfId="12378" xr:uid="{859316BE-72F6-4FFC-9364-A6B7A8A62F21}"/>
    <cellStyle name="Normal 5 2 9 2 4" xfId="16589" xr:uid="{67775E14-3D14-4C17-9F62-F6EE2A74ACE0}"/>
    <cellStyle name="Normal 5 2 9 3" xfId="6022" xr:uid="{00000000-0005-0000-0000-000068190000}"/>
    <cellStyle name="Normal 5 2 9 4" xfId="10233" xr:uid="{1B884904-5A33-421A-A579-93629C3DC617}"/>
    <cellStyle name="Normal 5 2 9 5" xfId="14444" xr:uid="{8CA05698-5630-4E3C-ACD5-80DD467F83C7}"/>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2 3" xfId="12823" xr:uid="{EAB7E1BA-1B5B-4A96-AF6B-EA672A98974D}"/>
    <cellStyle name="Normal 5 3 10 2 4" xfId="17034" xr:uid="{C3DAD09B-1D61-43F6-A3E3-5545DAE589E0}"/>
    <cellStyle name="Normal 5 3 10 3" xfId="6467" xr:uid="{00000000-0005-0000-0000-00006D190000}"/>
    <cellStyle name="Normal 5 3 10 4" xfId="10678" xr:uid="{A7E414E7-DCD8-44A2-8ABA-7330B67D9435}"/>
    <cellStyle name="Normal 5 3 10 5" xfId="14889" xr:uid="{A5B7702C-32E2-4DB6-ACB9-97AFC9EFB400}"/>
    <cellStyle name="Normal 5 3 11" xfId="2595" xr:uid="{00000000-0005-0000-0000-00006E190000}"/>
    <cellStyle name="Normal 5 3 11 2" xfId="6880" xr:uid="{00000000-0005-0000-0000-00006F190000}"/>
    <cellStyle name="Normal 5 3 11 3" xfId="11091" xr:uid="{D95FCAEA-733B-4FFF-954B-26F874028049}"/>
    <cellStyle name="Normal 5 3 11 4" xfId="15302" xr:uid="{3700F08E-BE51-4515-A802-68EF343CB77B}"/>
    <cellStyle name="Normal 5 3 12" xfId="4815" xr:uid="{00000000-0005-0000-0000-000070190000}"/>
    <cellStyle name="Normal 5 3 13" xfId="9026" xr:uid="{4AC5B052-88FA-49E8-85F1-53C6B34AF911}"/>
    <cellStyle name="Normal 5 3 14" xfId="13237" xr:uid="{CCE9B84F-BEB0-48A1-A928-2CE29FFB9916}"/>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11" xfId="9027" xr:uid="{82F5EC4B-3EAB-40C4-9A89-6E4AE69E54EA}"/>
    <cellStyle name="Normal 5 3 3 12" xfId="13238" xr:uid="{B373AFBD-1436-4C3A-8E3F-7F3D18DC5820}"/>
    <cellStyle name="Normal 5 3 3 2" xfId="442" xr:uid="{00000000-0005-0000-0000-000075190000}"/>
    <cellStyle name="Normal 5 3 3 2 10" xfId="9028" xr:uid="{B5DD54CE-3095-4B2E-9793-07E0C62780CC}"/>
    <cellStyle name="Normal 5 3 3 2 11" xfId="13239" xr:uid="{601E6330-C565-4655-84CA-5CDBB311DEC2}"/>
    <cellStyle name="Normal 5 3 3 2 2" xfId="443" xr:uid="{00000000-0005-0000-0000-000076190000}"/>
    <cellStyle name="Normal 5 3 3 2 2 10" xfId="13240" xr:uid="{058DA84F-EFBB-496A-B309-AB2E1F6338A7}"/>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2 3" xfId="11588" xr:uid="{1720A1AF-2F5E-4F30-A870-74EA46AFB3C8}"/>
    <cellStyle name="Normal 5 3 3 2 2 2 2 2 4" xfId="15799" xr:uid="{784A1601-1A2B-4029-BC58-CD125DD23403}"/>
    <cellStyle name="Normal 5 3 3 2 2 2 2 3" xfId="5232" xr:uid="{00000000-0005-0000-0000-00007B190000}"/>
    <cellStyle name="Normal 5 3 3 2 2 2 2 4" xfId="9443" xr:uid="{5EE7E5E7-D7CE-43B2-ABEC-6DC9B2BC91CF}"/>
    <cellStyle name="Normal 5 3 3 2 2 2 2 5" xfId="13654" xr:uid="{44994BA7-B6BC-444A-B65D-97592252766A}"/>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2 3" xfId="12001" xr:uid="{B6411B21-E4F5-45CC-87AC-0DCCF4F82D49}"/>
    <cellStyle name="Normal 5 3 3 2 2 2 3 2 4" xfId="16212" xr:uid="{2A4B6151-CE91-4419-A238-F296AE1E48FB}"/>
    <cellStyle name="Normal 5 3 3 2 2 2 3 3" xfId="5645" xr:uid="{00000000-0005-0000-0000-00007F190000}"/>
    <cellStyle name="Normal 5 3 3 2 2 2 3 4" xfId="9856" xr:uid="{9309856E-67C8-4D3F-B5DC-9A5BD7F9EC8A}"/>
    <cellStyle name="Normal 5 3 3 2 2 2 3 5" xfId="14067" xr:uid="{CD185FCE-9D59-474E-ABD0-D12FA0602587}"/>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2 3" xfId="12414" xr:uid="{CF97E054-8805-4D2F-AE57-9D814CCB2E06}"/>
    <cellStyle name="Normal 5 3 3 2 2 2 4 2 4" xfId="16625" xr:uid="{1AE7B929-CE2C-455A-B05C-2DC286270748}"/>
    <cellStyle name="Normal 5 3 3 2 2 2 4 3" xfId="6058" xr:uid="{00000000-0005-0000-0000-000083190000}"/>
    <cellStyle name="Normal 5 3 3 2 2 2 4 4" xfId="10269" xr:uid="{E0D6FE21-2613-4E8B-BACC-DBC6AC1D6895}"/>
    <cellStyle name="Normal 5 3 3 2 2 2 4 5" xfId="14480" xr:uid="{E0B96345-557F-497A-B55D-2C0E62C9D68D}"/>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2 3" xfId="12827" xr:uid="{22602E7A-18E4-4DA6-A036-7C1434A8D437}"/>
    <cellStyle name="Normal 5 3 3 2 2 2 5 2 4" xfId="17038" xr:uid="{1B26AF96-9DDD-496F-89A0-46AD8145889B}"/>
    <cellStyle name="Normal 5 3 3 2 2 2 5 3" xfId="6471" xr:uid="{00000000-0005-0000-0000-000087190000}"/>
    <cellStyle name="Normal 5 3 3 2 2 2 5 4" xfId="10682" xr:uid="{E6C2A636-AAB9-4C37-9F0D-04412B853A14}"/>
    <cellStyle name="Normal 5 3 3 2 2 2 5 5" xfId="14893" xr:uid="{5DDB8724-23EC-4D88-98E3-33A03DE3E72D}"/>
    <cellStyle name="Normal 5 3 3 2 2 2 6" xfId="2599" xr:uid="{00000000-0005-0000-0000-000088190000}"/>
    <cellStyle name="Normal 5 3 3 2 2 2 6 2" xfId="6884" xr:uid="{00000000-0005-0000-0000-000089190000}"/>
    <cellStyle name="Normal 5 3 3 2 2 2 6 3" xfId="11095" xr:uid="{CE3FD486-2CAF-4F15-A0BF-FDAB0FA3249A}"/>
    <cellStyle name="Normal 5 3 3 2 2 2 6 4" xfId="15306" xr:uid="{92EAA4F2-0E68-4BAC-B3EF-CB78A7AA6F9E}"/>
    <cellStyle name="Normal 5 3 3 2 2 2 7" xfId="4819" xr:uid="{00000000-0005-0000-0000-00008A190000}"/>
    <cellStyle name="Normal 5 3 3 2 2 2 8" xfId="9030" xr:uid="{E1A16F1D-4088-4F35-B59B-C95547B2B7BB}"/>
    <cellStyle name="Normal 5 3 3 2 2 2 9" xfId="13241" xr:uid="{7F424C44-9079-4206-8995-720FF5CC48EF}"/>
    <cellStyle name="Normal 5 3 3 2 2 3" xfId="918" xr:uid="{00000000-0005-0000-0000-00008B190000}"/>
    <cellStyle name="Normal 5 3 3 2 2 3 2" xfId="3152" xr:uid="{00000000-0005-0000-0000-00008C190000}"/>
    <cellStyle name="Normal 5 3 3 2 2 3 2 2" xfId="7376" xr:uid="{00000000-0005-0000-0000-00008D190000}"/>
    <cellStyle name="Normal 5 3 3 2 2 3 2 3" xfId="11587" xr:uid="{8B509C15-276F-4EFE-83E6-AC551EA5ED24}"/>
    <cellStyle name="Normal 5 3 3 2 2 3 2 4" xfId="15798" xr:uid="{53EE854B-EAE6-4329-BB81-45C868426FA6}"/>
    <cellStyle name="Normal 5 3 3 2 2 3 3" xfId="5231" xr:uid="{00000000-0005-0000-0000-00008E190000}"/>
    <cellStyle name="Normal 5 3 3 2 2 3 4" xfId="9442" xr:uid="{DE7563A5-18D8-41A6-A105-B663837D8718}"/>
    <cellStyle name="Normal 5 3 3 2 2 3 5" xfId="13653" xr:uid="{073D5798-7BF8-469C-BD27-A5A1FC185638}"/>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2 3" xfId="12000" xr:uid="{0C9DFF9D-6254-426D-B93B-AB6F791B3A54}"/>
    <cellStyle name="Normal 5 3 3 2 2 4 2 4" xfId="16211" xr:uid="{1793D9E1-294D-4E32-A1A7-12F7E8AEF732}"/>
    <cellStyle name="Normal 5 3 3 2 2 4 3" xfId="5644" xr:uid="{00000000-0005-0000-0000-000092190000}"/>
    <cellStyle name="Normal 5 3 3 2 2 4 4" xfId="9855" xr:uid="{65ADF2E0-F3FB-4FCE-BD9C-111C43BEE1FD}"/>
    <cellStyle name="Normal 5 3 3 2 2 4 5" xfId="14066" xr:uid="{9AAF3AED-4569-4270-87F2-FEB82C4C218D}"/>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2 3" xfId="12413" xr:uid="{DFF4ED65-021A-466E-831E-EB45900E2470}"/>
    <cellStyle name="Normal 5 3 3 2 2 5 2 4" xfId="16624" xr:uid="{63649FEE-77D2-4B16-AB5C-77D5204550CC}"/>
    <cellStyle name="Normal 5 3 3 2 2 5 3" xfId="6057" xr:uid="{00000000-0005-0000-0000-000096190000}"/>
    <cellStyle name="Normal 5 3 3 2 2 5 4" xfId="10268" xr:uid="{C0E82A80-6241-4C25-AA46-3B7C19D95BFC}"/>
    <cellStyle name="Normal 5 3 3 2 2 5 5" xfId="14479" xr:uid="{EE933F4A-8103-4FCF-9A73-E668D71CC51B}"/>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2 3" xfId="12826" xr:uid="{91AE9CB1-7335-456F-B3C8-F28464EC0AB5}"/>
    <cellStyle name="Normal 5 3 3 2 2 6 2 4" xfId="17037" xr:uid="{1279CB50-D4FC-4BA3-906A-37EC5B2F7D3B}"/>
    <cellStyle name="Normal 5 3 3 2 2 6 3" xfId="6470" xr:uid="{00000000-0005-0000-0000-00009A190000}"/>
    <cellStyle name="Normal 5 3 3 2 2 6 4" xfId="10681" xr:uid="{9B73B205-AF73-4B50-B701-660A6468765E}"/>
    <cellStyle name="Normal 5 3 3 2 2 6 5" xfId="14892" xr:uid="{044CAD2E-BF7C-4B4F-BA2F-D72C599D36A2}"/>
    <cellStyle name="Normal 5 3 3 2 2 7" xfId="2598" xr:uid="{00000000-0005-0000-0000-00009B190000}"/>
    <cellStyle name="Normal 5 3 3 2 2 7 2" xfId="6883" xr:uid="{00000000-0005-0000-0000-00009C190000}"/>
    <cellStyle name="Normal 5 3 3 2 2 7 3" xfId="11094" xr:uid="{D7E1D803-089D-404B-AEC7-BB2E8196EA9E}"/>
    <cellStyle name="Normal 5 3 3 2 2 7 4" xfId="15305" xr:uid="{C74C8CED-9919-4042-ACA5-8057155DA008}"/>
    <cellStyle name="Normal 5 3 3 2 2 8" xfId="4818" xr:uid="{00000000-0005-0000-0000-00009D190000}"/>
    <cellStyle name="Normal 5 3 3 2 2 9" xfId="9029" xr:uid="{FA10FBD4-BF93-4B3E-A60A-29DAD31DB4BD}"/>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2 3" xfId="11589" xr:uid="{D3C85CEB-5E80-4F7D-8DA5-29A01D65E366}"/>
    <cellStyle name="Normal 5 3 3 2 3 2 2 4" xfId="15800" xr:uid="{E06A214F-DFF6-4677-90C9-220789314193}"/>
    <cellStyle name="Normal 5 3 3 2 3 2 3" xfId="5233" xr:uid="{00000000-0005-0000-0000-0000A2190000}"/>
    <cellStyle name="Normal 5 3 3 2 3 2 4" xfId="9444" xr:uid="{4BC2B77D-DBF2-47E9-9BD7-092649C8B8DF}"/>
    <cellStyle name="Normal 5 3 3 2 3 2 5" xfId="13655" xr:uid="{EDE8BE8A-B761-43DD-8FD0-67D902748FE6}"/>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2 3" xfId="12002" xr:uid="{2BECD6C9-4B24-4894-90FA-91947F2197A5}"/>
    <cellStyle name="Normal 5 3 3 2 3 3 2 4" xfId="16213" xr:uid="{31B4EDAE-4763-4A26-9DAE-10AF9C00CB47}"/>
    <cellStyle name="Normal 5 3 3 2 3 3 3" xfId="5646" xr:uid="{00000000-0005-0000-0000-0000A6190000}"/>
    <cellStyle name="Normal 5 3 3 2 3 3 4" xfId="9857" xr:uid="{34DD5071-A8E4-45BC-8A13-EA82FFF1D379}"/>
    <cellStyle name="Normal 5 3 3 2 3 3 5" xfId="14068" xr:uid="{C7864756-02BB-4B94-BD1F-7C7FD5631AE1}"/>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2 3" xfId="12415" xr:uid="{B0611E8D-586C-44DE-8B50-D33FDE60B437}"/>
    <cellStyle name="Normal 5 3 3 2 3 4 2 4" xfId="16626" xr:uid="{4364506D-0515-4B8E-9EEC-3161AD59C17E}"/>
    <cellStyle name="Normal 5 3 3 2 3 4 3" xfId="6059" xr:uid="{00000000-0005-0000-0000-0000AA190000}"/>
    <cellStyle name="Normal 5 3 3 2 3 4 4" xfId="10270" xr:uid="{713453B6-F1C2-4E85-961D-47DB08BEE7E4}"/>
    <cellStyle name="Normal 5 3 3 2 3 4 5" xfId="14481" xr:uid="{3A5CF17E-608E-4D76-BC8A-7D3550768407}"/>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2 3" xfId="12828" xr:uid="{1041C0D2-66C0-4F3F-B3C4-9CF94AD77E61}"/>
    <cellStyle name="Normal 5 3 3 2 3 5 2 4" xfId="17039" xr:uid="{0F59EEB7-13B9-4031-B2B3-64835C5B8B32}"/>
    <cellStyle name="Normal 5 3 3 2 3 5 3" xfId="6472" xr:uid="{00000000-0005-0000-0000-0000AE190000}"/>
    <cellStyle name="Normal 5 3 3 2 3 5 4" xfId="10683" xr:uid="{6176A1E2-A94A-4D10-BD3B-AB771F0DB78D}"/>
    <cellStyle name="Normal 5 3 3 2 3 5 5" xfId="14894" xr:uid="{60C228E3-BB50-4C3B-BE4E-18D776B88E18}"/>
    <cellStyle name="Normal 5 3 3 2 3 6" xfId="2600" xr:uid="{00000000-0005-0000-0000-0000AF190000}"/>
    <cellStyle name="Normal 5 3 3 2 3 6 2" xfId="6885" xr:uid="{00000000-0005-0000-0000-0000B0190000}"/>
    <cellStyle name="Normal 5 3 3 2 3 6 3" xfId="11096" xr:uid="{CBF211CD-EA34-40CE-9318-B185EE7FA986}"/>
    <cellStyle name="Normal 5 3 3 2 3 6 4" xfId="15307" xr:uid="{99D9C245-DA0E-4D39-9521-3D080023DB65}"/>
    <cellStyle name="Normal 5 3 3 2 3 7" xfId="4820" xr:uid="{00000000-0005-0000-0000-0000B1190000}"/>
    <cellStyle name="Normal 5 3 3 2 3 8" xfId="9031" xr:uid="{C9FA338E-EEB7-47A1-B033-C94E84B4F951}"/>
    <cellStyle name="Normal 5 3 3 2 3 9" xfId="13242" xr:uid="{C244172A-67D0-4DFD-9373-85747D463F06}"/>
    <cellStyle name="Normal 5 3 3 2 4" xfId="917" xr:uid="{00000000-0005-0000-0000-0000B2190000}"/>
    <cellStyle name="Normal 5 3 3 2 4 2" xfId="3151" xr:uid="{00000000-0005-0000-0000-0000B3190000}"/>
    <cellStyle name="Normal 5 3 3 2 4 2 2" xfId="7375" xr:uid="{00000000-0005-0000-0000-0000B4190000}"/>
    <cellStyle name="Normal 5 3 3 2 4 2 3" xfId="11586" xr:uid="{12008CAD-4F4B-45DD-B7F8-0AD9C6DC3A48}"/>
    <cellStyle name="Normal 5 3 3 2 4 2 4" xfId="15797" xr:uid="{09F1C4E2-3C2E-42AF-B9F4-CD85B195A3DF}"/>
    <cellStyle name="Normal 5 3 3 2 4 3" xfId="5230" xr:uid="{00000000-0005-0000-0000-0000B5190000}"/>
    <cellStyle name="Normal 5 3 3 2 4 4" xfId="9441" xr:uid="{83698042-7662-4EAE-B7F0-C70F63704108}"/>
    <cellStyle name="Normal 5 3 3 2 4 5" xfId="13652" xr:uid="{13CCB44B-4EF8-4418-8AD2-97903BFDFFEC}"/>
    <cellStyle name="Normal 5 3 3 2 5" xfId="1334" xr:uid="{00000000-0005-0000-0000-0000B6190000}"/>
    <cellStyle name="Normal 5 3 3 2 5 2" xfId="3564" xr:uid="{00000000-0005-0000-0000-0000B7190000}"/>
    <cellStyle name="Normal 5 3 3 2 5 2 2" xfId="7788" xr:uid="{00000000-0005-0000-0000-0000B8190000}"/>
    <cellStyle name="Normal 5 3 3 2 5 2 3" xfId="11999" xr:uid="{52BD5D70-259A-4F66-825B-7B4E80E5D3A4}"/>
    <cellStyle name="Normal 5 3 3 2 5 2 4" xfId="16210" xr:uid="{0E482EDE-7546-4DC5-8A62-AB9C609817AA}"/>
    <cellStyle name="Normal 5 3 3 2 5 3" xfId="5643" xr:uid="{00000000-0005-0000-0000-0000B9190000}"/>
    <cellStyle name="Normal 5 3 3 2 5 4" xfId="9854" xr:uid="{F14B6AA5-8256-4B36-8C67-D65DC723E162}"/>
    <cellStyle name="Normal 5 3 3 2 5 5" xfId="14065" xr:uid="{60E480A7-92F6-478A-8DC3-610D98002552}"/>
    <cellStyle name="Normal 5 3 3 2 6" xfId="1747" xr:uid="{00000000-0005-0000-0000-0000BA190000}"/>
    <cellStyle name="Normal 5 3 3 2 6 2" xfId="3977" xr:uid="{00000000-0005-0000-0000-0000BB190000}"/>
    <cellStyle name="Normal 5 3 3 2 6 2 2" xfId="8201" xr:uid="{00000000-0005-0000-0000-0000BC190000}"/>
    <cellStyle name="Normal 5 3 3 2 6 2 3" xfId="12412" xr:uid="{42008CC4-CA35-4987-B4F7-74AEDA858FB7}"/>
    <cellStyle name="Normal 5 3 3 2 6 2 4" xfId="16623" xr:uid="{54BE1AD5-60A3-44F6-B4C4-8F313954639F}"/>
    <cellStyle name="Normal 5 3 3 2 6 3" xfId="6056" xr:uid="{00000000-0005-0000-0000-0000BD190000}"/>
    <cellStyle name="Normal 5 3 3 2 6 4" xfId="10267" xr:uid="{6608EEB0-4344-49E9-A018-CE8369497269}"/>
    <cellStyle name="Normal 5 3 3 2 6 5" xfId="14478" xr:uid="{473B2960-D12E-41A1-8F20-CF2C80CF6D44}"/>
    <cellStyle name="Normal 5 3 3 2 7" xfId="2161" xr:uid="{00000000-0005-0000-0000-0000BE190000}"/>
    <cellStyle name="Normal 5 3 3 2 7 2" xfId="4390" xr:uid="{00000000-0005-0000-0000-0000BF190000}"/>
    <cellStyle name="Normal 5 3 3 2 7 2 2" xfId="8614" xr:uid="{00000000-0005-0000-0000-0000C0190000}"/>
    <cellStyle name="Normal 5 3 3 2 7 2 3" xfId="12825" xr:uid="{D21E59BF-CE82-49F3-9A22-9EBFEE292B9C}"/>
    <cellStyle name="Normal 5 3 3 2 7 2 4" xfId="17036" xr:uid="{00D3F686-93AC-4233-8027-775715CFA92C}"/>
    <cellStyle name="Normal 5 3 3 2 7 3" xfId="6469" xr:uid="{00000000-0005-0000-0000-0000C1190000}"/>
    <cellStyle name="Normal 5 3 3 2 7 4" xfId="10680" xr:uid="{2DB1AE85-86D5-40F6-966D-9D51DE3CEC3A}"/>
    <cellStyle name="Normal 5 3 3 2 7 5" xfId="14891" xr:uid="{3236E122-087F-4ECE-8572-ADA9DABF3721}"/>
    <cellStyle name="Normal 5 3 3 2 8" xfId="2597" xr:uid="{00000000-0005-0000-0000-0000C2190000}"/>
    <cellStyle name="Normal 5 3 3 2 8 2" xfId="6882" xr:uid="{00000000-0005-0000-0000-0000C3190000}"/>
    <cellStyle name="Normal 5 3 3 2 8 3" xfId="11093" xr:uid="{628940CE-79E3-4770-A6B2-A7C3BF9E9B52}"/>
    <cellStyle name="Normal 5 3 3 2 8 4" xfId="15304" xr:uid="{45E80E26-F1D0-4ADC-A0BC-39E4157EC6DC}"/>
    <cellStyle name="Normal 5 3 3 2 9" xfId="4817" xr:uid="{00000000-0005-0000-0000-0000C4190000}"/>
    <cellStyle name="Normal 5 3 3 3" xfId="446" xr:uid="{00000000-0005-0000-0000-0000C5190000}"/>
    <cellStyle name="Normal 5 3 3 3 10" xfId="13243" xr:uid="{9DB00878-5888-452C-B81C-FE28D57DBFBC}"/>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2 3" xfId="11591" xr:uid="{BEA07DC8-5438-4144-97FE-EB027CEEC87A}"/>
    <cellStyle name="Normal 5 3 3 3 2 2 2 4" xfId="15802" xr:uid="{B9AD596B-9228-4600-BF8D-AAA36BE5EE5C}"/>
    <cellStyle name="Normal 5 3 3 3 2 2 3" xfId="5235" xr:uid="{00000000-0005-0000-0000-0000CA190000}"/>
    <cellStyle name="Normal 5 3 3 3 2 2 4" xfId="9446" xr:uid="{C8E20339-2813-4A5E-84E5-0F3C2BFA646C}"/>
    <cellStyle name="Normal 5 3 3 3 2 2 5" xfId="13657" xr:uid="{127B2E2C-FED1-481A-8A02-49D6B2CD20A4}"/>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2 3" xfId="12004" xr:uid="{BB5D0E38-63F0-435F-B128-F9C0F72B19B3}"/>
    <cellStyle name="Normal 5 3 3 3 2 3 2 4" xfId="16215" xr:uid="{159DB6E5-DAF0-4BC4-B77B-4925D1B6F72A}"/>
    <cellStyle name="Normal 5 3 3 3 2 3 3" xfId="5648" xr:uid="{00000000-0005-0000-0000-0000CE190000}"/>
    <cellStyle name="Normal 5 3 3 3 2 3 4" xfId="9859" xr:uid="{68BD8C0A-1744-4855-B0FB-00DB384E8554}"/>
    <cellStyle name="Normal 5 3 3 3 2 3 5" xfId="14070" xr:uid="{EE0E8FB7-16CC-46A9-82B4-E2EF66408B5D}"/>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2 3" xfId="12417" xr:uid="{2356EFC5-33E8-49A1-B165-4685EEAE3047}"/>
    <cellStyle name="Normal 5 3 3 3 2 4 2 4" xfId="16628" xr:uid="{063E0415-96F4-4013-B509-B1EEFE071974}"/>
    <cellStyle name="Normal 5 3 3 3 2 4 3" xfId="6061" xr:uid="{00000000-0005-0000-0000-0000D2190000}"/>
    <cellStyle name="Normal 5 3 3 3 2 4 4" xfId="10272" xr:uid="{9D44D2DF-9D4D-41D8-AEFA-C609911FB9F6}"/>
    <cellStyle name="Normal 5 3 3 3 2 4 5" xfId="14483" xr:uid="{90527CB6-B059-4162-8180-5A8D5EFF8233}"/>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2 3" xfId="12830" xr:uid="{500E78E8-BA4C-4405-A9F9-371CC91FE907}"/>
    <cellStyle name="Normal 5 3 3 3 2 5 2 4" xfId="17041" xr:uid="{58DDA638-DAE7-41B2-834F-14A4CE4B2335}"/>
    <cellStyle name="Normal 5 3 3 3 2 5 3" xfId="6474" xr:uid="{00000000-0005-0000-0000-0000D6190000}"/>
    <cellStyle name="Normal 5 3 3 3 2 5 4" xfId="10685" xr:uid="{962F59F8-DF9E-4F78-87EF-2E28CEFA072F}"/>
    <cellStyle name="Normal 5 3 3 3 2 5 5" xfId="14896" xr:uid="{98280B0F-88E3-4D71-B6B4-05471D4E67C5}"/>
    <cellStyle name="Normal 5 3 3 3 2 6" xfId="2602" xr:uid="{00000000-0005-0000-0000-0000D7190000}"/>
    <cellStyle name="Normal 5 3 3 3 2 6 2" xfId="6887" xr:uid="{00000000-0005-0000-0000-0000D8190000}"/>
    <cellStyle name="Normal 5 3 3 3 2 6 3" xfId="11098" xr:uid="{0773B531-8A7D-46A8-8FA4-D6A89B8636B0}"/>
    <cellStyle name="Normal 5 3 3 3 2 6 4" xfId="15309" xr:uid="{B2C05A95-CC30-4B01-B6EE-48CE2B3622FA}"/>
    <cellStyle name="Normal 5 3 3 3 2 7" xfId="4822" xr:uid="{00000000-0005-0000-0000-0000D9190000}"/>
    <cellStyle name="Normal 5 3 3 3 2 8" xfId="9033" xr:uid="{F04F3AC2-8F40-4973-81AB-3C3D8EA20A84}"/>
    <cellStyle name="Normal 5 3 3 3 2 9" xfId="13244" xr:uid="{EC1930A4-1B20-4C40-BC11-ED81AAF8081C}"/>
    <cellStyle name="Normal 5 3 3 3 3" xfId="921" xr:uid="{00000000-0005-0000-0000-0000DA190000}"/>
    <cellStyle name="Normal 5 3 3 3 3 2" xfId="3155" xr:uid="{00000000-0005-0000-0000-0000DB190000}"/>
    <cellStyle name="Normal 5 3 3 3 3 2 2" xfId="7379" xr:uid="{00000000-0005-0000-0000-0000DC190000}"/>
    <cellStyle name="Normal 5 3 3 3 3 2 3" xfId="11590" xr:uid="{F2F49FB4-95C5-4C5D-8972-CDF0D1948EBA}"/>
    <cellStyle name="Normal 5 3 3 3 3 2 4" xfId="15801" xr:uid="{B73AD7E7-9456-40C0-B7A3-C008FE067D77}"/>
    <cellStyle name="Normal 5 3 3 3 3 3" xfId="5234" xr:uid="{00000000-0005-0000-0000-0000DD190000}"/>
    <cellStyle name="Normal 5 3 3 3 3 4" xfId="9445" xr:uid="{206DE519-2D28-4D42-A54A-B5CCE82E8027}"/>
    <cellStyle name="Normal 5 3 3 3 3 5" xfId="13656" xr:uid="{5DC50F2C-5279-49D8-9A1C-78704941E135}"/>
    <cellStyle name="Normal 5 3 3 3 4" xfId="1338" xr:uid="{00000000-0005-0000-0000-0000DE190000}"/>
    <cellStyle name="Normal 5 3 3 3 4 2" xfId="3568" xr:uid="{00000000-0005-0000-0000-0000DF190000}"/>
    <cellStyle name="Normal 5 3 3 3 4 2 2" xfId="7792" xr:uid="{00000000-0005-0000-0000-0000E0190000}"/>
    <cellStyle name="Normal 5 3 3 3 4 2 3" xfId="12003" xr:uid="{1DA504D2-BB73-4CBA-B8E4-959AA700833B}"/>
    <cellStyle name="Normal 5 3 3 3 4 2 4" xfId="16214" xr:uid="{89AF7BF5-2384-407C-A7B7-547D14DE3F0A}"/>
    <cellStyle name="Normal 5 3 3 3 4 3" xfId="5647" xr:uid="{00000000-0005-0000-0000-0000E1190000}"/>
    <cellStyle name="Normal 5 3 3 3 4 4" xfId="9858" xr:uid="{21DC664C-A023-43E9-95CF-97F18BEAA7B7}"/>
    <cellStyle name="Normal 5 3 3 3 4 5" xfId="14069" xr:uid="{51938A06-78C4-4C37-B944-DA0B0D65C363}"/>
    <cellStyle name="Normal 5 3 3 3 5" xfId="1751" xr:uid="{00000000-0005-0000-0000-0000E2190000}"/>
    <cellStyle name="Normal 5 3 3 3 5 2" xfId="3981" xr:uid="{00000000-0005-0000-0000-0000E3190000}"/>
    <cellStyle name="Normal 5 3 3 3 5 2 2" xfId="8205" xr:uid="{00000000-0005-0000-0000-0000E4190000}"/>
    <cellStyle name="Normal 5 3 3 3 5 2 3" xfId="12416" xr:uid="{51737F4D-5665-41F5-A004-979A5CE6AC72}"/>
    <cellStyle name="Normal 5 3 3 3 5 2 4" xfId="16627" xr:uid="{BD48CBAE-6684-435B-9911-4F0C3C73AFE2}"/>
    <cellStyle name="Normal 5 3 3 3 5 3" xfId="6060" xr:uid="{00000000-0005-0000-0000-0000E5190000}"/>
    <cellStyle name="Normal 5 3 3 3 5 4" xfId="10271" xr:uid="{B5BE5667-8BEF-4D00-A048-6903B00A32A1}"/>
    <cellStyle name="Normal 5 3 3 3 5 5" xfId="14482" xr:uid="{D9114559-439F-429E-9EEF-D028D7642E4B}"/>
    <cellStyle name="Normal 5 3 3 3 6" xfId="2165" xr:uid="{00000000-0005-0000-0000-0000E6190000}"/>
    <cellStyle name="Normal 5 3 3 3 6 2" xfId="4394" xr:uid="{00000000-0005-0000-0000-0000E7190000}"/>
    <cellStyle name="Normal 5 3 3 3 6 2 2" xfId="8618" xr:uid="{00000000-0005-0000-0000-0000E8190000}"/>
    <cellStyle name="Normal 5 3 3 3 6 2 3" xfId="12829" xr:uid="{E25EA901-FA58-4452-9A97-27C9149CCF2F}"/>
    <cellStyle name="Normal 5 3 3 3 6 2 4" xfId="17040" xr:uid="{068A4CA5-1F53-43F4-81C1-A3400C9877B3}"/>
    <cellStyle name="Normal 5 3 3 3 6 3" xfId="6473" xr:uid="{00000000-0005-0000-0000-0000E9190000}"/>
    <cellStyle name="Normal 5 3 3 3 6 4" xfId="10684" xr:uid="{CCF5E216-2D7B-48C5-91F6-494E53B6873A}"/>
    <cellStyle name="Normal 5 3 3 3 6 5" xfId="14895" xr:uid="{3B42C30D-1FD8-4ABD-8D09-CE21E33A2310}"/>
    <cellStyle name="Normal 5 3 3 3 7" xfId="2601" xr:uid="{00000000-0005-0000-0000-0000EA190000}"/>
    <cellStyle name="Normal 5 3 3 3 7 2" xfId="6886" xr:uid="{00000000-0005-0000-0000-0000EB190000}"/>
    <cellStyle name="Normal 5 3 3 3 7 3" xfId="11097" xr:uid="{62594573-AE15-4381-A64B-8F521F3483E0}"/>
    <cellStyle name="Normal 5 3 3 3 7 4" xfId="15308" xr:uid="{66E25335-047C-4B6C-85C4-202D5D5E6D41}"/>
    <cellStyle name="Normal 5 3 3 3 8" xfId="4821" xr:uid="{00000000-0005-0000-0000-0000EC190000}"/>
    <cellStyle name="Normal 5 3 3 3 9" xfId="9032" xr:uid="{8FD6F885-CB51-4808-B687-C155FF7382E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2 3" xfId="11592" xr:uid="{77254F71-3B5E-4DFF-8043-0F7958D9AC77}"/>
    <cellStyle name="Normal 5 3 3 4 2 2 4" xfId="15803" xr:uid="{C1F44C6A-32DF-498A-9469-50F628ADCA2B}"/>
    <cellStyle name="Normal 5 3 3 4 2 3" xfId="5236" xr:uid="{00000000-0005-0000-0000-0000F1190000}"/>
    <cellStyle name="Normal 5 3 3 4 2 4" xfId="9447" xr:uid="{980F01C1-8DEB-4715-9D6C-B2D923D6050E}"/>
    <cellStyle name="Normal 5 3 3 4 2 5" xfId="13658" xr:uid="{9BA28221-62D0-422C-86F1-4982D0850AD9}"/>
    <cellStyle name="Normal 5 3 3 4 3" xfId="1340" xr:uid="{00000000-0005-0000-0000-0000F2190000}"/>
    <cellStyle name="Normal 5 3 3 4 3 2" xfId="3570" xr:uid="{00000000-0005-0000-0000-0000F3190000}"/>
    <cellStyle name="Normal 5 3 3 4 3 2 2" xfId="7794" xr:uid="{00000000-0005-0000-0000-0000F4190000}"/>
    <cellStyle name="Normal 5 3 3 4 3 2 3" xfId="12005" xr:uid="{A6FA1E16-C032-4C49-8652-0918A12D261D}"/>
    <cellStyle name="Normal 5 3 3 4 3 2 4" xfId="16216" xr:uid="{445AF382-F99F-4135-981B-C1ED3C623045}"/>
    <cellStyle name="Normal 5 3 3 4 3 3" xfId="5649" xr:uid="{00000000-0005-0000-0000-0000F5190000}"/>
    <cellStyle name="Normal 5 3 3 4 3 4" xfId="9860" xr:uid="{A07314D6-B899-4711-82DE-84B8A4E6068D}"/>
    <cellStyle name="Normal 5 3 3 4 3 5" xfId="14071" xr:uid="{D02AA833-0D82-49B5-AE45-F4F92A23F37B}"/>
    <cellStyle name="Normal 5 3 3 4 4" xfId="1753" xr:uid="{00000000-0005-0000-0000-0000F6190000}"/>
    <cellStyle name="Normal 5 3 3 4 4 2" xfId="3983" xr:uid="{00000000-0005-0000-0000-0000F7190000}"/>
    <cellStyle name="Normal 5 3 3 4 4 2 2" xfId="8207" xr:uid="{00000000-0005-0000-0000-0000F8190000}"/>
    <cellStyle name="Normal 5 3 3 4 4 2 3" xfId="12418" xr:uid="{D831CD8D-D08F-44ED-939E-D55868EE25A5}"/>
    <cellStyle name="Normal 5 3 3 4 4 2 4" xfId="16629" xr:uid="{23FE8811-CC3C-4B0E-83BB-6D2C656D54D0}"/>
    <cellStyle name="Normal 5 3 3 4 4 3" xfId="6062" xr:uid="{00000000-0005-0000-0000-0000F9190000}"/>
    <cellStyle name="Normal 5 3 3 4 4 4" xfId="10273" xr:uid="{358F4C64-2F56-4DEB-AC5B-9D85A074ECB5}"/>
    <cellStyle name="Normal 5 3 3 4 4 5" xfId="14484" xr:uid="{F672B951-4AEF-412A-A184-D3A47372F635}"/>
    <cellStyle name="Normal 5 3 3 4 5" xfId="2167" xr:uid="{00000000-0005-0000-0000-0000FA190000}"/>
    <cellStyle name="Normal 5 3 3 4 5 2" xfId="4396" xr:uid="{00000000-0005-0000-0000-0000FB190000}"/>
    <cellStyle name="Normal 5 3 3 4 5 2 2" xfId="8620" xr:uid="{00000000-0005-0000-0000-0000FC190000}"/>
    <cellStyle name="Normal 5 3 3 4 5 2 3" xfId="12831" xr:uid="{A235451A-5EE4-4698-B415-B2914AE979E7}"/>
    <cellStyle name="Normal 5 3 3 4 5 2 4" xfId="17042" xr:uid="{6E6F4871-FC54-4FB7-9633-3B3DAC9EFC9F}"/>
    <cellStyle name="Normal 5 3 3 4 5 3" xfId="6475" xr:uid="{00000000-0005-0000-0000-0000FD190000}"/>
    <cellStyle name="Normal 5 3 3 4 5 4" xfId="10686" xr:uid="{C9407ABC-99F9-4787-ADA5-71806CBEE451}"/>
    <cellStyle name="Normal 5 3 3 4 5 5" xfId="14897" xr:uid="{3DF7F7DE-39F7-4A37-A37A-DB48519DDCEF}"/>
    <cellStyle name="Normal 5 3 3 4 6" xfId="2603" xr:uid="{00000000-0005-0000-0000-0000FE190000}"/>
    <cellStyle name="Normal 5 3 3 4 6 2" xfId="6888" xr:uid="{00000000-0005-0000-0000-0000FF190000}"/>
    <cellStyle name="Normal 5 3 3 4 6 3" xfId="11099" xr:uid="{B0CF5DC3-C1E6-4523-B104-91F4980D21CB}"/>
    <cellStyle name="Normal 5 3 3 4 6 4" xfId="15310" xr:uid="{EC7FE399-92EC-4AA7-BC52-D1A5225CA0E1}"/>
    <cellStyle name="Normal 5 3 3 4 7" xfId="4823" xr:uid="{00000000-0005-0000-0000-0000001A0000}"/>
    <cellStyle name="Normal 5 3 3 4 8" xfId="9034" xr:uid="{0B31C3ED-69A9-4F2A-ACD4-45C4D87F42E4}"/>
    <cellStyle name="Normal 5 3 3 4 9" xfId="13245" xr:uid="{7DA64DB0-CCAB-49D1-8E89-44C44B3487DD}"/>
    <cellStyle name="Normal 5 3 3 5" xfId="916" xr:uid="{00000000-0005-0000-0000-0000011A0000}"/>
    <cellStyle name="Normal 5 3 3 5 2" xfId="3150" xr:uid="{00000000-0005-0000-0000-0000021A0000}"/>
    <cellStyle name="Normal 5 3 3 5 2 2" xfId="7374" xr:uid="{00000000-0005-0000-0000-0000031A0000}"/>
    <cellStyle name="Normal 5 3 3 5 2 3" xfId="11585" xr:uid="{447ACDDF-23BE-420E-849F-D338D9FC0238}"/>
    <cellStyle name="Normal 5 3 3 5 2 4" xfId="15796" xr:uid="{4810101E-DB0E-4AB7-BB44-717D78273579}"/>
    <cellStyle name="Normal 5 3 3 5 3" xfId="5229" xr:uid="{00000000-0005-0000-0000-0000041A0000}"/>
    <cellStyle name="Normal 5 3 3 5 4" xfId="9440" xr:uid="{B088A5A4-DA2D-4CC0-9E3C-DB3FB009E154}"/>
    <cellStyle name="Normal 5 3 3 5 5" xfId="13651" xr:uid="{475ACAB4-8E6F-40A3-B302-13FEF045C28E}"/>
    <cellStyle name="Normal 5 3 3 6" xfId="1333" xr:uid="{00000000-0005-0000-0000-0000051A0000}"/>
    <cellStyle name="Normal 5 3 3 6 2" xfId="3563" xr:uid="{00000000-0005-0000-0000-0000061A0000}"/>
    <cellStyle name="Normal 5 3 3 6 2 2" xfId="7787" xr:uid="{00000000-0005-0000-0000-0000071A0000}"/>
    <cellStyle name="Normal 5 3 3 6 2 3" xfId="11998" xr:uid="{684E0FA8-68AB-40A4-AD9B-ADE0760848B8}"/>
    <cellStyle name="Normal 5 3 3 6 2 4" xfId="16209" xr:uid="{32688358-2C42-4B54-ABDC-3FD6997F8AC4}"/>
    <cellStyle name="Normal 5 3 3 6 3" xfId="5642" xr:uid="{00000000-0005-0000-0000-0000081A0000}"/>
    <cellStyle name="Normal 5 3 3 6 4" xfId="9853" xr:uid="{79B9F3C5-4ED8-4674-B843-98617AB09D76}"/>
    <cellStyle name="Normal 5 3 3 6 5" xfId="14064" xr:uid="{8B3453E9-647D-4BBF-BD84-C5FA6125A61B}"/>
    <cellStyle name="Normal 5 3 3 7" xfId="1746" xr:uid="{00000000-0005-0000-0000-0000091A0000}"/>
    <cellStyle name="Normal 5 3 3 7 2" xfId="3976" xr:uid="{00000000-0005-0000-0000-00000A1A0000}"/>
    <cellStyle name="Normal 5 3 3 7 2 2" xfId="8200" xr:uid="{00000000-0005-0000-0000-00000B1A0000}"/>
    <cellStyle name="Normal 5 3 3 7 2 3" xfId="12411" xr:uid="{C373337A-EB36-4DB0-8C52-0756139DC8FB}"/>
    <cellStyle name="Normal 5 3 3 7 2 4" xfId="16622" xr:uid="{7570F5E7-5F98-4136-9EE6-B011BBDA7513}"/>
    <cellStyle name="Normal 5 3 3 7 3" xfId="6055" xr:uid="{00000000-0005-0000-0000-00000C1A0000}"/>
    <cellStyle name="Normal 5 3 3 7 4" xfId="10266" xr:uid="{4B17CD20-C22F-4064-AD98-0085B60BBD55}"/>
    <cellStyle name="Normal 5 3 3 7 5" xfId="14477" xr:uid="{3EB24043-52AD-43D6-BE10-396358130BF9}"/>
    <cellStyle name="Normal 5 3 3 8" xfId="2160" xr:uid="{00000000-0005-0000-0000-00000D1A0000}"/>
    <cellStyle name="Normal 5 3 3 8 2" xfId="4389" xr:uid="{00000000-0005-0000-0000-00000E1A0000}"/>
    <cellStyle name="Normal 5 3 3 8 2 2" xfId="8613" xr:uid="{00000000-0005-0000-0000-00000F1A0000}"/>
    <cellStyle name="Normal 5 3 3 8 2 3" xfId="12824" xr:uid="{A3E03750-4050-47AB-9E2E-37095D3519B3}"/>
    <cellStyle name="Normal 5 3 3 8 2 4" xfId="17035" xr:uid="{661F6C9C-A9B1-404E-9FC1-27D148039BF4}"/>
    <cellStyle name="Normal 5 3 3 8 3" xfId="6468" xr:uid="{00000000-0005-0000-0000-0000101A0000}"/>
    <cellStyle name="Normal 5 3 3 8 4" xfId="10679" xr:uid="{38EBB117-5F07-4282-8BD3-E64FB377C419}"/>
    <cellStyle name="Normal 5 3 3 8 5" xfId="14890" xr:uid="{AE11F7C7-5646-4D41-8E7A-1AED7A780691}"/>
    <cellStyle name="Normal 5 3 3 9" xfId="2596" xr:uid="{00000000-0005-0000-0000-0000111A0000}"/>
    <cellStyle name="Normal 5 3 3 9 2" xfId="6881" xr:uid="{00000000-0005-0000-0000-0000121A0000}"/>
    <cellStyle name="Normal 5 3 3 9 3" xfId="11092" xr:uid="{9C959315-3DD0-44E2-A224-D7868D635A48}"/>
    <cellStyle name="Normal 5 3 3 9 4" xfId="15303" xr:uid="{24C1E81C-F1D0-4840-A8DC-D34B29B9001D}"/>
    <cellStyle name="Normal 5 3 4" xfId="449" xr:uid="{00000000-0005-0000-0000-0000131A0000}"/>
    <cellStyle name="Normal 5 3 4 10" xfId="9035" xr:uid="{5C02ACE7-3721-445C-AF3B-52F14521753F}"/>
    <cellStyle name="Normal 5 3 4 11" xfId="13246" xr:uid="{A0454CF9-7B01-48E0-9A30-B2E260090ECA}"/>
    <cellStyle name="Normal 5 3 4 2" xfId="450" xr:uid="{00000000-0005-0000-0000-0000141A0000}"/>
    <cellStyle name="Normal 5 3 4 2 10" xfId="13247" xr:uid="{7815194C-E8E1-4DCE-9816-2900668D3CD2}"/>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2 3" xfId="11595" xr:uid="{8FA54776-7D9E-459D-8540-3C1F39005F96}"/>
    <cellStyle name="Normal 5 3 4 2 2 2 2 4" xfId="15806" xr:uid="{823C8020-4410-4C50-8FD9-8D7AE719AA02}"/>
    <cellStyle name="Normal 5 3 4 2 2 2 3" xfId="5239" xr:uid="{00000000-0005-0000-0000-0000191A0000}"/>
    <cellStyle name="Normal 5 3 4 2 2 2 4" xfId="9450" xr:uid="{20C224FF-B57F-4B8F-8CFC-85D59DCBE1BD}"/>
    <cellStyle name="Normal 5 3 4 2 2 2 5" xfId="13661" xr:uid="{1D9D82FB-52C6-4016-9FA6-7EA67D5CC06C}"/>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2 3" xfId="12008" xr:uid="{94116E65-6351-4BDE-9ADE-DFF314E6070A}"/>
    <cellStyle name="Normal 5 3 4 2 2 3 2 4" xfId="16219" xr:uid="{385DC047-1859-40AB-A73A-3E8D1CFD70A5}"/>
    <cellStyle name="Normal 5 3 4 2 2 3 3" xfId="5652" xr:uid="{00000000-0005-0000-0000-00001D1A0000}"/>
    <cellStyle name="Normal 5 3 4 2 2 3 4" xfId="9863" xr:uid="{E8FDE5D1-61B6-4977-8585-2C7D3A2E2313}"/>
    <cellStyle name="Normal 5 3 4 2 2 3 5" xfId="14074" xr:uid="{549784FF-0FFB-4D9A-BB92-E0B3FB4ED4DA}"/>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2 3" xfId="12421" xr:uid="{679FC845-4158-44A1-A4EF-EE25C93C367E}"/>
    <cellStyle name="Normal 5 3 4 2 2 4 2 4" xfId="16632" xr:uid="{FE672759-7884-4C9F-BAE6-7269CD1FF72D}"/>
    <cellStyle name="Normal 5 3 4 2 2 4 3" xfId="6065" xr:uid="{00000000-0005-0000-0000-0000211A0000}"/>
    <cellStyle name="Normal 5 3 4 2 2 4 4" xfId="10276" xr:uid="{FE65AB98-DC62-441D-A0A7-5BD8EBB414A8}"/>
    <cellStyle name="Normal 5 3 4 2 2 4 5" xfId="14487" xr:uid="{9ED57616-A5CE-430E-9084-0FC0615E159F}"/>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2 3" xfId="12834" xr:uid="{4A897840-ADEA-4D9C-8EDA-7518E23063CD}"/>
    <cellStyle name="Normal 5 3 4 2 2 5 2 4" xfId="17045" xr:uid="{A8409ED0-4C0D-4526-BEE8-61A0C0E0A39D}"/>
    <cellStyle name="Normal 5 3 4 2 2 5 3" xfId="6478" xr:uid="{00000000-0005-0000-0000-0000251A0000}"/>
    <cellStyle name="Normal 5 3 4 2 2 5 4" xfId="10689" xr:uid="{6C042CA3-B516-4A53-B70C-8194865D72FF}"/>
    <cellStyle name="Normal 5 3 4 2 2 5 5" xfId="14900" xr:uid="{13371D87-A622-4B2E-B650-EF6BEA8055F8}"/>
    <cellStyle name="Normal 5 3 4 2 2 6" xfId="2606" xr:uid="{00000000-0005-0000-0000-0000261A0000}"/>
    <cellStyle name="Normal 5 3 4 2 2 6 2" xfId="6891" xr:uid="{00000000-0005-0000-0000-0000271A0000}"/>
    <cellStyle name="Normal 5 3 4 2 2 6 3" xfId="11102" xr:uid="{F61943C7-D8FE-4B6B-97E3-32C29DCA40B6}"/>
    <cellStyle name="Normal 5 3 4 2 2 6 4" xfId="15313" xr:uid="{3934090E-689E-4645-8517-79F730EDB854}"/>
    <cellStyle name="Normal 5 3 4 2 2 7" xfId="4826" xr:uid="{00000000-0005-0000-0000-0000281A0000}"/>
    <cellStyle name="Normal 5 3 4 2 2 8" xfId="9037" xr:uid="{0B2156E2-4296-4F19-B856-4B40F8EBC49B}"/>
    <cellStyle name="Normal 5 3 4 2 2 9" xfId="13248" xr:uid="{026EA827-ED62-4375-BA9A-12CE92C79D19}"/>
    <cellStyle name="Normal 5 3 4 2 3" xfId="925" xr:uid="{00000000-0005-0000-0000-0000291A0000}"/>
    <cellStyle name="Normal 5 3 4 2 3 2" xfId="3159" xr:uid="{00000000-0005-0000-0000-00002A1A0000}"/>
    <cellStyle name="Normal 5 3 4 2 3 2 2" xfId="7383" xr:uid="{00000000-0005-0000-0000-00002B1A0000}"/>
    <cellStyle name="Normal 5 3 4 2 3 2 3" xfId="11594" xr:uid="{33ED8BF0-7308-413E-BFE1-C357435A5252}"/>
    <cellStyle name="Normal 5 3 4 2 3 2 4" xfId="15805" xr:uid="{C268BB4A-F2BB-4E28-AFF5-F681A39FFF95}"/>
    <cellStyle name="Normal 5 3 4 2 3 3" xfId="5238" xr:uid="{00000000-0005-0000-0000-00002C1A0000}"/>
    <cellStyle name="Normal 5 3 4 2 3 4" xfId="9449" xr:uid="{3F2D0EBC-D8A4-4A4E-B912-A30114A02CA9}"/>
    <cellStyle name="Normal 5 3 4 2 3 5" xfId="13660" xr:uid="{D8A601CC-0A04-4303-9395-4225D38BC31E}"/>
    <cellStyle name="Normal 5 3 4 2 4" xfId="1342" xr:uid="{00000000-0005-0000-0000-00002D1A0000}"/>
    <cellStyle name="Normal 5 3 4 2 4 2" xfId="3572" xr:uid="{00000000-0005-0000-0000-00002E1A0000}"/>
    <cellStyle name="Normal 5 3 4 2 4 2 2" xfId="7796" xr:uid="{00000000-0005-0000-0000-00002F1A0000}"/>
    <cellStyle name="Normal 5 3 4 2 4 2 3" xfId="12007" xr:uid="{7BB321B0-9CF8-4C53-825B-049CFD5B3C54}"/>
    <cellStyle name="Normal 5 3 4 2 4 2 4" xfId="16218" xr:uid="{992075F1-F585-422B-B424-2969652B3413}"/>
    <cellStyle name="Normal 5 3 4 2 4 3" xfId="5651" xr:uid="{00000000-0005-0000-0000-0000301A0000}"/>
    <cellStyle name="Normal 5 3 4 2 4 4" xfId="9862" xr:uid="{F833E772-C756-46D9-9A38-4EBE9F511786}"/>
    <cellStyle name="Normal 5 3 4 2 4 5" xfId="14073" xr:uid="{4334A652-DB64-4A67-9792-7C1270CE27E6}"/>
    <cellStyle name="Normal 5 3 4 2 5" xfId="1755" xr:uid="{00000000-0005-0000-0000-0000311A0000}"/>
    <cellStyle name="Normal 5 3 4 2 5 2" xfId="3985" xr:uid="{00000000-0005-0000-0000-0000321A0000}"/>
    <cellStyle name="Normal 5 3 4 2 5 2 2" xfId="8209" xr:uid="{00000000-0005-0000-0000-0000331A0000}"/>
    <cellStyle name="Normal 5 3 4 2 5 2 3" xfId="12420" xr:uid="{E6BE6E3A-6FC7-4CC1-A85A-D82AFBEC92EA}"/>
    <cellStyle name="Normal 5 3 4 2 5 2 4" xfId="16631" xr:uid="{C5778929-01C3-4580-A8AE-2D51D9F71D2C}"/>
    <cellStyle name="Normal 5 3 4 2 5 3" xfId="6064" xr:uid="{00000000-0005-0000-0000-0000341A0000}"/>
    <cellStyle name="Normal 5 3 4 2 5 4" xfId="10275" xr:uid="{700803FE-2F69-4BA3-BC2A-DE53A569FF51}"/>
    <cellStyle name="Normal 5 3 4 2 5 5" xfId="14486" xr:uid="{9150EE62-5CA1-48F6-9D9D-A69F8FDF5C31}"/>
    <cellStyle name="Normal 5 3 4 2 6" xfId="2169" xr:uid="{00000000-0005-0000-0000-0000351A0000}"/>
    <cellStyle name="Normal 5 3 4 2 6 2" xfId="4398" xr:uid="{00000000-0005-0000-0000-0000361A0000}"/>
    <cellStyle name="Normal 5 3 4 2 6 2 2" xfId="8622" xr:uid="{00000000-0005-0000-0000-0000371A0000}"/>
    <cellStyle name="Normal 5 3 4 2 6 2 3" xfId="12833" xr:uid="{85FAF670-1B97-4DD2-9475-04771ECA908E}"/>
    <cellStyle name="Normal 5 3 4 2 6 2 4" xfId="17044" xr:uid="{FD46FD29-485F-4271-B0C3-5F924F359F7B}"/>
    <cellStyle name="Normal 5 3 4 2 6 3" xfId="6477" xr:uid="{00000000-0005-0000-0000-0000381A0000}"/>
    <cellStyle name="Normal 5 3 4 2 6 4" xfId="10688" xr:uid="{4690D026-6927-417E-813A-C3F9539A7F83}"/>
    <cellStyle name="Normal 5 3 4 2 6 5" xfId="14899" xr:uid="{994AECBB-C8E9-4FD3-B843-D346A22BF24B}"/>
    <cellStyle name="Normal 5 3 4 2 7" xfId="2605" xr:uid="{00000000-0005-0000-0000-0000391A0000}"/>
    <cellStyle name="Normal 5 3 4 2 7 2" xfId="6890" xr:uid="{00000000-0005-0000-0000-00003A1A0000}"/>
    <cellStyle name="Normal 5 3 4 2 7 3" xfId="11101" xr:uid="{2D5F80E2-F318-4B57-B907-0C8208B0B859}"/>
    <cellStyle name="Normal 5 3 4 2 7 4" xfId="15312" xr:uid="{ABDBA086-B0A5-403A-9998-214BDA6CABE2}"/>
    <cellStyle name="Normal 5 3 4 2 8" xfId="4825" xr:uid="{00000000-0005-0000-0000-00003B1A0000}"/>
    <cellStyle name="Normal 5 3 4 2 9" xfId="9036" xr:uid="{B5809777-1AAA-4619-AD03-5795B0B50B8C}"/>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2 3" xfId="11596" xr:uid="{963551B4-2CC7-4FCF-BE9E-CC20E25F7D49}"/>
    <cellStyle name="Normal 5 3 4 3 2 2 4" xfId="15807" xr:uid="{A3983035-C4C4-4EFE-8C46-F9EB21E9D379}"/>
    <cellStyle name="Normal 5 3 4 3 2 3" xfId="5240" xr:uid="{00000000-0005-0000-0000-0000401A0000}"/>
    <cellStyle name="Normal 5 3 4 3 2 4" xfId="9451" xr:uid="{39000D7F-2F4C-4CC4-A9F1-3092BAEFB0EB}"/>
    <cellStyle name="Normal 5 3 4 3 2 5" xfId="13662" xr:uid="{41B397CA-C84E-4B79-9A85-F08BFB5F0B80}"/>
    <cellStyle name="Normal 5 3 4 3 3" xfId="1344" xr:uid="{00000000-0005-0000-0000-0000411A0000}"/>
    <cellStyle name="Normal 5 3 4 3 3 2" xfId="3574" xr:uid="{00000000-0005-0000-0000-0000421A0000}"/>
    <cellStyle name="Normal 5 3 4 3 3 2 2" xfId="7798" xr:uid="{00000000-0005-0000-0000-0000431A0000}"/>
    <cellStyle name="Normal 5 3 4 3 3 2 3" xfId="12009" xr:uid="{7C89C974-2226-47B9-9C17-89C7666B7533}"/>
    <cellStyle name="Normal 5 3 4 3 3 2 4" xfId="16220" xr:uid="{143601C1-0396-41FF-BAEB-970D649E17DD}"/>
    <cellStyle name="Normal 5 3 4 3 3 3" xfId="5653" xr:uid="{00000000-0005-0000-0000-0000441A0000}"/>
    <cellStyle name="Normal 5 3 4 3 3 4" xfId="9864" xr:uid="{1A7D938C-7238-493D-A6A6-1F8B8843FADD}"/>
    <cellStyle name="Normal 5 3 4 3 3 5" xfId="14075" xr:uid="{B77B3BD8-16AD-4BF1-9302-263734C389B1}"/>
    <cellStyle name="Normal 5 3 4 3 4" xfId="1757" xr:uid="{00000000-0005-0000-0000-0000451A0000}"/>
    <cellStyle name="Normal 5 3 4 3 4 2" xfId="3987" xr:uid="{00000000-0005-0000-0000-0000461A0000}"/>
    <cellStyle name="Normal 5 3 4 3 4 2 2" xfId="8211" xr:uid="{00000000-0005-0000-0000-0000471A0000}"/>
    <cellStyle name="Normal 5 3 4 3 4 2 3" xfId="12422" xr:uid="{BF7AE4AB-CB9F-43D2-8ECA-1EAF8109788E}"/>
    <cellStyle name="Normal 5 3 4 3 4 2 4" xfId="16633" xr:uid="{6E3B93A7-5FAC-4FB8-B151-1693C247596B}"/>
    <cellStyle name="Normal 5 3 4 3 4 3" xfId="6066" xr:uid="{00000000-0005-0000-0000-0000481A0000}"/>
    <cellStyle name="Normal 5 3 4 3 4 4" xfId="10277" xr:uid="{DE776EA4-345B-4BA3-BD3F-2E516C9C0BAD}"/>
    <cellStyle name="Normal 5 3 4 3 4 5" xfId="14488" xr:uid="{8A959DCD-D911-411A-ABFE-D17BF2C14C43}"/>
    <cellStyle name="Normal 5 3 4 3 5" xfId="2171" xr:uid="{00000000-0005-0000-0000-0000491A0000}"/>
    <cellStyle name="Normal 5 3 4 3 5 2" xfId="4400" xr:uid="{00000000-0005-0000-0000-00004A1A0000}"/>
    <cellStyle name="Normal 5 3 4 3 5 2 2" xfId="8624" xr:uid="{00000000-0005-0000-0000-00004B1A0000}"/>
    <cellStyle name="Normal 5 3 4 3 5 2 3" xfId="12835" xr:uid="{05C69F2D-4288-4D2A-BF6B-650074D05DD3}"/>
    <cellStyle name="Normal 5 3 4 3 5 2 4" xfId="17046" xr:uid="{AC9C1650-BBDA-4EB6-A08E-91C30277804B}"/>
    <cellStyle name="Normal 5 3 4 3 5 3" xfId="6479" xr:uid="{00000000-0005-0000-0000-00004C1A0000}"/>
    <cellStyle name="Normal 5 3 4 3 5 4" xfId="10690" xr:uid="{38CED989-378A-44C6-B983-144AF73DA601}"/>
    <cellStyle name="Normal 5 3 4 3 5 5" xfId="14901" xr:uid="{FBA912E2-D625-4B12-A779-9575ACEC52CA}"/>
    <cellStyle name="Normal 5 3 4 3 6" xfId="2607" xr:uid="{00000000-0005-0000-0000-00004D1A0000}"/>
    <cellStyle name="Normal 5 3 4 3 6 2" xfId="6892" xr:uid="{00000000-0005-0000-0000-00004E1A0000}"/>
    <cellStyle name="Normal 5 3 4 3 6 3" xfId="11103" xr:uid="{22CFD946-1FD5-4F14-B85F-89CCB4CAB476}"/>
    <cellStyle name="Normal 5 3 4 3 6 4" xfId="15314" xr:uid="{5AF7ECCD-7B5D-47E2-9005-1CE3FFE5D6A6}"/>
    <cellStyle name="Normal 5 3 4 3 7" xfId="4827" xr:uid="{00000000-0005-0000-0000-00004F1A0000}"/>
    <cellStyle name="Normal 5 3 4 3 8" xfId="9038" xr:uid="{61862048-9703-446F-BF80-551B5BCC98F4}"/>
    <cellStyle name="Normal 5 3 4 3 9" xfId="13249" xr:uid="{8824BA9E-7AEA-466A-9CC7-577C28FFC676}"/>
    <cellStyle name="Normal 5 3 4 4" xfId="924" xr:uid="{00000000-0005-0000-0000-0000501A0000}"/>
    <cellStyle name="Normal 5 3 4 4 2" xfId="3158" xr:uid="{00000000-0005-0000-0000-0000511A0000}"/>
    <cellStyle name="Normal 5 3 4 4 2 2" xfId="7382" xr:uid="{00000000-0005-0000-0000-0000521A0000}"/>
    <cellStyle name="Normal 5 3 4 4 2 3" xfId="11593" xr:uid="{550E27D3-24CE-4CF3-8B60-E659BD60CD31}"/>
    <cellStyle name="Normal 5 3 4 4 2 4" xfId="15804" xr:uid="{14E73EFA-FBEE-4D3C-84FB-CB3A55813F43}"/>
    <cellStyle name="Normal 5 3 4 4 3" xfId="5237" xr:uid="{00000000-0005-0000-0000-0000531A0000}"/>
    <cellStyle name="Normal 5 3 4 4 4" xfId="9448" xr:uid="{E5C8B1D8-C756-4C91-93D0-B52D2B7CA490}"/>
    <cellStyle name="Normal 5 3 4 4 5" xfId="13659" xr:uid="{BD654210-01E4-4696-B755-2D79D644DB96}"/>
    <cellStyle name="Normal 5 3 4 5" xfId="1341" xr:uid="{00000000-0005-0000-0000-0000541A0000}"/>
    <cellStyle name="Normal 5 3 4 5 2" xfId="3571" xr:uid="{00000000-0005-0000-0000-0000551A0000}"/>
    <cellStyle name="Normal 5 3 4 5 2 2" xfId="7795" xr:uid="{00000000-0005-0000-0000-0000561A0000}"/>
    <cellStyle name="Normal 5 3 4 5 2 3" xfId="12006" xr:uid="{6B9457AF-40A1-40AB-AA4E-C93227F0C9E4}"/>
    <cellStyle name="Normal 5 3 4 5 2 4" xfId="16217" xr:uid="{E3CA1A33-7C01-4A40-ADA0-07B67BCEB0FA}"/>
    <cellStyle name="Normal 5 3 4 5 3" xfId="5650" xr:uid="{00000000-0005-0000-0000-0000571A0000}"/>
    <cellStyle name="Normal 5 3 4 5 4" xfId="9861" xr:uid="{C57A48B0-576D-43C5-AC88-2FC0E6A619D2}"/>
    <cellStyle name="Normal 5 3 4 5 5" xfId="14072" xr:uid="{218AA5A7-B002-440B-B9F9-A6E2E874461F}"/>
    <cellStyle name="Normal 5 3 4 6" xfId="1754" xr:uid="{00000000-0005-0000-0000-0000581A0000}"/>
    <cellStyle name="Normal 5 3 4 6 2" xfId="3984" xr:uid="{00000000-0005-0000-0000-0000591A0000}"/>
    <cellStyle name="Normal 5 3 4 6 2 2" xfId="8208" xr:uid="{00000000-0005-0000-0000-00005A1A0000}"/>
    <cellStyle name="Normal 5 3 4 6 2 3" xfId="12419" xr:uid="{CA6BF7EC-12A7-4D0E-B678-398C7B000A65}"/>
    <cellStyle name="Normal 5 3 4 6 2 4" xfId="16630" xr:uid="{2250A414-D9B8-402B-BAE7-C7504E68DA47}"/>
    <cellStyle name="Normal 5 3 4 6 3" xfId="6063" xr:uid="{00000000-0005-0000-0000-00005B1A0000}"/>
    <cellStyle name="Normal 5 3 4 6 4" xfId="10274" xr:uid="{DB91874C-ED8C-443F-8B7F-89BF7DF465B6}"/>
    <cellStyle name="Normal 5 3 4 6 5" xfId="14485" xr:uid="{8A0E6871-E567-46AA-976E-DD7611713DF5}"/>
    <cellStyle name="Normal 5 3 4 7" xfId="2168" xr:uid="{00000000-0005-0000-0000-00005C1A0000}"/>
    <cellStyle name="Normal 5 3 4 7 2" xfId="4397" xr:uid="{00000000-0005-0000-0000-00005D1A0000}"/>
    <cellStyle name="Normal 5 3 4 7 2 2" xfId="8621" xr:uid="{00000000-0005-0000-0000-00005E1A0000}"/>
    <cellStyle name="Normal 5 3 4 7 2 3" xfId="12832" xr:uid="{CDA7DD9E-333F-483B-B96D-5F06D7FB93F2}"/>
    <cellStyle name="Normal 5 3 4 7 2 4" xfId="17043" xr:uid="{6EEA8CDB-060B-4810-A3AC-DD748BB819EB}"/>
    <cellStyle name="Normal 5 3 4 7 3" xfId="6476" xr:uid="{00000000-0005-0000-0000-00005F1A0000}"/>
    <cellStyle name="Normal 5 3 4 7 4" xfId="10687" xr:uid="{B11C5E18-684B-4FFA-8742-F4FCEA23D18E}"/>
    <cellStyle name="Normal 5 3 4 7 5" xfId="14898" xr:uid="{2732ACC7-2611-472A-94CB-630F2BBE5A9C}"/>
    <cellStyle name="Normal 5 3 4 8" xfId="2604" xr:uid="{00000000-0005-0000-0000-0000601A0000}"/>
    <cellStyle name="Normal 5 3 4 8 2" xfId="6889" xr:uid="{00000000-0005-0000-0000-0000611A0000}"/>
    <cellStyle name="Normal 5 3 4 8 3" xfId="11100" xr:uid="{A8D5BDA9-0B8E-4E91-858E-F796B54D5CB3}"/>
    <cellStyle name="Normal 5 3 4 8 4" xfId="15311" xr:uid="{3BEA7743-028E-4BFD-87F7-0B2795CE79AB}"/>
    <cellStyle name="Normal 5 3 4 9" xfId="4824" xr:uid="{00000000-0005-0000-0000-0000621A0000}"/>
    <cellStyle name="Normal 5 3 5" xfId="453" xr:uid="{00000000-0005-0000-0000-0000631A0000}"/>
    <cellStyle name="Normal 5 3 5 10" xfId="13250" xr:uid="{D00C2734-9F01-4B2C-9288-2D2A2A480EB3}"/>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2 3" xfId="11598" xr:uid="{3FA08DF6-643F-4FE5-B7E6-6D0FE194F662}"/>
    <cellStyle name="Normal 5 3 5 2 2 2 4" xfId="15809" xr:uid="{DCF0EC6F-E30C-49B6-860E-6B9E12E3B163}"/>
    <cellStyle name="Normal 5 3 5 2 2 3" xfId="5242" xr:uid="{00000000-0005-0000-0000-0000681A0000}"/>
    <cellStyle name="Normal 5 3 5 2 2 4" xfId="9453" xr:uid="{5E39EE90-CD39-481A-AF93-9EA8012777A5}"/>
    <cellStyle name="Normal 5 3 5 2 2 5" xfId="13664" xr:uid="{4B03E055-C571-4F02-824A-331BD581F0F4}"/>
    <cellStyle name="Normal 5 3 5 2 3" xfId="1346" xr:uid="{00000000-0005-0000-0000-0000691A0000}"/>
    <cellStyle name="Normal 5 3 5 2 3 2" xfId="3576" xr:uid="{00000000-0005-0000-0000-00006A1A0000}"/>
    <cellStyle name="Normal 5 3 5 2 3 2 2" xfId="7800" xr:uid="{00000000-0005-0000-0000-00006B1A0000}"/>
    <cellStyle name="Normal 5 3 5 2 3 2 3" xfId="12011" xr:uid="{36F4BC8F-8AE1-41C3-8FC6-BCE885ECED26}"/>
    <cellStyle name="Normal 5 3 5 2 3 2 4" xfId="16222" xr:uid="{B16CD3D9-9B73-4AB0-AD8F-7C868DDE48D5}"/>
    <cellStyle name="Normal 5 3 5 2 3 3" xfId="5655" xr:uid="{00000000-0005-0000-0000-00006C1A0000}"/>
    <cellStyle name="Normal 5 3 5 2 3 4" xfId="9866" xr:uid="{FE1ECD3F-D6C7-4103-961B-48FD4BDB4A84}"/>
    <cellStyle name="Normal 5 3 5 2 3 5" xfId="14077" xr:uid="{81D59E64-427F-4B68-887F-83302789E5FF}"/>
    <cellStyle name="Normal 5 3 5 2 4" xfId="1759" xr:uid="{00000000-0005-0000-0000-00006D1A0000}"/>
    <cellStyle name="Normal 5 3 5 2 4 2" xfId="3989" xr:uid="{00000000-0005-0000-0000-00006E1A0000}"/>
    <cellStyle name="Normal 5 3 5 2 4 2 2" xfId="8213" xr:uid="{00000000-0005-0000-0000-00006F1A0000}"/>
    <cellStyle name="Normal 5 3 5 2 4 2 3" xfId="12424" xr:uid="{50AC2AB4-F504-4001-AD28-626B3041C797}"/>
    <cellStyle name="Normal 5 3 5 2 4 2 4" xfId="16635" xr:uid="{6D81C94C-1C13-44FC-A65B-E36DC75C4B6D}"/>
    <cellStyle name="Normal 5 3 5 2 4 3" xfId="6068" xr:uid="{00000000-0005-0000-0000-0000701A0000}"/>
    <cellStyle name="Normal 5 3 5 2 4 4" xfId="10279" xr:uid="{CBABE88B-A6B1-4515-B58B-EBDAD55A1A61}"/>
    <cellStyle name="Normal 5 3 5 2 4 5" xfId="14490" xr:uid="{74DBF158-91DF-49D2-A6DA-D620B799F33C}"/>
    <cellStyle name="Normal 5 3 5 2 5" xfId="2173" xr:uid="{00000000-0005-0000-0000-0000711A0000}"/>
    <cellStyle name="Normal 5 3 5 2 5 2" xfId="4402" xr:uid="{00000000-0005-0000-0000-0000721A0000}"/>
    <cellStyle name="Normal 5 3 5 2 5 2 2" xfId="8626" xr:uid="{00000000-0005-0000-0000-0000731A0000}"/>
    <cellStyle name="Normal 5 3 5 2 5 2 3" xfId="12837" xr:uid="{B7CBB8FF-21CE-4D1E-978B-2946DE194DC8}"/>
    <cellStyle name="Normal 5 3 5 2 5 2 4" xfId="17048" xr:uid="{2A0266C9-54F4-4236-B3BF-1197CDC49C56}"/>
    <cellStyle name="Normal 5 3 5 2 5 3" xfId="6481" xr:uid="{00000000-0005-0000-0000-0000741A0000}"/>
    <cellStyle name="Normal 5 3 5 2 5 4" xfId="10692" xr:uid="{C262B3A6-23DF-449F-B93E-DD3B5A06971C}"/>
    <cellStyle name="Normal 5 3 5 2 5 5" xfId="14903" xr:uid="{6B038BF5-2F7E-4F88-92E0-681BBFE84568}"/>
    <cellStyle name="Normal 5 3 5 2 6" xfId="2609" xr:uid="{00000000-0005-0000-0000-0000751A0000}"/>
    <cellStyle name="Normal 5 3 5 2 6 2" xfId="6894" xr:uid="{00000000-0005-0000-0000-0000761A0000}"/>
    <cellStyle name="Normal 5 3 5 2 6 3" xfId="11105" xr:uid="{E414F319-8C39-4E65-B611-811E5ADB8331}"/>
    <cellStyle name="Normal 5 3 5 2 6 4" xfId="15316" xr:uid="{3730BCB1-BC33-4ABE-89A3-AB38CC3D9471}"/>
    <cellStyle name="Normal 5 3 5 2 7" xfId="4829" xr:uid="{00000000-0005-0000-0000-0000771A0000}"/>
    <cellStyle name="Normal 5 3 5 2 8" xfId="9040" xr:uid="{C694FB1C-36D7-4F31-A2A5-DF9208201182}"/>
    <cellStyle name="Normal 5 3 5 2 9" xfId="13251" xr:uid="{83B072AD-1688-487B-8E5C-7B4C6AABC66D}"/>
    <cellStyle name="Normal 5 3 5 3" xfId="928" xr:uid="{00000000-0005-0000-0000-0000781A0000}"/>
    <cellStyle name="Normal 5 3 5 3 2" xfId="3162" xr:uid="{00000000-0005-0000-0000-0000791A0000}"/>
    <cellStyle name="Normal 5 3 5 3 2 2" xfId="7386" xr:uid="{00000000-0005-0000-0000-00007A1A0000}"/>
    <cellStyle name="Normal 5 3 5 3 2 3" xfId="11597" xr:uid="{653DDF3D-2A09-4F75-8571-6FF4ADBFD8B6}"/>
    <cellStyle name="Normal 5 3 5 3 2 4" xfId="15808" xr:uid="{468992F1-7999-4471-9306-56631BB2E0DF}"/>
    <cellStyle name="Normal 5 3 5 3 3" xfId="5241" xr:uid="{00000000-0005-0000-0000-00007B1A0000}"/>
    <cellStyle name="Normal 5 3 5 3 4" xfId="9452" xr:uid="{BAA61266-FE7C-4E5B-816A-6AEB8D98A77E}"/>
    <cellStyle name="Normal 5 3 5 3 5" xfId="13663" xr:uid="{CCE6FB27-E427-4C07-B77F-867CE195D6DE}"/>
    <cellStyle name="Normal 5 3 5 4" xfId="1345" xr:uid="{00000000-0005-0000-0000-00007C1A0000}"/>
    <cellStyle name="Normal 5 3 5 4 2" xfId="3575" xr:uid="{00000000-0005-0000-0000-00007D1A0000}"/>
    <cellStyle name="Normal 5 3 5 4 2 2" xfId="7799" xr:uid="{00000000-0005-0000-0000-00007E1A0000}"/>
    <cellStyle name="Normal 5 3 5 4 2 3" xfId="12010" xr:uid="{A8B64B73-A2FD-404C-A93B-2EEB16306B75}"/>
    <cellStyle name="Normal 5 3 5 4 2 4" xfId="16221" xr:uid="{BDAA7ACF-6D06-4313-8CDE-3FB00D6924AA}"/>
    <cellStyle name="Normal 5 3 5 4 3" xfId="5654" xr:uid="{00000000-0005-0000-0000-00007F1A0000}"/>
    <cellStyle name="Normal 5 3 5 4 4" xfId="9865" xr:uid="{6E8D45C5-C556-4CC6-8B9D-D261109CAEF7}"/>
    <cellStyle name="Normal 5 3 5 4 5" xfId="14076" xr:uid="{9BD0E5A4-310E-47D8-B61F-AD63262BA31C}"/>
    <cellStyle name="Normal 5 3 5 5" xfId="1758" xr:uid="{00000000-0005-0000-0000-0000801A0000}"/>
    <cellStyle name="Normal 5 3 5 5 2" xfId="3988" xr:uid="{00000000-0005-0000-0000-0000811A0000}"/>
    <cellStyle name="Normal 5 3 5 5 2 2" xfId="8212" xr:uid="{00000000-0005-0000-0000-0000821A0000}"/>
    <cellStyle name="Normal 5 3 5 5 2 3" xfId="12423" xr:uid="{8D322FAE-473F-4B10-8684-A2A2691CAFD7}"/>
    <cellStyle name="Normal 5 3 5 5 2 4" xfId="16634" xr:uid="{83EEE237-CD34-4F72-B640-1EAD6F272E1C}"/>
    <cellStyle name="Normal 5 3 5 5 3" xfId="6067" xr:uid="{00000000-0005-0000-0000-0000831A0000}"/>
    <cellStyle name="Normal 5 3 5 5 4" xfId="10278" xr:uid="{060EE4F6-5181-408D-A0CA-3D498E6475FB}"/>
    <cellStyle name="Normal 5 3 5 5 5" xfId="14489" xr:uid="{F7AC7AAC-8E9A-4F63-8807-564F5746DB18}"/>
    <cellStyle name="Normal 5 3 5 6" xfId="2172" xr:uid="{00000000-0005-0000-0000-0000841A0000}"/>
    <cellStyle name="Normal 5 3 5 6 2" xfId="4401" xr:uid="{00000000-0005-0000-0000-0000851A0000}"/>
    <cellStyle name="Normal 5 3 5 6 2 2" xfId="8625" xr:uid="{00000000-0005-0000-0000-0000861A0000}"/>
    <cellStyle name="Normal 5 3 5 6 2 3" xfId="12836" xr:uid="{403C437D-C379-4B63-896E-C9FA9ADC2822}"/>
    <cellStyle name="Normal 5 3 5 6 2 4" xfId="17047" xr:uid="{8593DCD5-B96D-474A-98E4-3080AD1E8E75}"/>
    <cellStyle name="Normal 5 3 5 6 3" xfId="6480" xr:uid="{00000000-0005-0000-0000-0000871A0000}"/>
    <cellStyle name="Normal 5 3 5 6 4" xfId="10691" xr:uid="{459670C9-47F8-4324-BC39-CDDC706F592A}"/>
    <cellStyle name="Normal 5 3 5 6 5" xfId="14902" xr:uid="{EF0FEBD9-A885-4C7E-A994-819A80619154}"/>
    <cellStyle name="Normal 5 3 5 7" xfId="2608" xr:uid="{00000000-0005-0000-0000-0000881A0000}"/>
    <cellStyle name="Normal 5 3 5 7 2" xfId="6893" xr:uid="{00000000-0005-0000-0000-0000891A0000}"/>
    <cellStyle name="Normal 5 3 5 7 3" xfId="11104" xr:uid="{75C7F02C-6B2A-422F-8018-6D4AA2D8E0FE}"/>
    <cellStyle name="Normal 5 3 5 7 4" xfId="15315" xr:uid="{CFBB73DD-B1DC-4502-AA0D-41B4E23491CF}"/>
    <cellStyle name="Normal 5 3 5 8" xfId="4828" xr:uid="{00000000-0005-0000-0000-00008A1A0000}"/>
    <cellStyle name="Normal 5 3 5 9" xfId="9039" xr:uid="{1336FE9E-5245-4F37-82B4-C0AD24B1ABA1}"/>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2 3" xfId="11599" xr:uid="{5D035B17-8E31-47FF-9A95-E6F52F620879}"/>
    <cellStyle name="Normal 5 3 6 2 2 4" xfId="15810" xr:uid="{A8ADE3AE-76BE-4CE2-82A7-71EC3961208A}"/>
    <cellStyle name="Normal 5 3 6 2 3" xfId="5243" xr:uid="{00000000-0005-0000-0000-00008F1A0000}"/>
    <cellStyle name="Normal 5 3 6 2 4" xfId="9454" xr:uid="{4F719E79-C152-4C7C-8202-B842A2BB151D}"/>
    <cellStyle name="Normal 5 3 6 2 5" xfId="13665" xr:uid="{BAFF708B-5D8B-4877-8827-07BBF911E771}"/>
    <cellStyle name="Normal 5 3 6 3" xfId="1347" xr:uid="{00000000-0005-0000-0000-0000901A0000}"/>
    <cellStyle name="Normal 5 3 6 3 2" xfId="3577" xr:uid="{00000000-0005-0000-0000-0000911A0000}"/>
    <cellStyle name="Normal 5 3 6 3 2 2" xfId="7801" xr:uid="{00000000-0005-0000-0000-0000921A0000}"/>
    <cellStyle name="Normal 5 3 6 3 2 3" xfId="12012" xr:uid="{9D9A6EC3-4BF2-425A-83F1-01A328273AF3}"/>
    <cellStyle name="Normal 5 3 6 3 2 4" xfId="16223" xr:uid="{6615BB32-6D70-4081-AB05-68B60CC0636F}"/>
    <cellStyle name="Normal 5 3 6 3 3" xfId="5656" xr:uid="{00000000-0005-0000-0000-0000931A0000}"/>
    <cellStyle name="Normal 5 3 6 3 4" xfId="9867" xr:uid="{9CAA52BB-6FC8-4944-A7CC-866E12820E95}"/>
    <cellStyle name="Normal 5 3 6 3 5" xfId="14078" xr:uid="{C9341417-09C8-47E2-B6E3-07A729D6133B}"/>
    <cellStyle name="Normal 5 3 6 4" xfId="1760" xr:uid="{00000000-0005-0000-0000-0000941A0000}"/>
    <cellStyle name="Normal 5 3 6 4 2" xfId="3990" xr:uid="{00000000-0005-0000-0000-0000951A0000}"/>
    <cellStyle name="Normal 5 3 6 4 2 2" xfId="8214" xr:uid="{00000000-0005-0000-0000-0000961A0000}"/>
    <cellStyle name="Normal 5 3 6 4 2 3" xfId="12425" xr:uid="{28608E58-0F77-4F77-890C-4D67B56F6E51}"/>
    <cellStyle name="Normal 5 3 6 4 2 4" xfId="16636" xr:uid="{D9A25E59-0B16-42F3-9407-488BBCEE8D81}"/>
    <cellStyle name="Normal 5 3 6 4 3" xfId="6069" xr:uid="{00000000-0005-0000-0000-0000971A0000}"/>
    <cellStyle name="Normal 5 3 6 4 4" xfId="10280" xr:uid="{B0BE9C51-7411-4B6A-97A9-3E6D10D8C936}"/>
    <cellStyle name="Normal 5 3 6 4 5" xfId="14491" xr:uid="{603A3661-1DE3-4DF3-8F0C-9F170B0D1693}"/>
    <cellStyle name="Normal 5 3 6 5" xfId="2174" xr:uid="{00000000-0005-0000-0000-0000981A0000}"/>
    <cellStyle name="Normal 5 3 6 5 2" xfId="4403" xr:uid="{00000000-0005-0000-0000-0000991A0000}"/>
    <cellStyle name="Normal 5 3 6 5 2 2" xfId="8627" xr:uid="{00000000-0005-0000-0000-00009A1A0000}"/>
    <cellStyle name="Normal 5 3 6 5 2 3" xfId="12838" xr:uid="{D140012D-35B5-4D61-8B6A-376C8EC4A036}"/>
    <cellStyle name="Normal 5 3 6 5 2 4" xfId="17049" xr:uid="{AE828C31-8794-481E-A632-9ADB3C38394C}"/>
    <cellStyle name="Normal 5 3 6 5 3" xfId="6482" xr:uid="{00000000-0005-0000-0000-00009B1A0000}"/>
    <cellStyle name="Normal 5 3 6 5 4" xfId="10693" xr:uid="{CE477FE0-A2BD-4282-AE8C-3CC8EFB114AF}"/>
    <cellStyle name="Normal 5 3 6 5 5" xfId="14904" xr:uid="{EDA740F2-DAB2-4B5D-9A8E-29B39F7CCD0A}"/>
    <cellStyle name="Normal 5 3 6 6" xfId="2610" xr:uid="{00000000-0005-0000-0000-00009C1A0000}"/>
    <cellStyle name="Normal 5 3 6 6 2" xfId="6895" xr:uid="{00000000-0005-0000-0000-00009D1A0000}"/>
    <cellStyle name="Normal 5 3 6 6 3" xfId="11106" xr:uid="{22D5D5BF-5380-46DB-87B5-F4B5D805974C}"/>
    <cellStyle name="Normal 5 3 6 6 4" xfId="15317" xr:uid="{DD93D7F5-E4F2-4D97-8B84-6BD4FD1BC132}"/>
    <cellStyle name="Normal 5 3 6 7" xfId="4830" xr:uid="{00000000-0005-0000-0000-00009E1A0000}"/>
    <cellStyle name="Normal 5 3 6 8" xfId="9041" xr:uid="{F08FB3DB-8842-4C1D-A3FD-881BE54FAA87}"/>
    <cellStyle name="Normal 5 3 6 9" xfId="13252" xr:uid="{52958B9C-CEF6-477E-9178-96C9DFF42B68}"/>
    <cellStyle name="Normal 5 3 7" xfId="914" xr:uid="{00000000-0005-0000-0000-00009F1A0000}"/>
    <cellStyle name="Normal 5 3 7 2" xfId="3149" xr:uid="{00000000-0005-0000-0000-0000A01A0000}"/>
    <cellStyle name="Normal 5 3 7 2 2" xfId="7373" xr:uid="{00000000-0005-0000-0000-0000A11A0000}"/>
    <cellStyle name="Normal 5 3 7 2 3" xfId="11584" xr:uid="{928458A1-F898-4768-B306-DA41E2053A2E}"/>
    <cellStyle name="Normal 5 3 7 2 4" xfId="15795" xr:uid="{044F8545-D000-4CB9-A0AA-38CFE897B73E}"/>
    <cellStyle name="Normal 5 3 7 3" xfId="5228" xr:uid="{00000000-0005-0000-0000-0000A21A0000}"/>
    <cellStyle name="Normal 5 3 7 4" xfId="9439" xr:uid="{A224E838-EE64-4AD2-BD88-E7F3274612D1}"/>
    <cellStyle name="Normal 5 3 7 5" xfId="13650" xr:uid="{6105211E-7A7D-49CA-BF62-F445B3B04BFB}"/>
    <cellStyle name="Normal 5 3 8" xfId="1332" xr:uid="{00000000-0005-0000-0000-0000A31A0000}"/>
    <cellStyle name="Normal 5 3 8 2" xfId="3562" xr:uid="{00000000-0005-0000-0000-0000A41A0000}"/>
    <cellStyle name="Normal 5 3 8 2 2" xfId="7786" xr:uid="{00000000-0005-0000-0000-0000A51A0000}"/>
    <cellStyle name="Normal 5 3 8 2 3" xfId="11997" xr:uid="{53B74B17-2B19-4090-9E0A-A83880E6B012}"/>
    <cellStyle name="Normal 5 3 8 2 4" xfId="16208" xr:uid="{182C3CC0-4D97-45BF-9642-AE22888CB632}"/>
    <cellStyle name="Normal 5 3 8 3" xfId="5641" xr:uid="{00000000-0005-0000-0000-0000A61A0000}"/>
    <cellStyle name="Normal 5 3 8 4" xfId="9852" xr:uid="{32EF8500-5361-4075-98E0-12DFADDB1787}"/>
    <cellStyle name="Normal 5 3 8 5" xfId="14063" xr:uid="{0712603F-8E4D-4BE3-8558-7442BB1AB308}"/>
    <cellStyle name="Normal 5 3 9" xfId="1745" xr:uid="{00000000-0005-0000-0000-0000A71A0000}"/>
    <cellStyle name="Normal 5 3 9 2" xfId="3975" xr:uid="{00000000-0005-0000-0000-0000A81A0000}"/>
    <cellStyle name="Normal 5 3 9 2 2" xfId="8199" xr:uid="{00000000-0005-0000-0000-0000A91A0000}"/>
    <cellStyle name="Normal 5 3 9 2 3" xfId="12410" xr:uid="{F707BE9F-7E60-4AC8-9B29-D5486F189860}"/>
    <cellStyle name="Normal 5 3 9 2 4" xfId="16621" xr:uid="{D0379375-C9EC-446D-9A17-37B8BF451817}"/>
    <cellStyle name="Normal 5 3 9 3" xfId="6054" xr:uid="{00000000-0005-0000-0000-0000AA1A0000}"/>
    <cellStyle name="Normal 5 3 9 4" xfId="10265" xr:uid="{D9976740-411E-4CF5-9BD1-ABCCCFEAEC8C}"/>
    <cellStyle name="Normal 5 3 9 5" xfId="14476" xr:uid="{6DDE8578-7CEA-4701-AD4D-938E9C2126DE}"/>
    <cellStyle name="Normal 5 4" xfId="456" xr:uid="{00000000-0005-0000-0000-0000AB1A0000}"/>
    <cellStyle name="Normal 5 4 10" xfId="4831" xr:uid="{00000000-0005-0000-0000-0000AC1A0000}"/>
    <cellStyle name="Normal 5 4 11" xfId="9042" xr:uid="{7D1712D9-2F1E-4A07-AA3E-6E73D0D3F746}"/>
    <cellStyle name="Normal 5 4 12" xfId="13253" xr:uid="{16C7668C-D8F5-4FFF-8B89-A0027D650BC9}"/>
    <cellStyle name="Normal 5 4 2" xfId="457" xr:uid="{00000000-0005-0000-0000-0000AD1A0000}"/>
    <cellStyle name="Normal 5 4 2 10" xfId="9043" xr:uid="{6A694002-000A-4084-AE52-ACE7FEA9EE6A}"/>
    <cellStyle name="Normal 5 4 2 11" xfId="13254" xr:uid="{11ED3E0B-A3EE-4DB6-9A39-9A6820FCC734}"/>
    <cellStyle name="Normal 5 4 2 2" xfId="458" xr:uid="{00000000-0005-0000-0000-0000AE1A0000}"/>
    <cellStyle name="Normal 5 4 2 2 10" xfId="13255" xr:uid="{B32B679A-9D10-4F6C-B69B-3687B8941206}"/>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2 3" xfId="11603" xr:uid="{35F51599-31D7-49FE-B5FE-6A14B7BB0A63}"/>
    <cellStyle name="Normal 5 4 2 2 2 2 2 4" xfId="15814" xr:uid="{347B3CB4-28B5-40AA-93FD-5D0162681AA7}"/>
    <cellStyle name="Normal 5 4 2 2 2 2 3" xfId="5247" xr:uid="{00000000-0005-0000-0000-0000B31A0000}"/>
    <cellStyle name="Normal 5 4 2 2 2 2 4" xfId="9458" xr:uid="{948E3389-73BA-4CF6-8D4A-6A5472A39522}"/>
    <cellStyle name="Normal 5 4 2 2 2 2 5" xfId="13669" xr:uid="{2EF4B7F8-AC93-40B2-A10D-8B1FAFB6FC22}"/>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2 3" xfId="12016" xr:uid="{C0A817D9-A179-434F-9079-63DF109A4027}"/>
    <cellStyle name="Normal 5 4 2 2 2 3 2 4" xfId="16227" xr:uid="{B4DB7C35-FFE7-44E4-A882-67977E4B8073}"/>
    <cellStyle name="Normal 5 4 2 2 2 3 3" xfId="5660" xr:uid="{00000000-0005-0000-0000-0000B71A0000}"/>
    <cellStyle name="Normal 5 4 2 2 2 3 4" xfId="9871" xr:uid="{61625834-4B1C-484E-8314-CB548342C98B}"/>
    <cellStyle name="Normal 5 4 2 2 2 3 5" xfId="14082" xr:uid="{600DD4A1-C5F6-4881-882F-2B8CBEC72B5A}"/>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2 3" xfId="12429" xr:uid="{3F652EDF-B289-4624-B7CA-A0F388E4A61C}"/>
    <cellStyle name="Normal 5 4 2 2 2 4 2 4" xfId="16640" xr:uid="{2883A3CE-A2BA-4C47-88A0-FFB7ABA8F350}"/>
    <cellStyle name="Normal 5 4 2 2 2 4 3" xfId="6073" xr:uid="{00000000-0005-0000-0000-0000BB1A0000}"/>
    <cellStyle name="Normal 5 4 2 2 2 4 4" xfId="10284" xr:uid="{F187AD39-E6A6-4500-843E-C2F54F8E48D3}"/>
    <cellStyle name="Normal 5 4 2 2 2 4 5" xfId="14495" xr:uid="{E259A261-6576-4DA1-90C7-5467CC390653}"/>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2 3" xfId="12842" xr:uid="{95C59726-E2C2-41F2-B73E-3956392FEEF2}"/>
    <cellStyle name="Normal 5 4 2 2 2 5 2 4" xfId="17053" xr:uid="{B31ECB25-7250-4846-B4B7-12F8485EADA3}"/>
    <cellStyle name="Normal 5 4 2 2 2 5 3" xfId="6486" xr:uid="{00000000-0005-0000-0000-0000BF1A0000}"/>
    <cellStyle name="Normal 5 4 2 2 2 5 4" xfId="10697" xr:uid="{128F6F30-9CF4-4744-8084-2B19E9A17976}"/>
    <cellStyle name="Normal 5 4 2 2 2 5 5" xfId="14908" xr:uid="{2E023CED-A1EF-4467-B7A0-119B68756728}"/>
    <cellStyle name="Normal 5 4 2 2 2 6" xfId="2614" xr:uid="{00000000-0005-0000-0000-0000C01A0000}"/>
    <cellStyle name="Normal 5 4 2 2 2 6 2" xfId="6899" xr:uid="{00000000-0005-0000-0000-0000C11A0000}"/>
    <cellStyle name="Normal 5 4 2 2 2 6 3" xfId="11110" xr:uid="{0BD0C235-1217-4BEC-924A-7C61639C491C}"/>
    <cellStyle name="Normal 5 4 2 2 2 6 4" xfId="15321" xr:uid="{CBA07F5A-6286-468C-B418-6CF3A8A95147}"/>
    <cellStyle name="Normal 5 4 2 2 2 7" xfId="4834" xr:uid="{00000000-0005-0000-0000-0000C21A0000}"/>
    <cellStyle name="Normal 5 4 2 2 2 8" xfId="9045" xr:uid="{97040B80-26F3-4820-AD51-319E285C684F}"/>
    <cellStyle name="Normal 5 4 2 2 2 9" xfId="13256" xr:uid="{9D3242BE-2788-4824-B535-37CDC7B0ED0C}"/>
    <cellStyle name="Normal 5 4 2 2 3" xfId="933" xr:uid="{00000000-0005-0000-0000-0000C31A0000}"/>
    <cellStyle name="Normal 5 4 2 2 3 2" xfId="3167" xr:uid="{00000000-0005-0000-0000-0000C41A0000}"/>
    <cellStyle name="Normal 5 4 2 2 3 2 2" xfId="7391" xr:uid="{00000000-0005-0000-0000-0000C51A0000}"/>
    <cellStyle name="Normal 5 4 2 2 3 2 3" xfId="11602" xr:uid="{AD232387-B253-4E5B-AB74-787A0458D954}"/>
    <cellStyle name="Normal 5 4 2 2 3 2 4" xfId="15813" xr:uid="{2717DA4F-9F36-40A8-A5DE-1B3895936F23}"/>
    <cellStyle name="Normal 5 4 2 2 3 3" xfId="5246" xr:uid="{00000000-0005-0000-0000-0000C61A0000}"/>
    <cellStyle name="Normal 5 4 2 2 3 4" xfId="9457" xr:uid="{90458D53-6BEC-41F1-ACA7-DB753099595C}"/>
    <cellStyle name="Normal 5 4 2 2 3 5" xfId="13668" xr:uid="{E3EB8102-FAE8-4FAF-BB29-A89582015041}"/>
    <cellStyle name="Normal 5 4 2 2 4" xfId="1350" xr:uid="{00000000-0005-0000-0000-0000C71A0000}"/>
    <cellStyle name="Normal 5 4 2 2 4 2" xfId="3580" xr:uid="{00000000-0005-0000-0000-0000C81A0000}"/>
    <cellStyle name="Normal 5 4 2 2 4 2 2" xfId="7804" xr:uid="{00000000-0005-0000-0000-0000C91A0000}"/>
    <cellStyle name="Normal 5 4 2 2 4 2 3" xfId="12015" xr:uid="{A1B6C12C-7888-4EC2-A3B9-48A555A46776}"/>
    <cellStyle name="Normal 5 4 2 2 4 2 4" xfId="16226" xr:uid="{937F5A67-C930-4354-87F3-397684449044}"/>
    <cellStyle name="Normal 5 4 2 2 4 3" xfId="5659" xr:uid="{00000000-0005-0000-0000-0000CA1A0000}"/>
    <cellStyle name="Normal 5 4 2 2 4 4" xfId="9870" xr:uid="{5ABA99A9-8152-4D66-9317-0B5E9B053CD5}"/>
    <cellStyle name="Normal 5 4 2 2 4 5" xfId="14081" xr:uid="{33BB11C7-62F1-414D-8FDE-F93056F209AF}"/>
    <cellStyle name="Normal 5 4 2 2 5" xfId="1763" xr:uid="{00000000-0005-0000-0000-0000CB1A0000}"/>
    <cellStyle name="Normal 5 4 2 2 5 2" xfId="3993" xr:uid="{00000000-0005-0000-0000-0000CC1A0000}"/>
    <cellStyle name="Normal 5 4 2 2 5 2 2" xfId="8217" xr:uid="{00000000-0005-0000-0000-0000CD1A0000}"/>
    <cellStyle name="Normal 5 4 2 2 5 2 3" xfId="12428" xr:uid="{030CEF7B-ECC6-47CA-9573-3916F86BC3F9}"/>
    <cellStyle name="Normal 5 4 2 2 5 2 4" xfId="16639" xr:uid="{E24AE01D-DF3B-4699-9B49-53D659506DB0}"/>
    <cellStyle name="Normal 5 4 2 2 5 3" xfId="6072" xr:uid="{00000000-0005-0000-0000-0000CE1A0000}"/>
    <cellStyle name="Normal 5 4 2 2 5 4" xfId="10283" xr:uid="{296B4841-3559-4494-930F-9748A4033FA1}"/>
    <cellStyle name="Normal 5 4 2 2 5 5" xfId="14494" xr:uid="{B0127730-8ACC-4E67-B278-711A5C209729}"/>
    <cellStyle name="Normal 5 4 2 2 6" xfId="2177" xr:uid="{00000000-0005-0000-0000-0000CF1A0000}"/>
    <cellStyle name="Normal 5 4 2 2 6 2" xfId="4406" xr:uid="{00000000-0005-0000-0000-0000D01A0000}"/>
    <cellStyle name="Normal 5 4 2 2 6 2 2" xfId="8630" xr:uid="{00000000-0005-0000-0000-0000D11A0000}"/>
    <cellStyle name="Normal 5 4 2 2 6 2 3" xfId="12841" xr:uid="{8D32A1B0-A5F0-4721-8990-7BC6E611D4C9}"/>
    <cellStyle name="Normal 5 4 2 2 6 2 4" xfId="17052" xr:uid="{D923B729-1E2D-40D7-B1F2-68A671A0EBF3}"/>
    <cellStyle name="Normal 5 4 2 2 6 3" xfId="6485" xr:uid="{00000000-0005-0000-0000-0000D21A0000}"/>
    <cellStyle name="Normal 5 4 2 2 6 4" xfId="10696" xr:uid="{B129F39B-812F-4600-AB5F-5E679BEE744B}"/>
    <cellStyle name="Normal 5 4 2 2 6 5" xfId="14907" xr:uid="{64267A6A-49B2-4E02-BD7C-6D3BE8BE9E14}"/>
    <cellStyle name="Normal 5 4 2 2 7" xfId="2613" xr:uid="{00000000-0005-0000-0000-0000D31A0000}"/>
    <cellStyle name="Normal 5 4 2 2 7 2" xfId="6898" xr:uid="{00000000-0005-0000-0000-0000D41A0000}"/>
    <cellStyle name="Normal 5 4 2 2 7 3" xfId="11109" xr:uid="{D35FD9AD-ABB5-4416-B771-5193DE35FB87}"/>
    <cellStyle name="Normal 5 4 2 2 7 4" xfId="15320" xr:uid="{41D2F695-6B9A-41E9-8F5B-EB23BDB8F298}"/>
    <cellStyle name="Normal 5 4 2 2 8" xfId="4833" xr:uid="{00000000-0005-0000-0000-0000D51A0000}"/>
    <cellStyle name="Normal 5 4 2 2 9" xfId="9044" xr:uid="{DAE783FF-1711-43EE-9DA1-CFEBED733472}"/>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2 3" xfId="11604" xr:uid="{928ABBE5-75E4-42DD-BDEF-868D53306680}"/>
    <cellStyle name="Normal 5 4 2 3 2 2 4" xfId="15815" xr:uid="{83E0BF59-66DE-4235-864E-F5758CED89F2}"/>
    <cellStyle name="Normal 5 4 2 3 2 3" xfId="5248" xr:uid="{00000000-0005-0000-0000-0000DA1A0000}"/>
    <cellStyle name="Normal 5 4 2 3 2 4" xfId="9459" xr:uid="{70DE4A4C-45D3-425B-8109-A0ED60D0B0BF}"/>
    <cellStyle name="Normal 5 4 2 3 2 5" xfId="13670" xr:uid="{6955C1BB-FB07-414D-8BF3-EF0CA91E04DE}"/>
    <cellStyle name="Normal 5 4 2 3 3" xfId="1352" xr:uid="{00000000-0005-0000-0000-0000DB1A0000}"/>
    <cellStyle name="Normal 5 4 2 3 3 2" xfId="3582" xr:uid="{00000000-0005-0000-0000-0000DC1A0000}"/>
    <cellStyle name="Normal 5 4 2 3 3 2 2" xfId="7806" xr:uid="{00000000-0005-0000-0000-0000DD1A0000}"/>
    <cellStyle name="Normal 5 4 2 3 3 2 3" xfId="12017" xr:uid="{D5E8DD32-CFF8-4694-B0A4-D111DB2FD47C}"/>
    <cellStyle name="Normal 5 4 2 3 3 2 4" xfId="16228" xr:uid="{3C1397FD-037D-434D-ADCD-9E5BC159D39B}"/>
    <cellStyle name="Normal 5 4 2 3 3 3" xfId="5661" xr:uid="{00000000-0005-0000-0000-0000DE1A0000}"/>
    <cellStyle name="Normal 5 4 2 3 3 4" xfId="9872" xr:uid="{69E5D560-8CE1-498C-8166-D98B6C233C5D}"/>
    <cellStyle name="Normal 5 4 2 3 3 5" xfId="14083" xr:uid="{B3908A53-7AFD-4F8D-AB33-5F946AF54690}"/>
    <cellStyle name="Normal 5 4 2 3 4" xfId="1765" xr:uid="{00000000-0005-0000-0000-0000DF1A0000}"/>
    <cellStyle name="Normal 5 4 2 3 4 2" xfId="3995" xr:uid="{00000000-0005-0000-0000-0000E01A0000}"/>
    <cellStyle name="Normal 5 4 2 3 4 2 2" xfId="8219" xr:uid="{00000000-0005-0000-0000-0000E11A0000}"/>
    <cellStyle name="Normal 5 4 2 3 4 2 3" xfId="12430" xr:uid="{9FB6957D-CE04-444F-A071-9916AE329139}"/>
    <cellStyle name="Normal 5 4 2 3 4 2 4" xfId="16641" xr:uid="{F6D6ECEE-9613-43A4-AAF1-D8E72ED54E8A}"/>
    <cellStyle name="Normal 5 4 2 3 4 3" xfId="6074" xr:uid="{00000000-0005-0000-0000-0000E21A0000}"/>
    <cellStyle name="Normal 5 4 2 3 4 4" xfId="10285" xr:uid="{0498689D-2F56-4D84-91BF-75D49C7CF6A4}"/>
    <cellStyle name="Normal 5 4 2 3 4 5" xfId="14496" xr:uid="{20E8F983-E0B1-412B-BE36-A505EF623003}"/>
    <cellStyle name="Normal 5 4 2 3 5" xfId="2179" xr:uid="{00000000-0005-0000-0000-0000E31A0000}"/>
    <cellStyle name="Normal 5 4 2 3 5 2" xfId="4408" xr:uid="{00000000-0005-0000-0000-0000E41A0000}"/>
    <cellStyle name="Normal 5 4 2 3 5 2 2" xfId="8632" xr:uid="{00000000-0005-0000-0000-0000E51A0000}"/>
    <cellStyle name="Normal 5 4 2 3 5 2 3" xfId="12843" xr:uid="{B813CB27-7AB4-47A0-8F5E-3A1290FFC342}"/>
    <cellStyle name="Normal 5 4 2 3 5 2 4" xfId="17054" xr:uid="{8EAA6A78-A205-43EA-823B-E50EC2F4A9AD}"/>
    <cellStyle name="Normal 5 4 2 3 5 3" xfId="6487" xr:uid="{00000000-0005-0000-0000-0000E61A0000}"/>
    <cellStyle name="Normal 5 4 2 3 5 4" xfId="10698" xr:uid="{BAA25E47-0A35-4275-BD06-AD303F9E14B1}"/>
    <cellStyle name="Normal 5 4 2 3 5 5" xfId="14909" xr:uid="{AFA62CA8-ABE6-487F-9BBB-8F986004B36D}"/>
    <cellStyle name="Normal 5 4 2 3 6" xfId="2615" xr:uid="{00000000-0005-0000-0000-0000E71A0000}"/>
    <cellStyle name="Normal 5 4 2 3 6 2" xfId="6900" xr:uid="{00000000-0005-0000-0000-0000E81A0000}"/>
    <cellStyle name="Normal 5 4 2 3 6 3" xfId="11111" xr:uid="{238B2B9D-FD11-4F23-9E19-ACA2DC6E7FF2}"/>
    <cellStyle name="Normal 5 4 2 3 6 4" xfId="15322" xr:uid="{36ACC765-D5A3-45E5-A902-9D92EFCFA879}"/>
    <cellStyle name="Normal 5 4 2 3 7" xfId="4835" xr:uid="{00000000-0005-0000-0000-0000E91A0000}"/>
    <cellStyle name="Normal 5 4 2 3 8" xfId="9046" xr:uid="{201F1987-74B8-49E7-9438-6A5515FD854D}"/>
    <cellStyle name="Normal 5 4 2 3 9" xfId="13257" xr:uid="{AF80E693-5F57-479E-A61E-9C7BD79E0DD9}"/>
    <cellStyle name="Normal 5 4 2 4" xfId="932" xr:uid="{00000000-0005-0000-0000-0000EA1A0000}"/>
    <cellStyle name="Normal 5 4 2 4 2" xfId="3166" xr:uid="{00000000-0005-0000-0000-0000EB1A0000}"/>
    <cellStyle name="Normal 5 4 2 4 2 2" xfId="7390" xr:uid="{00000000-0005-0000-0000-0000EC1A0000}"/>
    <cellStyle name="Normal 5 4 2 4 2 3" xfId="11601" xr:uid="{AF709D66-4EC7-4735-A31E-91107E7CEBA9}"/>
    <cellStyle name="Normal 5 4 2 4 2 4" xfId="15812" xr:uid="{A5C83F89-1DD0-4935-BBC1-E2E6EA58634A}"/>
    <cellStyle name="Normal 5 4 2 4 3" xfId="5245" xr:uid="{00000000-0005-0000-0000-0000ED1A0000}"/>
    <cellStyle name="Normal 5 4 2 4 4" xfId="9456" xr:uid="{38D61BD0-9718-4DB2-8F80-F28C6DEB880C}"/>
    <cellStyle name="Normal 5 4 2 4 5" xfId="13667" xr:uid="{31DA9903-B416-4110-855A-A7AAE4F8A3B3}"/>
    <cellStyle name="Normal 5 4 2 5" xfId="1349" xr:uid="{00000000-0005-0000-0000-0000EE1A0000}"/>
    <cellStyle name="Normal 5 4 2 5 2" xfId="3579" xr:uid="{00000000-0005-0000-0000-0000EF1A0000}"/>
    <cellStyle name="Normal 5 4 2 5 2 2" xfId="7803" xr:uid="{00000000-0005-0000-0000-0000F01A0000}"/>
    <cellStyle name="Normal 5 4 2 5 2 3" xfId="12014" xr:uid="{C967F17A-E4D7-4710-9B41-C8D1336B1FB5}"/>
    <cellStyle name="Normal 5 4 2 5 2 4" xfId="16225" xr:uid="{EBC5521D-FD0F-4F36-8D77-912E998DB2A7}"/>
    <cellStyle name="Normal 5 4 2 5 3" xfId="5658" xr:uid="{00000000-0005-0000-0000-0000F11A0000}"/>
    <cellStyle name="Normal 5 4 2 5 4" xfId="9869" xr:uid="{D2E876C6-97FD-4EAB-8F51-BC64FED895CC}"/>
    <cellStyle name="Normal 5 4 2 5 5" xfId="14080" xr:uid="{F5202AD6-E356-43FB-AD9C-4A57727F552B}"/>
    <cellStyle name="Normal 5 4 2 6" xfId="1762" xr:uid="{00000000-0005-0000-0000-0000F21A0000}"/>
    <cellStyle name="Normal 5 4 2 6 2" xfId="3992" xr:uid="{00000000-0005-0000-0000-0000F31A0000}"/>
    <cellStyle name="Normal 5 4 2 6 2 2" xfId="8216" xr:uid="{00000000-0005-0000-0000-0000F41A0000}"/>
    <cellStyle name="Normal 5 4 2 6 2 3" xfId="12427" xr:uid="{CF9E0188-BDAC-4EAD-B299-35D978AA1526}"/>
    <cellStyle name="Normal 5 4 2 6 2 4" xfId="16638" xr:uid="{033CEF4D-D202-4D10-BCB8-88ED13E6437C}"/>
    <cellStyle name="Normal 5 4 2 6 3" xfId="6071" xr:uid="{00000000-0005-0000-0000-0000F51A0000}"/>
    <cellStyle name="Normal 5 4 2 6 4" xfId="10282" xr:uid="{5275C46C-84D3-420A-89A7-F6505F80967C}"/>
    <cellStyle name="Normal 5 4 2 6 5" xfId="14493" xr:uid="{F795EC80-AA9C-4CFB-9B1C-666F0B8BAFBA}"/>
    <cellStyle name="Normal 5 4 2 7" xfId="2176" xr:uid="{00000000-0005-0000-0000-0000F61A0000}"/>
    <cellStyle name="Normal 5 4 2 7 2" xfId="4405" xr:uid="{00000000-0005-0000-0000-0000F71A0000}"/>
    <cellStyle name="Normal 5 4 2 7 2 2" xfId="8629" xr:uid="{00000000-0005-0000-0000-0000F81A0000}"/>
    <cellStyle name="Normal 5 4 2 7 2 3" xfId="12840" xr:uid="{82AA651D-1EED-4DD2-8F72-4F1F97AB06D0}"/>
    <cellStyle name="Normal 5 4 2 7 2 4" xfId="17051" xr:uid="{3F9279A3-A6EB-45D0-9A63-A3B7A408E0D7}"/>
    <cellStyle name="Normal 5 4 2 7 3" xfId="6484" xr:uid="{00000000-0005-0000-0000-0000F91A0000}"/>
    <cellStyle name="Normal 5 4 2 7 4" xfId="10695" xr:uid="{BCC9043F-15AC-4356-BEFA-5BDDC76E909B}"/>
    <cellStyle name="Normal 5 4 2 7 5" xfId="14906" xr:uid="{5348C727-E4A8-4E8A-B172-047C70ABC880}"/>
    <cellStyle name="Normal 5 4 2 8" xfId="2612" xr:uid="{00000000-0005-0000-0000-0000FA1A0000}"/>
    <cellStyle name="Normal 5 4 2 8 2" xfId="6897" xr:uid="{00000000-0005-0000-0000-0000FB1A0000}"/>
    <cellStyle name="Normal 5 4 2 8 3" xfId="11108" xr:uid="{97A99E60-E034-4464-ABCB-2F315831B7E4}"/>
    <cellStyle name="Normal 5 4 2 8 4" xfId="15319" xr:uid="{15A4F4A4-F6C8-4554-BDED-10CDDEBFA350}"/>
    <cellStyle name="Normal 5 4 2 9" xfId="4832" xr:uid="{00000000-0005-0000-0000-0000FC1A0000}"/>
    <cellStyle name="Normal 5 4 3" xfId="461" xr:uid="{00000000-0005-0000-0000-0000FD1A0000}"/>
    <cellStyle name="Normal 5 4 3 10" xfId="13258" xr:uid="{27EA413E-F4B6-4116-BD3B-0E804D9681E9}"/>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2 3" xfId="11606" xr:uid="{CD01F165-8F40-42AD-B941-D5CDA4A544E4}"/>
    <cellStyle name="Normal 5 4 3 2 2 2 4" xfId="15817" xr:uid="{7C1AFBD8-467F-430B-8771-F897A3BB2E14}"/>
    <cellStyle name="Normal 5 4 3 2 2 3" xfId="5250" xr:uid="{00000000-0005-0000-0000-0000021B0000}"/>
    <cellStyle name="Normal 5 4 3 2 2 4" xfId="9461" xr:uid="{3206A81A-71BE-49C3-8816-3512F3BE6E33}"/>
    <cellStyle name="Normal 5 4 3 2 2 5" xfId="13672" xr:uid="{36E6C1C5-3A1D-4156-9096-16D0C15C3692}"/>
    <cellStyle name="Normal 5 4 3 2 3" xfId="1354" xr:uid="{00000000-0005-0000-0000-0000031B0000}"/>
    <cellStyle name="Normal 5 4 3 2 3 2" xfId="3584" xr:uid="{00000000-0005-0000-0000-0000041B0000}"/>
    <cellStyle name="Normal 5 4 3 2 3 2 2" xfId="7808" xr:uid="{00000000-0005-0000-0000-0000051B0000}"/>
    <cellStyle name="Normal 5 4 3 2 3 2 3" xfId="12019" xr:uid="{2CC366B4-FF4D-40DE-ADA2-39011C4A8FCE}"/>
    <cellStyle name="Normal 5 4 3 2 3 2 4" xfId="16230" xr:uid="{58711941-1BB7-4FE9-99F1-AC4353E3B9D4}"/>
    <cellStyle name="Normal 5 4 3 2 3 3" xfId="5663" xr:uid="{00000000-0005-0000-0000-0000061B0000}"/>
    <cellStyle name="Normal 5 4 3 2 3 4" xfId="9874" xr:uid="{67193890-838A-4D0D-A2D6-00367AF8D38A}"/>
    <cellStyle name="Normal 5 4 3 2 3 5" xfId="14085" xr:uid="{7AAB8FE3-C7A6-4716-A600-56C634504D55}"/>
    <cellStyle name="Normal 5 4 3 2 4" xfId="1767" xr:uid="{00000000-0005-0000-0000-0000071B0000}"/>
    <cellStyle name="Normal 5 4 3 2 4 2" xfId="3997" xr:uid="{00000000-0005-0000-0000-0000081B0000}"/>
    <cellStyle name="Normal 5 4 3 2 4 2 2" xfId="8221" xr:uid="{00000000-0005-0000-0000-0000091B0000}"/>
    <cellStyle name="Normal 5 4 3 2 4 2 3" xfId="12432" xr:uid="{685A6C4B-A92E-499F-BADD-1D5C7CE4A586}"/>
    <cellStyle name="Normal 5 4 3 2 4 2 4" xfId="16643" xr:uid="{5F452DDD-0310-444B-89ED-850EFC9315C6}"/>
    <cellStyle name="Normal 5 4 3 2 4 3" xfId="6076" xr:uid="{00000000-0005-0000-0000-00000A1B0000}"/>
    <cellStyle name="Normal 5 4 3 2 4 4" xfId="10287" xr:uid="{01397DFE-055D-48C1-A4BB-95C51A08C73E}"/>
    <cellStyle name="Normal 5 4 3 2 4 5" xfId="14498" xr:uid="{A9B973AA-9F20-4724-91A1-715FD3D809CF}"/>
    <cellStyle name="Normal 5 4 3 2 5" xfId="2181" xr:uid="{00000000-0005-0000-0000-00000B1B0000}"/>
    <cellStyle name="Normal 5 4 3 2 5 2" xfId="4410" xr:uid="{00000000-0005-0000-0000-00000C1B0000}"/>
    <cellStyle name="Normal 5 4 3 2 5 2 2" xfId="8634" xr:uid="{00000000-0005-0000-0000-00000D1B0000}"/>
    <cellStyle name="Normal 5 4 3 2 5 2 3" xfId="12845" xr:uid="{31216EF5-335F-4BA7-80F2-757C5BBFA634}"/>
    <cellStyle name="Normal 5 4 3 2 5 2 4" xfId="17056" xr:uid="{BF81597D-478A-4E74-9465-ABFE41CC4DFE}"/>
    <cellStyle name="Normal 5 4 3 2 5 3" xfId="6489" xr:uid="{00000000-0005-0000-0000-00000E1B0000}"/>
    <cellStyle name="Normal 5 4 3 2 5 4" xfId="10700" xr:uid="{C904B683-CACE-48C0-BEB7-4ACF70751641}"/>
    <cellStyle name="Normal 5 4 3 2 5 5" xfId="14911" xr:uid="{058F34C7-0255-4DBB-8ECC-B72645839BF7}"/>
    <cellStyle name="Normal 5 4 3 2 6" xfId="2617" xr:uid="{00000000-0005-0000-0000-00000F1B0000}"/>
    <cellStyle name="Normal 5 4 3 2 6 2" xfId="6902" xr:uid="{00000000-0005-0000-0000-0000101B0000}"/>
    <cellStyle name="Normal 5 4 3 2 6 3" xfId="11113" xr:uid="{77198EBD-0E5C-4696-882A-8FD0D4FA06AE}"/>
    <cellStyle name="Normal 5 4 3 2 6 4" xfId="15324" xr:uid="{C8633A51-AA2B-4057-A8E4-F9D0EB70F0E1}"/>
    <cellStyle name="Normal 5 4 3 2 7" xfId="4837" xr:uid="{00000000-0005-0000-0000-0000111B0000}"/>
    <cellStyle name="Normal 5 4 3 2 8" xfId="9048" xr:uid="{3F2A2566-CB70-4FF8-A67A-58476307F833}"/>
    <cellStyle name="Normal 5 4 3 2 9" xfId="13259" xr:uid="{51012009-4AEA-465C-A0E0-53ABF208F25E}"/>
    <cellStyle name="Normal 5 4 3 3" xfId="936" xr:uid="{00000000-0005-0000-0000-0000121B0000}"/>
    <cellStyle name="Normal 5 4 3 3 2" xfId="3170" xr:uid="{00000000-0005-0000-0000-0000131B0000}"/>
    <cellStyle name="Normal 5 4 3 3 2 2" xfId="7394" xr:uid="{00000000-0005-0000-0000-0000141B0000}"/>
    <cellStyle name="Normal 5 4 3 3 2 3" xfId="11605" xr:uid="{6087F1C0-F781-40C1-8709-A9FE19A8FD01}"/>
    <cellStyle name="Normal 5 4 3 3 2 4" xfId="15816" xr:uid="{A8577288-B0EC-45A5-92B9-C03D9929C689}"/>
    <cellStyle name="Normal 5 4 3 3 3" xfId="5249" xr:uid="{00000000-0005-0000-0000-0000151B0000}"/>
    <cellStyle name="Normal 5 4 3 3 4" xfId="9460" xr:uid="{5DED6256-A0AE-4629-9499-D1AD412AADE8}"/>
    <cellStyle name="Normal 5 4 3 3 5" xfId="13671" xr:uid="{3246566C-E4AD-438B-9378-1C60355B693A}"/>
    <cellStyle name="Normal 5 4 3 4" xfId="1353" xr:uid="{00000000-0005-0000-0000-0000161B0000}"/>
    <cellStyle name="Normal 5 4 3 4 2" xfId="3583" xr:uid="{00000000-0005-0000-0000-0000171B0000}"/>
    <cellStyle name="Normal 5 4 3 4 2 2" xfId="7807" xr:uid="{00000000-0005-0000-0000-0000181B0000}"/>
    <cellStyle name="Normal 5 4 3 4 2 3" xfId="12018" xr:uid="{7316619E-04D8-4129-AAC8-57A14DF20A9A}"/>
    <cellStyle name="Normal 5 4 3 4 2 4" xfId="16229" xr:uid="{8B017018-6A68-45C2-86E4-64FA1AA1C6DB}"/>
    <cellStyle name="Normal 5 4 3 4 3" xfId="5662" xr:uid="{00000000-0005-0000-0000-0000191B0000}"/>
    <cellStyle name="Normal 5 4 3 4 4" xfId="9873" xr:uid="{6A385E6C-6E48-4F16-9D68-9869A0BA08E2}"/>
    <cellStyle name="Normal 5 4 3 4 5" xfId="14084" xr:uid="{9179ADF8-509C-446D-A8FA-71217BCE4135}"/>
    <cellStyle name="Normal 5 4 3 5" xfId="1766" xr:uid="{00000000-0005-0000-0000-00001A1B0000}"/>
    <cellStyle name="Normal 5 4 3 5 2" xfId="3996" xr:uid="{00000000-0005-0000-0000-00001B1B0000}"/>
    <cellStyle name="Normal 5 4 3 5 2 2" xfId="8220" xr:uid="{00000000-0005-0000-0000-00001C1B0000}"/>
    <cellStyle name="Normal 5 4 3 5 2 3" xfId="12431" xr:uid="{FECCEDED-38EF-4A1B-977F-A8BBD602777F}"/>
    <cellStyle name="Normal 5 4 3 5 2 4" xfId="16642" xr:uid="{E7A0E98B-C227-42E9-803F-02E444D20F0D}"/>
    <cellStyle name="Normal 5 4 3 5 3" xfId="6075" xr:uid="{00000000-0005-0000-0000-00001D1B0000}"/>
    <cellStyle name="Normal 5 4 3 5 4" xfId="10286" xr:uid="{F4B5C38B-50F9-4760-90E8-D00F4A593AEC}"/>
    <cellStyle name="Normal 5 4 3 5 5" xfId="14497" xr:uid="{77B4D8B5-54DB-4885-AEA6-D0A51AE32D74}"/>
    <cellStyle name="Normal 5 4 3 6" xfId="2180" xr:uid="{00000000-0005-0000-0000-00001E1B0000}"/>
    <cellStyle name="Normal 5 4 3 6 2" xfId="4409" xr:uid="{00000000-0005-0000-0000-00001F1B0000}"/>
    <cellStyle name="Normal 5 4 3 6 2 2" xfId="8633" xr:uid="{00000000-0005-0000-0000-0000201B0000}"/>
    <cellStyle name="Normal 5 4 3 6 2 3" xfId="12844" xr:uid="{746D8253-80C5-47D1-ADE6-AB2A97F64FA5}"/>
    <cellStyle name="Normal 5 4 3 6 2 4" xfId="17055" xr:uid="{EA530533-DA87-4270-8F42-800B4D86D035}"/>
    <cellStyle name="Normal 5 4 3 6 3" xfId="6488" xr:uid="{00000000-0005-0000-0000-0000211B0000}"/>
    <cellStyle name="Normal 5 4 3 6 4" xfId="10699" xr:uid="{BD1D9A30-9D74-4CE6-B86E-828BD2EF3ACB}"/>
    <cellStyle name="Normal 5 4 3 6 5" xfId="14910" xr:uid="{7FDC98EF-657C-42D8-B85F-75549791916D}"/>
    <cellStyle name="Normal 5 4 3 7" xfId="2616" xr:uid="{00000000-0005-0000-0000-0000221B0000}"/>
    <cellStyle name="Normal 5 4 3 7 2" xfId="6901" xr:uid="{00000000-0005-0000-0000-0000231B0000}"/>
    <cellStyle name="Normal 5 4 3 7 3" xfId="11112" xr:uid="{9BA6B8D0-4158-42D5-8655-F2259F684D82}"/>
    <cellStyle name="Normal 5 4 3 7 4" xfId="15323" xr:uid="{7AB65A17-F8D1-4724-96B3-95A68919D507}"/>
    <cellStyle name="Normal 5 4 3 8" xfId="4836" xr:uid="{00000000-0005-0000-0000-0000241B0000}"/>
    <cellStyle name="Normal 5 4 3 9" xfId="9047" xr:uid="{A64AF659-8FA9-4A7E-B77C-92C9EBE99579}"/>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2 3" xfId="11607" xr:uid="{80E71D39-A2BB-49AB-B455-27A9FADA3BB7}"/>
    <cellStyle name="Normal 5 4 4 2 2 4" xfId="15818" xr:uid="{05E51954-32F0-4C35-8F2C-89F6BB998E8D}"/>
    <cellStyle name="Normal 5 4 4 2 3" xfId="5251" xr:uid="{00000000-0005-0000-0000-0000291B0000}"/>
    <cellStyle name="Normal 5 4 4 2 4" xfId="9462" xr:uid="{33286BD1-7068-4653-8F81-D9C81D478F23}"/>
    <cellStyle name="Normal 5 4 4 2 5" xfId="13673" xr:uid="{1BC96B92-1DF2-44F8-AFDB-F6AB64553B22}"/>
    <cellStyle name="Normal 5 4 4 3" xfId="1355" xr:uid="{00000000-0005-0000-0000-00002A1B0000}"/>
    <cellStyle name="Normal 5 4 4 3 2" xfId="3585" xr:uid="{00000000-0005-0000-0000-00002B1B0000}"/>
    <cellStyle name="Normal 5 4 4 3 2 2" xfId="7809" xr:uid="{00000000-0005-0000-0000-00002C1B0000}"/>
    <cellStyle name="Normal 5 4 4 3 2 3" xfId="12020" xr:uid="{250AEB58-C105-4DF4-8502-4AB2FC88F045}"/>
    <cellStyle name="Normal 5 4 4 3 2 4" xfId="16231" xr:uid="{B930F4C2-46CB-41DF-A588-476C7F44102F}"/>
    <cellStyle name="Normal 5 4 4 3 3" xfId="5664" xr:uid="{00000000-0005-0000-0000-00002D1B0000}"/>
    <cellStyle name="Normal 5 4 4 3 4" xfId="9875" xr:uid="{93EE5F91-E1F9-40C3-84F0-3381258DC5B5}"/>
    <cellStyle name="Normal 5 4 4 3 5" xfId="14086" xr:uid="{C4D130FF-3D49-4598-A465-680CB3EA4F67}"/>
    <cellStyle name="Normal 5 4 4 4" xfId="1768" xr:uid="{00000000-0005-0000-0000-00002E1B0000}"/>
    <cellStyle name="Normal 5 4 4 4 2" xfId="3998" xr:uid="{00000000-0005-0000-0000-00002F1B0000}"/>
    <cellStyle name="Normal 5 4 4 4 2 2" xfId="8222" xr:uid="{00000000-0005-0000-0000-0000301B0000}"/>
    <cellStyle name="Normal 5 4 4 4 2 3" xfId="12433" xr:uid="{AB58FC22-0A30-4D4B-96E6-BD8780E1D882}"/>
    <cellStyle name="Normal 5 4 4 4 2 4" xfId="16644" xr:uid="{78548CEC-AA56-4B7B-840B-B01298AC94B8}"/>
    <cellStyle name="Normal 5 4 4 4 3" xfId="6077" xr:uid="{00000000-0005-0000-0000-0000311B0000}"/>
    <cellStyle name="Normal 5 4 4 4 4" xfId="10288" xr:uid="{2AC84760-BCC4-4204-96E8-D3C5C5A61DE0}"/>
    <cellStyle name="Normal 5 4 4 4 5" xfId="14499" xr:uid="{957175BA-526C-4477-AB15-57CEE3D88227}"/>
    <cellStyle name="Normal 5 4 4 5" xfId="2182" xr:uid="{00000000-0005-0000-0000-0000321B0000}"/>
    <cellStyle name="Normal 5 4 4 5 2" xfId="4411" xr:uid="{00000000-0005-0000-0000-0000331B0000}"/>
    <cellStyle name="Normal 5 4 4 5 2 2" xfId="8635" xr:uid="{00000000-0005-0000-0000-0000341B0000}"/>
    <cellStyle name="Normal 5 4 4 5 2 3" xfId="12846" xr:uid="{14024BAC-45F1-4274-9A46-A4CA3B015CCE}"/>
    <cellStyle name="Normal 5 4 4 5 2 4" xfId="17057" xr:uid="{9C4393FE-043F-4786-BB28-134338D1D16F}"/>
    <cellStyle name="Normal 5 4 4 5 3" xfId="6490" xr:uid="{00000000-0005-0000-0000-0000351B0000}"/>
    <cellStyle name="Normal 5 4 4 5 4" xfId="10701" xr:uid="{90A22A4F-5FA2-49FC-B40B-FF9FF3C8C92D}"/>
    <cellStyle name="Normal 5 4 4 5 5" xfId="14912" xr:uid="{5AA86B54-7A89-4CA2-995F-F90CB1196FD8}"/>
    <cellStyle name="Normal 5 4 4 6" xfId="2618" xr:uid="{00000000-0005-0000-0000-0000361B0000}"/>
    <cellStyle name="Normal 5 4 4 6 2" xfId="6903" xr:uid="{00000000-0005-0000-0000-0000371B0000}"/>
    <cellStyle name="Normal 5 4 4 6 3" xfId="11114" xr:uid="{5D1A0575-8723-4A45-9A54-9C1CC5766496}"/>
    <cellStyle name="Normal 5 4 4 6 4" xfId="15325" xr:uid="{63621022-53E4-4952-917D-98FD7E947AE5}"/>
    <cellStyle name="Normal 5 4 4 7" xfId="4838" xr:uid="{00000000-0005-0000-0000-0000381B0000}"/>
    <cellStyle name="Normal 5 4 4 8" xfId="9049" xr:uid="{FE9C76E7-1F9F-4617-B98D-A6A441E7057E}"/>
    <cellStyle name="Normal 5 4 4 9" xfId="13260" xr:uid="{47CA5CA4-1B03-4491-B9AC-AA386ACBDD10}"/>
    <cellStyle name="Normal 5 4 5" xfId="931" xr:uid="{00000000-0005-0000-0000-0000391B0000}"/>
    <cellStyle name="Normal 5 4 5 2" xfId="3165" xr:uid="{00000000-0005-0000-0000-00003A1B0000}"/>
    <cellStyle name="Normal 5 4 5 2 2" xfId="7389" xr:uid="{00000000-0005-0000-0000-00003B1B0000}"/>
    <cellStyle name="Normal 5 4 5 2 3" xfId="11600" xr:uid="{9D180807-0EAD-4B84-BA15-2EEABA35D0B7}"/>
    <cellStyle name="Normal 5 4 5 2 4" xfId="15811" xr:uid="{CD034A0C-5435-4447-B747-FF2D0ECBA802}"/>
    <cellStyle name="Normal 5 4 5 3" xfId="5244" xr:uid="{00000000-0005-0000-0000-00003C1B0000}"/>
    <cellStyle name="Normal 5 4 5 4" xfId="9455" xr:uid="{95080495-DBD7-4746-9AEE-60495BD640B7}"/>
    <cellStyle name="Normal 5 4 5 5" xfId="13666" xr:uid="{6CE6EFA3-A1E1-43A3-B124-0AA07D4FC944}"/>
    <cellStyle name="Normal 5 4 6" xfId="1348" xr:uid="{00000000-0005-0000-0000-00003D1B0000}"/>
    <cellStyle name="Normal 5 4 6 2" xfId="3578" xr:uid="{00000000-0005-0000-0000-00003E1B0000}"/>
    <cellStyle name="Normal 5 4 6 2 2" xfId="7802" xr:uid="{00000000-0005-0000-0000-00003F1B0000}"/>
    <cellStyle name="Normal 5 4 6 2 3" xfId="12013" xr:uid="{9FC9C9F2-5D9D-463C-949A-B6C493FF6DE1}"/>
    <cellStyle name="Normal 5 4 6 2 4" xfId="16224" xr:uid="{DECC7434-9CDC-4D1E-8454-3BAD1FD39F2D}"/>
    <cellStyle name="Normal 5 4 6 3" xfId="5657" xr:uid="{00000000-0005-0000-0000-0000401B0000}"/>
    <cellStyle name="Normal 5 4 6 4" xfId="9868" xr:uid="{E84DA9D5-7EC9-42E3-A0BE-037222CC6541}"/>
    <cellStyle name="Normal 5 4 6 5" xfId="14079" xr:uid="{BA65F893-B1EF-49CC-B16E-E76FE29A5080}"/>
    <cellStyle name="Normal 5 4 7" xfId="1761" xr:uid="{00000000-0005-0000-0000-0000411B0000}"/>
    <cellStyle name="Normal 5 4 7 2" xfId="3991" xr:uid="{00000000-0005-0000-0000-0000421B0000}"/>
    <cellStyle name="Normal 5 4 7 2 2" xfId="8215" xr:uid="{00000000-0005-0000-0000-0000431B0000}"/>
    <cellStyle name="Normal 5 4 7 2 3" xfId="12426" xr:uid="{39AF6041-13AC-4BB0-A26C-551D5B03D52B}"/>
    <cellStyle name="Normal 5 4 7 2 4" xfId="16637" xr:uid="{7979B25D-228D-4442-8243-1B643FB45B9D}"/>
    <cellStyle name="Normal 5 4 7 3" xfId="6070" xr:uid="{00000000-0005-0000-0000-0000441B0000}"/>
    <cellStyle name="Normal 5 4 7 4" xfId="10281" xr:uid="{436F974C-7646-4D2E-A1BB-B6A7E9586E8F}"/>
    <cellStyle name="Normal 5 4 7 5" xfId="14492" xr:uid="{35BC6C63-DE8B-4607-BD62-D65BF135D53A}"/>
    <cellStyle name="Normal 5 4 8" xfId="2175" xr:uid="{00000000-0005-0000-0000-0000451B0000}"/>
    <cellStyle name="Normal 5 4 8 2" xfId="4404" xr:uid="{00000000-0005-0000-0000-0000461B0000}"/>
    <cellStyle name="Normal 5 4 8 2 2" xfId="8628" xr:uid="{00000000-0005-0000-0000-0000471B0000}"/>
    <cellStyle name="Normal 5 4 8 2 3" xfId="12839" xr:uid="{510889B5-C095-45FF-BA85-82F35D2F0693}"/>
    <cellStyle name="Normal 5 4 8 2 4" xfId="17050" xr:uid="{8529B780-8440-454E-9409-846DCD8BBA7D}"/>
    <cellStyle name="Normal 5 4 8 3" xfId="6483" xr:uid="{00000000-0005-0000-0000-0000481B0000}"/>
    <cellStyle name="Normal 5 4 8 4" xfId="10694" xr:uid="{25CC0A99-64BF-4EA7-B892-E08616350235}"/>
    <cellStyle name="Normal 5 4 8 5" xfId="14905" xr:uid="{2C8C13B4-97B5-43B9-AA67-8327A0AA88C0}"/>
    <cellStyle name="Normal 5 4 9" xfId="2611" xr:uid="{00000000-0005-0000-0000-0000491B0000}"/>
    <cellStyle name="Normal 5 4 9 2" xfId="6896" xr:uid="{00000000-0005-0000-0000-00004A1B0000}"/>
    <cellStyle name="Normal 5 4 9 3" xfId="11107" xr:uid="{EE96235B-9A06-4D39-8370-E32D33C5D1A4}"/>
    <cellStyle name="Normal 5 4 9 4" xfId="15318" xr:uid="{F95DC712-D2E1-4D6D-88F1-13770D77DBC0}"/>
    <cellStyle name="Normal 5 5" xfId="464" xr:uid="{00000000-0005-0000-0000-00004B1B0000}"/>
    <cellStyle name="Normal 5 5 10" xfId="9050" xr:uid="{68555CF0-F65F-41C5-B12E-D69F0223A6BF}"/>
    <cellStyle name="Normal 5 5 11" xfId="13261" xr:uid="{87130A46-4484-468D-905F-65DC2837C601}"/>
    <cellStyle name="Normal 5 5 2" xfId="465" xr:uid="{00000000-0005-0000-0000-00004C1B0000}"/>
    <cellStyle name="Normal 5 5 2 10" xfId="13262" xr:uid="{A2A59F56-91CC-4D4B-925D-FBDEB24E5CBB}"/>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2 3" xfId="11610" xr:uid="{228301F9-E850-485F-B2B9-5D90EF56A659}"/>
    <cellStyle name="Normal 5 5 2 2 2 2 4" xfId="15821" xr:uid="{5DB14C53-E05C-4773-BE39-7EE9C6377AA5}"/>
    <cellStyle name="Normal 5 5 2 2 2 3" xfId="5254" xr:uid="{00000000-0005-0000-0000-0000511B0000}"/>
    <cellStyle name="Normal 5 5 2 2 2 4" xfId="9465" xr:uid="{4D9587FF-2BE3-44C2-8975-2C7E3F921AFA}"/>
    <cellStyle name="Normal 5 5 2 2 2 5" xfId="13676" xr:uid="{036AC020-4AA2-49AB-91AE-11E42BC4E60F}"/>
    <cellStyle name="Normal 5 5 2 2 3" xfId="1358" xr:uid="{00000000-0005-0000-0000-0000521B0000}"/>
    <cellStyle name="Normal 5 5 2 2 3 2" xfId="3588" xr:uid="{00000000-0005-0000-0000-0000531B0000}"/>
    <cellStyle name="Normal 5 5 2 2 3 2 2" xfId="7812" xr:uid="{00000000-0005-0000-0000-0000541B0000}"/>
    <cellStyle name="Normal 5 5 2 2 3 2 3" xfId="12023" xr:uid="{70AE420C-F600-4E30-B5AC-A007A93831D1}"/>
    <cellStyle name="Normal 5 5 2 2 3 2 4" xfId="16234" xr:uid="{4C4A6DB0-0432-4C40-8D7E-5EB7408912C5}"/>
    <cellStyle name="Normal 5 5 2 2 3 3" xfId="5667" xr:uid="{00000000-0005-0000-0000-0000551B0000}"/>
    <cellStyle name="Normal 5 5 2 2 3 4" xfId="9878" xr:uid="{714B0F9B-AB8B-44DB-A0FE-6B67CC0FC8E2}"/>
    <cellStyle name="Normal 5 5 2 2 3 5" xfId="14089" xr:uid="{05F9364A-B79B-4C09-A44F-9C0DEC1F5D49}"/>
    <cellStyle name="Normal 5 5 2 2 4" xfId="1771" xr:uid="{00000000-0005-0000-0000-0000561B0000}"/>
    <cellStyle name="Normal 5 5 2 2 4 2" xfId="4001" xr:uid="{00000000-0005-0000-0000-0000571B0000}"/>
    <cellStyle name="Normal 5 5 2 2 4 2 2" xfId="8225" xr:uid="{00000000-0005-0000-0000-0000581B0000}"/>
    <cellStyle name="Normal 5 5 2 2 4 2 3" xfId="12436" xr:uid="{3B2C3828-6E6E-4E00-A83A-16DC383E9945}"/>
    <cellStyle name="Normal 5 5 2 2 4 2 4" xfId="16647" xr:uid="{72B87907-F804-4A9F-B26A-236FD2234401}"/>
    <cellStyle name="Normal 5 5 2 2 4 3" xfId="6080" xr:uid="{00000000-0005-0000-0000-0000591B0000}"/>
    <cellStyle name="Normal 5 5 2 2 4 4" xfId="10291" xr:uid="{636915F1-9171-4DE9-8C7F-A2A83C7846EA}"/>
    <cellStyle name="Normal 5 5 2 2 4 5" xfId="14502" xr:uid="{F51B4204-326B-4429-8289-87C8441B4C64}"/>
    <cellStyle name="Normal 5 5 2 2 5" xfId="2185" xr:uid="{00000000-0005-0000-0000-00005A1B0000}"/>
    <cellStyle name="Normal 5 5 2 2 5 2" xfId="4414" xr:uid="{00000000-0005-0000-0000-00005B1B0000}"/>
    <cellStyle name="Normal 5 5 2 2 5 2 2" xfId="8638" xr:uid="{00000000-0005-0000-0000-00005C1B0000}"/>
    <cellStyle name="Normal 5 5 2 2 5 2 3" xfId="12849" xr:uid="{36818FE2-D8DA-45C1-857D-E703CD24671C}"/>
    <cellStyle name="Normal 5 5 2 2 5 2 4" xfId="17060" xr:uid="{21837C7A-E860-4E14-A5CE-A78F1EC194C2}"/>
    <cellStyle name="Normal 5 5 2 2 5 3" xfId="6493" xr:uid="{00000000-0005-0000-0000-00005D1B0000}"/>
    <cellStyle name="Normal 5 5 2 2 5 4" xfId="10704" xr:uid="{7D1BB72F-FEF2-4532-A5CD-F5511A335AF1}"/>
    <cellStyle name="Normal 5 5 2 2 5 5" xfId="14915" xr:uid="{B8BF2CDC-A247-4AB6-8B6E-962E835CD815}"/>
    <cellStyle name="Normal 5 5 2 2 6" xfId="2621" xr:uid="{00000000-0005-0000-0000-00005E1B0000}"/>
    <cellStyle name="Normal 5 5 2 2 6 2" xfId="6906" xr:uid="{00000000-0005-0000-0000-00005F1B0000}"/>
    <cellStyle name="Normal 5 5 2 2 6 3" xfId="11117" xr:uid="{13A2E7B1-93F2-4279-8CDC-38746CCF961D}"/>
    <cellStyle name="Normal 5 5 2 2 6 4" xfId="15328" xr:uid="{51B96C9F-30DF-4654-AC31-62FA0D0AFBB2}"/>
    <cellStyle name="Normal 5 5 2 2 7" xfId="4841" xr:uid="{00000000-0005-0000-0000-0000601B0000}"/>
    <cellStyle name="Normal 5 5 2 2 8" xfId="9052" xr:uid="{427FC45E-3DAE-414D-AE41-F6249C32CB00}"/>
    <cellStyle name="Normal 5 5 2 2 9" xfId="13263" xr:uid="{B6CB6CD9-D982-49A5-B8F9-C0EE9A7B4B6C}"/>
    <cellStyle name="Normal 5 5 2 3" xfId="940" xr:uid="{00000000-0005-0000-0000-0000611B0000}"/>
    <cellStyle name="Normal 5 5 2 3 2" xfId="3174" xr:uid="{00000000-0005-0000-0000-0000621B0000}"/>
    <cellStyle name="Normal 5 5 2 3 2 2" xfId="7398" xr:uid="{00000000-0005-0000-0000-0000631B0000}"/>
    <cellStyle name="Normal 5 5 2 3 2 3" xfId="11609" xr:uid="{F9F6E793-618E-479D-AF2C-449F66760F88}"/>
    <cellStyle name="Normal 5 5 2 3 2 4" xfId="15820" xr:uid="{CB0C37EF-77AF-4B31-BFC1-49D09B66BD8A}"/>
    <cellStyle name="Normal 5 5 2 3 3" xfId="5253" xr:uid="{00000000-0005-0000-0000-0000641B0000}"/>
    <cellStyle name="Normal 5 5 2 3 4" xfId="9464" xr:uid="{F7B6FAF1-533F-4D37-B6F4-D794516979EE}"/>
    <cellStyle name="Normal 5 5 2 3 5" xfId="13675" xr:uid="{C0C5B28E-FA17-420D-B228-450A87ADFCEC}"/>
    <cellStyle name="Normal 5 5 2 4" xfId="1357" xr:uid="{00000000-0005-0000-0000-0000651B0000}"/>
    <cellStyle name="Normal 5 5 2 4 2" xfId="3587" xr:uid="{00000000-0005-0000-0000-0000661B0000}"/>
    <cellStyle name="Normal 5 5 2 4 2 2" xfId="7811" xr:uid="{00000000-0005-0000-0000-0000671B0000}"/>
    <cellStyle name="Normal 5 5 2 4 2 3" xfId="12022" xr:uid="{931EDEBF-CC5D-4614-A331-3E1E1EBA879E}"/>
    <cellStyle name="Normal 5 5 2 4 2 4" xfId="16233" xr:uid="{6BE857D6-CF04-4A72-800E-6578F9C636F4}"/>
    <cellStyle name="Normal 5 5 2 4 3" xfId="5666" xr:uid="{00000000-0005-0000-0000-0000681B0000}"/>
    <cellStyle name="Normal 5 5 2 4 4" xfId="9877" xr:uid="{06EEB844-D00B-40AF-913A-A6B2E429671E}"/>
    <cellStyle name="Normal 5 5 2 4 5" xfId="14088" xr:uid="{C713581D-3310-423B-8AEA-EE42E5CD12B7}"/>
    <cellStyle name="Normal 5 5 2 5" xfId="1770" xr:uid="{00000000-0005-0000-0000-0000691B0000}"/>
    <cellStyle name="Normal 5 5 2 5 2" xfId="4000" xr:uid="{00000000-0005-0000-0000-00006A1B0000}"/>
    <cellStyle name="Normal 5 5 2 5 2 2" xfId="8224" xr:uid="{00000000-0005-0000-0000-00006B1B0000}"/>
    <cellStyle name="Normal 5 5 2 5 2 3" xfId="12435" xr:uid="{0837BD56-A069-4D3F-B2D0-CAD6E3D70992}"/>
    <cellStyle name="Normal 5 5 2 5 2 4" xfId="16646" xr:uid="{69D9755B-980C-49DD-910E-700942CD0A6B}"/>
    <cellStyle name="Normal 5 5 2 5 3" xfId="6079" xr:uid="{00000000-0005-0000-0000-00006C1B0000}"/>
    <cellStyle name="Normal 5 5 2 5 4" xfId="10290" xr:uid="{8A644FFC-BA24-4BAD-9AAD-E2AA36F75B7A}"/>
    <cellStyle name="Normal 5 5 2 5 5" xfId="14501" xr:uid="{01D8C3E9-3928-43A0-A803-1ADB21B57A41}"/>
    <cellStyle name="Normal 5 5 2 6" xfId="2184" xr:uid="{00000000-0005-0000-0000-00006D1B0000}"/>
    <cellStyle name="Normal 5 5 2 6 2" xfId="4413" xr:uid="{00000000-0005-0000-0000-00006E1B0000}"/>
    <cellStyle name="Normal 5 5 2 6 2 2" xfId="8637" xr:uid="{00000000-0005-0000-0000-00006F1B0000}"/>
    <cellStyle name="Normal 5 5 2 6 2 3" xfId="12848" xr:uid="{BC4C16F2-989D-4E92-8470-2AADE8A0E1E7}"/>
    <cellStyle name="Normal 5 5 2 6 2 4" xfId="17059" xr:uid="{C08A110F-BED3-4DD5-A538-F2266E50C3EC}"/>
    <cellStyle name="Normal 5 5 2 6 3" xfId="6492" xr:uid="{00000000-0005-0000-0000-0000701B0000}"/>
    <cellStyle name="Normal 5 5 2 6 4" xfId="10703" xr:uid="{823A6584-B445-462D-904E-F01D94B84584}"/>
    <cellStyle name="Normal 5 5 2 6 5" xfId="14914" xr:uid="{9AA30FA9-A08F-4218-9BE8-5917F000FCC0}"/>
    <cellStyle name="Normal 5 5 2 7" xfId="2620" xr:uid="{00000000-0005-0000-0000-0000711B0000}"/>
    <cellStyle name="Normal 5 5 2 7 2" xfId="6905" xr:uid="{00000000-0005-0000-0000-0000721B0000}"/>
    <cellStyle name="Normal 5 5 2 7 3" xfId="11116" xr:uid="{7DADC0E3-C970-4EFB-B040-A6BCD7AFB43D}"/>
    <cellStyle name="Normal 5 5 2 7 4" xfId="15327" xr:uid="{8557C4B1-D973-47B8-9B05-A0F4384ECA9A}"/>
    <cellStyle name="Normal 5 5 2 8" xfId="4840" xr:uid="{00000000-0005-0000-0000-0000731B0000}"/>
    <cellStyle name="Normal 5 5 2 9" xfId="9051" xr:uid="{DB8C0563-70EC-4EA9-A6A7-685BF6333527}"/>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2 3" xfId="11611" xr:uid="{7579CFB8-F3EC-4BC9-BE02-969C684EBB4F}"/>
    <cellStyle name="Normal 5 5 3 2 2 4" xfId="15822" xr:uid="{D0757B18-8C86-405C-8043-ADAFCE509AE6}"/>
    <cellStyle name="Normal 5 5 3 2 3" xfId="5255" xr:uid="{00000000-0005-0000-0000-0000781B0000}"/>
    <cellStyle name="Normal 5 5 3 2 4" xfId="9466" xr:uid="{6AFEBD63-6D27-4DC7-AF5C-DAE0306180A8}"/>
    <cellStyle name="Normal 5 5 3 2 5" xfId="13677" xr:uid="{765DDF62-BB61-49FE-BDEB-A68368CD1CA4}"/>
    <cellStyle name="Normal 5 5 3 3" xfId="1359" xr:uid="{00000000-0005-0000-0000-0000791B0000}"/>
    <cellStyle name="Normal 5 5 3 3 2" xfId="3589" xr:uid="{00000000-0005-0000-0000-00007A1B0000}"/>
    <cellStyle name="Normal 5 5 3 3 2 2" xfId="7813" xr:uid="{00000000-0005-0000-0000-00007B1B0000}"/>
    <cellStyle name="Normal 5 5 3 3 2 3" xfId="12024" xr:uid="{2E99988A-2CF4-49B6-97D9-7E6FF88B317E}"/>
    <cellStyle name="Normal 5 5 3 3 2 4" xfId="16235" xr:uid="{5D3BE9CC-3889-45EA-8469-DF0C28484E74}"/>
    <cellStyle name="Normal 5 5 3 3 3" xfId="5668" xr:uid="{00000000-0005-0000-0000-00007C1B0000}"/>
    <cellStyle name="Normal 5 5 3 3 4" xfId="9879" xr:uid="{2E49702B-F95F-4514-A0DE-276573E1A14C}"/>
    <cellStyle name="Normal 5 5 3 3 5" xfId="14090" xr:uid="{1C05DEC1-C478-4B7B-B7D3-DCABD0F79DD0}"/>
    <cellStyle name="Normal 5 5 3 4" xfId="1772" xr:uid="{00000000-0005-0000-0000-00007D1B0000}"/>
    <cellStyle name="Normal 5 5 3 4 2" xfId="4002" xr:uid="{00000000-0005-0000-0000-00007E1B0000}"/>
    <cellStyle name="Normal 5 5 3 4 2 2" xfId="8226" xr:uid="{00000000-0005-0000-0000-00007F1B0000}"/>
    <cellStyle name="Normal 5 5 3 4 2 3" xfId="12437" xr:uid="{186EF666-0F3F-492E-9A54-423AF25725D9}"/>
    <cellStyle name="Normal 5 5 3 4 2 4" xfId="16648" xr:uid="{01DBEF17-C59E-4525-83E0-73DCB87A2490}"/>
    <cellStyle name="Normal 5 5 3 4 3" xfId="6081" xr:uid="{00000000-0005-0000-0000-0000801B0000}"/>
    <cellStyle name="Normal 5 5 3 4 4" xfId="10292" xr:uid="{BB501997-1BF2-4F59-8592-6FA005B55466}"/>
    <cellStyle name="Normal 5 5 3 4 5" xfId="14503" xr:uid="{32EB11F4-6315-4FAD-B409-ED9CA0D573CF}"/>
    <cellStyle name="Normal 5 5 3 5" xfId="2186" xr:uid="{00000000-0005-0000-0000-0000811B0000}"/>
    <cellStyle name="Normal 5 5 3 5 2" xfId="4415" xr:uid="{00000000-0005-0000-0000-0000821B0000}"/>
    <cellStyle name="Normal 5 5 3 5 2 2" xfId="8639" xr:uid="{00000000-0005-0000-0000-0000831B0000}"/>
    <cellStyle name="Normal 5 5 3 5 2 3" xfId="12850" xr:uid="{74B17FE8-A01C-44E9-8900-1B4E8BF2017B}"/>
    <cellStyle name="Normal 5 5 3 5 2 4" xfId="17061" xr:uid="{B96BD4A1-642A-4F1E-AB28-14651A0DC685}"/>
    <cellStyle name="Normal 5 5 3 5 3" xfId="6494" xr:uid="{00000000-0005-0000-0000-0000841B0000}"/>
    <cellStyle name="Normal 5 5 3 5 4" xfId="10705" xr:uid="{1FF22E0B-83C9-4DA8-A3BE-D737DC4A0BC5}"/>
    <cellStyle name="Normal 5 5 3 5 5" xfId="14916" xr:uid="{DA1BD37E-C90B-4123-B91A-39FFE900EDE2}"/>
    <cellStyle name="Normal 5 5 3 6" xfId="2622" xr:uid="{00000000-0005-0000-0000-0000851B0000}"/>
    <cellStyle name="Normal 5 5 3 6 2" xfId="6907" xr:uid="{00000000-0005-0000-0000-0000861B0000}"/>
    <cellStyle name="Normal 5 5 3 6 3" xfId="11118" xr:uid="{C2AC3233-597F-44C1-9D1B-3E81CABE6295}"/>
    <cellStyle name="Normal 5 5 3 6 4" xfId="15329" xr:uid="{30962E75-76E5-4E5A-A5BA-5A04669FA23C}"/>
    <cellStyle name="Normal 5 5 3 7" xfId="4842" xr:uid="{00000000-0005-0000-0000-0000871B0000}"/>
    <cellStyle name="Normal 5 5 3 8" xfId="9053" xr:uid="{40C1936E-92CF-415F-9B05-256D01985642}"/>
    <cellStyle name="Normal 5 5 3 9" xfId="13264" xr:uid="{4810CB43-81F0-45ED-87EC-37B5EB5ADBC8}"/>
    <cellStyle name="Normal 5 5 4" xfId="939" xr:uid="{00000000-0005-0000-0000-0000881B0000}"/>
    <cellStyle name="Normal 5 5 4 2" xfId="3173" xr:uid="{00000000-0005-0000-0000-0000891B0000}"/>
    <cellStyle name="Normal 5 5 4 2 2" xfId="7397" xr:uid="{00000000-0005-0000-0000-00008A1B0000}"/>
    <cellStyle name="Normal 5 5 4 2 3" xfId="11608" xr:uid="{FD29032D-B8EE-47EE-8ABE-06BA9DD41450}"/>
    <cellStyle name="Normal 5 5 4 2 4" xfId="15819" xr:uid="{17C0A0E3-4BFD-4239-A857-A456B1DFBF5D}"/>
    <cellStyle name="Normal 5 5 4 3" xfId="5252" xr:uid="{00000000-0005-0000-0000-00008B1B0000}"/>
    <cellStyle name="Normal 5 5 4 4" xfId="9463" xr:uid="{9D753BD5-1A98-4B01-9B1B-F3A79F7A01B2}"/>
    <cellStyle name="Normal 5 5 4 5" xfId="13674" xr:uid="{83CA6836-8553-45FD-AA24-2F3EAC40DA6A}"/>
    <cellStyle name="Normal 5 5 5" xfId="1356" xr:uid="{00000000-0005-0000-0000-00008C1B0000}"/>
    <cellStyle name="Normal 5 5 5 2" xfId="3586" xr:uid="{00000000-0005-0000-0000-00008D1B0000}"/>
    <cellStyle name="Normal 5 5 5 2 2" xfId="7810" xr:uid="{00000000-0005-0000-0000-00008E1B0000}"/>
    <cellStyle name="Normal 5 5 5 2 3" xfId="12021" xr:uid="{3E8B5A10-EBEF-4F37-9EEC-769656BC3673}"/>
    <cellStyle name="Normal 5 5 5 2 4" xfId="16232" xr:uid="{BFD7AF33-E5DB-4CBC-8F15-BD934D7F14F4}"/>
    <cellStyle name="Normal 5 5 5 3" xfId="5665" xr:uid="{00000000-0005-0000-0000-00008F1B0000}"/>
    <cellStyle name="Normal 5 5 5 4" xfId="9876" xr:uid="{F850A1F8-7D51-4442-8365-D555142651F7}"/>
    <cellStyle name="Normal 5 5 5 5" xfId="14087" xr:uid="{1A7D8939-7669-49D4-8AD6-9DD72052D79D}"/>
    <cellStyle name="Normal 5 5 6" xfId="1769" xr:uid="{00000000-0005-0000-0000-0000901B0000}"/>
    <cellStyle name="Normal 5 5 6 2" xfId="3999" xr:uid="{00000000-0005-0000-0000-0000911B0000}"/>
    <cellStyle name="Normal 5 5 6 2 2" xfId="8223" xr:uid="{00000000-0005-0000-0000-0000921B0000}"/>
    <cellStyle name="Normal 5 5 6 2 3" xfId="12434" xr:uid="{4B768FF0-ADEF-45CF-BBE4-514230B5193A}"/>
    <cellStyle name="Normal 5 5 6 2 4" xfId="16645" xr:uid="{4B2EC40C-C2DD-4BB6-B581-FF8F77D9711B}"/>
    <cellStyle name="Normal 5 5 6 3" xfId="6078" xr:uid="{00000000-0005-0000-0000-0000931B0000}"/>
    <cellStyle name="Normal 5 5 6 4" xfId="10289" xr:uid="{6620925B-C56F-411E-8417-26418832EA07}"/>
    <cellStyle name="Normal 5 5 6 5" xfId="14500" xr:uid="{F5CE49CD-7972-40B7-9BAD-4300814DD92B}"/>
    <cellStyle name="Normal 5 5 7" xfId="2183" xr:uid="{00000000-0005-0000-0000-0000941B0000}"/>
    <cellStyle name="Normal 5 5 7 2" xfId="4412" xr:uid="{00000000-0005-0000-0000-0000951B0000}"/>
    <cellStyle name="Normal 5 5 7 2 2" xfId="8636" xr:uid="{00000000-0005-0000-0000-0000961B0000}"/>
    <cellStyle name="Normal 5 5 7 2 3" xfId="12847" xr:uid="{6CF19CD2-3466-49AD-967B-919F7C793B21}"/>
    <cellStyle name="Normal 5 5 7 2 4" xfId="17058" xr:uid="{FC6CF4DC-0F50-487B-B10E-CF3DD42447C5}"/>
    <cellStyle name="Normal 5 5 7 3" xfId="6491" xr:uid="{00000000-0005-0000-0000-0000971B0000}"/>
    <cellStyle name="Normal 5 5 7 4" xfId="10702" xr:uid="{1E1D2842-94C1-4B8B-859D-44E44E12B2C3}"/>
    <cellStyle name="Normal 5 5 7 5" xfId="14913" xr:uid="{72947791-3545-4B3B-B446-C779C850C440}"/>
    <cellStyle name="Normal 5 5 8" xfId="2619" xr:uid="{00000000-0005-0000-0000-0000981B0000}"/>
    <cellStyle name="Normal 5 5 8 2" xfId="6904" xr:uid="{00000000-0005-0000-0000-0000991B0000}"/>
    <cellStyle name="Normal 5 5 8 3" xfId="11115" xr:uid="{7FCF208A-44AB-4A11-B466-743FEFF38A04}"/>
    <cellStyle name="Normal 5 5 8 4" xfId="15326" xr:uid="{08937D25-A9D5-48C7-B2C3-485B2F13B900}"/>
    <cellStyle name="Normal 5 5 9" xfId="4839" xr:uid="{00000000-0005-0000-0000-00009A1B0000}"/>
    <cellStyle name="Normal 5 6" xfId="468" xr:uid="{00000000-0005-0000-0000-00009B1B0000}"/>
    <cellStyle name="Normal 5 6 10" xfId="13265" xr:uid="{2EEEDC4F-70D3-4AD9-875D-87EBF09B599D}"/>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2 3" xfId="11613" xr:uid="{D98557F6-768F-476C-8AD9-D13D79FB7050}"/>
    <cellStyle name="Normal 5 6 2 2 2 4" xfId="15824" xr:uid="{5C9862D1-DB33-48C4-96A6-5C323A366767}"/>
    <cellStyle name="Normal 5 6 2 2 3" xfId="5257" xr:uid="{00000000-0005-0000-0000-0000A01B0000}"/>
    <cellStyle name="Normal 5 6 2 2 4" xfId="9468" xr:uid="{9E887118-5BAA-43E2-BE23-0CD55F40F95E}"/>
    <cellStyle name="Normal 5 6 2 2 5" xfId="13679" xr:uid="{091CC9E4-6B5B-43B2-9818-6A9BBFB75DE7}"/>
    <cellStyle name="Normal 5 6 2 3" xfId="1361" xr:uid="{00000000-0005-0000-0000-0000A11B0000}"/>
    <cellStyle name="Normal 5 6 2 3 2" xfId="3591" xr:uid="{00000000-0005-0000-0000-0000A21B0000}"/>
    <cellStyle name="Normal 5 6 2 3 2 2" xfId="7815" xr:uid="{00000000-0005-0000-0000-0000A31B0000}"/>
    <cellStyle name="Normal 5 6 2 3 2 3" xfId="12026" xr:uid="{6386CAF0-EEB9-4B2F-A14D-4537802C1581}"/>
    <cellStyle name="Normal 5 6 2 3 2 4" xfId="16237" xr:uid="{82176AD0-D457-498F-BDAC-6D299B1278BE}"/>
    <cellStyle name="Normal 5 6 2 3 3" xfId="5670" xr:uid="{00000000-0005-0000-0000-0000A41B0000}"/>
    <cellStyle name="Normal 5 6 2 3 4" xfId="9881" xr:uid="{DEC4C417-AFE6-4E0D-8B7B-E0F02C21D3B4}"/>
    <cellStyle name="Normal 5 6 2 3 5" xfId="14092" xr:uid="{B31B2C83-8A7B-42A7-9E66-641F477E26A9}"/>
    <cellStyle name="Normal 5 6 2 4" xfId="1774" xr:uid="{00000000-0005-0000-0000-0000A51B0000}"/>
    <cellStyle name="Normal 5 6 2 4 2" xfId="4004" xr:uid="{00000000-0005-0000-0000-0000A61B0000}"/>
    <cellStyle name="Normal 5 6 2 4 2 2" xfId="8228" xr:uid="{00000000-0005-0000-0000-0000A71B0000}"/>
    <cellStyle name="Normal 5 6 2 4 2 3" xfId="12439" xr:uid="{C6E3E52E-4150-49C3-A570-2A77D985C441}"/>
    <cellStyle name="Normal 5 6 2 4 2 4" xfId="16650" xr:uid="{15A5E0DF-1B45-403C-ABED-8AD95DA35D41}"/>
    <cellStyle name="Normal 5 6 2 4 3" xfId="6083" xr:uid="{00000000-0005-0000-0000-0000A81B0000}"/>
    <cellStyle name="Normal 5 6 2 4 4" xfId="10294" xr:uid="{84AF8367-A5F8-4265-A93D-D949520DC01C}"/>
    <cellStyle name="Normal 5 6 2 4 5" xfId="14505" xr:uid="{4BAFE240-B296-4BAB-BE01-5F9DB68C8E6B}"/>
    <cellStyle name="Normal 5 6 2 5" xfId="2188" xr:uid="{00000000-0005-0000-0000-0000A91B0000}"/>
    <cellStyle name="Normal 5 6 2 5 2" xfId="4417" xr:uid="{00000000-0005-0000-0000-0000AA1B0000}"/>
    <cellStyle name="Normal 5 6 2 5 2 2" xfId="8641" xr:uid="{00000000-0005-0000-0000-0000AB1B0000}"/>
    <cellStyle name="Normal 5 6 2 5 2 3" xfId="12852" xr:uid="{4EDDE793-6AB1-4F34-B875-9E6C659E7601}"/>
    <cellStyle name="Normal 5 6 2 5 2 4" xfId="17063" xr:uid="{CC7762E1-6032-47C2-95CD-6C18D0862DB9}"/>
    <cellStyle name="Normal 5 6 2 5 3" xfId="6496" xr:uid="{00000000-0005-0000-0000-0000AC1B0000}"/>
    <cellStyle name="Normal 5 6 2 5 4" xfId="10707" xr:uid="{E979128F-3AFD-40D3-9985-AC1651F13072}"/>
    <cellStyle name="Normal 5 6 2 5 5" xfId="14918" xr:uid="{1736FC3F-9615-490E-95FD-03376686BD8B}"/>
    <cellStyle name="Normal 5 6 2 6" xfId="2624" xr:uid="{00000000-0005-0000-0000-0000AD1B0000}"/>
    <cellStyle name="Normal 5 6 2 6 2" xfId="6909" xr:uid="{00000000-0005-0000-0000-0000AE1B0000}"/>
    <cellStyle name="Normal 5 6 2 6 3" xfId="11120" xr:uid="{F8871A66-84F4-4C5F-BA6B-6C0E207D9FD0}"/>
    <cellStyle name="Normal 5 6 2 6 4" xfId="15331" xr:uid="{D3C09FC5-B217-424E-86FE-BA9644D30772}"/>
    <cellStyle name="Normal 5 6 2 7" xfId="4844" xr:uid="{00000000-0005-0000-0000-0000AF1B0000}"/>
    <cellStyle name="Normal 5 6 2 8" xfId="9055" xr:uid="{BFB20495-AB2C-44A2-B3DE-6E4A2C9E3463}"/>
    <cellStyle name="Normal 5 6 2 9" xfId="13266" xr:uid="{3BB960C7-F017-475C-BC04-855EE0DC0543}"/>
    <cellStyle name="Normal 5 6 3" xfId="943" xr:uid="{00000000-0005-0000-0000-0000B01B0000}"/>
    <cellStyle name="Normal 5 6 3 2" xfId="3177" xr:uid="{00000000-0005-0000-0000-0000B11B0000}"/>
    <cellStyle name="Normal 5 6 3 2 2" xfId="7401" xr:uid="{00000000-0005-0000-0000-0000B21B0000}"/>
    <cellStyle name="Normal 5 6 3 2 3" xfId="11612" xr:uid="{4F54FFBB-515F-472A-9F4A-039D2B21D111}"/>
    <cellStyle name="Normal 5 6 3 2 4" xfId="15823" xr:uid="{45EB6280-4C82-42DA-8ACC-660988206F4E}"/>
    <cellStyle name="Normal 5 6 3 3" xfId="5256" xr:uid="{00000000-0005-0000-0000-0000B31B0000}"/>
    <cellStyle name="Normal 5 6 3 4" xfId="9467" xr:uid="{A428B935-5702-466B-9B5A-3FEC5F733631}"/>
    <cellStyle name="Normal 5 6 3 5" xfId="13678" xr:uid="{7CD2AE40-9863-4590-A370-4BFD9194D1B8}"/>
    <cellStyle name="Normal 5 6 4" xfId="1360" xr:uid="{00000000-0005-0000-0000-0000B41B0000}"/>
    <cellStyle name="Normal 5 6 4 2" xfId="3590" xr:uid="{00000000-0005-0000-0000-0000B51B0000}"/>
    <cellStyle name="Normal 5 6 4 2 2" xfId="7814" xr:uid="{00000000-0005-0000-0000-0000B61B0000}"/>
    <cellStyle name="Normal 5 6 4 2 3" xfId="12025" xr:uid="{6C8C1B11-C4B9-4685-80C7-7CE0E5F0EE8B}"/>
    <cellStyle name="Normal 5 6 4 2 4" xfId="16236" xr:uid="{68ACB5C3-0043-4CCC-BC16-C7C0642E9EF7}"/>
    <cellStyle name="Normal 5 6 4 3" xfId="5669" xr:uid="{00000000-0005-0000-0000-0000B71B0000}"/>
    <cellStyle name="Normal 5 6 4 4" xfId="9880" xr:uid="{FC2B1407-4292-4C40-82F5-565629BE280C}"/>
    <cellStyle name="Normal 5 6 4 5" xfId="14091" xr:uid="{AB4D88CE-84BA-4414-9E32-53D93A3E8C74}"/>
    <cellStyle name="Normal 5 6 5" xfId="1773" xr:uid="{00000000-0005-0000-0000-0000B81B0000}"/>
    <cellStyle name="Normal 5 6 5 2" xfId="4003" xr:uid="{00000000-0005-0000-0000-0000B91B0000}"/>
    <cellStyle name="Normal 5 6 5 2 2" xfId="8227" xr:uid="{00000000-0005-0000-0000-0000BA1B0000}"/>
    <cellStyle name="Normal 5 6 5 2 3" xfId="12438" xr:uid="{7C8BC987-03F7-468B-8776-24DE7AECBA0B}"/>
    <cellStyle name="Normal 5 6 5 2 4" xfId="16649" xr:uid="{89638DF2-5043-4D1E-B820-101BD07FBB66}"/>
    <cellStyle name="Normal 5 6 5 3" xfId="6082" xr:uid="{00000000-0005-0000-0000-0000BB1B0000}"/>
    <cellStyle name="Normal 5 6 5 4" xfId="10293" xr:uid="{FE41DB49-E974-46CB-A0DD-49E99E276BFA}"/>
    <cellStyle name="Normal 5 6 5 5" xfId="14504" xr:uid="{DAF5A987-6D1E-4E27-84BA-70ABEF26260E}"/>
    <cellStyle name="Normal 5 6 6" xfId="2187" xr:uid="{00000000-0005-0000-0000-0000BC1B0000}"/>
    <cellStyle name="Normal 5 6 6 2" xfId="4416" xr:uid="{00000000-0005-0000-0000-0000BD1B0000}"/>
    <cellStyle name="Normal 5 6 6 2 2" xfId="8640" xr:uid="{00000000-0005-0000-0000-0000BE1B0000}"/>
    <cellStyle name="Normal 5 6 6 2 3" xfId="12851" xr:uid="{E12E7D4C-367A-4F54-802C-C4B43F2ADD25}"/>
    <cellStyle name="Normal 5 6 6 2 4" xfId="17062" xr:uid="{36CFA550-9289-4678-86FE-09E4481A13FF}"/>
    <cellStyle name="Normal 5 6 6 3" xfId="6495" xr:uid="{00000000-0005-0000-0000-0000BF1B0000}"/>
    <cellStyle name="Normal 5 6 6 4" xfId="10706" xr:uid="{07B56D9A-CAF0-4091-84AA-25AF052B5EF7}"/>
    <cellStyle name="Normal 5 6 6 5" xfId="14917" xr:uid="{81712F07-13F2-4585-B957-0E4B295725E0}"/>
    <cellStyle name="Normal 5 6 7" xfId="2623" xr:uid="{00000000-0005-0000-0000-0000C01B0000}"/>
    <cellStyle name="Normal 5 6 7 2" xfId="6908" xr:uid="{00000000-0005-0000-0000-0000C11B0000}"/>
    <cellStyle name="Normal 5 6 7 3" xfId="11119" xr:uid="{43859E79-F2D0-487B-B44D-4DDB70244F32}"/>
    <cellStyle name="Normal 5 6 7 4" xfId="15330" xr:uid="{740385C6-27AD-482B-A759-4F0687B749C9}"/>
    <cellStyle name="Normal 5 6 8" xfId="4843" xr:uid="{00000000-0005-0000-0000-0000C21B0000}"/>
    <cellStyle name="Normal 5 6 9" xfId="9054" xr:uid="{A0977618-545B-4931-BF58-E66B1BA595E5}"/>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2 3" xfId="11614" xr:uid="{C17F1B6E-C0EB-4A34-9B76-048A1C4B1BED}"/>
    <cellStyle name="Normal 5 7 2 2 4" xfId="15825" xr:uid="{745DD7C9-94DD-469E-9C1A-A0E5BFACEDEC}"/>
    <cellStyle name="Normal 5 7 2 3" xfId="5258" xr:uid="{00000000-0005-0000-0000-0000C71B0000}"/>
    <cellStyle name="Normal 5 7 2 4" xfId="9469" xr:uid="{08068144-F0C2-46B4-B563-2F2898B2040D}"/>
    <cellStyle name="Normal 5 7 2 5" xfId="13680" xr:uid="{6A2645AC-2A7C-4CFB-89AE-FA20103236CB}"/>
    <cellStyle name="Normal 5 7 3" xfId="1362" xr:uid="{00000000-0005-0000-0000-0000C81B0000}"/>
    <cellStyle name="Normal 5 7 3 2" xfId="3592" xr:uid="{00000000-0005-0000-0000-0000C91B0000}"/>
    <cellStyle name="Normal 5 7 3 2 2" xfId="7816" xr:uid="{00000000-0005-0000-0000-0000CA1B0000}"/>
    <cellStyle name="Normal 5 7 3 2 3" xfId="12027" xr:uid="{EDE930FA-E201-4DC4-8343-ACC67651CFC2}"/>
    <cellStyle name="Normal 5 7 3 2 4" xfId="16238" xr:uid="{105D0CDE-288F-4FB4-A24D-57805CED0A6D}"/>
    <cellStyle name="Normal 5 7 3 3" xfId="5671" xr:uid="{00000000-0005-0000-0000-0000CB1B0000}"/>
    <cellStyle name="Normal 5 7 3 4" xfId="9882" xr:uid="{8806BBBA-F930-43CC-916F-B5ED1B07F3F4}"/>
    <cellStyle name="Normal 5 7 3 5" xfId="14093" xr:uid="{7CA230CE-559A-4ABE-8634-C4BF3889810D}"/>
    <cellStyle name="Normal 5 7 4" xfId="1775" xr:uid="{00000000-0005-0000-0000-0000CC1B0000}"/>
    <cellStyle name="Normal 5 7 4 2" xfId="4005" xr:uid="{00000000-0005-0000-0000-0000CD1B0000}"/>
    <cellStyle name="Normal 5 7 4 2 2" xfId="8229" xr:uid="{00000000-0005-0000-0000-0000CE1B0000}"/>
    <cellStyle name="Normal 5 7 4 2 3" xfId="12440" xr:uid="{23B18C26-4FDE-4FBB-9BEF-570DBEEF5565}"/>
    <cellStyle name="Normal 5 7 4 2 4" xfId="16651" xr:uid="{572068DE-A88D-4877-B9C0-4B97E2AF181F}"/>
    <cellStyle name="Normal 5 7 4 3" xfId="6084" xr:uid="{00000000-0005-0000-0000-0000CF1B0000}"/>
    <cellStyle name="Normal 5 7 4 4" xfId="10295" xr:uid="{4DAEC32D-ACBC-4790-A3F1-EEA51413363A}"/>
    <cellStyle name="Normal 5 7 4 5" xfId="14506" xr:uid="{F7574DEB-0E8A-4377-8572-1D898F087004}"/>
    <cellStyle name="Normal 5 7 5" xfId="2189" xr:uid="{00000000-0005-0000-0000-0000D01B0000}"/>
    <cellStyle name="Normal 5 7 5 2" xfId="4418" xr:uid="{00000000-0005-0000-0000-0000D11B0000}"/>
    <cellStyle name="Normal 5 7 5 2 2" xfId="8642" xr:uid="{00000000-0005-0000-0000-0000D21B0000}"/>
    <cellStyle name="Normal 5 7 5 2 3" xfId="12853" xr:uid="{A0395F7B-3619-46EB-A6F7-DA5E138B059D}"/>
    <cellStyle name="Normal 5 7 5 2 4" xfId="17064" xr:uid="{A6A52260-9863-48D8-9A83-4FDB078CEA2B}"/>
    <cellStyle name="Normal 5 7 5 3" xfId="6497" xr:uid="{00000000-0005-0000-0000-0000D31B0000}"/>
    <cellStyle name="Normal 5 7 5 4" xfId="10708" xr:uid="{DD169F08-DB67-44B3-B205-3D046158158D}"/>
    <cellStyle name="Normal 5 7 5 5" xfId="14919" xr:uid="{935B66F0-316E-4A17-9FD7-902E6F3D92FD}"/>
    <cellStyle name="Normal 5 7 6" xfId="2625" xr:uid="{00000000-0005-0000-0000-0000D41B0000}"/>
    <cellStyle name="Normal 5 7 6 2" xfId="6910" xr:uid="{00000000-0005-0000-0000-0000D51B0000}"/>
    <cellStyle name="Normal 5 7 6 3" xfId="11121" xr:uid="{6A65B3F2-F944-4020-BCCD-CCF1C9BE571F}"/>
    <cellStyle name="Normal 5 7 6 4" xfId="15332" xr:uid="{0972C6FC-4816-42BC-8517-1AE3805E88C5}"/>
    <cellStyle name="Normal 5 7 7" xfId="4845" xr:uid="{00000000-0005-0000-0000-0000D61B0000}"/>
    <cellStyle name="Normal 5 7 8" xfId="9056" xr:uid="{20ABFF82-F23E-4A28-9B73-F45B167B5420}"/>
    <cellStyle name="Normal 5 7 9" xfId="13267" xr:uid="{E15A9B0E-687A-45F7-8936-267017D3D14F}"/>
    <cellStyle name="Normal 5 8" xfId="881" xr:uid="{00000000-0005-0000-0000-0000D71B0000}"/>
    <cellStyle name="Normal 5 8 2" xfId="3116" xr:uid="{00000000-0005-0000-0000-0000D81B0000}"/>
    <cellStyle name="Normal 5 8 2 2" xfId="7340" xr:uid="{00000000-0005-0000-0000-0000D91B0000}"/>
    <cellStyle name="Normal 5 8 2 3" xfId="11551" xr:uid="{5C7B689A-C76E-4D4C-92D3-0C97A8B8E97E}"/>
    <cellStyle name="Normal 5 8 2 4" xfId="15762" xr:uid="{482B62F0-7E4E-4DC2-ACB6-B1DF10200934}"/>
    <cellStyle name="Normal 5 8 3" xfId="5195" xr:uid="{00000000-0005-0000-0000-0000DA1B0000}"/>
    <cellStyle name="Normal 5 8 4" xfId="9406" xr:uid="{D956EBDA-A171-4D2A-902C-9AE4076C8A9C}"/>
    <cellStyle name="Normal 5 8 5" xfId="13617" xr:uid="{28C927CE-B5D9-4DAC-9C8A-BB52237EA910}"/>
    <cellStyle name="Normal 5 9" xfId="1299" xr:uid="{00000000-0005-0000-0000-0000DB1B0000}"/>
    <cellStyle name="Normal 5 9 2" xfId="3529" xr:uid="{00000000-0005-0000-0000-0000DC1B0000}"/>
    <cellStyle name="Normal 5 9 2 2" xfId="7753" xr:uid="{00000000-0005-0000-0000-0000DD1B0000}"/>
    <cellStyle name="Normal 5 9 2 3" xfId="11964" xr:uid="{C9CFA843-4DB5-4259-B1CB-ADC89CD88DA0}"/>
    <cellStyle name="Normal 5 9 2 4" xfId="16175" xr:uid="{240694E6-6B48-4AEA-863C-0191ADC6A703}"/>
    <cellStyle name="Normal 5 9 3" xfId="5608" xr:uid="{00000000-0005-0000-0000-0000DE1B0000}"/>
    <cellStyle name="Normal 5 9 4" xfId="9819" xr:uid="{80B5C4B2-B819-421E-ABBE-0D79C7ED134D}"/>
    <cellStyle name="Normal 5 9 5" xfId="14030" xr:uid="{4677D94C-E52A-4EAF-9944-C3B511C72467}"/>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2 3" xfId="12854" xr:uid="{7509B423-6CAD-4876-9F79-0C8A29A754D6}"/>
    <cellStyle name="Normal 8 10 2 4" xfId="17065" xr:uid="{5FF47089-2C0A-42E4-9F05-D278ECD48727}"/>
    <cellStyle name="Normal 8 10 3" xfId="6498" xr:uid="{00000000-0005-0000-0000-0000EA1B0000}"/>
    <cellStyle name="Normal 8 10 4" xfId="10709" xr:uid="{AEBE0ECE-4B9F-4D86-8919-1993CE030D29}"/>
    <cellStyle name="Normal 8 10 5" xfId="14920" xr:uid="{9B7A8E2D-1F41-4630-9ECD-A916386903B3}"/>
    <cellStyle name="Normal 8 11" xfId="2626" xr:uid="{00000000-0005-0000-0000-0000EB1B0000}"/>
    <cellStyle name="Normal 8 11 2" xfId="6911" xr:uid="{00000000-0005-0000-0000-0000EC1B0000}"/>
    <cellStyle name="Normal 8 11 3" xfId="11122" xr:uid="{7CF557D3-7314-4EE4-B735-8A90D7E63E0B}"/>
    <cellStyle name="Normal 8 11 4" xfId="15333" xr:uid="{D2FED2E7-3E47-4AFB-A32C-C5B5F0224FF9}"/>
    <cellStyle name="Normal 8 12" xfId="4846" xr:uid="{00000000-0005-0000-0000-0000ED1B0000}"/>
    <cellStyle name="Normal 8 13" xfId="9057" xr:uid="{956DD404-4B03-4EB8-9238-96A5B0C19B3E}"/>
    <cellStyle name="Normal 8 14" xfId="13268" xr:uid="{F2632247-CF2A-4DBF-821B-FAB94D0BC3AC}"/>
    <cellStyle name="Normal 8 2" xfId="479" xr:uid="{00000000-0005-0000-0000-0000EE1B0000}"/>
    <cellStyle name="Normal 8 2 10" xfId="2627" xr:uid="{00000000-0005-0000-0000-0000EF1B0000}"/>
    <cellStyle name="Normal 8 2 10 2" xfId="6912" xr:uid="{00000000-0005-0000-0000-0000F01B0000}"/>
    <cellStyle name="Normal 8 2 10 3" xfId="11123" xr:uid="{3E8D21DD-0E26-4598-991F-5066AB7E5047}"/>
    <cellStyle name="Normal 8 2 10 4" xfId="15334" xr:uid="{BA9AAA28-09F9-4231-A921-59924A395BB9}"/>
    <cellStyle name="Normal 8 2 11" xfId="4847" xr:uid="{00000000-0005-0000-0000-0000F11B0000}"/>
    <cellStyle name="Normal 8 2 12" xfId="9058" xr:uid="{EEC569EF-4AAB-4118-82A3-F2E3FF50FD88}"/>
    <cellStyle name="Normal 8 2 13" xfId="13269" xr:uid="{A23E3198-6B6B-4C4C-8EE0-4C7D684812AE}"/>
    <cellStyle name="Normal 8 2 2" xfId="480" xr:uid="{00000000-0005-0000-0000-0000F21B0000}"/>
    <cellStyle name="Normal 8 2 2 10" xfId="4848" xr:uid="{00000000-0005-0000-0000-0000F31B0000}"/>
    <cellStyle name="Normal 8 2 2 11" xfId="9059" xr:uid="{C7BAB68C-AA5B-4D17-9B71-0A1960865E00}"/>
    <cellStyle name="Normal 8 2 2 12" xfId="13270" xr:uid="{563B868B-30F2-482A-AE31-ED596F180D05}"/>
    <cellStyle name="Normal 8 2 2 2" xfId="481" xr:uid="{00000000-0005-0000-0000-0000F41B0000}"/>
    <cellStyle name="Normal 8 2 2 2 10" xfId="9060" xr:uid="{E53E9C2C-87B3-4D3F-999B-7E1300871444}"/>
    <cellStyle name="Normal 8 2 2 2 11" xfId="13271" xr:uid="{C28A7913-9E42-4D98-9027-DCF61B69F639}"/>
    <cellStyle name="Normal 8 2 2 2 2" xfId="482" xr:uid="{00000000-0005-0000-0000-0000F51B0000}"/>
    <cellStyle name="Normal 8 2 2 2 2 10" xfId="13272" xr:uid="{4A35C1D2-606A-4721-9E4F-B607B27E48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2 3" xfId="11620" xr:uid="{50FB4DFB-95A1-4E52-80A2-65FE4AD32EAA}"/>
    <cellStyle name="Normal 8 2 2 2 2 2 2 2 4" xfId="15831" xr:uid="{E629CB21-0791-4E75-A3FB-4BDD61D627AA}"/>
    <cellStyle name="Normal 8 2 2 2 2 2 2 3" xfId="5264" xr:uid="{00000000-0005-0000-0000-0000FA1B0000}"/>
    <cellStyle name="Normal 8 2 2 2 2 2 2 4" xfId="9475" xr:uid="{BC937BDC-8FC0-46E6-B56D-87C4AD9B6BA2}"/>
    <cellStyle name="Normal 8 2 2 2 2 2 2 5" xfId="13686" xr:uid="{503F5A4A-F5CC-4FC5-B199-AC1B0C617D9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2 3" xfId="12033" xr:uid="{B11065FE-28F5-420E-BB01-115DCBD7E3E1}"/>
    <cellStyle name="Normal 8 2 2 2 2 2 3 2 4" xfId="16244" xr:uid="{FB827D41-A8ED-4231-8EF7-84722DE826D7}"/>
    <cellStyle name="Normal 8 2 2 2 2 2 3 3" xfId="5677" xr:uid="{00000000-0005-0000-0000-0000FE1B0000}"/>
    <cellStyle name="Normal 8 2 2 2 2 2 3 4" xfId="9888" xr:uid="{D97406E7-9DC8-4C73-84F2-1E0328551142}"/>
    <cellStyle name="Normal 8 2 2 2 2 2 3 5" xfId="14099" xr:uid="{0056D643-2588-4FCF-A201-B835FDB6161A}"/>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2 3" xfId="12446" xr:uid="{F12B7D38-EB1B-4CCC-A7EA-6664746D2AF9}"/>
    <cellStyle name="Normal 8 2 2 2 2 2 4 2 4" xfId="16657" xr:uid="{13698214-AF96-414D-A8B8-FE6444D43BFA}"/>
    <cellStyle name="Normal 8 2 2 2 2 2 4 3" xfId="6090" xr:uid="{00000000-0005-0000-0000-0000021C0000}"/>
    <cellStyle name="Normal 8 2 2 2 2 2 4 4" xfId="10301" xr:uid="{5332E78B-1949-4223-805C-62305A7FB374}"/>
    <cellStyle name="Normal 8 2 2 2 2 2 4 5" xfId="14512" xr:uid="{770601FB-CB3B-4C2C-BBD0-E1385111A278}"/>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2 3" xfId="12859" xr:uid="{08A7BED8-1A36-46A3-8A48-4B8A736AFA0D}"/>
    <cellStyle name="Normal 8 2 2 2 2 2 5 2 4" xfId="17070" xr:uid="{F09C24B3-1B1D-4A71-8CB8-CA247FCC24E6}"/>
    <cellStyle name="Normal 8 2 2 2 2 2 5 3" xfId="6503" xr:uid="{00000000-0005-0000-0000-0000061C0000}"/>
    <cellStyle name="Normal 8 2 2 2 2 2 5 4" xfId="10714" xr:uid="{21910D02-338F-423F-A7B6-958942C049E6}"/>
    <cellStyle name="Normal 8 2 2 2 2 2 5 5" xfId="14925" xr:uid="{0716BD45-7A29-459F-A992-E568E95988AB}"/>
    <cellStyle name="Normal 8 2 2 2 2 2 6" xfId="2631" xr:uid="{00000000-0005-0000-0000-0000071C0000}"/>
    <cellStyle name="Normal 8 2 2 2 2 2 6 2" xfId="6916" xr:uid="{00000000-0005-0000-0000-0000081C0000}"/>
    <cellStyle name="Normal 8 2 2 2 2 2 6 3" xfId="11127" xr:uid="{738EDF68-3483-43E3-8E64-F34815DF2433}"/>
    <cellStyle name="Normal 8 2 2 2 2 2 6 4" xfId="15338" xr:uid="{05ABDD8A-C2DA-4FF4-8335-4AB29A169EB2}"/>
    <cellStyle name="Normal 8 2 2 2 2 2 7" xfId="4851" xr:uid="{00000000-0005-0000-0000-0000091C0000}"/>
    <cellStyle name="Normal 8 2 2 2 2 2 8" xfId="9062" xr:uid="{C1FA7224-66D3-4655-9F8A-23AF21C9A91D}"/>
    <cellStyle name="Normal 8 2 2 2 2 2 9" xfId="13273" xr:uid="{FEA7B74F-2925-4820-820B-4E5C445B0675}"/>
    <cellStyle name="Normal 8 2 2 2 2 3" xfId="950" xr:uid="{00000000-0005-0000-0000-00000A1C0000}"/>
    <cellStyle name="Normal 8 2 2 2 2 3 2" xfId="3184" xr:uid="{00000000-0005-0000-0000-00000B1C0000}"/>
    <cellStyle name="Normal 8 2 2 2 2 3 2 2" xfId="7408" xr:uid="{00000000-0005-0000-0000-00000C1C0000}"/>
    <cellStyle name="Normal 8 2 2 2 2 3 2 3" xfId="11619" xr:uid="{6CE3DAA3-A652-4105-904B-645C36CE3C64}"/>
    <cellStyle name="Normal 8 2 2 2 2 3 2 4" xfId="15830" xr:uid="{44404DCF-484B-47B2-8014-90E16E9761FC}"/>
    <cellStyle name="Normal 8 2 2 2 2 3 3" xfId="5263" xr:uid="{00000000-0005-0000-0000-00000D1C0000}"/>
    <cellStyle name="Normal 8 2 2 2 2 3 4" xfId="9474" xr:uid="{DA39D482-D57F-4285-BABE-8A8C788A7806}"/>
    <cellStyle name="Normal 8 2 2 2 2 3 5" xfId="13685" xr:uid="{1DC9EAFD-4566-4E8B-B082-618E90CAE6C2}"/>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2 3" xfId="12032" xr:uid="{974565EC-F650-40A3-9738-243C2235E802}"/>
    <cellStyle name="Normal 8 2 2 2 2 4 2 4" xfId="16243" xr:uid="{0B1EB09A-DB51-41B7-B57B-2FF3B16C2092}"/>
    <cellStyle name="Normal 8 2 2 2 2 4 3" xfId="5676" xr:uid="{00000000-0005-0000-0000-0000111C0000}"/>
    <cellStyle name="Normal 8 2 2 2 2 4 4" xfId="9887" xr:uid="{F0D560EE-26FA-4574-AE5F-D56CCA3142C0}"/>
    <cellStyle name="Normal 8 2 2 2 2 4 5" xfId="14098" xr:uid="{06C96761-B2F3-4A90-8316-45845DEFC7CB}"/>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2 3" xfId="12445" xr:uid="{A54D7B5C-2B52-4B97-9A27-13BABE863596}"/>
    <cellStyle name="Normal 8 2 2 2 2 5 2 4" xfId="16656" xr:uid="{CC534027-28D1-483F-9B34-F100742909BF}"/>
    <cellStyle name="Normal 8 2 2 2 2 5 3" xfId="6089" xr:uid="{00000000-0005-0000-0000-0000151C0000}"/>
    <cellStyle name="Normal 8 2 2 2 2 5 4" xfId="10300" xr:uid="{546C4DA4-C56D-477D-909D-6D36EA5C477F}"/>
    <cellStyle name="Normal 8 2 2 2 2 5 5" xfId="14511" xr:uid="{B4BE64CE-534E-4ECD-9C04-55775D90731D}"/>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2 3" xfId="12858" xr:uid="{75350110-B4D5-40F9-9738-263F7D7A3A82}"/>
    <cellStyle name="Normal 8 2 2 2 2 6 2 4" xfId="17069" xr:uid="{B377E397-8F22-403E-9A7D-01A989059AAC}"/>
    <cellStyle name="Normal 8 2 2 2 2 6 3" xfId="6502" xr:uid="{00000000-0005-0000-0000-0000191C0000}"/>
    <cellStyle name="Normal 8 2 2 2 2 6 4" xfId="10713" xr:uid="{042ABD0A-87DB-4EE7-84A3-56A1E44316A7}"/>
    <cellStyle name="Normal 8 2 2 2 2 6 5" xfId="14924" xr:uid="{8AA4445A-DACE-48F6-9C10-92EAE38078A5}"/>
    <cellStyle name="Normal 8 2 2 2 2 7" xfId="2630" xr:uid="{00000000-0005-0000-0000-00001A1C0000}"/>
    <cellStyle name="Normal 8 2 2 2 2 7 2" xfId="6915" xr:uid="{00000000-0005-0000-0000-00001B1C0000}"/>
    <cellStyle name="Normal 8 2 2 2 2 7 3" xfId="11126" xr:uid="{69878089-E4E5-410C-B89D-835374930934}"/>
    <cellStyle name="Normal 8 2 2 2 2 7 4" xfId="15337" xr:uid="{DDB57061-830D-4C3D-8F63-B12DB288533F}"/>
    <cellStyle name="Normal 8 2 2 2 2 8" xfId="4850" xr:uid="{00000000-0005-0000-0000-00001C1C0000}"/>
    <cellStyle name="Normal 8 2 2 2 2 9" xfId="9061" xr:uid="{6A4AD76F-589F-4FB8-927F-3CA91975C5DB}"/>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2 3" xfId="11621" xr:uid="{A756ECC0-334B-4BFF-9AE6-7C7D2C72FD5F}"/>
    <cellStyle name="Normal 8 2 2 2 3 2 2 4" xfId="15832" xr:uid="{7E228A04-94E3-4C9D-B399-05D2EC2965B8}"/>
    <cellStyle name="Normal 8 2 2 2 3 2 3" xfId="5265" xr:uid="{00000000-0005-0000-0000-0000211C0000}"/>
    <cellStyle name="Normal 8 2 2 2 3 2 4" xfId="9476" xr:uid="{C1516AD3-91CA-4BE2-896A-E0946761A2AD}"/>
    <cellStyle name="Normal 8 2 2 2 3 2 5" xfId="13687" xr:uid="{38D865BC-A7D1-4062-9A7F-48B3600B8B96}"/>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2 3" xfId="12034" xr:uid="{D89827CF-A3F5-4827-A39B-3633561A3E0B}"/>
    <cellStyle name="Normal 8 2 2 2 3 3 2 4" xfId="16245" xr:uid="{004B919D-5292-4FEF-B1D9-3AC7872E478E}"/>
    <cellStyle name="Normal 8 2 2 2 3 3 3" xfId="5678" xr:uid="{00000000-0005-0000-0000-0000251C0000}"/>
    <cellStyle name="Normal 8 2 2 2 3 3 4" xfId="9889" xr:uid="{2B583481-B3AE-430D-BC0C-D4C2C92B762C}"/>
    <cellStyle name="Normal 8 2 2 2 3 3 5" xfId="14100" xr:uid="{71BDB8EE-7FC7-4447-B4A8-AFC96910218F}"/>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2 3" xfId="12447" xr:uid="{4CF90C55-4852-4855-A714-4E079E1415DC}"/>
    <cellStyle name="Normal 8 2 2 2 3 4 2 4" xfId="16658" xr:uid="{53AF1EE0-43F2-4D3B-9B3E-3F89B7EEC1D6}"/>
    <cellStyle name="Normal 8 2 2 2 3 4 3" xfId="6091" xr:uid="{00000000-0005-0000-0000-0000291C0000}"/>
    <cellStyle name="Normal 8 2 2 2 3 4 4" xfId="10302" xr:uid="{6EC693FA-CAE0-4068-9178-892FCD418C54}"/>
    <cellStyle name="Normal 8 2 2 2 3 4 5" xfId="14513" xr:uid="{E818A178-E1C9-4D1B-8818-7C386D06CC24}"/>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2 3" xfId="12860" xr:uid="{482EA1A9-DEC4-404B-A1BC-8A3EE03EFD9A}"/>
    <cellStyle name="Normal 8 2 2 2 3 5 2 4" xfId="17071" xr:uid="{35758955-8C22-409F-BCFC-4B00E3EF2129}"/>
    <cellStyle name="Normal 8 2 2 2 3 5 3" xfId="6504" xr:uid="{00000000-0005-0000-0000-00002D1C0000}"/>
    <cellStyle name="Normal 8 2 2 2 3 5 4" xfId="10715" xr:uid="{5BF91642-08FA-49A1-92AB-39B0A209EA04}"/>
    <cellStyle name="Normal 8 2 2 2 3 5 5" xfId="14926" xr:uid="{08791900-27F2-4060-B128-9623A9F5CC1C}"/>
    <cellStyle name="Normal 8 2 2 2 3 6" xfId="2632" xr:uid="{00000000-0005-0000-0000-00002E1C0000}"/>
    <cellStyle name="Normal 8 2 2 2 3 6 2" xfId="6917" xr:uid="{00000000-0005-0000-0000-00002F1C0000}"/>
    <cellStyle name="Normal 8 2 2 2 3 6 3" xfId="11128" xr:uid="{225A0085-FAF9-43E8-A4FC-B1A14B4718FB}"/>
    <cellStyle name="Normal 8 2 2 2 3 6 4" xfId="15339" xr:uid="{5A84AD24-67C9-40DD-9DD3-685DCD41B93E}"/>
    <cellStyle name="Normal 8 2 2 2 3 7" xfId="4852" xr:uid="{00000000-0005-0000-0000-0000301C0000}"/>
    <cellStyle name="Normal 8 2 2 2 3 8" xfId="9063" xr:uid="{403D5ADD-1872-493C-9B32-65C807EA6AF5}"/>
    <cellStyle name="Normal 8 2 2 2 3 9" xfId="13274" xr:uid="{88374B28-B422-4519-8FF2-85461CC077D9}"/>
    <cellStyle name="Normal 8 2 2 2 4" xfId="949" xr:uid="{00000000-0005-0000-0000-0000311C0000}"/>
    <cellStyle name="Normal 8 2 2 2 4 2" xfId="3183" xr:uid="{00000000-0005-0000-0000-0000321C0000}"/>
    <cellStyle name="Normal 8 2 2 2 4 2 2" xfId="7407" xr:uid="{00000000-0005-0000-0000-0000331C0000}"/>
    <cellStyle name="Normal 8 2 2 2 4 2 3" xfId="11618" xr:uid="{8818A7D1-2D5D-4C05-AD5C-53D30B9D3CD4}"/>
    <cellStyle name="Normal 8 2 2 2 4 2 4" xfId="15829" xr:uid="{68994838-29B1-4FCE-95B4-75E1250F36CA}"/>
    <cellStyle name="Normal 8 2 2 2 4 3" xfId="5262" xr:uid="{00000000-0005-0000-0000-0000341C0000}"/>
    <cellStyle name="Normal 8 2 2 2 4 4" xfId="9473" xr:uid="{E2481BB0-724F-4A5D-B227-CE2ACC1C2AD3}"/>
    <cellStyle name="Normal 8 2 2 2 4 5" xfId="13684" xr:uid="{F1FA1109-DFFD-4653-A2B5-D6181C630273}"/>
    <cellStyle name="Normal 8 2 2 2 5" xfId="1366" xr:uid="{00000000-0005-0000-0000-0000351C0000}"/>
    <cellStyle name="Normal 8 2 2 2 5 2" xfId="3596" xr:uid="{00000000-0005-0000-0000-0000361C0000}"/>
    <cellStyle name="Normal 8 2 2 2 5 2 2" xfId="7820" xr:uid="{00000000-0005-0000-0000-0000371C0000}"/>
    <cellStyle name="Normal 8 2 2 2 5 2 3" xfId="12031" xr:uid="{8638B2E9-A9B7-4B8A-A51D-9427C67DB59A}"/>
    <cellStyle name="Normal 8 2 2 2 5 2 4" xfId="16242" xr:uid="{A3A93F2E-197E-48F6-A812-3F1DAB35DF08}"/>
    <cellStyle name="Normal 8 2 2 2 5 3" xfId="5675" xr:uid="{00000000-0005-0000-0000-0000381C0000}"/>
    <cellStyle name="Normal 8 2 2 2 5 4" xfId="9886" xr:uid="{56136934-9223-4288-8F21-BE37604D40D6}"/>
    <cellStyle name="Normal 8 2 2 2 5 5" xfId="14097" xr:uid="{C7A66A9F-9C01-4632-801F-019194472013}"/>
    <cellStyle name="Normal 8 2 2 2 6" xfId="1779" xr:uid="{00000000-0005-0000-0000-0000391C0000}"/>
    <cellStyle name="Normal 8 2 2 2 6 2" xfId="4009" xr:uid="{00000000-0005-0000-0000-00003A1C0000}"/>
    <cellStyle name="Normal 8 2 2 2 6 2 2" xfId="8233" xr:uid="{00000000-0005-0000-0000-00003B1C0000}"/>
    <cellStyle name="Normal 8 2 2 2 6 2 3" xfId="12444" xr:uid="{D838CCDC-A3D8-4B4D-89AE-2F4EBDECB6DE}"/>
    <cellStyle name="Normal 8 2 2 2 6 2 4" xfId="16655" xr:uid="{7C00E5A6-5B35-40C1-9CD7-8F1B52CC5CB2}"/>
    <cellStyle name="Normal 8 2 2 2 6 3" xfId="6088" xr:uid="{00000000-0005-0000-0000-00003C1C0000}"/>
    <cellStyle name="Normal 8 2 2 2 6 4" xfId="10299" xr:uid="{18AA851E-2853-4E65-BC8D-3BD9BF87FAD7}"/>
    <cellStyle name="Normal 8 2 2 2 6 5" xfId="14510" xr:uid="{6DD84113-2A7E-4BC0-AF04-31E1DC0F1AB8}"/>
    <cellStyle name="Normal 8 2 2 2 7" xfId="2193" xr:uid="{00000000-0005-0000-0000-00003D1C0000}"/>
    <cellStyle name="Normal 8 2 2 2 7 2" xfId="4422" xr:uid="{00000000-0005-0000-0000-00003E1C0000}"/>
    <cellStyle name="Normal 8 2 2 2 7 2 2" xfId="8646" xr:uid="{00000000-0005-0000-0000-00003F1C0000}"/>
    <cellStyle name="Normal 8 2 2 2 7 2 3" xfId="12857" xr:uid="{0B78914F-5440-4A24-84A1-08EED5D6CBFF}"/>
    <cellStyle name="Normal 8 2 2 2 7 2 4" xfId="17068" xr:uid="{E3E01658-220A-4E2D-8E06-20BDCA17923B}"/>
    <cellStyle name="Normal 8 2 2 2 7 3" xfId="6501" xr:uid="{00000000-0005-0000-0000-0000401C0000}"/>
    <cellStyle name="Normal 8 2 2 2 7 4" xfId="10712" xr:uid="{28409EE0-3B76-4DDE-A604-263185F6853D}"/>
    <cellStyle name="Normal 8 2 2 2 7 5" xfId="14923" xr:uid="{32B83348-BCAF-4E2D-AEA5-B8497F65BE3F}"/>
    <cellStyle name="Normal 8 2 2 2 8" xfId="2629" xr:uid="{00000000-0005-0000-0000-0000411C0000}"/>
    <cellStyle name="Normal 8 2 2 2 8 2" xfId="6914" xr:uid="{00000000-0005-0000-0000-0000421C0000}"/>
    <cellStyle name="Normal 8 2 2 2 8 3" xfId="11125" xr:uid="{EB3F0A34-0273-46E0-89F4-571C393B18D0}"/>
    <cellStyle name="Normal 8 2 2 2 8 4" xfId="15336" xr:uid="{4FEC6088-8B85-4E45-8801-7D7FEEBA4122}"/>
    <cellStyle name="Normal 8 2 2 2 9" xfId="4849" xr:uid="{00000000-0005-0000-0000-0000431C0000}"/>
    <cellStyle name="Normal 8 2 2 3" xfId="485" xr:uid="{00000000-0005-0000-0000-0000441C0000}"/>
    <cellStyle name="Normal 8 2 2 3 10" xfId="13275" xr:uid="{10021283-0887-4B32-927B-8612EE8496FE}"/>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2 3" xfId="11623" xr:uid="{8DD2A0AF-AD0C-4B91-A407-CB7C1DFA51AD}"/>
    <cellStyle name="Normal 8 2 2 3 2 2 2 4" xfId="15834" xr:uid="{749FA7DC-7A02-4BB5-B346-410DB1D91337}"/>
    <cellStyle name="Normal 8 2 2 3 2 2 3" xfId="5267" xr:uid="{00000000-0005-0000-0000-0000491C0000}"/>
    <cellStyle name="Normal 8 2 2 3 2 2 4" xfId="9478" xr:uid="{C0B77000-3563-4835-AFCC-4285D26BBB9A}"/>
    <cellStyle name="Normal 8 2 2 3 2 2 5" xfId="13689" xr:uid="{CE7C6735-7271-4506-BAB2-017CB5B02D1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2 3" xfId="12036" xr:uid="{924ECFAC-1B83-4F5F-90A2-238B09236F50}"/>
    <cellStyle name="Normal 8 2 2 3 2 3 2 4" xfId="16247" xr:uid="{27A6153E-EC40-4EA1-A051-6F8E14FC4141}"/>
    <cellStyle name="Normal 8 2 2 3 2 3 3" xfId="5680" xr:uid="{00000000-0005-0000-0000-00004D1C0000}"/>
    <cellStyle name="Normal 8 2 2 3 2 3 4" xfId="9891" xr:uid="{3D7521D8-666A-4B33-94B0-DCD41BE674D4}"/>
    <cellStyle name="Normal 8 2 2 3 2 3 5" xfId="14102" xr:uid="{BAEEF0A4-FE98-4BE1-855D-82FF1A76F40F}"/>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2 3" xfId="12449" xr:uid="{85CFEFE8-2423-4D2F-92F1-3967391448C0}"/>
    <cellStyle name="Normal 8 2 2 3 2 4 2 4" xfId="16660" xr:uid="{A1DC7026-FB04-4104-9932-4D900A06E16E}"/>
    <cellStyle name="Normal 8 2 2 3 2 4 3" xfId="6093" xr:uid="{00000000-0005-0000-0000-0000511C0000}"/>
    <cellStyle name="Normal 8 2 2 3 2 4 4" xfId="10304" xr:uid="{91013575-2709-4E19-A946-D9A95AB25774}"/>
    <cellStyle name="Normal 8 2 2 3 2 4 5" xfId="14515" xr:uid="{D0186D40-76FD-41EA-9F81-45BDCBC9B203}"/>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2 3" xfId="12862" xr:uid="{80E58E63-E8D5-4B04-8411-8E7F84474BE1}"/>
    <cellStyle name="Normal 8 2 2 3 2 5 2 4" xfId="17073" xr:uid="{4D751BC5-36A7-490F-BF5F-36482847BDD6}"/>
    <cellStyle name="Normal 8 2 2 3 2 5 3" xfId="6506" xr:uid="{00000000-0005-0000-0000-0000551C0000}"/>
    <cellStyle name="Normal 8 2 2 3 2 5 4" xfId="10717" xr:uid="{550B1621-85DA-41A6-BB77-BAF97B44F7DB}"/>
    <cellStyle name="Normal 8 2 2 3 2 5 5" xfId="14928" xr:uid="{27D6EC7B-333F-4F11-944E-B3ECF40CE5A5}"/>
    <cellStyle name="Normal 8 2 2 3 2 6" xfId="2634" xr:uid="{00000000-0005-0000-0000-0000561C0000}"/>
    <cellStyle name="Normal 8 2 2 3 2 6 2" xfId="6919" xr:uid="{00000000-0005-0000-0000-0000571C0000}"/>
    <cellStyle name="Normal 8 2 2 3 2 6 3" xfId="11130" xr:uid="{0339CCA1-9E88-4083-A24A-5F74708128D0}"/>
    <cellStyle name="Normal 8 2 2 3 2 6 4" xfId="15341" xr:uid="{FAD59DB0-3F67-4E90-A4E6-493167611707}"/>
    <cellStyle name="Normal 8 2 2 3 2 7" xfId="4854" xr:uid="{00000000-0005-0000-0000-0000581C0000}"/>
    <cellStyle name="Normal 8 2 2 3 2 8" xfId="9065" xr:uid="{409AD406-BF4F-406E-9D5A-8DC24C997B0E}"/>
    <cellStyle name="Normal 8 2 2 3 2 9" xfId="13276" xr:uid="{1AF435F8-2FCE-49F1-BC0B-072F7993D57E}"/>
    <cellStyle name="Normal 8 2 2 3 3" xfId="953" xr:uid="{00000000-0005-0000-0000-0000591C0000}"/>
    <cellStyle name="Normal 8 2 2 3 3 2" xfId="3187" xr:uid="{00000000-0005-0000-0000-00005A1C0000}"/>
    <cellStyle name="Normal 8 2 2 3 3 2 2" xfId="7411" xr:uid="{00000000-0005-0000-0000-00005B1C0000}"/>
    <cellStyle name="Normal 8 2 2 3 3 2 3" xfId="11622" xr:uid="{C835D4FC-6FA7-4EEF-A9A9-2DB7E0E45914}"/>
    <cellStyle name="Normal 8 2 2 3 3 2 4" xfId="15833" xr:uid="{BC9BB7B6-4498-44EC-A737-DF3EEA4DDA88}"/>
    <cellStyle name="Normal 8 2 2 3 3 3" xfId="5266" xr:uid="{00000000-0005-0000-0000-00005C1C0000}"/>
    <cellStyle name="Normal 8 2 2 3 3 4" xfId="9477" xr:uid="{E3FDC142-5C57-47C1-BB4D-68C6C21ECE55}"/>
    <cellStyle name="Normal 8 2 2 3 3 5" xfId="13688" xr:uid="{67ED35BE-D039-47ED-85A9-3BBD7EAF2C95}"/>
    <cellStyle name="Normal 8 2 2 3 4" xfId="1370" xr:uid="{00000000-0005-0000-0000-00005D1C0000}"/>
    <cellStyle name="Normal 8 2 2 3 4 2" xfId="3600" xr:uid="{00000000-0005-0000-0000-00005E1C0000}"/>
    <cellStyle name="Normal 8 2 2 3 4 2 2" xfId="7824" xr:uid="{00000000-0005-0000-0000-00005F1C0000}"/>
    <cellStyle name="Normal 8 2 2 3 4 2 3" xfId="12035" xr:uid="{B18A63B9-2D17-4B78-9AF7-F5FBF2E0863C}"/>
    <cellStyle name="Normal 8 2 2 3 4 2 4" xfId="16246" xr:uid="{30F51C4F-923B-43F5-A81E-8F512475C4C7}"/>
    <cellStyle name="Normal 8 2 2 3 4 3" xfId="5679" xr:uid="{00000000-0005-0000-0000-0000601C0000}"/>
    <cellStyle name="Normal 8 2 2 3 4 4" xfId="9890" xr:uid="{2BC66C6A-4421-4998-94E1-03C9AACCC31E}"/>
    <cellStyle name="Normal 8 2 2 3 4 5" xfId="14101" xr:uid="{C4E13BAB-344A-49C0-81CA-62CC8B838A07}"/>
    <cellStyle name="Normal 8 2 2 3 5" xfId="1783" xr:uid="{00000000-0005-0000-0000-0000611C0000}"/>
    <cellStyle name="Normal 8 2 2 3 5 2" xfId="4013" xr:uid="{00000000-0005-0000-0000-0000621C0000}"/>
    <cellStyle name="Normal 8 2 2 3 5 2 2" xfId="8237" xr:uid="{00000000-0005-0000-0000-0000631C0000}"/>
    <cellStyle name="Normal 8 2 2 3 5 2 3" xfId="12448" xr:uid="{36BE83CE-2913-40B7-8F31-68551A8A9434}"/>
    <cellStyle name="Normal 8 2 2 3 5 2 4" xfId="16659" xr:uid="{C6833667-D6FD-420E-B4CD-25BB7054E5B0}"/>
    <cellStyle name="Normal 8 2 2 3 5 3" xfId="6092" xr:uid="{00000000-0005-0000-0000-0000641C0000}"/>
    <cellStyle name="Normal 8 2 2 3 5 4" xfId="10303" xr:uid="{D97B679C-F74F-4776-B5AF-76AAE9C094DC}"/>
    <cellStyle name="Normal 8 2 2 3 5 5" xfId="14514" xr:uid="{778E6F91-213D-4BE8-892C-BE456549A933}"/>
    <cellStyle name="Normal 8 2 2 3 6" xfId="2197" xr:uid="{00000000-0005-0000-0000-0000651C0000}"/>
    <cellStyle name="Normal 8 2 2 3 6 2" xfId="4426" xr:uid="{00000000-0005-0000-0000-0000661C0000}"/>
    <cellStyle name="Normal 8 2 2 3 6 2 2" xfId="8650" xr:uid="{00000000-0005-0000-0000-0000671C0000}"/>
    <cellStyle name="Normal 8 2 2 3 6 2 3" xfId="12861" xr:uid="{3F555410-B6A1-4391-96C6-6755830E1341}"/>
    <cellStyle name="Normal 8 2 2 3 6 2 4" xfId="17072" xr:uid="{99987DF2-81E0-49C7-AC45-641A60E1D54B}"/>
    <cellStyle name="Normal 8 2 2 3 6 3" xfId="6505" xr:uid="{00000000-0005-0000-0000-0000681C0000}"/>
    <cellStyle name="Normal 8 2 2 3 6 4" xfId="10716" xr:uid="{A4EA4B1B-B522-4FCD-82F6-25B9EAA5B8A2}"/>
    <cellStyle name="Normal 8 2 2 3 6 5" xfId="14927" xr:uid="{6F84C13E-C88D-49C7-A047-542B9118912B}"/>
    <cellStyle name="Normal 8 2 2 3 7" xfId="2633" xr:uid="{00000000-0005-0000-0000-0000691C0000}"/>
    <cellStyle name="Normal 8 2 2 3 7 2" xfId="6918" xr:uid="{00000000-0005-0000-0000-00006A1C0000}"/>
    <cellStyle name="Normal 8 2 2 3 7 3" xfId="11129" xr:uid="{797B1D91-FD35-4943-BD5E-812EE7C0EFDE}"/>
    <cellStyle name="Normal 8 2 2 3 7 4" xfId="15340" xr:uid="{B49F4DB5-5F2D-4FAF-93C9-3ADC1C8DF172}"/>
    <cellStyle name="Normal 8 2 2 3 8" xfId="4853" xr:uid="{00000000-0005-0000-0000-00006B1C0000}"/>
    <cellStyle name="Normal 8 2 2 3 9" xfId="9064" xr:uid="{A8F1345A-575F-4B1E-8140-236C9D3E97B2}"/>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2 3" xfId="11624" xr:uid="{F244DEDF-1DD3-445A-B797-955177861470}"/>
    <cellStyle name="Normal 8 2 2 4 2 2 4" xfId="15835" xr:uid="{F297B936-4B55-480F-8638-7921D23FCBF4}"/>
    <cellStyle name="Normal 8 2 2 4 2 3" xfId="5268" xr:uid="{00000000-0005-0000-0000-0000701C0000}"/>
    <cellStyle name="Normal 8 2 2 4 2 4" xfId="9479" xr:uid="{D80E77AA-3925-464B-BEB3-7F2CBFFCBCCE}"/>
    <cellStyle name="Normal 8 2 2 4 2 5" xfId="13690" xr:uid="{897765CB-A08D-4B65-9C25-FB4F6C0D89EE}"/>
    <cellStyle name="Normal 8 2 2 4 3" xfId="1372" xr:uid="{00000000-0005-0000-0000-0000711C0000}"/>
    <cellStyle name="Normal 8 2 2 4 3 2" xfId="3602" xr:uid="{00000000-0005-0000-0000-0000721C0000}"/>
    <cellStyle name="Normal 8 2 2 4 3 2 2" xfId="7826" xr:uid="{00000000-0005-0000-0000-0000731C0000}"/>
    <cellStyle name="Normal 8 2 2 4 3 2 3" xfId="12037" xr:uid="{7B952825-DD93-4809-80E1-044393AE5B91}"/>
    <cellStyle name="Normal 8 2 2 4 3 2 4" xfId="16248" xr:uid="{41F19DE7-6646-41DB-9CA0-B8ACFE0016F0}"/>
    <cellStyle name="Normal 8 2 2 4 3 3" xfId="5681" xr:uid="{00000000-0005-0000-0000-0000741C0000}"/>
    <cellStyle name="Normal 8 2 2 4 3 4" xfId="9892" xr:uid="{6A4BF84A-6904-48B4-8579-99B691662275}"/>
    <cellStyle name="Normal 8 2 2 4 3 5" xfId="14103" xr:uid="{8FB8EF8E-A2E3-4C93-8315-1D84CC5B9898}"/>
    <cellStyle name="Normal 8 2 2 4 4" xfId="1785" xr:uid="{00000000-0005-0000-0000-0000751C0000}"/>
    <cellStyle name="Normal 8 2 2 4 4 2" xfId="4015" xr:uid="{00000000-0005-0000-0000-0000761C0000}"/>
    <cellStyle name="Normal 8 2 2 4 4 2 2" xfId="8239" xr:uid="{00000000-0005-0000-0000-0000771C0000}"/>
    <cellStyle name="Normal 8 2 2 4 4 2 3" xfId="12450" xr:uid="{0B052EC8-DE04-4698-8026-095CF7E1B26A}"/>
    <cellStyle name="Normal 8 2 2 4 4 2 4" xfId="16661" xr:uid="{78356261-C4F3-44AC-BA61-FA7A827EBD26}"/>
    <cellStyle name="Normal 8 2 2 4 4 3" xfId="6094" xr:uid="{00000000-0005-0000-0000-0000781C0000}"/>
    <cellStyle name="Normal 8 2 2 4 4 4" xfId="10305" xr:uid="{96823F2B-5F3A-4355-90F1-E49A0707C4EC}"/>
    <cellStyle name="Normal 8 2 2 4 4 5" xfId="14516" xr:uid="{78934867-D10E-4CDC-9836-509F94309B9D}"/>
    <cellStyle name="Normal 8 2 2 4 5" xfId="2199" xr:uid="{00000000-0005-0000-0000-0000791C0000}"/>
    <cellStyle name="Normal 8 2 2 4 5 2" xfId="4428" xr:uid="{00000000-0005-0000-0000-00007A1C0000}"/>
    <cellStyle name="Normal 8 2 2 4 5 2 2" xfId="8652" xr:uid="{00000000-0005-0000-0000-00007B1C0000}"/>
    <cellStyle name="Normal 8 2 2 4 5 2 3" xfId="12863" xr:uid="{F859AF6F-0AD5-497A-A096-0A70D33A4DDB}"/>
    <cellStyle name="Normal 8 2 2 4 5 2 4" xfId="17074" xr:uid="{6BCF19DD-C8F0-4952-98B8-143E640AE551}"/>
    <cellStyle name="Normal 8 2 2 4 5 3" xfId="6507" xr:uid="{00000000-0005-0000-0000-00007C1C0000}"/>
    <cellStyle name="Normal 8 2 2 4 5 4" xfId="10718" xr:uid="{3B862007-0B1D-4BB2-9749-1828841382C3}"/>
    <cellStyle name="Normal 8 2 2 4 5 5" xfId="14929" xr:uid="{C4B8A6BE-7864-4340-9442-1CA020DE07D7}"/>
    <cellStyle name="Normal 8 2 2 4 6" xfId="2635" xr:uid="{00000000-0005-0000-0000-00007D1C0000}"/>
    <cellStyle name="Normal 8 2 2 4 6 2" xfId="6920" xr:uid="{00000000-0005-0000-0000-00007E1C0000}"/>
    <cellStyle name="Normal 8 2 2 4 6 3" xfId="11131" xr:uid="{17A884DC-931A-4109-B238-167EB1DAC0F7}"/>
    <cellStyle name="Normal 8 2 2 4 6 4" xfId="15342" xr:uid="{178F1A2B-0FB2-43F4-A2AB-7F09DE55AF98}"/>
    <cellStyle name="Normal 8 2 2 4 7" xfId="4855" xr:uid="{00000000-0005-0000-0000-00007F1C0000}"/>
    <cellStyle name="Normal 8 2 2 4 8" xfId="9066" xr:uid="{02FC8DB3-ED74-4789-942B-B38C9091A2FE}"/>
    <cellStyle name="Normal 8 2 2 4 9" xfId="13277" xr:uid="{EBBE5C54-C446-4A72-92C2-895AAB628B2E}"/>
    <cellStyle name="Normal 8 2 2 5" xfId="948" xr:uid="{00000000-0005-0000-0000-0000801C0000}"/>
    <cellStyle name="Normal 8 2 2 5 2" xfId="3182" xr:uid="{00000000-0005-0000-0000-0000811C0000}"/>
    <cellStyle name="Normal 8 2 2 5 2 2" xfId="7406" xr:uid="{00000000-0005-0000-0000-0000821C0000}"/>
    <cellStyle name="Normal 8 2 2 5 2 3" xfId="11617" xr:uid="{220A57AF-5D9A-46CA-A527-7B6EAC3E2BCB}"/>
    <cellStyle name="Normal 8 2 2 5 2 4" xfId="15828" xr:uid="{879D7ACE-1166-4285-AA01-8E6F6F11C5D0}"/>
    <cellStyle name="Normal 8 2 2 5 3" xfId="5261" xr:uid="{00000000-0005-0000-0000-0000831C0000}"/>
    <cellStyle name="Normal 8 2 2 5 4" xfId="9472" xr:uid="{0F4958E3-BAA1-43C6-9B7D-5A1863E7239C}"/>
    <cellStyle name="Normal 8 2 2 5 5" xfId="13683" xr:uid="{6EF1AC12-2948-46B5-A3F2-0A6792520AD0}"/>
    <cellStyle name="Normal 8 2 2 6" xfId="1365" xr:uid="{00000000-0005-0000-0000-0000841C0000}"/>
    <cellStyle name="Normal 8 2 2 6 2" xfId="3595" xr:uid="{00000000-0005-0000-0000-0000851C0000}"/>
    <cellStyle name="Normal 8 2 2 6 2 2" xfId="7819" xr:uid="{00000000-0005-0000-0000-0000861C0000}"/>
    <cellStyle name="Normal 8 2 2 6 2 3" xfId="12030" xr:uid="{155EEBF4-C107-4E9B-977A-D2FBD643BD0E}"/>
    <cellStyle name="Normal 8 2 2 6 2 4" xfId="16241" xr:uid="{599A8E15-96B3-405A-AF43-D071E0235371}"/>
    <cellStyle name="Normal 8 2 2 6 3" xfId="5674" xr:uid="{00000000-0005-0000-0000-0000871C0000}"/>
    <cellStyle name="Normal 8 2 2 6 4" xfId="9885" xr:uid="{182CF3CA-FD8F-4841-9C50-9BF40FDD2256}"/>
    <cellStyle name="Normal 8 2 2 6 5" xfId="14096" xr:uid="{9819754E-D8C6-4B67-BFC1-5D5DF1C18893}"/>
    <cellStyle name="Normal 8 2 2 7" xfId="1778" xr:uid="{00000000-0005-0000-0000-0000881C0000}"/>
    <cellStyle name="Normal 8 2 2 7 2" xfId="4008" xr:uid="{00000000-0005-0000-0000-0000891C0000}"/>
    <cellStyle name="Normal 8 2 2 7 2 2" xfId="8232" xr:uid="{00000000-0005-0000-0000-00008A1C0000}"/>
    <cellStyle name="Normal 8 2 2 7 2 3" xfId="12443" xr:uid="{27E74FE7-D8AA-457E-ACF1-F2C14517EDA2}"/>
    <cellStyle name="Normal 8 2 2 7 2 4" xfId="16654" xr:uid="{B41D8946-16B4-4930-BEE5-105390A029FE}"/>
    <cellStyle name="Normal 8 2 2 7 3" xfId="6087" xr:uid="{00000000-0005-0000-0000-00008B1C0000}"/>
    <cellStyle name="Normal 8 2 2 7 4" xfId="10298" xr:uid="{6E25F6BA-18F4-4A1C-B9A3-F835B71740CC}"/>
    <cellStyle name="Normal 8 2 2 7 5" xfId="14509" xr:uid="{10EF4D13-2F60-40E2-AC6C-7E16B3FBE668}"/>
    <cellStyle name="Normal 8 2 2 8" xfId="2192" xr:uid="{00000000-0005-0000-0000-00008C1C0000}"/>
    <cellStyle name="Normal 8 2 2 8 2" xfId="4421" xr:uid="{00000000-0005-0000-0000-00008D1C0000}"/>
    <cellStyle name="Normal 8 2 2 8 2 2" xfId="8645" xr:uid="{00000000-0005-0000-0000-00008E1C0000}"/>
    <cellStyle name="Normal 8 2 2 8 2 3" xfId="12856" xr:uid="{03D51B76-E9D4-4EED-A0D5-0BA60A2B2238}"/>
    <cellStyle name="Normal 8 2 2 8 2 4" xfId="17067" xr:uid="{3FF79592-189E-449B-9579-D9C603B05798}"/>
    <cellStyle name="Normal 8 2 2 8 3" xfId="6500" xr:uid="{00000000-0005-0000-0000-00008F1C0000}"/>
    <cellStyle name="Normal 8 2 2 8 4" xfId="10711" xr:uid="{864BBF98-6A6E-40C4-9DC4-FFBCFC71CCB1}"/>
    <cellStyle name="Normal 8 2 2 8 5" xfId="14922" xr:uid="{E06B478D-7395-45AA-89CF-C554FFD41212}"/>
    <cellStyle name="Normal 8 2 2 9" xfId="2628" xr:uid="{00000000-0005-0000-0000-0000901C0000}"/>
    <cellStyle name="Normal 8 2 2 9 2" xfId="6913" xr:uid="{00000000-0005-0000-0000-0000911C0000}"/>
    <cellStyle name="Normal 8 2 2 9 3" xfId="11124" xr:uid="{90BA779B-CBF6-49A8-8908-39166B6C1209}"/>
    <cellStyle name="Normal 8 2 2 9 4" xfId="15335" xr:uid="{54B71F8E-0B5E-41D0-8005-21D2B9A0E806}"/>
    <cellStyle name="Normal 8 2 3" xfId="488" xr:uid="{00000000-0005-0000-0000-0000921C0000}"/>
    <cellStyle name="Normal 8 2 3 10" xfId="9067" xr:uid="{9FC42AE2-47CD-4EA3-8CDF-FE1F613C8D6A}"/>
    <cellStyle name="Normal 8 2 3 11" xfId="13278" xr:uid="{4C0F2537-E70F-4A82-BF21-A406198D32D6}"/>
    <cellStyle name="Normal 8 2 3 2" xfId="489" xr:uid="{00000000-0005-0000-0000-0000931C0000}"/>
    <cellStyle name="Normal 8 2 3 2 10" xfId="13279" xr:uid="{7D918F7D-2D8E-4EA6-B6E3-07C65FBE8C63}"/>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2 3" xfId="11627" xr:uid="{28D36B8F-2A53-4622-A609-AAF69EDA2FA1}"/>
    <cellStyle name="Normal 8 2 3 2 2 2 2 4" xfId="15838" xr:uid="{63DC5631-9D5C-400E-8D2B-4C38F69E56D1}"/>
    <cellStyle name="Normal 8 2 3 2 2 2 3" xfId="5271" xr:uid="{00000000-0005-0000-0000-0000981C0000}"/>
    <cellStyle name="Normal 8 2 3 2 2 2 4" xfId="9482" xr:uid="{C5F0AFF1-E4AA-4B93-B004-EB095A9BABD6}"/>
    <cellStyle name="Normal 8 2 3 2 2 2 5" xfId="13693" xr:uid="{7A82B12D-7D6A-4DB3-9C8A-C6F152B2CF3F}"/>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2 3" xfId="12040" xr:uid="{5393D5BD-8683-4EC4-8621-BCB5EE5C2408}"/>
    <cellStyle name="Normal 8 2 3 2 2 3 2 4" xfId="16251" xr:uid="{6C2592F1-67E7-4970-8370-22581071FCB4}"/>
    <cellStyle name="Normal 8 2 3 2 2 3 3" xfId="5684" xr:uid="{00000000-0005-0000-0000-00009C1C0000}"/>
    <cellStyle name="Normal 8 2 3 2 2 3 4" xfId="9895" xr:uid="{B6CFB286-0891-4237-8831-A215DE3EBA3A}"/>
    <cellStyle name="Normal 8 2 3 2 2 3 5" xfId="14106" xr:uid="{E99BCAC4-428A-4ADB-95C4-7537F5ED546D}"/>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2 3" xfId="12453" xr:uid="{F70342C0-CF02-4192-8D54-198619F5278B}"/>
    <cellStyle name="Normal 8 2 3 2 2 4 2 4" xfId="16664" xr:uid="{CCD6CD44-15E8-408C-94AF-10A93BF42E8F}"/>
    <cellStyle name="Normal 8 2 3 2 2 4 3" xfId="6097" xr:uid="{00000000-0005-0000-0000-0000A01C0000}"/>
    <cellStyle name="Normal 8 2 3 2 2 4 4" xfId="10308" xr:uid="{ADC8F5F3-265C-46B8-BC50-028677F72CDA}"/>
    <cellStyle name="Normal 8 2 3 2 2 4 5" xfId="14519" xr:uid="{B284CD41-DBD3-474E-98EE-9B830C41D6E8}"/>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2 3" xfId="12866" xr:uid="{5D035FE6-A85C-48FE-994C-6BC520B81667}"/>
    <cellStyle name="Normal 8 2 3 2 2 5 2 4" xfId="17077" xr:uid="{250E6A29-2B42-47C9-989A-32383F2EE6DA}"/>
    <cellStyle name="Normal 8 2 3 2 2 5 3" xfId="6510" xr:uid="{00000000-0005-0000-0000-0000A41C0000}"/>
    <cellStyle name="Normal 8 2 3 2 2 5 4" xfId="10721" xr:uid="{A7D0E711-8AB6-40DD-8F6E-09F55E3F8205}"/>
    <cellStyle name="Normal 8 2 3 2 2 5 5" xfId="14932" xr:uid="{B4E38E7E-2167-4C09-A01B-FAE867B8D6C2}"/>
    <cellStyle name="Normal 8 2 3 2 2 6" xfId="2638" xr:uid="{00000000-0005-0000-0000-0000A51C0000}"/>
    <cellStyle name="Normal 8 2 3 2 2 6 2" xfId="6923" xr:uid="{00000000-0005-0000-0000-0000A61C0000}"/>
    <cellStyle name="Normal 8 2 3 2 2 6 3" xfId="11134" xr:uid="{459D654A-0DC4-4BBB-9319-05A1EAB39581}"/>
    <cellStyle name="Normal 8 2 3 2 2 6 4" xfId="15345" xr:uid="{DA1751A6-DFB5-4865-B628-3749FAD1DF28}"/>
    <cellStyle name="Normal 8 2 3 2 2 7" xfId="4858" xr:uid="{00000000-0005-0000-0000-0000A71C0000}"/>
    <cellStyle name="Normal 8 2 3 2 2 8" xfId="9069" xr:uid="{C5476A55-1485-4E0F-8B36-32F6273531A5}"/>
    <cellStyle name="Normal 8 2 3 2 2 9" xfId="13280" xr:uid="{4C8BC0F9-F6E1-4856-86BC-A36531A8F7EF}"/>
    <cellStyle name="Normal 8 2 3 2 3" xfId="957" xr:uid="{00000000-0005-0000-0000-0000A81C0000}"/>
    <cellStyle name="Normal 8 2 3 2 3 2" xfId="3191" xr:uid="{00000000-0005-0000-0000-0000A91C0000}"/>
    <cellStyle name="Normal 8 2 3 2 3 2 2" xfId="7415" xr:uid="{00000000-0005-0000-0000-0000AA1C0000}"/>
    <cellStyle name="Normal 8 2 3 2 3 2 3" xfId="11626" xr:uid="{5269CEA6-A091-4266-9D62-DBE37FC2576C}"/>
    <cellStyle name="Normal 8 2 3 2 3 2 4" xfId="15837" xr:uid="{089D356A-8BDE-4887-8778-97EA5EAB7A23}"/>
    <cellStyle name="Normal 8 2 3 2 3 3" xfId="5270" xr:uid="{00000000-0005-0000-0000-0000AB1C0000}"/>
    <cellStyle name="Normal 8 2 3 2 3 4" xfId="9481" xr:uid="{F94FE31F-191C-4E81-A4DA-9ABC887ED1FE}"/>
    <cellStyle name="Normal 8 2 3 2 3 5" xfId="13692" xr:uid="{AA4C4702-7099-4673-BA5F-2308208F8387}"/>
    <cellStyle name="Normal 8 2 3 2 4" xfId="1374" xr:uid="{00000000-0005-0000-0000-0000AC1C0000}"/>
    <cellStyle name="Normal 8 2 3 2 4 2" xfId="3604" xr:uid="{00000000-0005-0000-0000-0000AD1C0000}"/>
    <cellStyle name="Normal 8 2 3 2 4 2 2" xfId="7828" xr:uid="{00000000-0005-0000-0000-0000AE1C0000}"/>
    <cellStyle name="Normal 8 2 3 2 4 2 3" xfId="12039" xr:uid="{359FD9F4-8F05-46D6-9C4B-E149EE44410E}"/>
    <cellStyle name="Normal 8 2 3 2 4 2 4" xfId="16250" xr:uid="{0020D7EB-F27A-4CCA-967E-D5A16FE6913F}"/>
    <cellStyle name="Normal 8 2 3 2 4 3" xfId="5683" xr:uid="{00000000-0005-0000-0000-0000AF1C0000}"/>
    <cellStyle name="Normal 8 2 3 2 4 4" xfId="9894" xr:uid="{A7968B08-3A39-44CE-A88A-F62EE1FBFAD7}"/>
    <cellStyle name="Normal 8 2 3 2 4 5" xfId="14105" xr:uid="{337901FB-FEE3-4EB1-BAF0-6306EE479CB7}"/>
    <cellStyle name="Normal 8 2 3 2 5" xfId="1787" xr:uid="{00000000-0005-0000-0000-0000B01C0000}"/>
    <cellStyle name="Normal 8 2 3 2 5 2" xfId="4017" xr:uid="{00000000-0005-0000-0000-0000B11C0000}"/>
    <cellStyle name="Normal 8 2 3 2 5 2 2" xfId="8241" xr:uid="{00000000-0005-0000-0000-0000B21C0000}"/>
    <cellStyle name="Normal 8 2 3 2 5 2 3" xfId="12452" xr:uid="{49509599-261B-4E42-BA19-D347ABE58690}"/>
    <cellStyle name="Normal 8 2 3 2 5 2 4" xfId="16663" xr:uid="{B1F5AD11-EFF5-46E7-9466-A57484A76A0C}"/>
    <cellStyle name="Normal 8 2 3 2 5 3" xfId="6096" xr:uid="{00000000-0005-0000-0000-0000B31C0000}"/>
    <cellStyle name="Normal 8 2 3 2 5 4" xfId="10307" xr:uid="{CA8C12B8-C0E9-4304-B34A-15B2CD39224F}"/>
    <cellStyle name="Normal 8 2 3 2 5 5" xfId="14518" xr:uid="{F0423757-E5B4-4A41-B9CC-5F5B3D0FF794}"/>
    <cellStyle name="Normal 8 2 3 2 6" xfId="2201" xr:uid="{00000000-0005-0000-0000-0000B41C0000}"/>
    <cellStyle name="Normal 8 2 3 2 6 2" xfId="4430" xr:uid="{00000000-0005-0000-0000-0000B51C0000}"/>
    <cellStyle name="Normal 8 2 3 2 6 2 2" xfId="8654" xr:uid="{00000000-0005-0000-0000-0000B61C0000}"/>
    <cellStyle name="Normal 8 2 3 2 6 2 3" xfId="12865" xr:uid="{7D714C84-38AE-469B-85A1-1EAA27E00C7F}"/>
    <cellStyle name="Normal 8 2 3 2 6 2 4" xfId="17076" xr:uid="{E1C5E6E4-6E5E-441B-A6DF-59567D6F803A}"/>
    <cellStyle name="Normal 8 2 3 2 6 3" xfId="6509" xr:uid="{00000000-0005-0000-0000-0000B71C0000}"/>
    <cellStyle name="Normal 8 2 3 2 6 4" xfId="10720" xr:uid="{69800290-5FB3-4340-9328-B0B769F4ADD0}"/>
    <cellStyle name="Normal 8 2 3 2 6 5" xfId="14931" xr:uid="{4ECF2848-CEC0-421F-A23F-4DA15A98469D}"/>
    <cellStyle name="Normal 8 2 3 2 7" xfId="2637" xr:uid="{00000000-0005-0000-0000-0000B81C0000}"/>
    <cellStyle name="Normal 8 2 3 2 7 2" xfId="6922" xr:uid="{00000000-0005-0000-0000-0000B91C0000}"/>
    <cellStyle name="Normal 8 2 3 2 7 3" xfId="11133" xr:uid="{4549F99C-A133-419D-B071-789FE6C14237}"/>
    <cellStyle name="Normal 8 2 3 2 7 4" xfId="15344" xr:uid="{79339F75-68DA-4F9F-8CB2-5940F66642A3}"/>
    <cellStyle name="Normal 8 2 3 2 8" xfId="4857" xr:uid="{00000000-0005-0000-0000-0000BA1C0000}"/>
    <cellStyle name="Normal 8 2 3 2 9" xfId="9068" xr:uid="{AB9DB576-3BFA-4948-A71B-60F563ADF642}"/>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2 3" xfId="11628" xr:uid="{788C1875-C9BB-4181-892B-E5F6A8336E28}"/>
    <cellStyle name="Normal 8 2 3 3 2 2 4" xfId="15839" xr:uid="{6A054B62-715F-472C-9625-9EFA49CB7748}"/>
    <cellStyle name="Normal 8 2 3 3 2 3" xfId="5272" xr:uid="{00000000-0005-0000-0000-0000BF1C0000}"/>
    <cellStyle name="Normal 8 2 3 3 2 4" xfId="9483" xr:uid="{F1E915CD-8C4D-4596-897E-402E4EB8ABBB}"/>
    <cellStyle name="Normal 8 2 3 3 2 5" xfId="13694" xr:uid="{C09691A1-1776-4CE4-A9DB-DDCAE2493872}"/>
    <cellStyle name="Normal 8 2 3 3 3" xfId="1376" xr:uid="{00000000-0005-0000-0000-0000C01C0000}"/>
    <cellStyle name="Normal 8 2 3 3 3 2" xfId="3606" xr:uid="{00000000-0005-0000-0000-0000C11C0000}"/>
    <cellStyle name="Normal 8 2 3 3 3 2 2" xfId="7830" xr:uid="{00000000-0005-0000-0000-0000C21C0000}"/>
    <cellStyle name="Normal 8 2 3 3 3 2 3" xfId="12041" xr:uid="{D9BD45BD-E874-49B6-BB80-ED3D78F1F441}"/>
    <cellStyle name="Normal 8 2 3 3 3 2 4" xfId="16252" xr:uid="{12C43319-87AA-4AF1-8E2B-CDC12BF807C1}"/>
    <cellStyle name="Normal 8 2 3 3 3 3" xfId="5685" xr:uid="{00000000-0005-0000-0000-0000C31C0000}"/>
    <cellStyle name="Normal 8 2 3 3 3 4" xfId="9896" xr:uid="{3FDF5620-BD69-489B-8F54-4DCED40E31FD}"/>
    <cellStyle name="Normal 8 2 3 3 3 5" xfId="14107" xr:uid="{710169D0-B7B8-4F23-88CB-3F7CAAC12C96}"/>
    <cellStyle name="Normal 8 2 3 3 4" xfId="1789" xr:uid="{00000000-0005-0000-0000-0000C41C0000}"/>
    <cellStyle name="Normal 8 2 3 3 4 2" xfId="4019" xr:uid="{00000000-0005-0000-0000-0000C51C0000}"/>
    <cellStyle name="Normal 8 2 3 3 4 2 2" xfId="8243" xr:uid="{00000000-0005-0000-0000-0000C61C0000}"/>
    <cellStyle name="Normal 8 2 3 3 4 2 3" xfId="12454" xr:uid="{96DB1D34-861E-445B-8344-FF138ED97162}"/>
    <cellStyle name="Normal 8 2 3 3 4 2 4" xfId="16665" xr:uid="{484FCA72-04D4-4654-B924-128006ED60F8}"/>
    <cellStyle name="Normal 8 2 3 3 4 3" xfId="6098" xr:uid="{00000000-0005-0000-0000-0000C71C0000}"/>
    <cellStyle name="Normal 8 2 3 3 4 4" xfId="10309" xr:uid="{1B6C8255-A54F-49E7-A145-43AED8DA5D86}"/>
    <cellStyle name="Normal 8 2 3 3 4 5" xfId="14520" xr:uid="{C2211759-E2C8-4AB0-AD02-6F871F41DFE0}"/>
    <cellStyle name="Normal 8 2 3 3 5" xfId="2203" xr:uid="{00000000-0005-0000-0000-0000C81C0000}"/>
    <cellStyle name="Normal 8 2 3 3 5 2" xfId="4432" xr:uid="{00000000-0005-0000-0000-0000C91C0000}"/>
    <cellStyle name="Normal 8 2 3 3 5 2 2" xfId="8656" xr:uid="{00000000-0005-0000-0000-0000CA1C0000}"/>
    <cellStyle name="Normal 8 2 3 3 5 2 3" xfId="12867" xr:uid="{60372FDA-229D-4F4D-B4B2-6CA252A4C33C}"/>
    <cellStyle name="Normal 8 2 3 3 5 2 4" xfId="17078" xr:uid="{B8F465AA-A4B5-4C4B-A57C-76E19379B0EF}"/>
    <cellStyle name="Normal 8 2 3 3 5 3" xfId="6511" xr:uid="{00000000-0005-0000-0000-0000CB1C0000}"/>
    <cellStyle name="Normal 8 2 3 3 5 4" xfId="10722" xr:uid="{EDCA16E0-98C2-4C3F-903B-911298A71F4A}"/>
    <cellStyle name="Normal 8 2 3 3 5 5" xfId="14933" xr:uid="{6A3C0E18-E2F4-42FC-B55E-F7DA3A46D6A0}"/>
    <cellStyle name="Normal 8 2 3 3 6" xfId="2639" xr:uid="{00000000-0005-0000-0000-0000CC1C0000}"/>
    <cellStyle name="Normal 8 2 3 3 6 2" xfId="6924" xr:uid="{00000000-0005-0000-0000-0000CD1C0000}"/>
    <cellStyle name="Normal 8 2 3 3 6 3" xfId="11135" xr:uid="{B420547E-8E7B-4387-95F4-7661E2CCACD7}"/>
    <cellStyle name="Normal 8 2 3 3 6 4" xfId="15346" xr:uid="{38131C4A-108D-46E7-96C2-2D5CB6104FFD}"/>
    <cellStyle name="Normal 8 2 3 3 7" xfId="4859" xr:uid="{00000000-0005-0000-0000-0000CE1C0000}"/>
    <cellStyle name="Normal 8 2 3 3 8" xfId="9070" xr:uid="{322337B3-5680-428C-A83E-52741949582E}"/>
    <cellStyle name="Normal 8 2 3 3 9" xfId="13281" xr:uid="{E8E4E17D-3221-49AB-90C9-6F689B54436A}"/>
    <cellStyle name="Normal 8 2 3 4" xfId="956" xr:uid="{00000000-0005-0000-0000-0000CF1C0000}"/>
    <cellStyle name="Normal 8 2 3 4 2" xfId="3190" xr:uid="{00000000-0005-0000-0000-0000D01C0000}"/>
    <cellStyle name="Normal 8 2 3 4 2 2" xfId="7414" xr:uid="{00000000-0005-0000-0000-0000D11C0000}"/>
    <cellStyle name="Normal 8 2 3 4 2 3" xfId="11625" xr:uid="{E02D820A-827C-4442-BF94-59677CD8848A}"/>
    <cellStyle name="Normal 8 2 3 4 2 4" xfId="15836" xr:uid="{061E2708-4410-4BB2-91FB-1AD312E872CE}"/>
    <cellStyle name="Normal 8 2 3 4 3" xfId="5269" xr:uid="{00000000-0005-0000-0000-0000D21C0000}"/>
    <cellStyle name="Normal 8 2 3 4 4" xfId="9480" xr:uid="{D7F726E6-86DC-41A4-8659-71B924DA7F2D}"/>
    <cellStyle name="Normal 8 2 3 4 5" xfId="13691" xr:uid="{BF0E0947-C3BD-48A6-ADC6-0FDCB0922989}"/>
    <cellStyle name="Normal 8 2 3 5" xfId="1373" xr:uid="{00000000-0005-0000-0000-0000D31C0000}"/>
    <cellStyle name="Normal 8 2 3 5 2" xfId="3603" xr:uid="{00000000-0005-0000-0000-0000D41C0000}"/>
    <cellStyle name="Normal 8 2 3 5 2 2" xfId="7827" xr:uid="{00000000-0005-0000-0000-0000D51C0000}"/>
    <cellStyle name="Normal 8 2 3 5 2 3" xfId="12038" xr:uid="{583A5CDF-8494-4BA9-BC78-ACF6B0F2F452}"/>
    <cellStyle name="Normal 8 2 3 5 2 4" xfId="16249" xr:uid="{24C8E5C9-F7E4-4531-9C91-0D4BF287A598}"/>
    <cellStyle name="Normal 8 2 3 5 3" xfId="5682" xr:uid="{00000000-0005-0000-0000-0000D61C0000}"/>
    <cellStyle name="Normal 8 2 3 5 4" xfId="9893" xr:uid="{AEDD6AB3-F14E-479A-B168-B6483D2B0A9E}"/>
    <cellStyle name="Normal 8 2 3 5 5" xfId="14104" xr:uid="{808966FE-7994-478F-BBD5-9FA402DADC00}"/>
    <cellStyle name="Normal 8 2 3 6" xfId="1786" xr:uid="{00000000-0005-0000-0000-0000D71C0000}"/>
    <cellStyle name="Normal 8 2 3 6 2" xfId="4016" xr:uid="{00000000-0005-0000-0000-0000D81C0000}"/>
    <cellStyle name="Normal 8 2 3 6 2 2" xfId="8240" xr:uid="{00000000-0005-0000-0000-0000D91C0000}"/>
    <cellStyle name="Normal 8 2 3 6 2 3" xfId="12451" xr:uid="{EE496933-5A22-4451-9BF3-748C9276DDC1}"/>
    <cellStyle name="Normal 8 2 3 6 2 4" xfId="16662" xr:uid="{F0F63809-4FDF-4AD3-AB0B-A96CA9D761B1}"/>
    <cellStyle name="Normal 8 2 3 6 3" xfId="6095" xr:uid="{00000000-0005-0000-0000-0000DA1C0000}"/>
    <cellStyle name="Normal 8 2 3 6 4" xfId="10306" xr:uid="{E3FA2895-2BDE-4811-AFBC-DA57239CCDB9}"/>
    <cellStyle name="Normal 8 2 3 6 5" xfId="14517" xr:uid="{4DA3F9CC-FA75-4993-B1F8-BD845691DC6E}"/>
    <cellStyle name="Normal 8 2 3 7" xfId="2200" xr:uid="{00000000-0005-0000-0000-0000DB1C0000}"/>
    <cellStyle name="Normal 8 2 3 7 2" xfId="4429" xr:uid="{00000000-0005-0000-0000-0000DC1C0000}"/>
    <cellStyle name="Normal 8 2 3 7 2 2" xfId="8653" xr:uid="{00000000-0005-0000-0000-0000DD1C0000}"/>
    <cellStyle name="Normal 8 2 3 7 2 3" xfId="12864" xr:uid="{3797FF25-CF6A-4E89-A74D-C5034432DB8C}"/>
    <cellStyle name="Normal 8 2 3 7 2 4" xfId="17075" xr:uid="{8E8D29E9-DDC3-41BD-B61C-612CAB3B190D}"/>
    <cellStyle name="Normal 8 2 3 7 3" xfId="6508" xr:uid="{00000000-0005-0000-0000-0000DE1C0000}"/>
    <cellStyle name="Normal 8 2 3 7 4" xfId="10719" xr:uid="{D4D74041-B235-4657-9C6A-7A88970E7287}"/>
    <cellStyle name="Normal 8 2 3 7 5" xfId="14930" xr:uid="{9D23386B-4BE6-4CAB-ABF7-734BF5EC2B24}"/>
    <cellStyle name="Normal 8 2 3 8" xfId="2636" xr:uid="{00000000-0005-0000-0000-0000DF1C0000}"/>
    <cellStyle name="Normal 8 2 3 8 2" xfId="6921" xr:uid="{00000000-0005-0000-0000-0000E01C0000}"/>
    <cellStyle name="Normal 8 2 3 8 3" xfId="11132" xr:uid="{D7CE86F1-F6EA-4001-B25E-12277E3F8366}"/>
    <cellStyle name="Normal 8 2 3 8 4" xfId="15343" xr:uid="{DC57704A-9C2D-49CC-B478-A0D938E2A869}"/>
    <cellStyle name="Normal 8 2 3 9" xfId="4856" xr:uid="{00000000-0005-0000-0000-0000E11C0000}"/>
    <cellStyle name="Normal 8 2 4" xfId="492" xr:uid="{00000000-0005-0000-0000-0000E21C0000}"/>
    <cellStyle name="Normal 8 2 4 10" xfId="13282" xr:uid="{551615BF-6A8C-43E1-AE6F-483211C11315}"/>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2 3" xfId="11630" xr:uid="{688A4B97-7E6B-480A-9A22-D4A66781280B}"/>
    <cellStyle name="Normal 8 2 4 2 2 2 4" xfId="15841" xr:uid="{983F8235-630B-40B1-8611-5DC3C37E2480}"/>
    <cellStyle name="Normal 8 2 4 2 2 3" xfId="5274" xr:uid="{00000000-0005-0000-0000-0000E71C0000}"/>
    <cellStyle name="Normal 8 2 4 2 2 4" xfId="9485" xr:uid="{1B6E855B-8775-4094-9C94-0E6EB73DD24D}"/>
    <cellStyle name="Normal 8 2 4 2 2 5" xfId="13696" xr:uid="{B9FBFE80-6DA6-42D6-9F3C-79F3FDC09CDA}"/>
    <cellStyle name="Normal 8 2 4 2 3" xfId="1378" xr:uid="{00000000-0005-0000-0000-0000E81C0000}"/>
    <cellStyle name="Normal 8 2 4 2 3 2" xfId="3608" xr:uid="{00000000-0005-0000-0000-0000E91C0000}"/>
    <cellStyle name="Normal 8 2 4 2 3 2 2" xfId="7832" xr:uid="{00000000-0005-0000-0000-0000EA1C0000}"/>
    <cellStyle name="Normal 8 2 4 2 3 2 3" xfId="12043" xr:uid="{CAD03317-B99A-42C3-A548-5099B23BE676}"/>
    <cellStyle name="Normal 8 2 4 2 3 2 4" xfId="16254" xr:uid="{94AC7EA3-FC01-414E-A7A3-88817266C61E}"/>
    <cellStyle name="Normal 8 2 4 2 3 3" xfId="5687" xr:uid="{00000000-0005-0000-0000-0000EB1C0000}"/>
    <cellStyle name="Normal 8 2 4 2 3 4" xfId="9898" xr:uid="{46804B14-5F00-4748-8692-F37C57E6A06E}"/>
    <cellStyle name="Normal 8 2 4 2 3 5" xfId="14109" xr:uid="{736D2434-8505-4E5B-B411-5A5B64455F53}"/>
    <cellStyle name="Normal 8 2 4 2 4" xfId="1791" xr:uid="{00000000-0005-0000-0000-0000EC1C0000}"/>
    <cellStyle name="Normal 8 2 4 2 4 2" xfId="4021" xr:uid="{00000000-0005-0000-0000-0000ED1C0000}"/>
    <cellStyle name="Normal 8 2 4 2 4 2 2" xfId="8245" xr:uid="{00000000-0005-0000-0000-0000EE1C0000}"/>
    <cellStyle name="Normal 8 2 4 2 4 2 3" xfId="12456" xr:uid="{F8A8663E-EB74-4AFC-A8FA-F3B53588AA97}"/>
    <cellStyle name="Normal 8 2 4 2 4 2 4" xfId="16667" xr:uid="{BA6A3F26-4E43-4EE0-AD98-D1BB1E455092}"/>
    <cellStyle name="Normal 8 2 4 2 4 3" xfId="6100" xr:uid="{00000000-0005-0000-0000-0000EF1C0000}"/>
    <cellStyle name="Normal 8 2 4 2 4 4" xfId="10311" xr:uid="{6E57533C-5EC1-40B6-BC96-C635EF108B9E}"/>
    <cellStyle name="Normal 8 2 4 2 4 5" xfId="14522" xr:uid="{9CB61720-6141-4C2B-985B-AB25CA01A88E}"/>
    <cellStyle name="Normal 8 2 4 2 5" xfId="2205" xr:uid="{00000000-0005-0000-0000-0000F01C0000}"/>
    <cellStyle name="Normal 8 2 4 2 5 2" xfId="4434" xr:uid="{00000000-0005-0000-0000-0000F11C0000}"/>
    <cellStyle name="Normal 8 2 4 2 5 2 2" xfId="8658" xr:uid="{00000000-0005-0000-0000-0000F21C0000}"/>
    <cellStyle name="Normal 8 2 4 2 5 2 3" xfId="12869" xr:uid="{95FCF438-2D2F-451A-A9AF-D7D010C04497}"/>
    <cellStyle name="Normal 8 2 4 2 5 2 4" xfId="17080" xr:uid="{ED05787F-19A2-437E-98BE-BA503ADA2EE2}"/>
    <cellStyle name="Normal 8 2 4 2 5 3" xfId="6513" xr:uid="{00000000-0005-0000-0000-0000F31C0000}"/>
    <cellStyle name="Normal 8 2 4 2 5 4" xfId="10724" xr:uid="{DA6A021D-A6E6-4E47-9DCF-EA161C6C79E2}"/>
    <cellStyle name="Normal 8 2 4 2 5 5" xfId="14935" xr:uid="{4083F871-A7FA-4118-AA4A-AEE6B79AA99A}"/>
    <cellStyle name="Normal 8 2 4 2 6" xfId="2641" xr:uid="{00000000-0005-0000-0000-0000F41C0000}"/>
    <cellStyle name="Normal 8 2 4 2 6 2" xfId="6926" xr:uid="{00000000-0005-0000-0000-0000F51C0000}"/>
    <cellStyle name="Normal 8 2 4 2 6 3" xfId="11137" xr:uid="{4411D9D2-2DFC-4FB9-A0FD-5A910BB7DC6C}"/>
    <cellStyle name="Normal 8 2 4 2 6 4" xfId="15348" xr:uid="{0D57A385-C199-4DC1-ABEA-6FD73A30E612}"/>
    <cellStyle name="Normal 8 2 4 2 7" xfId="4861" xr:uid="{00000000-0005-0000-0000-0000F61C0000}"/>
    <cellStyle name="Normal 8 2 4 2 8" xfId="9072" xr:uid="{CA11E2AA-51FE-4E0F-88C5-5289DB2624F9}"/>
    <cellStyle name="Normal 8 2 4 2 9" xfId="13283" xr:uid="{F80A6FDF-046B-4668-A306-648A75FD7D78}"/>
    <cellStyle name="Normal 8 2 4 3" xfId="960" xr:uid="{00000000-0005-0000-0000-0000F71C0000}"/>
    <cellStyle name="Normal 8 2 4 3 2" xfId="3194" xr:uid="{00000000-0005-0000-0000-0000F81C0000}"/>
    <cellStyle name="Normal 8 2 4 3 2 2" xfId="7418" xr:uid="{00000000-0005-0000-0000-0000F91C0000}"/>
    <cellStyle name="Normal 8 2 4 3 2 3" xfId="11629" xr:uid="{1314CB88-89AF-4BA8-89DD-7F004F1BD716}"/>
    <cellStyle name="Normal 8 2 4 3 2 4" xfId="15840" xr:uid="{D56CB52C-69E7-4707-A0C8-8962A933E62D}"/>
    <cellStyle name="Normal 8 2 4 3 3" xfId="5273" xr:uid="{00000000-0005-0000-0000-0000FA1C0000}"/>
    <cellStyle name="Normal 8 2 4 3 4" xfId="9484" xr:uid="{3BB89E6A-C321-4881-806D-05729C7DBE41}"/>
    <cellStyle name="Normal 8 2 4 3 5" xfId="13695" xr:uid="{76E63FDA-863C-4E35-AEED-DD9B53EA97D6}"/>
    <cellStyle name="Normal 8 2 4 4" xfId="1377" xr:uid="{00000000-0005-0000-0000-0000FB1C0000}"/>
    <cellStyle name="Normal 8 2 4 4 2" xfId="3607" xr:uid="{00000000-0005-0000-0000-0000FC1C0000}"/>
    <cellStyle name="Normal 8 2 4 4 2 2" xfId="7831" xr:uid="{00000000-0005-0000-0000-0000FD1C0000}"/>
    <cellStyle name="Normal 8 2 4 4 2 3" xfId="12042" xr:uid="{58C571B3-EB48-4008-8BA5-30A63A58368D}"/>
    <cellStyle name="Normal 8 2 4 4 2 4" xfId="16253" xr:uid="{098CBCFD-CC1F-437C-BDC9-F8605ABD7E2F}"/>
    <cellStyle name="Normal 8 2 4 4 3" xfId="5686" xr:uid="{00000000-0005-0000-0000-0000FE1C0000}"/>
    <cellStyle name="Normal 8 2 4 4 4" xfId="9897" xr:uid="{130D6314-202F-4648-AE9B-73E12F420A99}"/>
    <cellStyle name="Normal 8 2 4 4 5" xfId="14108" xr:uid="{38B4B5C9-1B78-4A20-B898-ED417A6A2B01}"/>
    <cellStyle name="Normal 8 2 4 5" xfId="1790" xr:uid="{00000000-0005-0000-0000-0000FF1C0000}"/>
    <cellStyle name="Normal 8 2 4 5 2" xfId="4020" xr:uid="{00000000-0005-0000-0000-0000001D0000}"/>
    <cellStyle name="Normal 8 2 4 5 2 2" xfId="8244" xr:uid="{00000000-0005-0000-0000-0000011D0000}"/>
    <cellStyle name="Normal 8 2 4 5 2 3" xfId="12455" xr:uid="{D8126EBF-CBF5-46CA-A44A-5813D8A90736}"/>
    <cellStyle name="Normal 8 2 4 5 2 4" xfId="16666" xr:uid="{F9B6A963-345D-46ED-AEE6-AAB30253BA43}"/>
    <cellStyle name="Normal 8 2 4 5 3" xfId="6099" xr:uid="{00000000-0005-0000-0000-0000021D0000}"/>
    <cellStyle name="Normal 8 2 4 5 4" xfId="10310" xr:uid="{C9C699FE-E476-4A8F-AA99-C3E48318A56B}"/>
    <cellStyle name="Normal 8 2 4 5 5" xfId="14521" xr:uid="{88351624-BE4D-4C77-83AD-22F54C4B351B}"/>
    <cellStyle name="Normal 8 2 4 6" xfId="2204" xr:uid="{00000000-0005-0000-0000-0000031D0000}"/>
    <cellStyle name="Normal 8 2 4 6 2" xfId="4433" xr:uid="{00000000-0005-0000-0000-0000041D0000}"/>
    <cellStyle name="Normal 8 2 4 6 2 2" xfId="8657" xr:uid="{00000000-0005-0000-0000-0000051D0000}"/>
    <cellStyle name="Normal 8 2 4 6 2 3" xfId="12868" xr:uid="{30E21AB4-33A0-49F5-A6A1-C10CB692229F}"/>
    <cellStyle name="Normal 8 2 4 6 2 4" xfId="17079" xr:uid="{22252761-FFF2-49F4-888F-9D7E32C810CF}"/>
    <cellStyle name="Normal 8 2 4 6 3" xfId="6512" xr:uid="{00000000-0005-0000-0000-0000061D0000}"/>
    <cellStyle name="Normal 8 2 4 6 4" xfId="10723" xr:uid="{CF474633-F249-4C82-9F9D-68A56B1A40E3}"/>
    <cellStyle name="Normal 8 2 4 6 5" xfId="14934" xr:uid="{E82454F3-F03A-41C2-A94F-EDBA95C77FB8}"/>
    <cellStyle name="Normal 8 2 4 7" xfId="2640" xr:uid="{00000000-0005-0000-0000-0000071D0000}"/>
    <cellStyle name="Normal 8 2 4 7 2" xfId="6925" xr:uid="{00000000-0005-0000-0000-0000081D0000}"/>
    <cellStyle name="Normal 8 2 4 7 3" xfId="11136" xr:uid="{98BBF883-91C4-4AC6-A115-98AE156F0CE5}"/>
    <cellStyle name="Normal 8 2 4 7 4" xfId="15347" xr:uid="{D340643E-AED3-4A80-B976-573143BA8F40}"/>
    <cellStyle name="Normal 8 2 4 8" xfId="4860" xr:uid="{00000000-0005-0000-0000-0000091D0000}"/>
    <cellStyle name="Normal 8 2 4 9" xfId="9071" xr:uid="{6258D9F9-FDDF-44E1-B0B2-4CBD1C8FDE39}"/>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2 3" xfId="11631" xr:uid="{E647085D-E753-4050-95FD-3783BB79A4DF}"/>
    <cellStyle name="Normal 8 2 5 2 2 4" xfId="15842" xr:uid="{A5D79FFC-5BF0-4316-9509-609A239468D8}"/>
    <cellStyle name="Normal 8 2 5 2 3" xfId="5275" xr:uid="{00000000-0005-0000-0000-00000E1D0000}"/>
    <cellStyle name="Normal 8 2 5 2 4" xfId="9486" xr:uid="{B6EC533D-48D8-4B65-9F06-B30AC876B0C7}"/>
    <cellStyle name="Normal 8 2 5 2 5" xfId="13697" xr:uid="{79347FD6-4F14-4A32-80DF-C3791258C9AA}"/>
    <cellStyle name="Normal 8 2 5 3" xfId="1379" xr:uid="{00000000-0005-0000-0000-00000F1D0000}"/>
    <cellStyle name="Normal 8 2 5 3 2" xfId="3609" xr:uid="{00000000-0005-0000-0000-0000101D0000}"/>
    <cellStyle name="Normal 8 2 5 3 2 2" xfId="7833" xr:uid="{00000000-0005-0000-0000-0000111D0000}"/>
    <cellStyle name="Normal 8 2 5 3 2 3" xfId="12044" xr:uid="{FC45B42D-2FA5-49D8-AB35-610D159CEF33}"/>
    <cellStyle name="Normal 8 2 5 3 2 4" xfId="16255" xr:uid="{5401E18A-8864-4E59-820F-F0BF974D56D4}"/>
    <cellStyle name="Normal 8 2 5 3 3" xfId="5688" xr:uid="{00000000-0005-0000-0000-0000121D0000}"/>
    <cellStyle name="Normal 8 2 5 3 4" xfId="9899" xr:uid="{A02B96F0-35C1-4BA4-8DAE-D1CCC2F4B8D6}"/>
    <cellStyle name="Normal 8 2 5 3 5" xfId="14110" xr:uid="{DAE04053-5EE6-4A9F-8A9F-A0C6A0E50810}"/>
    <cellStyle name="Normal 8 2 5 4" xfId="1792" xr:uid="{00000000-0005-0000-0000-0000131D0000}"/>
    <cellStyle name="Normal 8 2 5 4 2" xfId="4022" xr:uid="{00000000-0005-0000-0000-0000141D0000}"/>
    <cellStyle name="Normal 8 2 5 4 2 2" xfId="8246" xr:uid="{00000000-0005-0000-0000-0000151D0000}"/>
    <cellStyle name="Normal 8 2 5 4 2 3" xfId="12457" xr:uid="{A3B5C895-382D-4267-A9B0-ACE8A3ADF8F1}"/>
    <cellStyle name="Normal 8 2 5 4 2 4" xfId="16668" xr:uid="{9AFBC253-6D37-4266-8973-FDB1950B1F3E}"/>
    <cellStyle name="Normal 8 2 5 4 3" xfId="6101" xr:uid="{00000000-0005-0000-0000-0000161D0000}"/>
    <cellStyle name="Normal 8 2 5 4 4" xfId="10312" xr:uid="{FED52409-4E44-4188-A2FF-3982076288B1}"/>
    <cellStyle name="Normal 8 2 5 4 5" xfId="14523" xr:uid="{7E33D18C-7039-4273-8349-80A96DA4DE67}"/>
    <cellStyle name="Normal 8 2 5 5" xfId="2206" xr:uid="{00000000-0005-0000-0000-0000171D0000}"/>
    <cellStyle name="Normal 8 2 5 5 2" xfId="4435" xr:uid="{00000000-0005-0000-0000-0000181D0000}"/>
    <cellStyle name="Normal 8 2 5 5 2 2" xfId="8659" xr:uid="{00000000-0005-0000-0000-0000191D0000}"/>
    <cellStyle name="Normal 8 2 5 5 2 3" xfId="12870" xr:uid="{AF0063D0-E039-44E7-AC35-E49BBFCF37AB}"/>
    <cellStyle name="Normal 8 2 5 5 2 4" xfId="17081" xr:uid="{9340A73E-D765-4946-9AD8-B5308BB3AFA1}"/>
    <cellStyle name="Normal 8 2 5 5 3" xfId="6514" xr:uid="{00000000-0005-0000-0000-00001A1D0000}"/>
    <cellStyle name="Normal 8 2 5 5 4" xfId="10725" xr:uid="{8B015E57-0A10-478A-98B4-05B86E18AD2E}"/>
    <cellStyle name="Normal 8 2 5 5 5" xfId="14936" xr:uid="{FF504489-4137-4A83-8887-D2B0FB3303B0}"/>
    <cellStyle name="Normal 8 2 5 6" xfId="2642" xr:uid="{00000000-0005-0000-0000-00001B1D0000}"/>
    <cellStyle name="Normal 8 2 5 6 2" xfId="6927" xr:uid="{00000000-0005-0000-0000-00001C1D0000}"/>
    <cellStyle name="Normal 8 2 5 6 3" xfId="11138" xr:uid="{38BF8A1B-509A-4A22-A930-DC221238C8C2}"/>
    <cellStyle name="Normal 8 2 5 6 4" xfId="15349" xr:uid="{2B70BDC9-0377-42E4-9429-B4E88B0F150A}"/>
    <cellStyle name="Normal 8 2 5 7" xfId="4862" xr:uid="{00000000-0005-0000-0000-00001D1D0000}"/>
    <cellStyle name="Normal 8 2 5 8" xfId="9073" xr:uid="{7E96D9E3-6602-4823-9764-3FA54C84801D}"/>
    <cellStyle name="Normal 8 2 5 9" xfId="13284" xr:uid="{71BF0D3D-BE2E-4AB8-B743-A43D333CE1EB}"/>
    <cellStyle name="Normal 8 2 6" xfId="947" xr:uid="{00000000-0005-0000-0000-00001E1D0000}"/>
    <cellStyle name="Normal 8 2 6 2" xfId="3181" xr:uid="{00000000-0005-0000-0000-00001F1D0000}"/>
    <cellStyle name="Normal 8 2 6 2 2" xfId="7405" xr:uid="{00000000-0005-0000-0000-0000201D0000}"/>
    <cellStyle name="Normal 8 2 6 2 3" xfId="11616" xr:uid="{E803A310-22AD-425F-AF60-C4A757FF78C0}"/>
    <cellStyle name="Normal 8 2 6 2 4" xfId="15827" xr:uid="{0535B272-F89E-413E-B80C-5F43625E3D53}"/>
    <cellStyle name="Normal 8 2 6 3" xfId="5260" xr:uid="{00000000-0005-0000-0000-0000211D0000}"/>
    <cellStyle name="Normal 8 2 6 4" xfId="9471" xr:uid="{1C729111-4E0B-47EB-A258-0D07D6477326}"/>
    <cellStyle name="Normal 8 2 6 5" xfId="13682" xr:uid="{BA9C6DB9-8D90-45A4-93F2-F3295BEB8091}"/>
    <cellStyle name="Normal 8 2 7" xfId="1364" xr:uid="{00000000-0005-0000-0000-0000221D0000}"/>
    <cellStyle name="Normal 8 2 7 2" xfId="3594" xr:uid="{00000000-0005-0000-0000-0000231D0000}"/>
    <cellStyle name="Normal 8 2 7 2 2" xfId="7818" xr:uid="{00000000-0005-0000-0000-0000241D0000}"/>
    <cellStyle name="Normal 8 2 7 2 3" xfId="12029" xr:uid="{493C1726-D7FE-481D-820B-CC191E4D039E}"/>
    <cellStyle name="Normal 8 2 7 2 4" xfId="16240" xr:uid="{8121CA31-02AE-4CA7-849A-E28619D67D41}"/>
    <cellStyle name="Normal 8 2 7 3" xfId="5673" xr:uid="{00000000-0005-0000-0000-0000251D0000}"/>
    <cellStyle name="Normal 8 2 7 4" xfId="9884" xr:uid="{1CF50D3A-4346-445F-A2CA-6EA9F0DC1CDA}"/>
    <cellStyle name="Normal 8 2 7 5" xfId="14095" xr:uid="{A7AAF405-1D60-433A-8A97-AEB8DD7FF58D}"/>
    <cellStyle name="Normal 8 2 8" xfId="1777" xr:uid="{00000000-0005-0000-0000-0000261D0000}"/>
    <cellStyle name="Normal 8 2 8 2" xfId="4007" xr:uid="{00000000-0005-0000-0000-0000271D0000}"/>
    <cellStyle name="Normal 8 2 8 2 2" xfId="8231" xr:uid="{00000000-0005-0000-0000-0000281D0000}"/>
    <cellStyle name="Normal 8 2 8 2 3" xfId="12442" xr:uid="{2869015B-0A12-499B-86E3-19ED9624DA08}"/>
    <cellStyle name="Normal 8 2 8 2 4" xfId="16653" xr:uid="{B45B141F-785E-40B3-B9DC-715A794874B1}"/>
    <cellStyle name="Normal 8 2 8 3" xfId="6086" xr:uid="{00000000-0005-0000-0000-0000291D0000}"/>
    <cellStyle name="Normal 8 2 8 4" xfId="10297" xr:uid="{27DF8713-C7BD-4476-9C2A-828FEE2DBCF1}"/>
    <cellStyle name="Normal 8 2 8 5" xfId="14508" xr:uid="{F1591F6D-A6B0-4955-860D-74BC8830C77D}"/>
    <cellStyle name="Normal 8 2 9" xfId="2191" xr:uid="{00000000-0005-0000-0000-00002A1D0000}"/>
    <cellStyle name="Normal 8 2 9 2" xfId="4420" xr:uid="{00000000-0005-0000-0000-00002B1D0000}"/>
    <cellStyle name="Normal 8 2 9 2 2" xfId="8644" xr:uid="{00000000-0005-0000-0000-00002C1D0000}"/>
    <cellStyle name="Normal 8 2 9 2 3" xfId="12855" xr:uid="{465C393C-7E97-482E-BA08-D4207AF2DDFF}"/>
    <cellStyle name="Normal 8 2 9 2 4" xfId="17066" xr:uid="{F5F212C7-1FDF-49DE-808C-5E7E9EA9AE13}"/>
    <cellStyle name="Normal 8 2 9 3" xfId="6499" xr:uid="{00000000-0005-0000-0000-00002D1D0000}"/>
    <cellStyle name="Normal 8 2 9 4" xfId="10710" xr:uid="{7A09B4BB-3215-4432-B8CA-5D1C51654C87}"/>
    <cellStyle name="Normal 8 2 9 5" xfId="14921" xr:uid="{89DB5419-496E-4C86-950A-884E4298C008}"/>
    <cellStyle name="Normal 8 3" xfId="495" xr:uid="{00000000-0005-0000-0000-00002E1D0000}"/>
    <cellStyle name="Normal 8 3 10" xfId="4863" xr:uid="{00000000-0005-0000-0000-00002F1D0000}"/>
    <cellStyle name="Normal 8 3 11" xfId="9074" xr:uid="{26CAA958-24A1-439A-9CA3-D4DD294A1EEC}"/>
    <cellStyle name="Normal 8 3 12" xfId="13285" xr:uid="{E9598D7A-7A1E-4831-B2C9-75543B77FE2A}"/>
    <cellStyle name="Normal 8 3 2" xfId="496" xr:uid="{00000000-0005-0000-0000-0000301D0000}"/>
    <cellStyle name="Normal 8 3 2 10" xfId="9075" xr:uid="{1F95BF71-2E94-4D14-947B-F18B29AD390C}"/>
    <cellStyle name="Normal 8 3 2 11" xfId="13286" xr:uid="{05BAE39C-C1C6-4958-A0C2-FD3E14EDA960}"/>
    <cellStyle name="Normal 8 3 2 2" xfId="497" xr:uid="{00000000-0005-0000-0000-0000311D0000}"/>
    <cellStyle name="Normal 8 3 2 2 10" xfId="13287" xr:uid="{429E8E5F-1568-4A79-A3D9-4D285480789F}"/>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2 3" xfId="11635" xr:uid="{106DE1FB-61A7-4F1B-B211-169444BB732D}"/>
    <cellStyle name="Normal 8 3 2 2 2 2 2 4" xfId="15846" xr:uid="{E50C40AA-4259-44E6-98F9-4166637CBFD4}"/>
    <cellStyle name="Normal 8 3 2 2 2 2 3" xfId="5279" xr:uid="{00000000-0005-0000-0000-0000361D0000}"/>
    <cellStyle name="Normal 8 3 2 2 2 2 4" xfId="9490" xr:uid="{E9EBD0C4-5F1A-4A91-AFCA-79F49EC1FCBB}"/>
    <cellStyle name="Normal 8 3 2 2 2 2 5" xfId="13701" xr:uid="{C01646A1-978C-47B3-AD5C-FC2CF411DC2F}"/>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2 3" xfId="12048" xr:uid="{781DE803-CD80-47F9-90C2-F0A987DE8DFB}"/>
    <cellStyle name="Normal 8 3 2 2 2 3 2 4" xfId="16259" xr:uid="{1DDA5ADA-C2AA-4A5D-A5BA-358BAF175EDA}"/>
    <cellStyle name="Normal 8 3 2 2 2 3 3" xfId="5692" xr:uid="{00000000-0005-0000-0000-00003A1D0000}"/>
    <cellStyle name="Normal 8 3 2 2 2 3 4" xfId="9903" xr:uid="{2A7F3C02-F4E8-4EFB-BD6E-3209B0F6DDD8}"/>
    <cellStyle name="Normal 8 3 2 2 2 3 5" xfId="14114" xr:uid="{3094CF77-6F81-4B3C-BA8D-38CAE0560409}"/>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2 3" xfId="12461" xr:uid="{91E6E55D-4379-45DA-8296-249DB32459F6}"/>
    <cellStyle name="Normal 8 3 2 2 2 4 2 4" xfId="16672" xr:uid="{582F065F-CF39-41CE-BA25-F3315D45BEA2}"/>
    <cellStyle name="Normal 8 3 2 2 2 4 3" xfId="6105" xr:uid="{00000000-0005-0000-0000-00003E1D0000}"/>
    <cellStyle name="Normal 8 3 2 2 2 4 4" xfId="10316" xr:uid="{9BA47527-4A2F-446B-8740-3C0ADED7F914}"/>
    <cellStyle name="Normal 8 3 2 2 2 4 5" xfId="14527" xr:uid="{D7E0BE72-CAFB-46AF-991F-3E61FB65B0B6}"/>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2 3" xfId="12874" xr:uid="{F9A5C455-6E32-409D-B9C2-4CEE9803F00D}"/>
    <cellStyle name="Normal 8 3 2 2 2 5 2 4" xfId="17085" xr:uid="{188BEFB1-69C1-49E9-8662-2C1389F53BB6}"/>
    <cellStyle name="Normal 8 3 2 2 2 5 3" xfId="6518" xr:uid="{00000000-0005-0000-0000-0000421D0000}"/>
    <cellStyle name="Normal 8 3 2 2 2 5 4" xfId="10729" xr:uid="{5F752EC0-B99E-4EC3-A0AA-4080C26007AE}"/>
    <cellStyle name="Normal 8 3 2 2 2 5 5" xfId="14940" xr:uid="{9DF8274E-6C5D-4175-AD41-CD67EA2EEE91}"/>
    <cellStyle name="Normal 8 3 2 2 2 6" xfId="2646" xr:uid="{00000000-0005-0000-0000-0000431D0000}"/>
    <cellStyle name="Normal 8 3 2 2 2 6 2" xfId="6931" xr:uid="{00000000-0005-0000-0000-0000441D0000}"/>
    <cellStyle name="Normal 8 3 2 2 2 6 3" xfId="11142" xr:uid="{B8409E75-FF7E-4DF8-98ED-EFEB1AED9D4F}"/>
    <cellStyle name="Normal 8 3 2 2 2 6 4" xfId="15353" xr:uid="{379B687E-96C5-4840-A1A1-118CF84A8980}"/>
    <cellStyle name="Normal 8 3 2 2 2 7" xfId="4866" xr:uid="{00000000-0005-0000-0000-0000451D0000}"/>
    <cellStyle name="Normal 8 3 2 2 2 8" xfId="9077" xr:uid="{AE5B0A78-5C6D-42E6-8B3B-86A1F3DC30F2}"/>
    <cellStyle name="Normal 8 3 2 2 2 9" xfId="13288" xr:uid="{8319F0C2-CC79-4B1D-8DAF-508C68924045}"/>
    <cellStyle name="Normal 8 3 2 2 3" xfId="965" xr:uid="{00000000-0005-0000-0000-0000461D0000}"/>
    <cellStyle name="Normal 8 3 2 2 3 2" xfId="3199" xr:uid="{00000000-0005-0000-0000-0000471D0000}"/>
    <cellStyle name="Normal 8 3 2 2 3 2 2" xfId="7423" xr:uid="{00000000-0005-0000-0000-0000481D0000}"/>
    <cellStyle name="Normal 8 3 2 2 3 2 3" xfId="11634" xr:uid="{164FBADE-004F-4928-8DC2-2760F1464208}"/>
    <cellStyle name="Normal 8 3 2 2 3 2 4" xfId="15845" xr:uid="{4DF7C3EE-DE08-4F72-BAFE-B7FA7D9BFA6D}"/>
    <cellStyle name="Normal 8 3 2 2 3 3" xfId="5278" xr:uid="{00000000-0005-0000-0000-0000491D0000}"/>
    <cellStyle name="Normal 8 3 2 2 3 4" xfId="9489" xr:uid="{41A9FD0B-BBE6-4900-A4AC-BA8E249753BC}"/>
    <cellStyle name="Normal 8 3 2 2 3 5" xfId="13700" xr:uid="{2D7EF6C6-F638-41B3-9C90-1002F2A2027F}"/>
    <cellStyle name="Normal 8 3 2 2 4" xfId="1382" xr:uid="{00000000-0005-0000-0000-00004A1D0000}"/>
    <cellStyle name="Normal 8 3 2 2 4 2" xfId="3612" xr:uid="{00000000-0005-0000-0000-00004B1D0000}"/>
    <cellStyle name="Normal 8 3 2 2 4 2 2" xfId="7836" xr:uid="{00000000-0005-0000-0000-00004C1D0000}"/>
    <cellStyle name="Normal 8 3 2 2 4 2 3" xfId="12047" xr:uid="{6FEDD4CA-5899-429A-B753-C8F3100CA385}"/>
    <cellStyle name="Normal 8 3 2 2 4 2 4" xfId="16258" xr:uid="{019CD6C3-116E-4E2E-AE61-394DCC0A9295}"/>
    <cellStyle name="Normal 8 3 2 2 4 3" xfId="5691" xr:uid="{00000000-0005-0000-0000-00004D1D0000}"/>
    <cellStyle name="Normal 8 3 2 2 4 4" xfId="9902" xr:uid="{BB47F932-DD8A-4678-93C3-A4AD888FC513}"/>
    <cellStyle name="Normal 8 3 2 2 4 5" xfId="14113" xr:uid="{67603F40-9309-4F96-B9E3-11D9705BFA80}"/>
    <cellStyle name="Normal 8 3 2 2 5" xfId="1795" xr:uid="{00000000-0005-0000-0000-00004E1D0000}"/>
    <cellStyle name="Normal 8 3 2 2 5 2" xfId="4025" xr:uid="{00000000-0005-0000-0000-00004F1D0000}"/>
    <cellStyle name="Normal 8 3 2 2 5 2 2" xfId="8249" xr:uid="{00000000-0005-0000-0000-0000501D0000}"/>
    <cellStyle name="Normal 8 3 2 2 5 2 3" xfId="12460" xr:uid="{0892E78A-3401-4825-A059-FF4048D98E83}"/>
    <cellStyle name="Normal 8 3 2 2 5 2 4" xfId="16671" xr:uid="{901B5961-85B8-4E1C-A997-9E8298922C06}"/>
    <cellStyle name="Normal 8 3 2 2 5 3" xfId="6104" xr:uid="{00000000-0005-0000-0000-0000511D0000}"/>
    <cellStyle name="Normal 8 3 2 2 5 4" xfId="10315" xr:uid="{C257C7FA-3C20-4C19-8838-ED47CD72A389}"/>
    <cellStyle name="Normal 8 3 2 2 5 5" xfId="14526" xr:uid="{1A8CE671-BC62-4407-9B49-D2CF73F94951}"/>
    <cellStyle name="Normal 8 3 2 2 6" xfId="2209" xr:uid="{00000000-0005-0000-0000-0000521D0000}"/>
    <cellStyle name="Normal 8 3 2 2 6 2" xfId="4438" xr:uid="{00000000-0005-0000-0000-0000531D0000}"/>
    <cellStyle name="Normal 8 3 2 2 6 2 2" xfId="8662" xr:uid="{00000000-0005-0000-0000-0000541D0000}"/>
    <cellStyle name="Normal 8 3 2 2 6 2 3" xfId="12873" xr:uid="{39CDA31D-6ECA-417F-99AD-7D50AFB3DF2A}"/>
    <cellStyle name="Normal 8 3 2 2 6 2 4" xfId="17084" xr:uid="{1E8CD56B-1373-4482-9DF4-3B8FCE25BB2E}"/>
    <cellStyle name="Normal 8 3 2 2 6 3" xfId="6517" xr:uid="{00000000-0005-0000-0000-0000551D0000}"/>
    <cellStyle name="Normal 8 3 2 2 6 4" xfId="10728" xr:uid="{DE4BC280-5FDE-4979-A72C-693DD1243770}"/>
    <cellStyle name="Normal 8 3 2 2 6 5" xfId="14939" xr:uid="{7ADCE474-6A69-4860-B7D6-71975BF53BEE}"/>
    <cellStyle name="Normal 8 3 2 2 7" xfId="2645" xr:uid="{00000000-0005-0000-0000-0000561D0000}"/>
    <cellStyle name="Normal 8 3 2 2 7 2" xfId="6930" xr:uid="{00000000-0005-0000-0000-0000571D0000}"/>
    <cellStyle name="Normal 8 3 2 2 7 3" xfId="11141" xr:uid="{DA2341F0-B20A-4C4A-8E53-82A6769A2680}"/>
    <cellStyle name="Normal 8 3 2 2 7 4" xfId="15352" xr:uid="{1AABCC21-9308-4E31-B007-014FCE18FD9D}"/>
    <cellStyle name="Normal 8 3 2 2 8" xfId="4865" xr:uid="{00000000-0005-0000-0000-0000581D0000}"/>
    <cellStyle name="Normal 8 3 2 2 9" xfId="9076" xr:uid="{E342CB45-061F-41CE-9397-33B8FBBF680A}"/>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2 3" xfId="11636" xr:uid="{3F6CF533-70BF-4A24-A72A-F9557D4FA16D}"/>
    <cellStyle name="Normal 8 3 2 3 2 2 4" xfId="15847" xr:uid="{DA9F4EE5-53AF-4E86-8543-F675EAC9CD1D}"/>
    <cellStyle name="Normal 8 3 2 3 2 3" xfId="5280" xr:uid="{00000000-0005-0000-0000-00005D1D0000}"/>
    <cellStyle name="Normal 8 3 2 3 2 4" xfId="9491" xr:uid="{6D36EA5D-A23B-480A-8CD1-4B82A31862DF}"/>
    <cellStyle name="Normal 8 3 2 3 2 5" xfId="13702" xr:uid="{51690806-77E8-4B3C-BE18-837169A95B75}"/>
    <cellStyle name="Normal 8 3 2 3 3" xfId="1384" xr:uid="{00000000-0005-0000-0000-00005E1D0000}"/>
    <cellStyle name="Normal 8 3 2 3 3 2" xfId="3614" xr:uid="{00000000-0005-0000-0000-00005F1D0000}"/>
    <cellStyle name="Normal 8 3 2 3 3 2 2" xfId="7838" xr:uid="{00000000-0005-0000-0000-0000601D0000}"/>
    <cellStyle name="Normal 8 3 2 3 3 2 3" xfId="12049" xr:uid="{C718D654-8C54-4D6D-817A-6FFD5785740A}"/>
    <cellStyle name="Normal 8 3 2 3 3 2 4" xfId="16260" xr:uid="{883C2FA6-0056-46BA-A877-A6021C12A2E0}"/>
    <cellStyle name="Normal 8 3 2 3 3 3" xfId="5693" xr:uid="{00000000-0005-0000-0000-0000611D0000}"/>
    <cellStyle name="Normal 8 3 2 3 3 4" xfId="9904" xr:uid="{7B99D392-520F-437D-8710-11A952E98CDB}"/>
    <cellStyle name="Normal 8 3 2 3 3 5" xfId="14115" xr:uid="{34A1F8D7-BE50-4CD8-80D4-02264471BD0A}"/>
    <cellStyle name="Normal 8 3 2 3 4" xfId="1797" xr:uid="{00000000-0005-0000-0000-0000621D0000}"/>
    <cellStyle name="Normal 8 3 2 3 4 2" xfId="4027" xr:uid="{00000000-0005-0000-0000-0000631D0000}"/>
    <cellStyle name="Normal 8 3 2 3 4 2 2" xfId="8251" xr:uid="{00000000-0005-0000-0000-0000641D0000}"/>
    <cellStyle name="Normal 8 3 2 3 4 2 3" xfId="12462" xr:uid="{5CA258AA-0D21-49C1-B2A6-218BA160F458}"/>
    <cellStyle name="Normal 8 3 2 3 4 2 4" xfId="16673" xr:uid="{6F99A2F3-5E6B-4223-A624-33E71CFAFCEC}"/>
    <cellStyle name="Normal 8 3 2 3 4 3" xfId="6106" xr:uid="{00000000-0005-0000-0000-0000651D0000}"/>
    <cellStyle name="Normal 8 3 2 3 4 4" xfId="10317" xr:uid="{30473388-0EF9-4010-9CE1-329B1FE7B7C2}"/>
    <cellStyle name="Normal 8 3 2 3 4 5" xfId="14528" xr:uid="{C7540A95-3798-4EF8-BBB3-E5A0D9FA53E7}"/>
    <cellStyle name="Normal 8 3 2 3 5" xfId="2211" xr:uid="{00000000-0005-0000-0000-0000661D0000}"/>
    <cellStyle name="Normal 8 3 2 3 5 2" xfId="4440" xr:uid="{00000000-0005-0000-0000-0000671D0000}"/>
    <cellStyle name="Normal 8 3 2 3 5 2 2" xfId="8664" xr:uid="{00000000-0005-0000-0000-0000681D0000}"/>
    <cellStyle name="Normal 8 3 2 3 5 2 3" xfId="12875" xr:uid="{41203844-F796-4A36-9B5A-E424F51225EA}"/>
    <cellStyle name="Normal 8 3 2 3 5 2 4" xfId="17086" xr:uid="{BB867C7C-2EA1-4363-BCFA-97B6F4BE1B9D}"/>
    <cellStyle name="Normal 8 3 2 3 5 3" xfId="6519" xr:uid="{00000000-0005-0000-0000-0000691D0000}"/>
    <cellStyle name="Normal 8 3 2 3 5 4" xfId="10730" xr:uid="{168F9F16-707C-4470-B18D-A97A4BE76B4B}"/>
    <cellStyle name="Normal 8 3 2 3 5 5" xfId="14941" xr:uid="{4C5BDAB2-F9A7-4B87-80AE-D26ED89F4201}"/>
    <cellStyle name="Normal 8 3 2 3 6" xfId="2647" xr:uid="{00000000-0005-0000-0000-00006A1D0000}"/>
    <cellStyle name="Normal 8 3 2 3 6 2" xfId="6932" xr:uid="{00000000-0005-0000-0000-00006B1D0000}"/>
    <cellStyle name="Normal 8 3 2 3 6 3" xfId="11143" xr:uid="{552863BA-1C9A-48F5-A101-643A80D456BE}"/>
    <cellStyle name="Normal 8 3 2 3 6 4" xfId="15354" xr:uid="{56A87F8F-0FEC-442B-9FF7-2091AC3EB043}"/>
    <cellStyle name="Normal 8 3 2 3 7" xfId="4867" xr:uid="{00000000-0005-0000-0000-00006C1D0000}"/>
    <cellStyle name="Normal 8 3 2 3 8" xfId="9078" xr:uid="{C8A0F753-325C-4C7B-BB8D-193B619305EB}"/>
    <cellStyle name="Normal 8 3 2 3 9" xfId="13289" xr:uid="{74E2A947-AF96-4A63-83C0-FCD7575A446A}"/>
    <cellStyle name="Normal 8 3 2 4" xfId="964" xr:uid="{00000000-0005-0000-0000-00006D1D0000}"/>
    <cellStyle name="Normal 8 3 2 4 2" xfId="3198" xr:uid="{00000000-0005-0000-0000-00006E1D0000}"/>
    <cellStyle name="Normal 8 3 2 4 2 2" xfId="7422" xr:uid="{00000000-0005-0000-0000-00006F1D0000}"/>
    <cellStyle name="Normal 8 3 2 4 2 3" xfId="11633" xr:uid="{751E8E7F-A28B-4323-AC58-73B24F1724D8}"/>
    <cellStyle name="Normal 8 3 2 4 2 4" xfId="15844" xr:uid="{9E7E2115-BB61-4405-ADE2-BA9FEC4E3066}"/>
    <cellStyle name="Normal 8 3 2 4 3" xfId="5277" xr:uid="{00000000-0005-0000-0000-0000701D0000}"/>
    <cellStyle name="Normal 8 3 2 4 4" xfId="9488" xr:uid="{45C6101D-BD35-47DE-A004-C405A70E3826}"/>
    <cellStyle name="Normal 8 3 2 4 5" xfId="13699" xr:uid="{10B682C4-4C79-4898-97B4-EAEE8FC20C77}"/>
    <cellStyle name="Normal 8 3 2 5" xfId="1381" xr:uid="{00000000-0005-0000-0000-0000711D0000}"/>
    <cellStyle name="Normal 8 3 2 5 2" xfId="3611" xr:uid="{00000000-0005-0000-0000-0000721D0000}"/>
    <cellStyle name="Normal 8 3 2 5 2 2" xfId="7835" xr:uid="{00000000-0005-0000-0000-0000731D0000}"/>
    <cellStyle name="Normal 8 3 2 5 2 3" xfId="12046" xr:uid="{A9D99427-0659-465A-B7B7-9C40B14899DC}"/>
    <cellStyle name="Normal 8 3 2 5 2 4" xfId="16257" xr:uid="{BE477210-7550-4A3E-AE08-E5EF9C4DBC34}"/>
    <cellStyle name="Normal 8 3 2 5 3" xfId="5690" xr:uid="{00000000-0005-0000-0000-0000741D0000}"/>
    <cellStyle name="Normal 8 3 2 5 4" xfId="9901" xr:uid="{73BFB374-30A2-4FF7-A05B-9C47900B5D8B}"/>
    <cellStyle name="Normal 8 3 2 5 5" xfId="14112" xr:uid="{50460584-CC9A-4B1D-AF4B-066F4FDA5027}"/>
    <cellStyle name="Normal 8 3 2 6" xfId="1794" xr:uid="{00000000-0005-0000-0000-0000751D0000}"/>
    <cellStyle name="Normal 8 3 2 6 2" xfId="4024" xr:uid="{00000000-0005-0000-0000-0000761D0000}"/>
    <cellStyle name="Normal 8 3 2 6 2 2" xfId="8248" xr:uid="{00000000-0005-0000-0000-0000771D0000}"/>
    <cellStyle name="Normal 8 3 2 6 2 3" xfId="12459" xr:uid="{5F9436D0-9F7D-492C-8482-2075404D4F68}"/>
    <cellStyle name="Normal 8 3 2 6 2 4" xfId="16670" xr:uid="{6AC71F6A-245E-495A-BE6D-07835EDB1767}"/>
    <cellStyle name="Normal 8 3 2 6 3" xfId="6103" xr:uid="{00000000-0005-0000-0000-0000781D0000}"/>
    <cellStyle name="Normal 8 3 2 6 4" xfId="10314" xr:uid="{30F12413-D4AF-4912-9DAD-E28CAF8D7FBD}"/>
    <cellStyle name="Normal 8 3 2 6 5" xfId="14525" xr:uid="{85CCD2B8-D768-43AF-9848-40971C05DFDC}"/>
    <cellStyle name="Normal 8 3 2 7" xfId="2208" xr:uid="{00000000-0005-0000-0000-0000791D0000}"/>
    <cellStyle name="Normal 8 3 2 7 2" xfId="4437" xr:uid="{00000000-0005-0000-0000-00007A1D0000}"/>
    <cellStyle name="Normal 8 3 2 7 2 2" xfId="8661" xr:uid="{00000000-0005-0000-0000-00007B1D0000}"/>
    <cellStyle name="Normal 8 3 2 7 2 3" xfId="12872" xr:uid="{5D8FD3A4-E21D-4FF2-9037-49B89AD0E002}"/>
    <cellStyle name="Normal 8 3 2 7 2 4" xfId="17083" xr:uid="{13057B08-4FDD-498B-8B11-FBA697CA3DA0}"/>
    <cellStyle name="Normal 8 3 2 7 3" xfId="6516" xr:uid="{00000000-0005-0000-0000-00007C1D0000}"/>
    <cellStyle name="Normal 8 3 2 7 4" xfId="10727" xr:uid="{4C0BBB7C-355D-47A8-A158-1ADBC90D8B3D}"/>
    <cellStyle name="Normal 8 3 2 7 5" xfId="14938" xr:uid="{F30B7722-AF2A-4EE5-9BC6-BC16999BE573}"/>
    <cellStyle name="Normal 8 3 2 8" xfId="2644" xr:uid="{00000000-0005-0000-0000-00007D1D0000}"/>
    <cellStyle name="Normal 8 3 2 8 2" xfId="6929" xr:uid="{00000000-0005-0000-0000-00007E1D0000}"/>
    <cellStyle name="Normal 8 3 2 8 3" xfId="11140" xr:uid="{B853C563-E835-4E93-9030-690BE9A2D17E}"/>
    <cellStyle name="Normal 8 3 2 8 4" xfId="15351" xr:uid="{DD31F57B-6BEF-4A7F-B60B-A1AF46EF1757}"/>
    <cellStyle name="Normal 8 3 2 9" xfId="4864" xr:uid="{00000000-0005-0000-0000-00007F1D0000}"/>
    <cellStyle name="Normal 8 3 3" xfId="500" xr:uid="{00000000-0005-0000-0000-0000801D0000}"/>
    <cellStyle name="Normal 8 3 3 10" xfId="13290" xr:uid="{21E7B16B-3F05-4A82-A1BA-287DD535EC86}"/>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2 3" xfId="11638" xr:uid="{9EFCFBCA-43CB-446D-88BB-4EDB676E73D0}"/>
    <cellStyle name="Normal 8 3 3 2 2 2 4" xfId="15849" xr:uid="{FC6A9BD0-DF70-46FD-9F2D-E99C1BE16A37}"/>
    <cellStyle name="Normal 8 3 3 2 2 3" xfId="5282" xr:uid="{00000000-0005-0000-0000-0000851D0000}"/>
    <cellStyle name="Normal 8 3 3 2 2 4" xfId="9493" xr:uid="{7244289F-36D1-472A-8C6A-A8FD21BCF71D}"/>
    <cellStyle name="Normal 8 3 3 2 2 5" xfId="13704" xr:uid="{D617E660-B3BC-4FAC-B8DD-BB7850B7164C}"/>
    <cellStyle name="Normal 8 3 3 2 3" xfId="1386" xr:uid="{00000000-0005-0000-0000-0000861D0000}"/>
    <cellStyle name="Normal 8 3 3 2 3 2" xfId="3616" xr:uid="{00000000-0005-0000-0000-0000871D0000}"/>
    <cellStyle name="Normal 8 3 3 2 3 2 2" xfId="7840" xr:uid="{00000000-0005-0000-0000-0000881D0000}"/>
    <cellStyle name="Normal 8 3 3 2 3 2 3" xfId="12051" xr:uid="{DD3435B2-7414-4242-AE90-D9DBEF981097}"/>
    <cellStyle name="Normal 8 3 3 2 3 2 4" xfId="16262" xr:uid="{42840C68-DEBE-41AC-8254-28319946BDFD}"/>
    <cellStyle name="Normal 8 3 3 2 3 3" xfId="5695" xr:uid="{00000000-0005-0000-0000-0000891D0000}"/>
    <cellStyle name="Normal 8 3 3 2 3 4" xfId="9906" xr:uid="{F11E9FE7-825A-45EA-A144-3EC6CF46CFE3}"/>
    <cellStyle name="Normal 8 3 3 2 3 5" xfId="14117" xr:uid="{DA792137-CE8D-4E50-89DC-43FC22EE7D24}"/>
    <cellStyle name="Normal 8 3 3 2 4" xfId="1799" xr:uid="{00000000-0005-0000-0000-00008A1D0000}"/>
    <cellStyle name="Normal 8 3 3 2 4 2" xfId="4029" xr:uid="{00000000-0005-0000-0000-00008B1D0000}"/>
    <cellStyle name="Normal 8 3 3 2 4 2 2" xfId="8253" xr:uid="{00000000-0005-0000-0000-00008C1D0000}"/>
    <cellStyle name="Normal 8 3 3 2 4 2 3" xfId="12464" xr:uid="{294FDEBC-A3CF-45BE-A2E7-0587F9C700AA}"/>
    <cellStyle name="Normal 8 3 3 2 4 2 4" xfId="16675" xr:uid="{C3D4732A-B256-4BCF-9483-CA29101EA056}"/>
    <cellStyle name="Normal 8 3 3 2 4 3" xfId="6108" xr:uid="{00000000-0005-0000-0000-00008D1D0000}"/>
    <cellStyle name="Normal 8 3 3 2 4 4" xfId="10319" xr:uid="{DDACDEA2-C90E-4814-8419-87843F0A0789}"/>
    <cellStyle name="Normal 8 3 3 2 4 5" xfId="14530" xr:uid="{35189B7A-69C3-4508-BDEE-DEE05821DA45}"/>
    <cellStyle name="Normal 8 3 3 2 5" xfId="2213" xr:uid="{00000000-0005-0000-0000-00008E1D0000}"/>
    <cellStyle name="Normal 8 3 3 2 5 2" xfId="4442" xr:uid="{00000000-0005-0000-0000-00008F1D0000}"/>
    <cellStyle name="Normal 8 3 3 2 5 2 2" xfId="8666" xr:uid="{00000000-0005-0000-0000-0000901D0000}"/>
    <cellStyle name="Normal 8 3 3 2 5 2 3" xfId="12877" xr:uid="{64460538-E7B2-49D3-B87F-21DA98E42E00}"/>
    <cellStyle name="Normal 8 3 3 2 5 2 4" xfId="17088" xr:uid="{E7D966F8-A3FD-4769-B0A7-545E191E112F}"/>
    <cellStyle name="Normal 8 3 3 2 5 3" xfId="6521" xr:uid="{00000000-0005-0000-0000-0000911D0000}"/>
    <cellStyle name="Normal 8 3 3 2 5 4" xfId="10732" xr:uid="{D73ED9C9-224C-45DF-A8E9-3A36893C4D7B}"/>
    <cellStyle name="Normal 8 3 3 2 5 5" xfId="14943" xr:uid="{66A27916-DC19-4F02-8F31-E129288453B1}"/>
    <cellStyle name="Normal 8 3 3 2 6" xfId="2649" xr:uid="{00000000-0005-0000-0000-0000921D0000}"/>
    <cellStyle name="Normal 8 3 3 2 6 2" xfId="6934" xr:uid="{00000000-0005-0000-0000-0000931D0000}"/>
    <cellStyle name="Normal 8 3 3 2 6 3" xfId="11145" xr:uid="{9C1BDF59-433D-406C-B2B5-61B192682A54}"/>
    <cellStyle name="Normal 8 3 3 2 6 4" xfId="15356" xr:uid="{47710D17-E5DC-4B4B-8B9A-D7A748DE49F2}"/>
    <cellStyle name="Normal 8 3 3 2 7" xfId="4869" xr:uid="{00000000-0005-0000-0000-0000941D0000}"/>
    <cellStyle name="Normal 8 3 3 2 8" xfId="9080" xr:uid="{76667AD4-C126-412D-94FA-8DFDEDACBEA3}"/>
    <cellStyle name="Normal 8 3 3 2 9" xfId="13291" xr:uid="{1DC6EFB7-7C2B-483E-B695-3D3BFFBC1C56}"/>
    <cellStyle name="Normal 8 3 3 3" xfId="968" xr:uid="{00000000-0005-0000-0000-0000951D0000}"/>
    <cellStyle name="Normal 8 3 3 3 2" xfId="3202" xr:uid="{00000000-0005-0000-0000-0000961D0000}"/>
    <cellStyle name="Normal 8 3 3 3 2 2" xfId="7426" xr:uid="{00000000-0005-0000-0000-0000971D0000}"/>
    <cellStyle name="Normal 8 3 3 3 2 3" xfId="11637" xr:uid="{61AB76A3-17B4-49D3-B873-F0C4793B09B2}"/>
    <cellStyle name="Normal 8 3 3 3 2 4" xfId="15848" xr:uid="{7BAA7B72-16B0-4043-8FFC-27E58D248ACA}"/>
    <cellStyle name="Normal 8 3 3 3 3" xfId="5281" xr:uid="{00000000-0005-0000-0000-0000981D0000}"/>
    <cellStyle name="Normal 8 3 3 3 4" xfId="9492" xr:uid="{E9DEA938-37BF-432E-9BD0-1CD1EBCDA655}"/>
    <cellStyle name="Normal 8 3 3 3 5" xfId="13703" xr:uid="{0F695397-4DD3-4385-BE75-6320F4585F3E}"/>
    <cellStyle name="Normal 8 3 3 4" xfId="1385" xr:uid="{00000000-0005-0000-0000-0000991D0000}"/>
    <cellStyle name="Normal 8 3 3 4 2" xfId="3615" xr:uid="{00000000-0005-0000-0000-00009A1D0000}"/>
    <cellStyle name="Normal 8 3 3 4 2 2" xfId="7839" xr:uid="{00000000-0005-0000-0000-00009B1D0000}"/>
    <cellStyle name="Normal 8 3 3 4 2 3" xfId="12050" xr:uid="{A563BCA8-B4E5-4018-A61F-2D53946AA8A7}"/>
    <cellStyle name="Normal 8 3 3 4 2 4" xfId="16261" xr:uid="{9849967E-49FC-4006-A2D9-FF8D867F7415}"/>
    <cellStyle name="Normal 8 3 3 4 3" xfId="5694" xr:uid="{00000000-0005-0000-0000-00009C1D0000}"/>
    <cellStyle name="Normal 8 3 3 4 4" xfId="9905" xr:uid="{BB2A2A37-4926-40B5-8814-64F2A1422916}"/>
    <cellStyle name="Normal 8 3 3 4 5" xfId="14116" xr:uid="{BD9845DA-309C-4CD7-AD01-85A125AB2BD2}"/>
    <cellStyle name="Normal 8 3 3 5" xfId="1798" xr:uid="{00000000-0005-0000-0000-00009D1D0000}"/>
    <cellStyle name="Normal 8 3 3 5 2" xfId="4028" xr:uid="{00000000-0005-0000-0000-00009E1D0000}"/>
    <cellStyle name="Normal 8 3 3 5 2 2" xfId="8252" xr:uid="{00000000-0005-0000-0000-00009F1D0000}"/>
    <cellStyle name="Normal 8 3 3 5 2 3" xfId="12463" xr:uid="{5D989FD9-FE19-4AB7-88EC-99290A94C232}"/>
    <cellStyle name="Normal 8 3 3 5 2 4" xfId="16674" xr:uid="{6A13A215-76A7-4527-BA38-6A58E6FEA626}"/>
    <cellStyle name="Normal 8 3 3 5 3" xfId="6107" xr:uid="{00000000-0005-0000-0000-0000A01D0000}"/>
    <cellStyle name="Normal 8 3 3 5 4" xfId="10318" xr:uid="{4CDE10C8-9B33-47FF-BEC4-25FAE92228E8}"/>
    <cellStyle name="Normal 8 3 3 5 5" xfId="14529" xr:uid="{447D8FFB-A13B-4CA9-812E-59636C1263EB}"/>
    <cellStyle name="Normal 8 3 3 6" xfId="2212" xr:uid="{00000000-0005-0000-0000-0000A11D0000}"/>
    <cellStyle name="Normal 8 3 3 6 2" xfId="4441" xr:uid="{00000000-0005-0000-0000-0000A21D0000}"/>
    <cellStyle name="Normal 8 3 3 6 2 2" xfId="8665" xr:uid="{00000000-0005-0000-0000-0000A31D0000}"/>
    <cellStyle name="Normal 8 3 3 6 2 3" xfId="12876" xr:uid="{983A3C48-DD52-46C1-88CF-8360B758A557}"/>
    <cellStyle name="Normal 8 3 3 6 2 4" xfId="17087" xr:uid="{45776002-E59C-4B03-ACC0-C962820A2321}"/>
    <cellStyle name="Normal 8 3 3 6 3" xfId="6520" xr:uid="{00000000-0005-0000-0000-0000A41D0000}"/>
    <cellStyle name="Normal 8 3 3 6 4" xfId="10731" xr:uid="{AFDE4AF7-BECA-4F9A-844C-6651B31CC21B}"/>
    <cellStyle name="Normal 8 3 3 6 5" xfId="14942" xr:uid="{302BBE19-24A1-45AE-8B07-833D24AA0E2F}"/>
    <cellStyle name="Normal 8 3 3 7" xfId="2648" xr:uid="{00000000-0005-0000-0000-0000A51D0000}"/>
    <cellStyle name="Normal 8 3 3 7 2" xfId="6933" xr:uid="{00000000-0005-0000-0000-0000A61D0000}"/>
    <cellStyle name="Normal 8 3 3 7 3" xfId="11144" xr:uid="{5BB6E824-1F21-426E-B19C-D5246D71A860}"/>
    <cellStyle name="Normal 8 3 3 7 4" xfId="15355" xr:uid="{2E293ABE-DE6D-43D5-9454-9A7B1BDA842A}"/>
    <cellStyle name="Normal 8 3 3 8" xfId="4868" xr:uid="{00000000-0005-0000-0000-0000A71D0000}"/>
    <cellStyle name="Normal 8 3 3 9" xfId="9079" xr:uid="{B1FAB5A5-2F53-45F2-AB0A-B81C6F3B1763}"/>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2 3" xfId="11639" xr:uid="{1573EB0E-9D03-4881-A0C8-7B94C3644928}"/>
    <cellStyle name="Normal 8 3 4 2 2 4" xfId="15850" xr:uid="{FB212B30-3606-4A0E-A69E-32E2200AA03F}"/>
    <cellStyle name="Normal 8 3 4 2 3" xfId="5283" xr:uid="{00000000-0005-0000-0000-0000AC1D0000}"/>
    <cellStyle name="Normal 8 3 4 2 4" xfId="9494" xr:uid="{0EC8CE24-F5F7-49F5-92D2-579D360F1B82}"/>
    <cellStyle name="Normal 8 3 4 2 5" xfId="13705" xr:uid="{15B1D65D-685C-47AF-AA90-9DAD8A1414A6}"/>
    <cellStyle name="Normal 8 3 4 3" xfId="1387" xr:uid="{00000000-0005-0000-0000-0000AD1D0000}"/>
    <cellStyle name="Normal 8 3 4 3 2" xfId="3617" xr:uid="{00000000-0005-0000-0000-0000AE1D0000}"/>
    <cellStyle name="Normal 8 3 4 3 2 2" xfId="7841" xr:uid="{00000000-0005-0000-0000-0000AF1D0000}"/>
    <cellStyle name="Normal 8 3 4 3 2 3" xfId="12052" xr:uid="{58DB2FAD-E4E1-45E2-8BC5-02B89A33E05B}"/>
    <cellStyle name="Normal 8 3 4 3 2 4" xfId="16263" xr:uid="{F6FDB2A7-2C11-45B8-96A6-C5AC35FA7448}"/>
    <cellStyle name="Normal 8 3 4 3 3" xfId="5696" xr:uid="{00000000-0005-0000-0000-0000B01D0000}"/>
    <cellStyle name="Normal 8 3 4 3 4" xfId="9907" xr:uid="{371B1CBD-4BC2-443A-8CD9-E4816CD0F42E}"/>
    <cellStyle name="Normal 8 3 4 3 5" xfId="14118" xr:uid="{11809E9D-190F-4234-8547-15E25D2CA766}"/>
    <cellStyle name="Normal 8 3 4 4" xfId="1800" xr:uid="{00000000-0005-0000-0000-0000B11D0000}"/>
    <cellStyle name="Normal 8 3 4 4 2" xfId="4030" xr:uid="{00000000-0005-0000-0000-0000B21D0000}"/>
    <cellStyle name="Normal 8 3 4 4 2 2" xfId="8254" xr:uid="{00000000-0005-0000-0000-0000B31D0000}"/>
    <cellStyle name="Normal 8 3 4 4 2 3" xfId="12465" xr:uid="{1AF54C79-A2E7-4AF8-876A-42496D2B8F47}"/>
    <cellStyle name="Normal 8 3 4 4 2 4" xfId="16676" xr:uid="{806F3C3F-D76C-49AE-B3F8-427C12311CE2}"/>
    <cellStyle name="Normal 8 3 4 4 3" xfId="6109" xr:uid="{00000000-0005-0000-0000-0000B41D0000}"/>
    <cellStyle name="Normal 8 3 4 4 4" xfId="10320" xr:uid="{D002D8CA-4F91-42EF-893D-25D706546CF9}"/>
    <cellStyle name="Normal 8 3 4 4 5" xfId="14531" xr:uid="{04648259-8B41-467A-8F36-431EB57AB225}"/>
    <cellStyle name="Normal 8 3 4 5" xfId="2214" xr:uid="{00000000-0005-0000-0000-0000B51D0000}"/>
    <cellStyle name="Normal 8 3 4 5 2" xfId="4443" xr:uid="{00000000-0005-0000-0000-0000B61D0000}"/>
    <cellStyle name="Normal 8 3 4 5 2 2" xfId="8667" xr:uid="{00000000-0005-0000-0000-0000B71D0000}"/>
    <cellStyle name="Normal 8 3 4 5 2 3" xfId="12878" xr:uid="{F66F862A-E02C-4051-A3F1-ADA5E08C2600}"/>
    <cellStyle name="Normal 8 3 4 5 2 4" xfId="17089" xr:uid="{847B13C7-8861-46B9-9C9A-72E1199893D1}"/>
    <cellStyle name="Normal 8 3 4 5 3" xfId="6522" xr:uid="{00000000-0005-0000-0000-0000B81D0000}"/>
    <cellStyle name="Normal 8 3 4 5 4" xfId="10733" xr:uid="{14DDCFAC-21FE-44E1-BCC0-63FE8A79EF39}"/>
    <cellStyle name="Normal 8 3 4 5 5" xfId="14944" xr:uid="{FB7D13B8-0175-4502-8AAC-81E2E8358613}"/>
    <cellStyle name="Normal 8 3 4 6" xfId="2650" xr:uid="{00000000-0005-0000-0000-0000B91D0000}"/>
    <cellStyle name="Normal 8 3 4 6 2" xfId="6935" xr:uid="{00000000-0005-0000-0000-0000BA1D0000}"/>
    <cellStyle name="Normal 8 3 4 6 3" xfId="11146" xr:uid="{BCC16D41-C7A4-4EA9-B415-E6CAA6BA3D81}"/>
    <cellStyle name="Normal 8 3 4 6 4" xfId="15357" xr:uid="{06CA1A13-15D6-401C-B105-38E48A3FD5AA}"/>
    <cellStyle name="Normal 8 3 4 7" xfId="4870" xr:uid="{00000000-0005-0000-0000-0000BB1D0000}"/>
    <cellStyle name="Normal 8 3 4 8" xfId="9081" xr:uid="{B189FDBF-5563-4561-8C4D-BD9AABCCE3AF}"/>
    <cellStyle name="Normal 8 3 4 9" xfId="13292" xr:uid="{E7E39D31-831F-4C6F-A8A0-942A511FE9E9}"/>
    <cellStyle name="Normal 8 3 5" xfId="963" xr:uid="{00000000-0005-0000-0000-0000BC1D0000}"/>
    <cellStyle name="Normal 8 3 5 2" xfId="3197" xr:uid="{00000000-0005-0000-0000-0000BD1D0000}"/>
    <cellStyle name="Normal 8 3 5 2 2" xfId="7421" xr:uid="{00000000-0005-0000-0000-0000BE1D0000}"/>
    <cellStyle name="Normal 8 3 5 2 3" xfId="11632" xr:uid="{C62D5136-1F7C-41AF-A915-E7692F7C5BA4}"/>
    <cellStyle name="Normal 8 3 5 2 4" xfId="15843" xr:uid="{3711A45D-8349-4576-BA9A-CDA4D971A93A}"/>
    <cellStyle name="Normal 8 3 5 3" xfId="5276" xr:uid="{00000000-0005-0000-0000-0000BF1D0000}"/>
    <cellStyle name="Normal 8 3 5 4" xfId="9487" xr:uid="{6B03D4E4-428D-491A-900E-0F5B79B5E130}"/>
    <cellStyle name="Normal 8 3 5 5" xfId="13698" xr:uid="{369AA6B4-E51E-4A99-8CD7-BF36FA911CB5}"/>
    <cellStyle name="Normal 8 3 6" xfId="1380" xr:uid="{00000000-0005-0000-0000-0000C01D0000}"/>
    <cellStyle name="Normal 8 3 6 2" xfId="3610" xr:uid="{00000000-0005-0000-0000-0000C11D0000}"/>
    <cellStyle name="Normal 8 3 6 2 2" xfId="7834" xr:uid="{00000000-0005-0000-0000-0000C21D0000}"/>
    <cellStyle name="Normal 8 3 6 2 3" xfId="12045" xr:uid="{4358FAB9-BF95-4B2D-9ADC-2F0A2746CCA3}"/>
    <cellStyle name="Normal 8 3 6 2 4" xfId="16256" xr:uid="{81742D02-1BA3-48A6-9FCD-1E0A29E3C0C6}"/>
    <cellStyle name="Normal 8 3 6 3" xfId="5689" xr:uid="{00000000-0005-0000-0000-0000C31D0000}"/>
    <cellStyle name="Normal 8 3 6 4" xfId="9900" xr:uid="{0581C94F-C23C-47F5-A778-683F7BB338DF}"/>
    <cellStyle name="Normal 8 3 6 5" xfId="14111" xr:uid="{E8E3FADA-1F13-4062-8CFA-E3AF9E73C80B}"/>
    <cellStyle name="Normal 8 3 7" xfId="1793" xr:uid="{00000000-0005-0000-0000-0000C41D0000}"/>
    <cellStyle name="Normal 8 3 7 2" xfId="4023" xr:uid="{00000000-0005-0000-0000-0000C51D0000}"/>
    <cellStyle name="Normal 8 3 7 2 2" xfId="8247" xr:uid="{00000000-0005-0000-0000-0000C61D0000}"/>
    <cellStyle name="Normal 8 3 7 2 3" xfId="12458" xr:uid="{D3A2F8E9-9634-496B-8D3A-1BBCD6D9D7D0}"/>
    <cellStyle name="Normal 8 3 7 2 4" xfId="16669" xr:uid="{CD2DC6A4-78B0-4129-B5B2-593100D010C8}"/>
    <cellStyle name="Normal 8 3 7 3" xfId="6102" xr:uid="{00000000-0005-0000-0000-0000C71D0000}"/>
    <cellStyle name="Normal 8 3 7 4" xfId="10313" xr:uid="{4F9BD11A-C9AD-4C19-A538-AE49A6A75260}"/>
    <cellStyle name="Normal 8 3 7 5" xfId="14524" xr:uid="{3610F24E-DE6A-4D20-AF3F-E3821AA3E69B}"/>
    <cellStyle name="Normal 8 3 8" xfId="2207" xr:uid="{00000000-0005-0000-0000-0000C81D0000}"/>
    <cellStyle name="Normal 8 3 8 2" xfId="4436" xr:uid="{00000000-0005-0000-0000-0000C91D0000}"/>
    <cellStyle name="Normal 8 3 8 2 2" xfId="8660" xr:uid="{00000000-0005-0000-0000-0000CA1D0000}"/>
    <cellStyle name="Normal 8 3 8 2 3" xfId="12871" xr:uid="{2E86A5BD-608F-43CF-8A8D-44A149573B3E}"/>
    <cellStyle name="Normal 8 3 8 2 4" xfId="17082" xr:uid="{2A457C60-6266-4495-8DFD-4630D4931B1D}"/>
    <cellStyle name="Normal 8 3 8 3" xfId="6515" xr:uid="{00000000-0005-0000-0000-0000CB1D0000}"/>
    <cellStyle name="Normal 8 3 8 4" xfId="10726" xr:uid="{60A5F132-0C8E-4416-AE32-32BD3D4E3C2B}"/>
    <cellStyle name="Normal 8 3 8 5" xfId="14937" xr:uid="{4261FD8F-AC88-4741-A54C-11332BA4257B}"/>
    <cellStyle name="Normal 8 3 9" xfId="2643" xr:uid="{00000000-0005-0000-0000-0000CC1D0000}"/>
    <cellStyle name="Normal 8 3 9 2" xfId="6928" xr:uid="{00000000-0005-0000-0000-0000CD1D0000}"/>
    <cellStyle name="Normal 8 3 9 3" xfId="11139" xr:uid="{8021EE44-656F-43DE-8045-6DFDA7C544E6}"/>
    <cellStyle name="Normal 8 3 9 4" xfId="15350" xr:uid="{47670CC7-56B4-4579-967D-0FFAE78CAFF8}"/>
    <cellStyle name="Normal 8 4" xfId="503" xr:uid="{00000000-0005-0000-0000-0000CE1D0000}"/>
    <cellStyle name="Normal 8 4 10" xfId="9082" xr:uid="{24B4757F-722D-4EF7-B946-22FA222A044C}"/>
    <cellStyle name="Normal 8 4 11" xfId="13293" xr:uid="{413DC36B-CA50-40AC-BD06-A7D22B1949AD}"/>
    <cellStyle name="Normal 8 4 2" xfId="504" xr:uid="{00000000-0005-0000-0000-0000CF1D0000}"/>
    <cellStyle name="Normal 8 4 2 10" xfId="13294" xr:uid="{00F61D98-0BDC-41D1-8E29-129FB4F8CC5E}"/>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2 3" xfId="11642" xr:uid="{49992831-E012-40D9-8EA8-F9CC3EA37BA3}"/>
    <cellStyle name="Normal 8 4 2 2 2 2 4" xfId="15853" xr:uid="{AA5563AE-B7FB-4782-B9A3-B4FBE441B5C4}"/>
    <cellStyle name="Normal 8 4 2 2 2 3" xfId="5286" xr:uid="{00000000-0005-0000-0000-0000D41D0000}"/>
    <cellStyle name="Normal 8 4 2 2 2 4" xfId="9497" xr:uid="{36F6B9B0-3958-497A-A719-6C27343BAEDA}"/>
    <cellStyle name="Normal 8 4 2 2 2 5" xfId="13708" xr:uid="{DF01367F-F9AF-4870-BA7C-1FC65AF3A72F}"/>
    <cellStyle name="Normal 8 4 2 2 3" xfId="1390" xr:uid="{00000000-0005-0000-0000-0000D51D0000}"/>
    <cellStyle name="Normal 8 4 2 2 3 2" xfId="3620" xr:uid="{00000000-0005-0000-0000-0000D61D0000}"/>
    <cellStyle name="Normal 8 4 2 2 3 2 2" xfId="7844" xr:uid="{00000000-0005-0000-0000-0000D71D0000}"/>
    <cellStyle name="Normal 8 4 2 2 3 2 3" xfId="12055" xr:uid="{3722A264-4979-4F4A-AE46-BD56C5229C21}"/>
    <cellStyle name="Normal 8 4 2 2 3 2 4" xfId="16266" xr:uid="{21BBE89C-F396-4CC0-AA43-2E7940DD6702}"/>
    <cellStyle name="Normal 8 4 2 2 3 3" xfId="5699" xr:uid="{00000000-0005-0000-0000-0000D81D0000}"/>
    <cellStyle name="Normal 8 4 2 2 3 4" xfId="9910" xr:uid="{3F278BE0-5750-4DED-9349-1D33774C5C58}"/>
    <cellStyle name="Normal 8 4 2 2 3 5" xfId="14121" xr:uid="{36F2F56C-2F34-4CFF-9812-EF0497F1AD5C}"/>
    <cellStyle name="Normal 8 4 2 2 4" xfId="1803" xr:uid="{00000000-0005-0000-0000-0000D91D0000}"/>
    <cellStyle name="Normal 8 4 2 2 4 2" xfId="4033" xr:uid="{00000000-0005-0000-0000-0000DA1D0000}"/>
    <cellStyle name="Normal 8 4 2 2 4 2 2" xfId="8257" xr:uid="{00000000-0005-0000-0000-0000DB1D0000}"/>
    <cellStyle name="Normal 8 4 2 2 4 2 3" xfId="12468" xr:uid="{A61ED4D8-CEF0-41CA-A91E-FB5A7FDD6E7D}"/>
    <cellStyle name="Normal 8 4 2 2 4 2 4" xfId="16679" xr:uid="{25E4A958-23A0-42E7-89BF-A310E5F30260}"/>
    <cellStyle name="Normal 8 4 2 2 4 3" xfId="6112" xr:uid="{00000000-0005-0000-0000-0000DC1D0000}"/>
    <cellStyle name="Normal 8 4 2 2 4 4" xfId="10323" xr:uid="{301EDC45-2A9F-44CD-B7F3-7B82289318DC}"/>
    <cellStyle name="Normal 8 4 2 2 4 5" xfId="14534" xr:uid="{0EA51AA3-0B7D-48EE-9D73-48E34A296336}"/>
    <cellStyle name="Normal 8 4 2 2 5" xfId="2217" xr:uid="{00000000-0005-0000-0000-0000DD1D0000}"/>
    <cellStyle name="Normal 8 4 2 2 5 2" xfId="4446" xr:uid="{00000000-0005-0000-0000-0000DE1D0000}"/>
    <cellStyle name="Normal 8 4 2 2 5 2 2" xfId="8670" xr:uid="{00000000-0005-0000-0000-0000DF1D0000}"/>
    <cellStyle name="Normal 8 4 2 2 5 2 3" xfId="12881" xr:uid="{B2435226-3BF6-420E-8379-A1A6F4A58F2B}"/>
    <cellStyle name="Normal 8 4 2 2 5 2 4" xfId="17092" xr:uid="{F28ED1D0-7DA9-4C9E-A1A0-28C8140ADCB3}"/>
    <cellStyle name="Normal 8 4 2 2 5 3" xfId="6525" xr:uid="{00000000-0005-0000-0000-0000E01D0000}"/>
    <cellStyle name="Normal 8 4 2 2 5 4" xfId="10736" xr:uid="{7B784B68-977A-4B26-9B59-D8720508BFB7}"/>
    <cellStyle name="Normal 8 4 2 2 5 5" xfId="14947" xr:uid="{69654FFC-8B89-4163-ACF2-BBE72FB1BB75}"/>
    <cellStyle name="Normal 8 4 2 2 6" xfId="2653" xr:uid="{00000000-0005-0000-0000-0000E11D0000}"/>
    <cellStyle name="Normal 8 4 2 2 6 2" xfId="6938" xr:uid="{00000000-0005-0000-0000-0000E21D0000}"/>
    <cellStyle name="Normal 8 4 2 2 6 3" xfId="11149" xr:uid="{C0D0E9A1-95D4-4007-9C42-87C79E7F9713}"/>
    <cellStyle name="Normal 8 4 2 2 6 4" xfId="15360" xr:uid="{94D11A2B-8F6C-4AFF-991B-4CD8ED2098E9}"/>
    <cellStyle name="Normal 8 4 2 2 7" xfId="4873" xr:uid="{00000000-0005-0000-0000-0000E31D0000}"/>
    <cellStyle name="Normal 8 4 2 2 8" xfId="9084" xr:uid="{692C81BE-4A54-4F84-A801-22DE34D6D6AE}"/>
    <cellStyle name="Normal 8 4 2 2 9" xfId="13295" xr:uid="{1245202C-47A2-4734-B709-6CC815AB8FA2}"/>
    <cellStyle name="Normal 8 4 2 3" xfId="972" xr:uid="{00000000-0005-0000-0000-0000E41D0000}"/>
    <cellStyle name="Normal 8 4 2 3 2" xfId="3206" xr:uid="{00000000-0005-0000-0000-0000E51D0000}"/>
    <cellStyle name="Normal 8 4 2 3 2 2" xfId="7430" xr:uid="{00000000-0005-0000-0000-0000E61D0000}"/>
    <cellStyle name="Normal 8 4 2 3 2 3" xfId="11641" xr:uid="{9F632E12-00BA-4320-9F70-13D6E65985B0}"/>
    <cellStyle name="Normal 8 4 2 3 2 4" xfId="15852" xr:uid="{62D74507-FB65-420F-9C05-02FCE4347E2C}"/>
    <cellStyle name="Normal 8 4 2 3 3" xfId="5285" xr:uid="{00000000-0005-0000-0000-0000E71D0000}"/>
    <cellStyle name="Normal 8 4 2 3 4" xfId="9496" xr:uid="{854E63EE-6916-463F-88C4-F70DDFCC0F42}"/>
    <cellStyle name="Normal 8 4 2 3 5" xfId="13707" xr:uid="{424AC5D5-9A0C-4E08-9222-AB4834939681}"/>
    <cellStyle name="Normal 8 4 2 4" xfId="1389" xr:uid="{00000000-0005-0000-0000-0000E81D0000}"/>
    <cellStyle name="Normal 8 4 2 4 2" xfId="3619" xr:uid="{00000000-0005-0000-0000-0000E91D0000}"/>
    <cellStyle name="Normal 8 4 2 4 2 2" xfId="7843" xr:uid="{00000000-0005-0000-0000-0000EA1D0000}"/>
    <cellStyle name="Normal 8 4 2 4 2 3" xfId="12054" xr:uid="{20A50F26-217A-4819-AB16-AD2ACB95F328}"/>
    <cellStyle name="Normal 8 4 2 4 2 4" xfId="16265" xr:uid="{34864E7C-0C8A-4B20-841F-0C7BB1137F78}"/>
    <cellStyle name="Normal 8 4 2 4 3" xfId="5698" xr:uid="{00000000-0005-0000-0000-0000EB1D0000}"/>
    <cellStyle name="Normal 8 4 2 4 4" xfId="9909" xr:uid="{43849477-FCE0-42E8-A867-E6CD0D19F475}"/>
    <cellStyle name="Normal 8 4 2 4 5" xfId="14120" xr:uid="{F06C2024-C3E4-4B52-BA3D-9FE6FE24F790}"/>
    <cellStyle name="Normal 8 4 2 5" xfId="1802" xr:uid="{00000000-0005-0000-0000-0000EC1D0000}"/>
    <cellStyle name="Normal 8 4 2 5 2" xfId="4032" xr:uid="{00000000-0005-0000-0000-0000ED1D0000}"/>
    <cellStyle name="Normal 8 4 2 5 2 2" xfId="8256" xr:uid="{00000000-0005-0000-0000-0000EE1D0000}"/>
    <cellStyle name="Normal 8 4 2 5 2 3" xfId="12467" xr:uid="{1C2EE2FE-D85D-48AE-81D8-BCE53834535F}"/>
    <cellStyle name="Normal 8 4 2 5 2 4" xfId="16678" xr:uid="{8ED5F44F-4125-4102-82A9-8C6B8E7BB126}"/>
    <cellStyle name="Normal 8 4 2 5 3" xfId="6111" xr:uid="{00000000-0005-0000-0000-0000EF1D0000}"/>
    <cellStyle name="Normal 8 4 2 5 4" xfId="10322" xr:uid="{730D5689-2CDE-4EF3-A4C9-0FF65E1D3591}"/>
    <cellStyle name="Normal 8 4 2 5 5" xfId="14533" xr:uid="{6E740747-52B8-4BAF-9CA9-B770525CAD5B}"/>
    <cellStyle name="Normal 8 4 2 6" xfId="2216" xr:uid="{00000000-0005-0000-0000-0000F01D0000}"/>
    <cellStyle name="Normal 8 4 2 6 2" xfId="4445" xr:uid="{00000000-0005-0000-0000-0000F11D0000}"/>
    <cellStyle name="Normal 8 4 2 6 2 2" xfId="8669" xr:uid="{00000000-0005-0000-0000-0000F21D0000}"/>
    <cellStyle name="Normal 8 4 2 6 2 3" xfId="12880" xr:uid="{76559F58-1F75-4E7E-BFA9-5B413C39BD12}"/>
    <cellStyle name="Normal 8 4 2 6 2 4" xfId="17091" xr:uid="{AC2B6CBD-D00E-494B-AD4D-FF20EA0043C6}"/>
    <cellStyle name="Normal 8 4 2 6 3" xfId="6524" xr:uid="{00000000-0005-0000-0000-0000F31D0000}"/>
    <cellStyle name="Normal 8 4 2 6 4" xfId="10735" xr:uid="{501F6614-65AD-4543-A6A2-DF79E0FB93E3}"/>
    <cellStyle name="Normal 8 4 2 6 5" xfId="14946" xr:uid="{8E88C524-8BDC-4420-B30D-9C3E05B83E16}"/>
    <cellStyle name="Normal 8 4 2 7" xfId="2652" xr:uid="{00000000-0005-0000-0000-0000F41D0000}"/>
    <cellStyle name="Normal 8 4 2 7 2" xfId="6937" xr:uid="{00000000-0005-0000-0000-0000F51D0000}"/>
    <cellStyle name="Normal 8 4 2 7 3" xfId="11148" xr:uid="{C5D46D9A-FA20-4BAD-A78D-085E31B89B7B}"/>
    <cellStyle name="Normal 8 4 2 7 4" xfId="15359" xr:uid="{4BB5C2F5-5F6E-47C4-A4D1-7ACC8EDEF223}"/>
    <cellStyle name="Normal 8 4 2 8" xfId="4872" xr:uid="{00000000-0005-0000-0000-0000F61D0000}"/>
    <cellStyle name="Normal 8 4 2 9" xfId="9083" xr:uid="{6F886E19-0E0F-42F1-9C4E-6535046205A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2 3" xfId="11643" xr:uid="{C7010090-EE7C-40CB-9AAB-5238811B07E1}"/>
    <cellStyle name="Normal 8 4 3 2 2 4" xfId="15854" xr:uid="{D945AC9D-7FFD-4037-8B3B-8886D3A5B7C3}"/>
    <cellStyle name="Normal 8 4 3 2 3" xfId="5287" xr:uid="{00000000-0005-0000-0000-0000FB1D0000}"/>
    <cellStyle name="Normal 8 4 3 2 4" xfId="9498" xr:uid="{113874FF-9038-47FF-BD35-8C6B21AAEA94}"/>
    <cellStyle name="Normal 8 4 3 2 5" xfId="13709" xr:uid="{88CFA3D4-8028-451F-B862-503FF5B6F867}"/>
    <cellStyle name="Normal 8 4 3 3" xfId="1391" xr:uid="{00000000-0005-0000-0000-0000FC1D0000}"/>
    <cellStyle name="Normal 8 4 3 3 2" xfId="3621" xr:uid="{00000000-0005-0000-0000-0000FD1D0000}"/>
    <cellStyle name="Normal 8 4 3 3 2 2" xfId="7845" xr:uid="{00000000-0005-0000-0000-0000FE1D0000}"/>
    <cellStyle name="Normal 8 4 3 3 2 3" xfId="12056" xr:uid="{1500DA26-62B8-40AB-B0DA-69A9527BF917}"/>
    <cellStyle name="Normal 8 4 3 3 2 4" xfId="16267" xr:uid="{98BBE456-D123-492F-BA18-9096E735685F}"/>
    <cellStyle name="Normal 8 4 3 3 3" xfId="5700" xr:uid="{00000000-0005-0000-0000-0000FF1D0000}"/>
    <cellStyle name="Normal 8 4 3 3 4" xfId="9911" xr:uid="{8480272C-E001-489F-89B2-00FEDAB0788B}"/>
    <cellStyle name="Normal 8 4 3 3 5" xfId="14122" xr:uid="{1C6CA8C9-C070-4925-BBCC-0656C8B217BB}"/>
    <cellStyle name="Normal 8 4 3 4" xfId="1804" xr:uid="{00000000-0005-0000-0000-0000001E0000}"/>
    <cellStyle name="Normal 8 4 3 4 2" xfId="4034" xr:uid="{00000000-0005-0000-0000-0000011E0000}"/>
    <cellStyle name="Normal 8 4 3 4 2 2" xfId="8258" xr:uid="{00000000-0005-0000-0000-0000021E0000}"/>
    <cellStyle name="Normal 8 4 3 4 2 3" xfId="12469" xr:uid="{9831AB29-3D5D-49A5-9346-D0BBDC2F17A1}"/>
    <cellStyle name="Normal 8 4 3 4 2 4" xfId="16680" xr:uid="{F28A71AC-B1AE-4783-BA9F-391BEBE6FAE2}"/>
    <cellStyle name="Normal 8 4 3 4 3" xfId="6113" xr:uid="{00000000-0005-0000-0000-0000031E0000}"/>
    <cellStyle name="Normal 8 4 3 4 4" xfId="10324" xr:uid="{9F05E3A9-CE3F-4CAC-8B1B-3C12E6E379F2}"/>
    <cellStyle name="Normal 8 4 3 4 5" xfId="14535" xr:uid="{63C8D577-203F-4AFA-8FF7-A14D540CC316}"/>
    <cellStyle name="Normal 8 4 3 5" xfId="2218" xr:uid="{00000000-0005-0000-0000-0000041E0000}"/>
    <cellStyle name="Normal 8 4 3 5 2" xfId="4447" xr:uid="{00000000-0005-0000-0000-0000051E0000}"/>
    <cellStyle name="Normal 8 4 3 5 2 2" xfId="8671" xr:uid="{00000000-0005-0000-0000-0000061E0000}"/>
    <cellStyle name="Normal 8 4 3 5 2 3" xfId="12882" xr:uid="{87A5B8DC-4CAF-4956-92C4-CCB40559CCA9}"/>
    <cellStyle name="Normal 8 4 3 5 2 4" xfId="17093" xr:uid="{3C6A4A88-24F2-4B54-85F9-27C12CEEBBAF}"/>
    <cellStyle name="Normal 8 4 3 5 3" xfId="6526" xr:uid="{00000000-0005-0000-0000-0000071E0000}"/>
    <cellStyle name="Normal 8 4 3 5 4" xfId="10737" xr:uid="{B979BF50-D319-48AC-B0DE-3812BAD63BBF}"/>
    <cellStyle name="Normal 8 4 3 5 5" xfId="14948" xr:uid="{CAC4C6FD-987A-4E9E-90C4-C67C18009C96}"/>
    <cellStyle name="Normal 8 4 3 6" xfId="2654" xr:uid="{00000000-0005-0000-0000-0000081E0000}"/>
    <cellStyle name="Normal 8 4 3 6 2" xfId="6939" xr:uid="{00000000-0005-0000-0000-0000091E0000}"/>
    <cellStyle name="Normal 8 4 3 6 3" xfId="11150" xr:uid="{73A1CCE3-6B63-4F22-92F1-5D7D2F4D8421}"/>
    <cellStyle name="Normal 8 4 3 6 4" xfId="15361" xr:uid="{1B96E108-CAB3-40AB-897C-CB8748CDABB6}"/>
    <cellStyle name="Normal 8 4 3 7" xfId="4874" xr:uid="{00000000-0005-0000-0000-00000A1E0000}"/>
    <cellStyle name="Normal 8 4 3 8" xfId="9085" xr:uid="{AF69A03E-4B45-428B-8382-16C68C9B90B4}"/>
    <cellStyle name="Normal 8 4 3 9" xfId="13296" xr:uid="{D4B0E30A-9E32-473A-A047-B64C8674B602}"/>
    <cellStyle name="Normal 8 4 4" xfId="971" xr:uid="{00000000-0005-0000-0000-00000B1E0000}"/>
    <cellStyle name="Normal 8 4 4 2" xfId="3205" xr:uid="{00000000-0005-0000-0000-00000C1E0000}"/>
    <cellStyle name="Normal 8 4 4 2 2" xfId="7429" xr:uid="{00000000-0005-0000-0000-00000D1E0000}"/>
    <cellStyle name="Normal 8 4 4 2 3" xfId="11640" xr:uid="{6F455CE1-742A-4B1E-A030-CE2D146691A5}"/>
    <cellStyle name="Normal 8 4 4 2 4" xfId="15851" xr:uid="{E858714F-F38E-4BF5-A132-878B441B883C}"/>
    <cellStyle name="Normal 8 4 4 3" xfId="5284" xr:uid="{00000000-0005-0000-0000-00000E1E0000}"/>
    <cellStyle name="Normal 8 4 4 4" xfId="9495" xr:uid="{F9CCCF80-6946-436F-9CD6-25BD13EEBD41}"/>
    <cellStyle name="Normal 8 4 4 5" xfId="13706" xr:uid="{F4381740-C289-49EF-829D-D1216EEA1C17}"/>
    <cellStyle name="Normal 8 4 5" xfId="1388" xr:uid="{00000000-0005-0000-0000-00000F1E0000}"/>
    <cellStyle name="Normal 8 4 5 2" xfId="3618" xr:uid="{00000000-0005-0000-0000-0000101E0000}"/>
    <cellStyle name="Normal 8 4 5 2 2" xfId="7842" xr:uid="{00000000-0005-0000-0000-0000111E0000}"/>
    <cellStyle name="Normal 8 4 5 2 3" xfId="12053" xr:uid="{CA408F48-0FFD-4C7F-841D-D593765CC42D}"/>
    <cellStyle name="Normal 8 4 5 2 4" xfId="16264" xr:uid="{5D6A1E6A-4381-441B-9ADF-0F4008411FCC}"/>
    <cellStyle name="Normal 8 4 5 3" xfId="5697" xr:uid="{00000000-0005-0000-0000-0000121E0000}"/>
    <cellStyle name="Normal 8 4 5 4" xfId="9908" xr:uid="{F19DE12D-1542-47A3-8601-AAC08965C10C}"/>
    <cellStyle name="Normal 8 4 5 5" xfId="14119" xr:uid="{470BE720-9531-496C-AE46-227E92F8BB74}"/>
    <cellStyle name="Normal 8 4 6" xfId="1801" xr:uid="{00000000-0005-0000-0000-0000131E0000}"/>
    <cellStyle name="Normal 8 4 6 2" xfId="4031" xr:uid="{00000000-0005-0000-0000-0000141E0000}"/>
    <cellStyle name="Normal 8 4 6 2 2" xfId="8255" xr:uid="{00000000-0005-0000-0000-0000151E0000}"/>
    <cellStyle name="Normal 8 4 6 2 3" xfId="12466" xr:uid="{882869C7-DB59-4284-84EF-A5FA8F662B33}"/>
    <cellStyle name="Normal 8 4 6 2 4" xfId="16677" xr:uid="{F1804D49-0505-4340-AAD4-A9754183C279}"/>
    <cellStyle name="Normal 8 4 6 3" xfId="6110" xr:uid="{00000000-0005-0000-0000-0000161E0000}"/>
    <cellStyle name="Normal 8 4 6 4" xfId="10321" xr:uid="{5BEC3AFC-3C7A-4D30-BBA4-00258600B915}"/>
    <cellStyle name="Normal 8 4 6 5" xfId="14532" xr:uid="{67230649-7A34-45E3-9F71-F3597CFD4990}"/>
    <cellStyle name="Normal 8 4 7" xfId="2215" xr:uid="{00000000-0005-0000-0000-0000171E0000}"/>
    <cellStyle name="Normal 8 4 7 2" xfId="4444" xr:uid="{00000000-0005-0000-0000-0000181E0000}"/>
    <cellStyle name="Normal 8 4 7 2 2" xfId="8668" xr:uid="{00000000-0005-0000-0000-0000191E0000}"/>
    <cellStyle name="Normal 8 4 7 2 3" xfId="12879" xr:uid="{B89F2755-690E-4AB6-8574-3B1992A1EC15}"/>
    <cellStyle name="Normal 8 4 7 2 4" xfId="17090" xr:uid="{46D6FDD0-3E60-4EF4-9DA7-A59DBB871481}"/>
    <cellStyle name="Normal 8 4 7 3" xfId="6523" xr:uid="{00000000-0005-0000-0000-00001A1E0000}"/>
    <cellStyle name="Normal 8 4 7 4" xfId="10734" xr:uid="{E9F2FF02-C1D8-4F4E-822C-7135320403A9}"/>
    <cellStyle name="Normal 8 4 7 5" xfId="14945" xr:uid="{8255DC46-388D-43A6-BA6B-20AF0A3FF35E}"/>
    <cellStyle name="Normal 8 4 8" xfId="2651" xr:uid="{00000000-0005-0000-0000-00001B1E0000}"/>
    <cellStyle name="Normal 8 4 8 2" xfId="6936" xr:uid="{00000000-0005-0000-0000-00001C1E0000}"/>
    <cellStyle name="Normal 8 4 8 3" xfId="11147" xr:uid="{11764C0E-C805-4B0B-98C6-BD2F9C6DA054}"/>
    <cellStyle name="Normal 8 4 8 4" xfId="15358" xr:uid="{175CA521-A4C2-457A-93E3-A76CDDC42F6F}"/>
    <cellStyle name="Normal 8 4 9" xfId="4871" xr:uid="{00000000-0005-0000-0000-00001D1E0000}"/>
    <cellStyle name="Normal 8 5" xfId="507" xr:uid="{00000000-0005-0000-0000-00001E1E0000}"/>
    <cellStyle name="Normal 8 5 10" xfId="13297" xr:uid="{3A433440-95B5-4F75-90EF-A5D089AFE79F}"/>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2 3" xfId="11645" xr:uid="{66CCC27F-A003-40A7-B736-7E35F21DB571}"/>
    <cellStyle name="Normal 8 5 2 2 2 4" xfId="15856" xr:uid="{D7E439B8-245C-4A45-8E0B-F77277DE397D}"/>
    <cellStyle name="Normal 8 5 2 2 3" xfId="5289" xr:uid="{00000000-0005-0000-0000-0000231E0000}"/>
    <cellStyle name="Normal 8 5 2 2 4" xfId="9500" xr:uid="{D439283D-F6A4-46C1-B573-AC8A83A79674}"/>
    <cellStyle name="Normal 8 5 2 2 5" xfId="13711" xr:uid="{7C192248-9067-4069-BFD0-8E6BB72247B6}"/>
    <cellStyle name="Normal 8 5 2 3" xfId="1393" xr:uid="{00000000-0005-0000-0000-0000241E0000}"/>
    <cellStyle name="Normal 8 5 2 3 2" xfId="3623" xr:uid="{00000000-0005-0000-0000-0000251E0000}"/>
    <cellStyle name="Normal 8 5 2 3 2 2" xfId="7847" xr:uid="{00000000-0005-0000-0000-0000261E0000}"/>
    <cellStyle name="Normal 8 5 2 3 2 3" xfId="12058" xr:uid="{A2692011-2019-4842-957A-1C03784DAA30}"/>
    <cellStyle name="Normal 8 5 2 3 2 4" xfId="16269" xr:uid="{BE0260F2-61F9-41D4-A9EF-7C414FF8EB98}"/>
    <cellStyle name="Normal 8 5 2 3 3" xfId="5702" xr:uid="{00000000-0005-0000-0000-0000271E0000}"/>
    <cellStyle name="Normal 8 5 2 3 4" xfId="9913" xr:uid="{3DD77948-2625-4380-B8D7-F7193718395C}"/>
    <cellStyle name="Normal 8 5 2 3 5" xfId="14124" xr:uid="{4289AD93-FFC3-4B48-BE51-4B8B9761092A}"/>
    <cellStyle name="Normal 8 5 2 4" xfId="1806" xr:uid="{00000000-0005-0000-0000-0000281E0000}"/>
    <cellStyle name="Normal 8 5 2 4 2" xfId="4036" xr:uid="{00000000-0005-0000-0000-0000291E0000}"/>
    <cellStyle name="Normal 8 5 2 4 2 2" xfId="8260" xr:uid="{00000000-0005-0000-0000-00002A1E0000}"/>
    <cellStyle name="Normal 8 5 2 4 2 3" xfId="12471" xr:uid="{E9980DFA-AD09-49DD-BEBA-E1A5C9D4DF07}"/>
    <cellStyle name="Normal 8 5 2 4 2 4" xfId="16682" xr:uid="{FD354142-673C-4B35-830E-890ED98F8CED}"/>
    <cellStyle name="Normal 8 5 2 4 3" xfId="6115" xr:uid="{00000000-0005-0000-0000-00002B1E0000}"/>
    <cellStyle name="Normal 8 5 2 4 4" xfId="10326" xr:uid="{821C92AA-6CA7-422F-B8A9-87D2F62F4E6C}"/>
    <cellStyle name="Normal 8 5 2 4 5" xfId="14537" xr:uid="{7A4ADE7B-762A-4E90-8710-2CBB8DC510B7}"/>
    <cellStyle name="Normal 8 5 2 5" xfId="2220" xr:uid="{00000000-0005-0000-0000-00002C1E0000}"/>
    <cellStyle name="Normal 8 5 2 5 2" xfId="4449" xr:uid="{00000000-0005-0000-0000-00002D1E0000}"/>
    <cellStyle name="Normal 8 5 2 5 2 2" xfId="8673" xr:uid="{00000000-0005-0000-0000-00002E1E0000}"/>
    <cellStyle name="Normal 8 5 2 5 2 3" xfId="12884" xr:uid="{A237F988-2601-4789-980A-AD87A6F91557}"/>
    <cellStyle name="Normal 8 5 2 5 2 4" xfId="17095" xr:uid="{6C62DF4F-5B81-4060-AA8A-EFD63A5E8010}"/>
    <cellStyle name="Normal 8 5 2 5 3" xfId="6528" xr:uid="{00000000-0005-0000-0000-00002F1E0000}"/>
    <cellStyle name="Normal 8 5 2 5 4" xfId="10739" xr:uid="{5E93774B-223C-4602-B2E7-8DBBA9C706E4}"/>
    <cellStyle name="Normal 8 5 2 5 5" xfId="14950" xr:uid="{865569F1-6B98-45E5-B7CA-107E3E0B9AA2}"/>
    <cellStyle name="Normal 8 5 2 6" xfId="2656" xr:uid="{00000000-0005-0000-0000-0000301E0000}"/>
    <cellStyle name="Normal 8 5 2 6 2" xfId="6941" xr:uid="{00000000-0005-0000-0000-0000311E0000}"/>
    <cellStyle name="Normal 8 5 2 6 3" xfId="11152" xr:uid="{95117D3D-45BD-4982-A61C-423CF6CD3BED}"/>
    <cellStyle name="Normal 8 5 2 6 4" xfId="15363" xr:uid="{B350E58A-FBFE-4E90-A7DB-A20765E55CC4}"/>
    <cellStyle name="Normal 8 5 2 7" xfId="4876" xr:uid="{00000000-0005-0000-0000-0000321E0000}"/>
    <cellStyle name="Normal 8 5 2 8" xfId="9087" xr:uid="{C3F3941B-0A20-43BB-9E7D-47A6B990D939}"/>
    <cellStyle name="Normal 8 5 2 9" xfId="13298" xr:uid="{B0391070-0D0F-43B3-B30E-3782097331E1}"/>
    <cellStyle name="Normal 8 5 3" xfId="975" xr:uid="{00000000-0005-0000-0000-0000331E0000}"/>
    <cellStyle name="Normal 8 5 3 2" xfId="3209" xr:uid="{00000000-0005-0000-0000-0000341E0000}"/>
    <cellStyle name="Normal 8 5 3 2 2" xfId="7433" xr:uid="{00000000-0005-0000-0000-0000351E0000}"/>
    <cellStyle name="Normal 8 5 3 2 3" xfId="11644" xr:uid="{9F3C4FEE-4D1F-465B-848F-AE9AA4596C12}"/>
    <cellStyle name="Normal 8 5 3 2 4" xfId="15855" xr:uid="{83DC8CE3-0A35-45C7-B4AF-60C37E9ED14E}"/>
    <cellStyle name="Normal 8 5 3 3" xfId="5288" xr:uid="{00000000-0005-0000-0000-0000361E0000}"/>
    <cellStyle name="Normal 8 5 3 4" xfId="9499" xr:uid="{4F9A6039-A9D1-4567-8F4B-F95E56239B44}"/>
    <cellStyle name="Normal 8 5 3 5" xfId="13710" xr:uid="{A630DE41-A975-413D-90CF-73AFF88FB894}"/>
    <cellStyle name="Normal 8 5 4" xfId="1392" xr:uid="{00000000-0005-0000-0000-0000371E0000}"/>
    <cellStyle name="Normal 8 5 4 2" xfId="3622" xr:uid="{00000000-0005-0000-0000-0000381E0000}"/>
    <cellStyle name="Normal 8 5 4 2 2" xfId="7846" xr:uid="{00000000-0005-0000-0000-0000391E0000}"/>
    <cellStyle name="Normal 8 5 4 2 3" xfId="12057" xr:uid="{A03B219F-0128-4FDB-8A81-84413B498E88}"/>
    <cellStyle name="Normal 8 5 4 2 4" xfId="16268" xr:uid="{02585C8A-6F91-49E1-B4E8-EAA3BDD735D5}"/>
    <cellStyle name="Normal 8 5 4 3" xfId="5701" xr:uid="{00000000-0005-0000-0000-00003A1E0000}"/>
    <cellStyle name="Normal 8 5 4 4" xfId="9912" xr:uid="{34853B3D-B373-4FEE-86E2-58574F40CC82}"/>
    <cellStyle name="Normal 8 5 4 5" xfId="14123" xr:uid="{46997431-C100-4ACD-A6B6-399533E21479}"/>
    <cellStyle name="Normal 8 5 5" xfId="1805" xr:uid="{00000000-0005-0000-0000-00003B1E0000}"/>
    <cellStyle name="Normal 8 5 5 2" xfId="4035" xr:uid="{00000000-0005-0000-0000-00003C1E0000}"/>
    <cellStyle name="Normal 8 5 5 2 2" xfId="8259" xr:uid="{00000000-0005-0000-0000-00003D1E0000}"/>
    <cellStyle name="Normal 8 5 5 2 3" xfId="12470" xr:uid="{AD62EEDA-2B47-4DFA-AF0B-BD32049D390C}"/>
    <cellStyle name="Normal 8 5 5 2 4" xfId="16681" xr:uid="{F11ACB2C-083B-4387-9C08-0BD342F7595B}"/>
    <cellStyle name="Normal 8 5 5 3" xfId="6114" xr:uid="{00000000-0005-0000-0000-00003E1E0000}"/>
    <cellStyle name="Normal 8 5 5 4" xfId="10325" xr:uid="{89DDE50D-EF5A-4A72-B2DF-A2A1B856D135}"/>
    <cellStyle name="Normal 8 5 5 5" xfId="14536" xr:uid="{1BE2A957-28A0-45E9-A927-3DD5E5F8780A}"/>
    <cellStyle name="Normal 8 5 6" xfId="2219" xr:uid="{00000000-0005-0000-0000-00003F1E0000}"/>
    <cellStyle name="Normal 8 5 6 2" xfId="4448" xr:uid="{00000000-0005-0000-0000-0000401E0000}"/>
    <cellStyle name="Normal 8 5 6 2 2" xfId="8672" xr:uid="{00000000-0005-0000-0000-0000411E0000}"/>
    <cellStyle name="Normal 8 5 6 2 3" xfId="12883" xr:uid="{2536ED38-F1BC-4C2C-B210-AAC7B51C3BF0}"/>
    <cellStyle name="Normal 8 5 6 2 4" xfId="17094" xr:uid="{D6958985-2C6C-4547-AF38-28A576BF909F}"/>
    <cellStyle name="Normal 8 5 6 3" xfId="6527" xr:uid="{00000000-0005-0000-0000-0000421E0000}"/>
    <cellStyle name="Normal 8 5 6 4" xfId="10738" xr:uid="{44082D39-E21D-4250-AA59-6C720D3990DA}"/>
    <cellStyle name="Normal 8 5 6 5" xfId="14949" xr:uid="{CC40E41C-1DAE-4E8D-99AE-55F22DF36B9D}"/>
    <cellStyle name="Normal 8 5 7" xfId="2655" xr:uid="{00000000-0005-0000-0000-0000431E0000}"/>
    <cellStyle name="Normal 8 5 7 2" xfId="6940" xr:uid="{00000000-0005-0000-0000-0000441E0000}"/>
    <cellStyle name="Normal 8 5 7 3" xfId="11151" xr:uid="{30B67112-9D19-4CBE-B3F6-816803144E3E}"/>
    <cellStyle name="Normal 8 5 7 4" xfId="15362" xr:uid="{1716D99D-8FE5-4D19-B2EE-92025BB4D39B}"/>
    <cellStyle name="Normal 8 5 8" xfId="4875" xr:uid="{00000000-0005-0000-0000-0000451E0000}"/>
    <cellStyle name="Normal 8 5 9" xfId="9086" xr:uid="{B1DACDC0-B5B0-49EB-8B01-666F1D274A28}"/>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2 3" xfId="11646" xr:uid="{D6F1CD9B-7AB0-4AE9-BEF4-49B1576961B8}"/>
    <cellStyle name="Normal 8 6 2 2 4" xfId="15857" xr:uid="{81703492-B8B4-4415-B13C-9E602F65248A}"/>
    <cellStyle name="Normal 8 6 2 3" xfId="5290" xr:uid="{00000000-0005-0000-0000-00004A1E0000}"/>
    <cellStyle name="Normal 8 6 2 4" xfId="9501" xr:uid="{5970ADEF-C6DA-42AB-BF7B-AA737371F67D}"/>
    <cellStyle name="Normal 8 6 2 5" xfId="13712" xr:uid="{C1CC41F3-7F8D-4857-9D1A-350C4C805991}"/>
    <cellStyle name="Normal 8 6 3" xfId="1394" xr:uid="{00000000-0005-0000-0000-00004B1E0000}"/>
    <cellStyle name="Normal 8 6 3 2" xfId="3624" xr:uid="{00000000-0005-0000-0000-00004C1E0000}"/>
    <cellStyle name="Normal 8 6 3 2 2" xfId="7848" xr:uid="{00000000-0005-0000-0000-00004D1E0000}"/>
    <cellStyle name="Normal 8 6 3 2 3" xfId="12059" xr:uid="{62EC5642-FED4-4D89-8010-64B92AAFEA46}"/>
    <cellStyle name="Normal 8 6 3 2 4" xfId="16270" xr:uid="{747B9E72-8B4D-4243-BDF3-6F4AAEE2C1B7}"/>
    <cellStyle name="Normal 8 6 3 3" xfId="5703" xr:uid="{00000000-0005-0000-0000-00004E1E0000}"/>
    <cellStyle name="Normal 8 6 3 4" xfId="9914" xr:uid="{9DCDC836-9948-4B9E-B43D-ECFD48F46AD2}"/>
    <cellStyle name="Normal 8 6 3 5" xfId="14125" xr:uid="{87C482C4-D134-4130-A15D-1EB6EDBA2AE9}"/>
    <cellStyle name="Normal 8 6 4" xfId="1807" xr:uid="{00000000-0005-0000-0000-00004F1E0000}"/>
    <cellStyle name="Normal 8 6 4 2" xfId="4037" xr:uid="{00000000-0005-0000-0000-0000501E0000}"/>
    <cellStyle name="Normal 8 6 4 2 2" xfId="8261" xr:uid="{00000000-0005-0000-0000-0000511E0000}"/>
    <cellStyle name="Normal 8 6 4 2 3" xfId="12472" xr:uid="{946AC7B1-8CA4-4C77-94C5-0C1DFA15EFA1}"/>
    <cellStyle name="Normal 8 6 4 2 4" xfId="16683" xr:uid="{5AFA78DF-ADA1-4E2E-9991-E73ACEC1C594}"/>
    <cellStyle name="Normal 8 6 4 3" xfId="6116" xr:uid="{00000000-0005-0000-0000-0000521E0000}"/>
    <cellStyle name="Normal 8 6 4 4" xfId="10327" xr:uid="{2BE76A98-79B9-4B4F-A4B4-22E714A8793F}"/>
    <cellStyle name="Normal 8 6 4 5" xfId="14538" xr:uid="{96F35813-50CD-48BF-9A83-41C29C7A0DDE}"/>
    <cellStyle name="Normal 8 6 5" xfId="2221" xr:uid="{00000000-0005-0000-0000-0000531E0000}"/>
    <cellStyle name="Normal 8 6 5 2" xfId="4450" xr:uid="{00000000-0005-0000-0000-0000541E0000}"/>
    <cellStyle name="Normal 8 6 5 2 2" xfId="8674" xr:uid="{00000000-0005-0000-0000-0000551E0000}"/>
    <cellStyle name="Normal 8 6 5 2 3" xfId="12885" xr:uid="{EBF4E049-93C8-493E-948C-082C50FF42C7}"/>
    <cellStyle name="Normal 8 6 5 2 4" xfId="17096" xr:uid="{0B4F6761-871C-431C-99E2-85CBC30BC52C}"/>
    <cellStyle name="Normal 8 6 5 3" xfId="6529" xr:uid="{00000000-0005-0000-0000-0000561E0000}"/>
    <cellStyle name="Normal 8 6 5 4" xfId="10740" xr:uid="{BE9043D5-AB92-41E5-AB49-174CB952E64C}"/>
    <cellStyle name="Normal 8 6 5 5" xfId="14951" xr:uid="{8C59AE94-1EC8-4A9C-AE97-3AA5616079CB}"/>
    <cellStyle name="Normal 8 6 6" xfId="2657" xr:uid="{00000000-0005-0000-0000-0000571E0000}"/>
    <cellStyle name="Normal 8 6 6 2" xfId="6942" xr:uid="{00000000-0005-0000-0000-0000581E0000}"/>
    <cellStyle name="Normal 8 6 6 3" xfId="11153" xr:uid="{63F38E17-4F68-4446-B725-DF6014CFD89E}"/>
    <cellStyle name="Normal 8 6 6 4" xfId="15364" xr:uid="{0E5F2592-0F12-4628-AAD7-58B240A553D1}"/>
    <cellStyle name="Normal 8 6 7" xfId="4877" xr:uid="{00000000-0005-0000-0000-0000591E0000}"/>
    <cellStyle name="Normal 8 6 8" xfId="9088" xr:uid="{7587BB0E-0B7C-48F6-B613-B9A73E06D215}"/>
    <cellStyle name="Normal 8 6 9" xfId="13299" xr:uid="{3CB074AE-20BA-4271-9636-67974E74B988}"/>
    <cellStyle name="Normal 8 7" xfId="946" xr:uid="{00000000-0005-0000-0000-00005A1E0000}"/>
    <cellStyle name="Normal 8 7 2" xfId="3180" xr:uid="{00000000-0005-0000-0000-00005B1E0000}"/>
    <cellStyle name="Normal 8 7 2 2" xfId="7404" xr:uid="{00000000-0005-0000-0000-00005C1E0000}"/>
    <cellStyle name="Normal 8 7 2 3" xfId="11615" xr:uid="{D19A3EDE-0867-4F1C-9530-8FD8F5852288}"/>
    <cellStyle name="Normal 8 7 2 4" xfId="15826" xr:uid="{D6F8F8E2-8BFF-4B6E-9257-498EFF7C218F}"/>
    <cellStyle name="Normal 8 7 3" xfId="5259" xr:uid="{00000000-0005-0000-0000-00005D1E0000}"/>
    <cellStyle name="Normal 8 7 4" xfId="9470" xr:uid="{AD3ECA2D-7AFB-4AD3-883D-3B12435C0B0D}"/>
    <cellStyle name="Normal 8 7 5" xfId="13681" xr:uid="{ACE9B4F0-B53B-4D59-9B36-4460BAFD767A}"/>
    <cellStyle name="Normal 8 8" xfId="1363" xr:uid="{00000000-0005-0000-0000-00005E1E0000}"/>
    <cellStyle name="Normal 8 8 2" xfId="3593" xr:uid="{00000000-0005-0000-0000-00005F1E0000}"/>
    <cellStyle name="Normal 8 8 2 2" xfId="7817" xr:uid="{00000000-0005-0000-0000-0000601E0000}"/>
    <cellStyle name="Normal 8 8 2 3" xfId="12028" xr:uid="{EB4A14C5-3732-45D3-82A0-929D6AD09C7D}"/>
    <cellStyle name="Normal 8 8 2 4" xfId="16239" xr:uid="{809BBF0F-9A45-4BF6-91F9-6C50F2A84862}"/>
    <cellStyle name="Normal 8 8 3" xfId="5672" xr:uid="{00000000-0005-0000-0000-0000611E0000}"/>
    <cellStyle name="Normal 8 8 4" xfId="9883" xr:uid="{193DB579-1258-4FBB-A0B6-78ED1243CD1A}"/>
    <cellStyle name="Normal 8 8 5" xfId="14094" xr:uid="{11A9FBF6-BED1-4131-B601-3CE7AE6FEDE7}"/>
    <cellStyle name="Normal 8 9" xfId="1776" xr:uid="{00000000-0005-0000-0000-0000621E0000}"/>
    <cellStyle name="Normal 8 9 2" xfId="4006" xr:uid="{00000000-0005-0000-0000-0000631E0000}"/>
    <cellStyle name="Normal 8 9 2 2" xfId="8230" xr:uid="{00000000-0005-0000-0000-0000641E0000}"/>
    <cellStyle name="Normal 8 9 2 3" xfId="12441" xr:uid="{955ECAC5-144B-4818-94FA-279E68FD878D}"/>
    <cellStyle name="Normal 8 9 2 4" xfId="16652" xr:uid="{06653F2D-3FAB-4295-9D9A-9D907B2ED469}"/>
    <cellStyle name="Normal 8 9 3" xfId="6085" xr:uid="{00000000-0005-0000-0000-0000651E0000}"/>
    <cellStyle name="Normal 8 9 4" xfId="10296" xr:uid="{211DB7CD-778D-4E3B-A1CB-E1EA25E9AE2A}"/>
    <cellStyle name="Normal 8 9 5" xfId="14507" xr:uid="{9C9E6A6B-BBF1-44A3-8988-76243F2EF991}"/>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0 3" xfId="11154" xr:uid="{E01DE23C-0876-41EA-87B2-C287D7DBCFEB}"/>
    <cellStyle name="Normal 9 2 10 4" xfId="15365" xr:uid="{CDEF8F22-1E93-447C-9326-6B74916FB178}"/>
    <cellStyle name="Normal 9 2 11" xfId="4878" xr:uid="{00000000-0005-0000-0000-00006A1E0000}"/>
    <cellStyle name="Normal 9 2 12" xfId="9089" xr:uid="{16BAA2F4-F138-4C3F-948B-7FCC1E8BDFC8}"/>
    <cellStyle name="Normal 9 2 13" xfId="13300" xr:uid="{DB66C62C-D5A2-4B88-9FFC-1DFBBE91E71E}"/>
    <cellStyle name="Normal 9 2 2" xfId="512" xr:uid="{00000000-0005-0000-0000-00006B1E0000}"/>
    <cellStyle name="Normal 9 2 2 10" xfId="4879" xr:uid="{00000000-0005-0000-0000-00006C1E0000}"/>
    <cellStyle name="Normal 9 2 2 11" xfId="9090" xr:uid="{61242D62-7798-4BB1-9F4B-812C5D61C4AB}"/>
    <cellStyle name="Normal 9 2 2 12" xfId="13301" xr:uid="{8DDD1D9B-3260-47D8-984B-4A5BB7F62F00}"/>
    <cellStyle name="Normal 9 2 2 2" xfId="513" xr:uid="{00000000-0005-0000-0000-00006D1E0000}"/>
    <cellStyle name="Normal 9 2 2 2 10" xfId="9091" xr:uid="{EA0B527B-A42B-4259-BDAD-E3AC0283E3EF}"/>
    <cellStyle name="Normal 9 2 2 2 11" xfId="13302" xr:uid="{ABA6D5A2-5957-4294-93FA-0CEFD269A2D8}"/>
    <cellStyle name="Normal 9 2 2 2 2" xfId="514" xr:uid="{00000000-0005-0000-0000-00006E1E0000}"/>
    <cellStyle name="Normal 9 2 2 2 2 10" xfId="13303" xr:uid="{E67C0CF3-1FE2-4B0D-B241-A8D1BDC70B47}"/>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2 3" xfId="11651" xr:uid="{82460A7C-9125-400D-A9C2-7C642A78843E}"/>
    <cellStyle name="Normal 9 2 2 2 2 2 2 2 4" xfId="15862" xr:uid="{C59C60DF-C13E-4BEA-B316-4E540379FB45}"/>
    <cellStyle name="Normal 9 2 2 2 2 2 2 3" xfId="5295" xr:uid="{00000000-0005-0000-0000-0000731E0000}"/>
    <cellStyle name="Normal 9 2 2 2 2 2 2 4" xfId="9506" xr:uid="{A52FCA16-CE02-4326-8BE9-77B452CD0A9E}"/>
    <cellStyle name="Normal 9 2 2 2 2 2 2 5" xfId="13717" xr:uid="{0340E042-4935-489F-8FA6-8C76ED482651}"/>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2 3" xfId="12064" xr:uid="{F59E25E8-0A47-4FF9-9E6C-3177E1F09640}"/>
    <cellStyle name="Normal 9 2 2 2 2 2 3 2 4" xfId="16275" xr:uid="{02BBF5C9-6F97-4675-8C16-FAF580647AFA}"/>
    <cellStyle name="Normal 9 2 2 2 2 2 3 3" xfId="5708" xr:uid="{00000000-0005-0000-0000-0000771E0000}"/>
    <cellStyle name="Normal 9 2 2 2 2 2 3 4" xfId="9919" xr:uid="{9F6F4D9B-2505-4FFE-BD57-112B67F00479}"/>
    <cellStyle name="Normal 9 2 2 2 2 2 3 5" xfId="14130" xr:uid="{BFCCF616-7F1C-4866-B522-7950C39A047A}"/>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2 3" xfId="12477" xr:uid="{F895FC3A-9DAF-4A63-A42D-EFB5EEA207CB}"/>
    <cellStyle name="Normal 9 2 2 2 2 2 4 2 4" xfId="16688" xr:uid="{C5EBBCEB-EB5C-413A-B791-5EA03ADA3EB0}"/>
    <cellStyle name="Normal 9 2 2 2 2 2 4 3" xfId="6121" xr:uid="{00000000-0005-0000-0000-00007B1E0000}"/>
    <cellStyle name="Normal 9 2 2 2 2 2 4 4" xfId="10332" xr:uid="{D438F076-E19D-434B-9EDC-EF457B559456}"/>
    <cellStyle name="Normal 9 2 2 2 2 2 4 5" xfId="14543" xr:uid="{53924564-C4A7-4CE8-96B8-713FA4FA227A}"/>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2 3" xfId="12890" xr:uid="{3F7556E9-8749-4822-A1E6-0AA34D9C39A4}"/>
    <cellStyle name="Normal 9 2 2 2 2 2 5 2 4" xfId="17101" xr:uid="{254BFAF5-E472-42D2-8E0E-EBF59F749A04}"/>
    <cellStyle name="Normal 9 2 2 2 2 2 5 3" xfId="6534" xr:uid="{00000000-0005-0000-0000-00007F1E0000}"/>
    <cellStyle name="Normal 9 2 2 2 2 2 5 4" xfId="10745" xr:uid="{37359048-6220-49B8-B45F-D60A16A87B38}"/>
    <cellStyle name="Normal 9 2 2 2 2 2 5 5" xfId="14956" xr:uid="{2BA3D47A-3862-4CE3-8745-7BA310D28BC8}"/>
    <cellStyle name="Normal 9 2 2 2 2 2 6" xfId="2662" xr:uid="{00000000-0005-0000-0000-0000801E0000}"/>
    <cellStyle name="Normal 9 2 2 2 2 2 6 2" xfId="6947" xr:uid="{00000000-0005-0000-0000-0000811E0000}"/>
    <cellStyle name="Normal 9 2 2 2 2 2 6 3" xfId="11158" xr:uid="{09802F54-6969-489B-B697-550DCA2D2B6C}"/>
    <cellStyle name="Normal 9 2 2 2 2 2 6 4" xfId="15369" xr:uid="{712A83B2-F1D0-4F09-8E56-96B833F677EC}"/>
    <cellStyle name="Normal 9 2 2 2 2 2 7" xfId="4882" xr:uid="{00000000-0005-0000-0000-0000821E0000}"/>
    <cellStyle name="Normal 9 2 2 2 2 2 8" xfId="9093" xr:uid="{1CFA07E1-EE12-40B9-9A31-E6B60563D9D7}"/>
    <cellStyle name="Normal 9 2 2 2 2 2 9" xfId="13304" xr:uid="{4B1F9DB9-252D-4F4E-ABEF-8306266870F4}"/>
    <cellStyle name="Normal 9 2 2 2 2 3" xfId="982" xr:uid="{00000000-0005-0000-0000-0000831E0000}"/>
    <cellStyle name="Normal 9 2 2 2 2 3 2" xfId="3215" xr:uid="{00000000-0005-0000-0000-0000841E0000}"/>
    <cellStyle name="Normal 9 2 2 2 2 3 2 2" xfId="7439" xr:uid="{00000000-0005-0000-0000-0000851E0000}"/>
    <cellStyle name="Normal 9 2 2 2 2 3 2 3" xfId="11650" xr:uid="{F4B3C875-2B4F-46E7-B07D-8621ED618CA2}"/>
    <cellStyle name="Normal 9 2 2 2 2 3 2 4" xfId="15861" xr:uid="{3E6D1C12-30E9-485D-81A0-00A7C2C2AAFC}"/>
    <cellStyle name="Normal 9 2 2 2 2 3 3" xfId="5294" xr:uid="{00000000-0005-0000-0000-0000861E0000}"/>
    <cellStyle name="Normal 9 2 2 2 2 3 4" xfId="9505" xr:uid="{E0BC918F-6ED5-4D4F-A011-167071E62A26}"/>
    <cellStyle name="Normal 9 2 2 2 2 3 5" xfId="13716" xr:uid="{B01AB439-8DA5-4379-974C-54E42BA5A8E8}"/>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2 3" xfId="12063" xr:uid="{2BD8ABDB-8186-4E56-80C0-05B9DCAE4293}"/>
    <cellStyle name="Normal 9 2 2 2 2 4 2 4" xfId="16274" xr:uid="{965D7ECD-485A-48CD-97EC-7A1395D1282A}"/>
    <cellStyle name="Normal 9 2 2 2 2 4 3" xfId="5707" xr:uid="{00000000-0005-0000-0000-00008A1E0000}"/>
    <cellStyle name="Normal 9 2 2 2 2 4 4" xfId="9918" xr:uid="{C570D196-546E-4A38-A405-A3C624B95688}"/>
    <cellStyle name="Normal 9 2 2 2 2 4 5" xfId="14129" xr:uid="{F0966CEF-0114-4B91-9259-ED06139D5364}"/>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2 3" xfId="12476" xr:uid="{A708F51D-9C16-4D83-B100-2EF909788162}"/>
    <cellStyle name="Normal 9 2 2 2 2 5 2 4" xfId="16687" xr:uid="{640C67C5-B0A5-4EB0-B438-20E44B725878}"/>
    <cellStyle name="Normal 9 2 2 2 2 5 3" xfId="6120" xr:uid="{00000000-0005-0000-0000-00008E1E0000}"/>
    <cellStyle name="Normal 9 2 2 2 2 5 4" xfId="10331" xr:uid="{0124E3F5-DA74-470D-AD0C-176BA28017AC}"/>
    <cellStyle name="Normal 9 2 2 2 2 5 5" xfId="14542" xr:uid="{FA00BCB1-64C9-41EA-B9B6-BF9826030592}"/>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2 3" xfId="12889" xr:uid="{6CE032ED-0F74-4032-A546-F397925BDA4E}"/>
    <cellStyle name="Normal 9 2 2 2 2 6 2 4" xfId="17100" xr:uid="{6C1978A6-7BBD-4548-B04F-630208D1DEDF}"/>
    <cellStyle name="Normal 9 2 2 2 2 6 3" xfId="6533" xr:uid="{00000000-0005-0000-0000-0000921E0000}"/>
    <cellStyle name="Normal 9 2 2 2 2 6 4" xfId="10744" xr:uid="{611E11CA-D4B1-41E8-809F-3B1BB06285B7}"/>
    <cellStyle name="Normal 9 2 2 2 2 6 5" xfId="14955" xr:uid="{E5AFC0EB-8991-4116-AA55-37E69311A6E4}"/>
    <cellStyle name="Normal 9 2 2 2 2 7" xfId="2661" xr:uid="{00000000-0005-0000-0000-0000931E0000}"/>
    <cellStyle name="Normal 9 2 2 2 2 7 2" xfId="6946" xr:uid="{00000000-0005-0000-0000-0000941E0000}"/>
    <cellStyle name="Normal 9 2 2 2 2 7 3" xfId="11157" xr:uid="{C88AD197-B0D5-498A-ABCF-D908610E6C25}"/>
    <cellStyle name="Normal 9 2 2 2 2 7 4" xfId="15368" xr:uid="{88E762D7-A4AB-4ACA-8892-848E2B7AF533}"/>
    <cellStyle name="Normal 9 2 2 2 2 8" xfId="4881" xr:uid="{00000000-0005-0000-0000-0000951E0000}"/>
    <cellStyle name="Normal 9 2 2 2 2 9" xfId="9092" xr:uid="{B15E704D-B54C-48AD-8E2A-E26C0F5F2856}"/>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2 3" xfId="11652" xr:uid="{9B77BD9F-3EDB-4D63-96DF-714057C7307D}"/>
    <cellStyle name="Normal 9 2 2 2 3 2 2 4" xfId="15863" xr:uid="{4B072800-DDFE-4AFA-AB12-010B4B37D62A}"/>
    <cellStyle name="Normal 9 2 2 2 3 2 3" xfId="5296" xr:uid="{00000000-0005-0000-0000-00009A1E0000}"/>
    <cellStyle name="Normal 9 2 2 2 3 2 4" xfId="9507" xr:uid="{A2C59805-C4ED-485B-8537-8941D0C974A7}"/>
    <cellStyle name="Normal 9 2 2 2 3 2 5" xfId="13718" xr:uid="{9077515E-7363-40A7-A9FB-9D548568D3E8}"/>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2 3" xfId="12065" xr:uid="{22B3330E-31AE-40D9-922D-6CF448805782}"/>
    <cellStyle name="Normal 9 2 2 2 3 3 2 4" xfId="16276" xr:uid="{B63EC8C5-B80A-451D-9660-CF5E043B3D7B}"/>
    <cellStyle name="Normal 9 2 2 2 3 3 3" xfId="5709" xr:uid="{00000000-0005-0000-0000-00009E1E0000}"/>
    <cellStyle name="Normal 9 2 2 2 3 3 4" xfId="9920" xr:uid="{FA353944-4873-49D3-A4F1-EEA2A036A5AD}"/>
    <cellStyle name="Normal 9 2 2 2 3 3 5" xfId="14131" xr:uid="{BBF12345-D0F1-43D2-993F-3FD638F0F951}"/>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2 3" xfId="12478" xr:uid="{95B0E9B7-9DEB-429C-8FF5-35EFFBFB2876}"/>
    <cellStyle name="Normal 9 2 2 2 3 4 2 4" xfId="16689" xr:uid="{706C229C-B49F-4F69-9C6B-148019048F09}"/>
    <cellStyle name="Normal 9 2 2 2 3 4 3" xfId="6122" xr:uid="{00000000-0005-0000-0000-0000A21E0000}"/>
    <cellStyle name="Normal 9 2 2 2 3 4 4" xfId="10333" xr:uid="{D792D757-4CFE-47FE-8983-A995EFAC809D}"/>
    <cellStyle name="Normal 9 2 2 2 3 4 5" xfId="14544" xr:uid="{794E3460-BCDD-45E2-BC26-481E9981C5E9}"/>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2 3" xfId="12891" xr:uid="{D3C5FE2E-4FF1-4AA2-8B83-F2000772808E}"/>
    <cellStyle name="Normal 9 2 2 2 3 5 2 4" xfId="17102" xr:uid="{AA2A665E-B811-4C3F-90CC-1EFC3D4D1DEC}"/>
    <cellStyle name="Normal 9 2 2 2 3 5 3" xfId="6535" xr:uid="{00000000-0005-0000-0000-0000A61E0000}"/>
    <cellStyle name="Normal 9 2 2 2 3 5 4" xfId="10746" xr:uid="{D31F660B-C014-4AD8-8B02-163E6898C97A}"/>
    <cellStyle name="Normal 9 2 2 2 3 5 5" xfId="14957" xr:uid="{7F56FDD6-B30F-4EDB-A1B4-4063853466C3}"/>
    <cellStyle name="Normal 9 2 2 2 3 6" xfId="2663" xr:uid="{00000000-0005-0000-0000-0000A71E0000}"/>
    <cellStyle name="Normal 9 2 2 2 3 6 2" xfId="6948" xr:uid="{00000000-0005-0000-0000-0000A81E0000}"/>
    <cellStyle name="Normal 9 2 2 2 3 6 3" xfId="11159" xr:uid="{A54DA87F-0B2B-4EE2-9E1D-7E86C9105211}"/>
    <cellStyle name="Normal 9 2 2 2 3 6 4" xfId="15370" xr:uid="{E63C94B3-730D-4130-AA25-B5CEDBBC5A3E}"/>
    <cellStyle name="Normal 9 2 2 2 3 7" xfId="4883" xr:uid="{00000000-0005-0000-0000-0000A91E0000}"/>
    <cellStyle name="Normal 9 2 2 2 3 8" xfId="9094" xr:uid="{308141E6-2667-4FC8-86C0-2AE71935F12B}"/>
    <cellStyle name="Normal 9 2 2 2 3 9" xfId="13305" xr:uid="{466A3C30-A7AE-4EF2-9BA2-2F27948353F1}"/>
    <cellStyle name="Normal 9 2 2 2 4" xfId="981" xr:uid="{00000000-0005-0000-0000-0000AA1E0000}"/>
    <cellStyle name="Normal 9 2 2 2 4 2" xfId="3214" xr:uid="{00000000-0005-0000-0000-0000AB1E0000}"/>
    <cellStyle name="Normal 9 2 2 2 4 2 2" xfId="7438" xr:uid="{00000000-0005-0000-0000-0000AC1E0000}"/>
    <cellStyle name="Normal 9 2 2 2 4 2 3" xfId="11649" xr:uid="{73657ECC-7A06-4D2A-B8CF-54FD9DFDD920}"/>
    <cellStyle name="Normal 9 2 2 2 4 2 4" xfId="15860" xr:uid="{1BC16ABC-8424-4A9A-8DEE-9EABE52AC1CF}"/>
    <cellStyle name="Normal 9 2 2 2 4 3" xfId="5293" xr:uid="{00000000-0005-0000-0000-0000AD1E0000}"/>
    <cellStyle name="Normal 9 2 2 2 4 4" xfId="9504" xr:uid="{57AB6E27-5202-4ECD-B905-BF3431FE3171}"/>
    <cellStyle name="Normal 9 2 2 2 4 5" xfId="13715" xr:uid="{0586A928-2F44-474F-92B3-970BB72A0C54}"/>
    <cellStyle name="Normal 9 2 2 2 5" xfId="1397" xr:uid="{00000000-0005-0000-0000-0000AE1E0000}"/>
    <cellStyle name="Normal 9 2 2 2 5 2" xfId="3627" xr:uid="{00000000-0005-0000-0000-0000AF1E0000}"/>
    <cellStyle name="Normal 9 2 2 2 5 2 2" xfId="7851" xr:uid="{00000000-0005-0000-0000-0000B01E0000}"/>
    <cellStyle name="Normal 9 2 2 2 5 2 3" xfId="12062" xr:uid="{7FAA3958-9830-423D-9998-3D745A08226E}"/>
    <cellStyle name="Normal 9 2 2 2 5 2 4" xfId="16273" xr:uid="{C5162354-76D1-41C3-B300-14C12D528A3D}"/>
    <cellStyle name="Normal 9 2 2 2 5 3" xfId="5706" xr:uid="{00000000-0005-0000-0000-0000B11E0000}"/>
    <cellStyle name="Normal 9 2 2 2 5 4" xfId="9917" xr:uid="{5F6F7989-6542-4C9C-8062-8B23957B51E0}"/>
    <cellStyle name="Normal 9 2 2 2 5 5" xfId="14128" xr:uid="{CF99F084-7647-4E46-ADCE-D98A8BA7D8EE}"/>
    <cellStyle name="Normal 9 2 2 2 6" xfId="1810" xr:uid="{00000000-0005-0000-0000-0000B21E0000}"/>
    <cellStyle name="Normal 9 2 2 2 6 2" xfId="4040" xr:uid="{00000000-0005-0000-0000-0000B31E0000}"/>
    <cellStyle name="Normal 9 2 2 2 6 2 2" xfId="8264" xr:uid="{00000000-0005-0000-0000-0000B41E0000}"/>
    <cellStyle name="Normal 9 2 2 2 6 2 3" xfId="12475" xr:uid="{C617C508-ECFE-4BB6-8264-C9CC615DC007}"/>
    <cellStyle name="Normal 9 2 2 2 6 2 4" xfId="16686" xr:uid="{108AD6D7-9FBF-420A-BDF9-818CB2C5D428}"/>
    <cellStyle name="Normal 9 2 2 2 6 3" xfId="6119" xr:uid="{00000000-0005-0000-0000-0000B51E0000}"/>
    <cellStyle name="Normal 9 2 2 2 6 4" xfId="10330" xr:uid="{4768E53F-C73F-43D5-93E5-21809AFBB4C5}"/>
    <cellStyle name="Normal 9 2 2 2 6 5" xfId="14541" xr:uid="{211FCEC1-4F6D-4238-896C-7D0ACC394A81}"/>
    <cellStyle name="Normal 9 2 2 2 7" xfId="2224" xr:uid="{00000000-0005-0000-0000-0000B61E0000}"/>
    <cellStyle name="Normal 9 2 2 2 7 2" xfId="4453" xr:uid="{00000000-0005-0000-0000-0000B71E0000}"/>
    <cellStyle name="Normal 9 2 2 2 7 2 2" xfId="8677" xr:uid="{00000000-0005-0000-0000-0000B81E0000}"/>
    <cellStyle name="Normal 9 2 2 2 7 2 3" xfId="12888" xr:uid="{BFD1B96E-4166-4F5A-B812-77BD02DF473A}"/>
    <cellStyle name="Normal 9 2 2 2 7 2 4" xfId="17099" xr:uid="{746C4EBF-646C-48B8-A352-E9D1B76FEA23}"/>
    <cellStyle name="Normal 9 2 2 2 7 3" xfId="6532" xr:uid="{00000000-0005-0000-0000-0000B91E0000}"/>
    <cellStyle name="Normal 9 2 2 2 7 4" xfId="10743" xr:uid="{D6D2DA5D-2B88-4E02-B27B-C128C3D7CEF3}"/>
    <cellStyle name="Normal 9 2 2 2 7 5" xfId="14954" xr:uid="{9C92C726-6575-4CA4-A5CE-7C46100D4365}"/>
    <cellStyle name="Normal 9 2 2 2 8" xfId="2660" xr:uid="{00000000-0005-0000-0000-0000BA1E0000}"/>
    <cellStyle name="Normal 9 2 2 2 8 2" xfId="6945" xr:uid="{00000000-0005-0000-0000-0000BB1E0000}"/>
    <cellStyle name="Normal 9 2 2 2 8 3" xfId="11156" xr:uid="{74463613-2007-4ED7-A682-F133B5535521}"/>
    <cellStyle name="Normal 9 2 2 2 8 4" xfId="15367" xr:uid="{4AF157A3-D858-4C5B-80CD-01996F432614}"/>
    <cellStyle name="Normal 9 2 2 2 9" xfId="4880" xr:uid="{00000000-0005-0000-0000-0000BC1E0000}"/>
    <cellStyle name="Normal 9 2 2 3" xfId="517" xr:uid="{00000000-0005-0000-0000-0000BD1E0000}"/>
    <cellStyle name="Normal 9 2 2 3 10" xfId="13306" xr:uid="{1BF08EE3-8E4E-4137-A978-2052B162ED7A}"/>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2 3" xfId="11654" xr:uid="{963D4FED-D1F9-4356-97C1-52292B7D2629}"/>
    <cellStyle name="Normal 9 2 2 3 2 2 2 4" xfId="15865" xr:uid="{695D3F77-81A6-4ADA-ADFA-C472CD1162D0}"/>
    <cellStyle name="Normal 9 2 2 3 2 2 3" xfId="5298" xr:uid="{00000000-0005-0000-0000-0000C21E0000}"/>
    <cellStyle name="Normal 9 2 2 3 2 2 4" xfId="9509" xr:uid="{C1DBB5EB-312C-45D5-85E9-5019EBF810B8}"/>
    <cellStyle name="Normal 9 2 2 3 2 2 5" xfId="13720" xr:uid="{786576C5-58D4-4100-8A5C-61380FA0D693}"/>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2 3" xfId="12067" xr:uid="{129B7D1A-EECB-4D4D-AFA0-DCC92EB8EFC6}"/>
    <cellStyle name="Normal 9 2 2 3 2 3 2 4" xfId="16278" xr:uid="{ED22B4B6-DADA-4B08-90F5-61F5DA0078D8}"/>
    <cellStyle name="Normal 9 2 2 3 2 3 3" xfId="5711" xr:uid="{00000000-0005-0000-0000-0000C61E0000}"/>
    <cellStyle name="Normal 9 2 2 3 2 3 4" xfId="9922" xr:uid="{25D850AF-68E8-479A-A5F9-D0FE5A109BAB}"/>
    <cellStyle name="Normal 9 2 2 3 2 3 5" xfId="14133" xr:uid="{121940F0-B31C-44A7-A8C2-A693035A11EB}"/>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2 3" xfId="12480" xr:uid="{43CBAB3E-44F4-4C03-874D-82DDFA698FF2}"/>
    <cellStyle name="Normal 9 2 2 3 2 4 2 4" xfId="16691" xr:uid="{1B37451D-7FB0-4B01-BF22-C6755D652297}"/>
    <cellStyle name="Normal 9 2 2 3 2 4 3" xfId="6124" xr:uid="{00000000-0005-0000-0000-0000CA1E0000}"/>
    <cellStyle name="Normal 9 2 2 3 2 4 4" xfId="10335" xr:uid="{85D978E5-604A-4B44-B6DF-DCF535727F42}"/>
    <cellStyle name="Normal 9 2 2 3 2 4 5" xfId="14546" xr:uid="{83F62A98-00BA-4EF1-B2E7-6B7BDDCAE71C}"/>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2 3" xfId="12893" xr:uid="{FA0A616B-621D-4B45-A158-A557D01B6F36}"/>
    <cellStyle name="Normal 9 2 2 3 2 5 2 4" xfId="17104" xr:uid="{863577B0-1E77-4D19-A352-725CE7106119}"/>
    <cellStyle name="Normal 9 2 2 3 2 5 3" xfId="6537" xr:uid="{00000000-0005-0000-0000-0000CE1E0000}"/>
    <cellStyle name="Normal 9 2 2 3 2 5 4" xfId="10748" xr:uid="{45854CC4-1409-41FA-A97A-5C8CECDC7830}"/>
    <cellStyle name="Normal 9 2 2 3 2 5 5" xfId="14959" xr:uid="{29104128-9DE9-4E2F-A8FB-4F56712AD444}"/>
    <cellStyle name="Normal 9 2 2 3 2 6" xfId="2665" xr:uid="{00000000-0005-0000-0000-0000CF1E0000}"/>
    <cellStyle name="Normal 9 2 2 3 2 6 2" xfId="6950" xr:uid="{00000000-0005-0000-0000-0000D01E0000}"/>
    <cellStyle name="Normal 9 2 2 3 2 6 3" xfId="11161" xr:uid="{324D5233-5372-477D-A62F-84EC72759FA0}"/>
    <cellStyle name="Normal 9 2 2 3 2 6 4" xfId="15372" xr:uid="{5E64E3F7-3B38-4862-8D86-86EED93F61BB}"/>
    <cellStyle name="Normal 9 2 2 3 2 7" xfId="4885" xr:uid="{00000000-0005-0000-0000-0000D11E0000}"/>
    <cellStyle name="Normal 9 2 2 3 2 8" xfId="9096" xr:uid="{7A8D0923-05C9-4C76-812F-411BCB86A61E}"/>
    <cellStyle name="Normal 9 2 2 3 2 9" xfId="13307" xr:uid="{C9203297-A630-4A06-B74E-051CC7B47141}"/>
    <cellStyle name="Normal 9 2 2 3 3" xfId="985" xr:uid="{00000000-0005-0000-0000-0000D21E0000}"/>
    <cellStyle name="Normal 9 2 2 3 3 2" xfId="3218" xr:uid="{00000000-0005-0000-0000-0000D31E0000}"/>
    <cellStyle name="Normal 9 2 2 3 3 2 2" xfId="7442" xr:uid="{00000000-0005-0000-0000-0000D41E0000}"/>
    <cellStyle name="Normal 9 2 2 3 3 2 3" xfId="11653" xr:uid="{594DF450-399A-4C0C-9BCB-53ECF5AF1700}"/>
    <cellStyle name="Normal 9 2 2 3 3 2 4" xfId="15864" xr:uid="{87AADD3E-B284-4EE0-A59E-0C54E85C6270}"/>
    <cellStyle name="Normal 9 2 2 3 3 3" xfId="5297" xr:uid="{00000000-0005-0000-0000-0000D51E0000}"/>
    <cellStyle name="Normal 9 2 2 3 3 4" xfId="9508" xr:uid="{9462F0C7-7357-498B-B402-3B0A44E2A807}"/>
    <cellStyle name="Normal 9 2 2 3 3 5" xfId="13719" xr:uid="{92E30C9F-9DBE-4867-92D8-C3CB89DD4534}"/>
    <cellStyle name="Normal 9 2 2 3 4" xfId="1401" xr:uid="{00000000-0005-0000-0000-0000D61E0000}"/>
    <cellStyle name="Normal 9 2 2 3 4 2" xfId="3631" xr:uid="{00000000-0005-0000-0000-0000D71E0000}"/>
    <cellStyle name="Normal 9 2 2 3 4 2 2" xfId="7855" xr:uid="{00000000-0005-0000-0000-0000D81E0000}"/>
    <cellStyle name="Normal 9 2 2 3 4 2 3" xfId="12066" xr:uid="{A90367BC-BBEF-4998-BB2E-C07EBD25B040}"/>
    <cellStyle name="Normal 9 2 2 3 4 2 4" xfId="16277" xr:uid="{3E03ADD1-00DC-4A6C-987F-3AE60B532F7F}"/>
    <cellStyle name="Normal 9 2 2 3 4 3" xfId="5710" xr:uid="{00000000-0005-0000-0000-0000D91E0000}"/>
    <cellStyle name="Normal 9 2 2 3 4 4" xfId="9921" xr:uid="{03A77D13-E3DA-4592-A209-D4FD85CFB80B}"/>
    <cellStyle name="Normal 9 2 2 3 4 5" xfId="14132" xr:uid="{E29F5BCB-A614-4B75-B65C-53A8BCE561A5}"/>
    <cellStyle name="Normal 9 2 2 3 5" xfId="1814" xr:uid="{00000000-0005-0000-0000-0000DA1E0000}"/>
    <cellStyle name="Normal 9 2 2 3 5 2" xfId="4044" xr:uid="{00000000-0005-0000-0000-0000DB1E0000}"/>
    <cellStyle name="Normal 9 2 2 3 5 2 2" xfId="8268" xr:uid="{00000000-0005-0000-0000-0000DC1E0000}"/>
    <cellStyle name="Normal 9 2 2 3 5 2 3" xfId="12479" xr:uid="{43AD4FAD-9558-4E1A-9174-8A82D7BD95AE}"/>
    <cellStyle name="Normal 9 2 2 3 5 2 4" xfId="16690" xr:uid="{8F9E9ED6-269A-4052-AD15-6B448394E4B1}"/>
    <cellStyle name="Normal 9 2 2 3 5 3" xfId="6123" xr:uid="{00000000-0005-0000-0000-0000DD1E0000}"/>
    <cellStyle name="Normal 9 2 2 3 5 4" xfId="10334" xr:uid="{2D7F0AAC-7AD6-44B3-B674-011C473E7CA7}"/>
    <cellStyle name="Normal 9 2 2 3 5 5" xfId="14545" xr:uid="{97A18DE0-EF7A-4191-AD21-DCBF3F721FE8}"/>
    <cellStyle name="Normal 9 2 2 3 6" xfId="2228" xr:uid="{00000000-0005-0000-0000-0000DE1E0000}"/>
    <cellStyle name="Normal 9 2 2 3 6 2" xfId="4457" xr:uid="{00000000-0005-0000-0000-0000DF1E0000}"/>
    <cellStyle name="Normal 9 2 2 3 6 2 2" xfId="8681" xr:uid="{00000000-0005-0000-0000-0000E01E0000}"/>
    <cellStyle name="Normal 9 2 2 3 6 2 3" xfId="12892" xr:uid="{126FE392-6D5F-448C-8953-540257D1B600}"/>
    <cellStyle name="Normal 9 2 2 3 6 2 4" xfId="17103" xr:uid="{B8D00EAC-5206-45E3-9A78-5E716917FDCF}"/>
    <cellStyle name="Normal 9 2 2 3 6 3" xfId="6536" xr:uid="{00000000-0005-0000-0000-0000E11E0000}"/>
    <cellStyle name="Normal 9 2 2 3 6 4" xfId="10747" xr:uid="{AC279DD5-FCB8-43F7-8740-C3EA9B0AC993}"/>
    <cellStyle name="Normal 9 2 2 3 6 5" xfId="14958" xr:uid="{C0B0240B-07FA-4272-8FE7-DA225356C0E8}"/>
    <cellStyle name="Normal 9 2 2 3 7" xfId="2664" xr:uid="{00000000-0005-0000-0000-0000E21E0000}"/>
    <cellStyle name="Normal 9 2 2 3 7 2" xfId="6949" xr:uid="{00000000-0005-0000-0000-0000E31E0000}"/>
    <cellStyle name="Normal 9 2 2 3 7 3" xfId="11160" xr:uid="{D56DB7DB-3FAA-41ED-A07B-9EE88FFCBF67}"/>
    <cellStyle name="Normal 9 2 2 3 7 4" xfId="15371" xr:uid="{CD92E059-97F9-4228-99C0-E08C05A1FBE3}"/>
    <cellStyle name="Normal 9 2 2 3 8" xfId="4884" xr:uid="{00000000-0005-0000-0000-0000E41E0000}"/>
    <cellStyle name="Normal 9 2 2 3 9" xfId="9095" xr:uid="{56B41EB1-0DA2-450A-A870-E64FB01AAE75}"/>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2 3" xfId="11655" xr:uid="{0CF6A1AA-78FC-4245-9CAB-F746B224D9A0}"/>
    <cellStyle name="Normal 9 2 2 4 2 2 4" xfId="15866" xr:uid="{371D1971-37BC-408A-817F-3576E6F7CF4F}"/>
    <cellStyle name="Normal 9 2 2 4 2 3" xfId="5299" xr:uid="{00000000-0005-0000-0000-0000E91E0000}"/>
    <cellStyle name="Normal 9 2 2 4 2 4" xfId="9510" xr:uid="{83414D6B-DD52-4A6D-8F4A-BFC48371F0E0}"/>
    <cellStyle name="Normal 9 2 2 4 2 5" xfId="13721" xr:uid="{71E2C41F-3F5F-49E6-9A0A-618F33FA22DB}"/>
    <cellStyle name="Normal 9 2 2 4 3" xfId="1403" xr:uid="{00000000-0005-0000-0000-0000EA1E0000}"/>
    <cellStyle name="Normal 9 2 2 4 3 2" xfId="3633" xr:uid="{00000000-0005-0000-0000-0000EB1E0000}"/>
    <cellStyle name="Normal 9 2 2 4 3 2 2" xfId="7857" xr:uid="{00000000-0005-0000-0000-0000EC1E0000}"/>
    <cellStyle name="Normal 9 2 2 4 3 2 3" xfId="12068" xr:uid="{FBDD2DBA-53B9-4DFD-8342-8D204850C193}"/>
    <cellStyle name="Normal 9 2 2 4 3 2 4" xfId="16279" xr:uid="{A757C58F-3367-496B-842C-05F11302F6CE}"/>
    <cellStyle name="Normal 9 2 2 4 3 3" xfId="5712" xr:uid="{00000000-0005-0000-0000-0000ED1E0000}"/>
    <cellStyle name="Normal 9 2 2 4 3 4" xfId="9923" xr:uid="{B742FC55-88C0-4688-BA17-60B5F74D2A17}"/>
    <cellStyle name="Normal 9 2 2 4 3 5" xfId="14134" xr:uid="{D6C3853C-1B84-4EA0-9BF2-FA82FAAA7C25}"/>
    <cellStyle name="Normal 9 2 2 4 4" xfId="1816" xr:uid="{00000000-0005-0000-0000-0000EE1E0000}"/>
    <cellStyle name="Normal 9 2 2 4 4 2" xfId="4046" xr:uid="{00000000-0005-0000-0000-0000EF1E0000}"/>
    <cellStyle name="Normal 9 2 2 4 4 2 2" xfId="8270" xr:uid="{00000000-0005-0000-0000-0000F01E0000}"/>
    <cellStyle name="Normal 9 2 2 4 4 2 3" xfId="12481" xr:uid="{C95058D4-3967-43EC-A624-A2E14E41E00E}"/>
    <cellStyle name="Normal 9 2 2 4 4 2 4" xfId="16692" xr:uid="{8B909C25-75E9-42E2-B6F9-2FC23EA96B34}"/>
    <cellStyle name="Normal 9 2 2 4 4 3" xfId="6125" xr:uid="{00000000-0005-0000-0000-0000F11E0000}"/>
    <cellStyle name="Normal 9 2 2 4 4 4" xfId="10336" xr:uid="{7229AEAF-F5CA-41DC-ABE4-CF470C601D00}"/>
    <cellStyle name="Normal 9 2 2 4 4 5" xfId="14547" xr:uid="{35DC9B8E-5A71-46FB-A7F7-9E9A7996DE0F}"/>
    <cellStyle name="Normal 9 2 2 4 5" xfId="2230" xr:uid="{00000000-0005-0000-0000-0000F21E0000}"/>
    <cellStyle name="Normal 9 2 2 4 5 2" xfId="4459" xr:uid="{00000000-0005-0000-0000-0000F31E0000}"/>
    <cellStyle name="Normal 9 2 2 4 5 2 2" xfId="8683" xr:uid="{00000000-0005-0000-0000-0000F41E0000}"/>
    <cellStyle name="Normal 9 2 2 4 5 2 3" xfId="12894" xr:uid="{1F27BF0D-0520-4301-A08E-BCCD7C303CF1}"/>
    <cellStyle name="Normal 9 2 2 4 5 2 4" xfId="17105" xr:uid="{96E82E4A-A9D8-4A7F-914C-C50F66651221}"/>
    <cellStyle name="Normal 9 2 2 4 5 3" xfId="6538" xr:uid="{00000000-0005-0000-0000-0000F51E0000}"/>
    <cellStyle name="Normal 9 2 2 4 5 4" xfId="10749" xr:uid="{60E71DBE-42CD-4981-8935-C7E696D4DE61}"/>
    <cellStyle name="Normal 9 2 2 4 5 5" xfId="14960" xr:uid="{96A55795-7A42-4B1C-A169-2D38104A550A}"/>
    <cellStyle name="Normal 9 2 2 4 6" xfId="2666" xr:uid="{00000000-0005-0000-0000-0000F61E0000}"/>
    <cellStyle name="Normal 9 2 2 4 6 2" xfId="6951" xr:uid="{00000000-0005-0000-0000-0000F71E0000}"/>
    <cellStyle name="Normal 9 2 2 4 6 3" xfId="11162" xr:uid="{98B7BAC4-E4B6-4D38-8AA3-4CC3273A821E}"/>
    <cellStyle name="Normal 9 2 2 4 6 4" xfId="15373" xr:uid="{55DDF5B0-0D38-4C1A-952D-86AF16BF4F18}"/>
    <cellStyle name="Normal 9 2 2 4 7" xfId="4886" xr:uid="{00000000-0005-0000-0000-0000F81E0000}"/>
    <cellStyle name="Normal 9 2 2 4 8" xfId="9097" xr:uid="{135BA291-8C1D-4563-9FDD-D7D31231DF45}"/>
    <cellStyle name="Normal 9 2 2 4 9" xfId="13308" xr:uid="{FAA7672A-9F36-4681-BD07-9BEDA2088E98}"/>
    <cellStyle name="Normal 9 2 2 5" xfId="980" xr:uid="{00000000-0005-0000-0000-0000F91E0000}"/>
    <cellStyle name="Normal 9 2 2 5 2" xfId="3213" xr:uid="{00000000-0005-0000-0000-0000FA1E0000}"/>
    <cellStyle name="Normal 9 2 2 5 2 2" xfId="7437" xr:uid="{00000000-0005-0000-0000-0000FB1E0000}"/>
    <cellStyle name="Normal 9 2 2 5 2 3" xfId="11648" xr:uid="{F2307074-CCBE-4535-BE0B-732B7C10454F}"/>
    <cellStyle name="Normal 9 2 2 5 2 4" xfId="15859" xr:uid="{27E19FBC-B912-4AFF-BAB1-C637B52F4F23}"/>
    <cellStyle name="Normal 9 2 2 5 3" xfId="5292" xr:uid="{00000000-0005-0000-0000-0000FC1E0000}"/>
    <cellStyle name="Normal 9 2 2 5 4" xfId="9503" xr:uid="{A2B0EDD3-DBD6-45D9-8542-252928F9EB52}"/>
    <cellStyle name="Normal 9 2 2 5 5" xfId="13714" xr:uid="{DF07DC96-6B4C-43B6-8497-9A3F1E078CC3}"/>
    <cellStyle name="Normal 9 2 2 6" xfId="1396" xr:uid="{00000000-0005-0000-0000-0000FD1E0000}"/>
    <cellStyle name="Normal 9 2 2 6 2" xfId="3626" xr:uid="{00000000-0005-0000-0000-0000FE1E0000}"/>
    <cellStyle name="Normal 9 2 2 6 2 2" xfId="7850" xr:uid="{00000000-0005-0000-0000-0000FF1E0000}"/>
    <cellStyle name="Normal 9 2 2 6 2 3" xfId="12061" xr:uid="{89D6F3FA-F497-4C53-8C72-D3D8982CB30C}"/>
    <cellStyle name="Normal 9 2 2 6 2 4" xfId="16272" xr:uid="{86F0DC94-C1FB-476C-AC23-7D49C8B43741}"/>
    <cellStyle name="Normal 9 2 2 6 3" xfId="5705" xr:uid="{00000000-0005-0000-0000-0000001F0000}"/>
    <cellStyle name="Normal 9 2 2 6 4" xfId="9916" xr:uid="{17008F9C-278D-4634-B13C-DA11099F3767}"/>
    <cellStyle name="Normal 9 2 2 6 5" xfId="14127" xr:uid="{504683BB-51C2-4BB9-8158-89C921E59E79}"/>
    <cellStyle name="Normal 9 2 2 7" xfId="1809" xr:uid="{00000000-0005-0000-0000-0000011F0000}"/>
    <cellStyle name="Normal 9 2 2 7 2" xfId="4039" xr:uid="{00000000-0005-0000-0000-0000021F0000}"/>
    <cellStyle name="Normal 9 2 2 7 2 2" xfId="8263" xr:uid="{00000000-0005-0000-0000-0000031F0000}"/>
    <cellStyle name="Normal 9 2 2 7 2 3" xfId="12474" xr:uid="{6DB1C4E7-930C-47EF-AD18-46895E6AACEE}"/>
    <cellStyle name="Normal 9 2 2 7 2 4" xfId="16685" xr:uid="{09C70A81-0492-448A-822C-9B116CDB411B}"/>
    <cellStyle name="Normal 9 2 2 7 3" xfId="6118" xr:uid="{00000000-0005-0000-0000-0000041F0000}"/>
    <cellStyle name="Normal 9 2 2 7 4" xfId="10329" xr:uid="{D7FAD27B-B546-40E9-BD6F-FC05BBF9137F}"/>
    <cellStyle name="Normal 9 2 2 7 5" xfId="14540" xr:uid="{52828CBF-4D21-4F21-A945-D3E01692A196}"/>
    <cellStyle name="Normal 9 2 2 8" xfId="2223" xr:uid="{00000000-0005-0000-0000-0000051F0000}"/>
    <cellStyle name="Normal 9 2 2 8 2" xfId="4452" xr:uid="{00000000-0005-0000-0000-0000061F0000}"/>
    <cellStyle name="Normal 9 2 2 8 2 2" xfId="8676" xr:uid="{00000000-0005-0000-0000-0000071F0000}"/>
    <cellStyle name="Normal 9 2 2 8 2 3" xfId="12887" xr:uid="{98EB2957-F349-4147-8D48-36928885B1E2}"/>
    <cellStyle name="Normal 9 2 2 8 2 4" xfId="17098" xr:uid="{54B4CE03-9C1C-4CF4-B697-67362FBDBDCF}"/>
    <cellStyle name="Normal 9 2 2 8 3" xfId="6531" xr:uid="{00000000-0005-0000-0000-0000081F0000}"/>
    <cellStyle name="Normal 9 2 2 8 4" xfId="10742" xr:uid="{995D4931-A4D4-477A-A524-E4CBCFFAE537}"/>
    <cellStyle name="Normal 9 2 2 8 5" xfId="14953" xr:uid="{DB1B1866-7C44-4416-80F4-9140DA66F4EE}"/>
    <cellStyle name="Normal 9 2 2 9" xfId="2659" xr:uid="{00000000-0005-0000-0000-0000091F0000}"/>
    <cellStyle name="Normal 9 2 2 9 2" xfId="6944" xr:uid="{00000000-0005-0000-0000-00000A1F0000}"/>
    <cellStyle name="Normal 9 2 2 9 3" xfId="11155" xr:uid="{AF297293-B451-4BA6-B6A3-541C29CB19A2}"/>
    <cellStyle name="Normal 9 2 2 9 4" xfId="15366" xr:uid="{2F8B156A-4C8F-49A4-80A2-327232BF542B}"/>
    <cellStyle name="Normal 9 2 3" xfId="520" xr:uid="{00000000-0005-0000-0000-00000B1F0000}"/>
    <cellStyle name="Normal 9 2 3 10" xfId="9098" xr:uid="{2E19FDDC-E7DC-4B65-84BA-77C78E0AF16E}"/>
    <cellStyle name="Normal 9 2 3 11" xfId="13309" xr:uid="{B3CE5D49-EE52-4B92-A371-7C2CA3CFBF74}"/>
    <cellStyle name="Normal 9 2 3 2" xfId="521" xr:uid="{00000000-0005-0000-0000-00000C1F0000}"/>
    <cellStyle name="Normal 9 2 3 2 10" xfId="13310" xr:uid="{C3D3C0C2-D55E-40BE-AB5B-E9E1B083546A}"/>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2 3" xfId="11658" xr:uid="{6FD1B1DD-166C-46EB-AC20-F19DCC472E95}"/>
    <cellStyle name="Normal 9 2 3 2 2 2 2 4" xfId="15869" xr:uid="{A61431E8-3B67-4AAF-8C4F-E165F7F872E5}"/>
    <cellStyle name="Normal 9 2 3 2 2 2 3" xfId="5302" xr:uid="{00000000-0005-0000-0000-0000111F0000}"/>
    <cellStyle name="Normal 9 2 3 2 2 2 4" xfId="9513" xr:uid="{8A5929B7-611B-4EDB-B87C-427121DD9672}"/>
    <cellStyle name="Normal 9 2 3 2 2 2 5" xfId="13724" xr:uid="{0D17EB20-03A8-458D-9FC1-AA234CD49405}"/>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2 3" xfId="12071" xr:uid="{466F6CC9-5C92-4095-A25F-19A252EEB6BA}"/>
    <cellStyle name="Normal 9 2 3 2 2 3 2 4" xfId="16282" xr:uid="{1065CDF8-9064-403B-BC86-8E033E87F72C}"/>
    <cellStyle name="Normal 9 2 3 2 2 3 3" xfId="5715" xr:uid="{00000000-0005-0000-0000-0000151F0000}"/>
    <cellStyle name="Normal 9 2 3 2 2 3 4" xfId="9926" xr:uid="{9B0C3C9B-741E-493E-A3A5-935DC1E721C2}"/>
    <cellStyle name="Normal 9 2 3 2 2 3 5" xfId="14137" xr:uid="{757603A2-B303-44ED-944C-9FE99F9BF564}"/>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2 3" xfId="12484" xr:uid="{50B8BF47-95EE-40CE-AC1E-66C219C92936}"/>
    <cellStyle name="Normal 9 2 3 2 2 4 2 4" xfId="16695" xr:uid="{2F0A757D-0A74-47DA-9563-233813AF9A44}"/>
    <cellStyle name="Normal 9 2 3 2 2 4 3" xfId="6128" xr:uid="{00000000-0005-0000-0000-0000191F0000}"/>
    <cellStyle name="Normal 9 2 3 2 2 4 4" xfId="10339" xr:uid="{11A5664D-17F8-434E-93F3-1B06C7D2FFA5}"/>
    <cellStyle name="Normal 9 2 3 2 2 4 5" xfId="14550" xr:uid="{D897007D-C9BB-4085-B688-96DEB202E2D7}"/>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2 3" xfId="12897" xr:uid="{BA1F1FE9-59C9-4247-A4CA-581DBDC225B0}"/>
    <cellStyle name="Normal 9 2 3 2 2 5 2 4" xfId="17108" xr:uid="{CBB3BC42-B1B5-4239-819F-A4C5FD416371}"/>
    <cellStyle name="Normal 9 2 3 2 2 5 3" xfId="6541" xr:uid="{00000000-0005-0000-0000-00001D1F0000}"/>
    <cellStyle name="Normal 9 2 3 2 2 5 4" xfId="10752" xr:uid="{C968F372-FCC7-4114-BA30-AC31FA11FED8}"/>
    <cellStyle name="Normal 9 2 3 2 2 5 5" xfId="14963" xr:uid="{354D5291-339B-4928-95F4-6A8472DDEE0B}"/>
    <cellStyle name="Normal 9 2 3 2 2 6" xfId="2669" xr:uid="{00000000-0005-0000-0000-00001E1F0000}"/>
    <cellStyle name="Normal 9 2 3 2 2 6 2" xfId="6954" xr:uid="{00000000-0005-0000-0000-00001F1F0000}"/>
    <cellStyle name="Normal 9 2 3 2 2 6 3" xfId="11165" xr:uid="{EC22243F-41E0-4563-83EC-9C1ECEC6BC7B}"/>
    <cellStyle name="Normal 9 2 3 2 2 6 4" xfId="15376" xr:uid="{5AC3B8C9-B2A1-44F7-97C1-53201D73112F}"/>
    <cellStyle name="Normal 9 2 3 2 2 7" xfId="4889" xr:uid="{00000000-0005-0000-0000-0000201F0000}"/>
    <cellStyle name="Normal 9 2 3 2 2 8" xfId="9100" xr:uid="{D91791AF-E14A-4101-8A2F-02894CCAFCA6}"/>
    <cellStyle name="Normal 9 2 3 2 2 9" xfId="13311" xr:uid="{5E1E2325-B7D5-4A2E-9C0A-9DB05D9561A1}"/>
    <cellStyle name="Normal 9 2 3 2 3" xfId="989" xr:uid="{00000000-0005-0000-0000-0000211F0000}"/>
    <cellStyle name="Normal 9 2 3 2 3 2" xfId="3222" xr:uid="{00000000-0005-0000-0000-0000221F0000}"/>
    <cellStyle name="Normal 9 2 3 2 3 2 2" xfId="7446" xr:uid="{00000000-0005-0000-0000-0000231F0000}"/>
    <cellStyle name="Normal 9 2 3 2 3 2 3" xfId="11657" xr:uid="{F9C7EE5A-51DA-477A-9B4D-DB7A85AE8F8B}"/>
    <cellStyle name="Normal 9 2 3 2 3 2 4" xfId="15868" xr:uid="{6D00F9E3-1AE3-4206-B87C-56BC20AEAD63}"/>
    <cellStyle name="Normal 9 2 3 2 3 3" xfId="5301" xr:uid="{00000000-0005-0000-0000-0000241F0000}"/>
    <cellStyle name="Normal 9 2 3 2 3 4" xfId="9512" xr:uid="{29EE7734-708C-4ADB-9290-54C2A8DB5E23}"/>
    <cellStyle name="Normal 9 2 3 2 3 5" xfId="13723" xr:uid="{D3BBF3CB-0590-4538-8280-F9E7D6A1BFF5}"/>
    <cellStyle name="Normal 9 2 3 2 4" xfId="1405" xr:uid="{00000000-0005-0000-0000-0000251F0000}"/>
    <cellStyle name="Normal 9 2 3 2 4 2" xfId="3635" xr:uid="{00000000-0005-0000-0000-0000261F0000}"/>
    <cellStyle name="Normal 9 2 3 2 4 2 2" xfId="7859" xr:uid="{00000000-0005-0000-0000-0000271F0000}"/>
    <cellStyle name="Normal 9 2 3 2 4 2 3" xfId="12070" xr:uid="{39553C6C-C32F-4995-A4DD-96C66839450F}"/>
    <cellStyle name="Normal 9 2 3 2 4 2 4" xfId="16281" xr:uid="{3CE60BA6-7093-4041-B6A5-79B6E22E8A51}"/>
    <cellStyle name="Normal 9 2 3 2 4 3" xfId="5714" xr:uid="{00000000-0005-0000-0000-0000281F0000}"/>
    <cellStyle name="Normal 9 2 3 2 4 4" xfId="9925" xr:uid="{511C5827-44DE-4434-9615-36F6B8D59E8A}"/>
    <cellStyle name="Normal 9 2 3 2 4 5" xfId="14136" xr:uid="{62E22602-5B68-4216-AE98-4709F6002B36}"/>
    <cellStyle name="Normal 9 2 3 2 5" xfId="1818" xr:uid="{00000000-0005-0000-0000-0000291F0000}"/>
    <cellStyle name="Normal 9 2 3 2 5 2" xfId="4048" xr:uid="{00000000-0005-0000-0000-00002A1F0000}"/>
    <cellStyle name="Normal 9 2 3 2 5 2 2" xfId="8272" xr:uid="{00000000-0005-0000-0000-00002B1F0000}"/>
    <cellStyle name="Normal 9 2 3 2 5 2 3" xfId="12483" xr:uid="{F84097CB-0254-40E7-A047-30D0C68BC1D7}"/>
    <cellStyle name="Normal 9 2 3 2 5 2 4" xfId="16694" xr:uid="{F400C066-ED71-497D-820F-0CB27709F656}"/>
    <cellStyle name="Normal 9 2 3 2 5 3" xfId="6127" xr:uid="{00000000-0005-0000-0000-00002C1F0000}"/>
    <cellStyle name="Normal 9 2 3 2 5 4" xfId="10338" xr:uid="{5DDF9814-000B-4245-81FA-669A582F6BFD}"/>
    <cellStyle name="Normal 9 2 3 2 5 5" xfId="14549" xr:uid="{2068271B-86BD-4284-8029-385FC7A3D54A}"/>
    <cellStyle name="Normal 9 2 3 2 6" xfId="2232" xr:uid="{00000000-0005-0000-0000-00002D1F0000}"/>
    <cellStyle name="Normal 9 2 3 2 6 2" xfId="4461" xr:uid="{00000000-0005-0000-0000-00002E1F0000}"/>
    <cellStyle name="Normal 9 2 3 2 6 2 2" xfId="8685" xr:uid="{00000000-0005-0000-0000-00002F1F0000}"/>
    <cellStyle name="Normal 9 2 3 2 6 2 3" xfId="12896" xr:uid="{485ACCCC-3F62-478B-8B62-2154BD707280}"/>
    <cellStyle name="Normal 9 2 3 2 6 2 4" xfId="17107" xr:uid="{9474C596-E92E-4EFC-BF46-DEDD54D474BB}"/>
    <cellStyle name="Normal 9 2 3 2 6 3" xfId="6540" xr:uid="{00000000-0005-0000-0000-0000301F0000}"/>
    <cellStyle name="Normal 9 2 3 2 6 4" xfId="10751" xr:uid="{3934F801-AA6A-497D-8452-3BAE0DE79AB7}"/>
    <cellStyle name="Normal 9 2 3 2 6 5" xfId="14962" xr:uid="{D798F880-7AAC-4138-9F40-92CB64D7B033}"/>
    <cellStyle name="Normal 9 2 3 2 7" xfId="2668" xr:uid="{00000000-0005-0000-0000-0000311F0000}"/>
    <cellStyle name="Normal 9 2 3 2 7 2" xfId="6953" xr:uid="{00000000-0005-0000-0000-0000321F0000}"/>
    <cellStyle name="Normal 9 2 3 2 7 3" xfId="11164" xr:uid="{8A337E56-59F4-411D-9DDD-5867BB4DE1DD}"/>
    <cellStyle name="Normal 9 2 3 2 7 4" xfId="15375" xr:uid="{A6706A5F-CB10-4073-AFA9-66E1D066722B}"/>
    <cellStyle name="Normal 9 2 3 2 8" xfId="4888" xr:uid="{00000000-0005-0000-0000-0000331F0000}"/>
    <cellStyle name="Normal 9 2 3 2 9" xfId="9099" xr:uid="{272C94D4-58EA-4B3D-8779-539D347EB809}"/>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2 3" xfId="11659" xr:uid="{E5A9D6D4-D0EC-4C98-94E6-2443D1957F71}"/>
    <cellStyle name="Normal 9 2 3 3 2 2 4" xfId="15870" xr:uid="{5EDBCCEE-F339-40D5-A6A1-576261F6401B}"/>
    <cellStyle name="Normal 9 2 3 3 2 3" xfId="5303" xr:uid="{00000000-0005-0000-0000-0000381F0000}"/>
    <cellStyle name="Normal 9 2 3 3 2 4" xfId="9514" xr:uid="{6843ECFE-D32F-4CCB-8638-D5DE1BE18E6F}"/>
    <cellStyle name="Normal 9 2 3 3 2 5" xfId="13725" xr:uid="{4143A884-26D5-4F46-B27A-17711244C443}"/>
    <cellStyle name="Normal 9 2 3 3 3" xfId="1407" xr:uid="{00000000-0005-0000-0000-0000391F0000}"/>
    <cellStyle name="Normal 9 2 3 3 3 2" xfId="3637" xr:uid="{00000000-0005-0000-0000-00003A1F0000}"/>
    <cellStyle name="Normal 9 2 3 3 3 2 2" xfId="7861" xr:uid="{00000000-0005-0000-0000-00003B1F0000}"/>
    <cellStyle name="Normal 9 2 3 3 3 2 3" xfId="12072" xr:uid="{1D526708-D9F3-46FD-88E9-885CE9A4D34F}"/>
    <cellStyle name="Normal 9 2 3 3 3 2 4" xfId="16283" xr:uid="{DE7662D5-AEBB-471D-A476-5055E7EAC3DA}"/>
    <cellStyle name="Normal 9 2 3 3 3 3" xfId="5716" xr:uid="{00000000-0005-0000-0000-00003C1F0000}"/>
    <cellStyle name="Normal 9 2 3 3 3 4" xfId="9927" xr:uid="{A63C9C65-6C3D-4538-BE29-3AFD480BA304}"/>
    <cellStyle name="Normal 9 2 3 3 3 5" xfId="14138" xr:uid="{EBE4E75E-1331-479A-B396-CC97FDF2AD4F}"/>
    <cellStyle name="Normal 9 2 3 3 4" xfId="1820" xr:uid="{00000000-0005-0000-0000-00003D1F0000}"/>
    <cellStyle name="Normal 9 2 3 3 4 2" xfId="4050" xr:uid="{00000000-0005-0000-0000-00003E1F0000}"/>
    <cellStyle name="Normal 9 2 3 3 4 2 2" xfId="8274" xr:uid="{00000000-0005-0000-0000-00003F1F0000}"/>
    <cellStyle name="Normal 9 2 3 3 4 2 3" xfId="12485" xr:uid="{41CA8FCA-AFA4-491B-B7B7-C9C23BDCE3CF}"/>
    <cellStyle name="Normal 9 2 3 3 4 2 4" xfId="16696" xr:uid="{D2AF400C-BDA1-45DD-B790-BB2E735C35A4}"/>
    <cellStyle name="Normal 9 2 3 3 4 3" xfId="6129" xr:uid="{00000000-0005-0000-0000-0000401F0000}"/>
    <cellStyle name="Normal 9 2 3 3 4 4" xfId="10340" xr:uid="{61E9B502-3042-409E-A797-FDB4371F9FC6}"/>
    <cellStyle name="Normal 9 2 3 3 4 5" xfId="14551" xr:uid="{C970A627-54C7-4CBF-8BFC-610773CD4BEF}"/>
    <cellStyle name="Normal 9 2 3 3 5" xfId="2234" xr:uid="{00000000-0005-0000-0000-0000411F0000}"/>
    <cellStyle name="Normal 9 2 3 3 5 2" xfId="4463" xr:uid="{00000000-0005-0000-0000-0000421F0000}"/>
    <cellStyle name="Normal 9 2 3 3 5 2 2" xfId="8687" xr:uid="{00000000-0005-0000-0000-0000431F0000}"/>
    <cellStyle name="Normal 9 2 3 3 5 2 3" xfId="12898" xr:uid="{2F8562E6-B287-468E-8D05-42EDE1D4F70F}"/>
    <cellStyle name="Normal 9 2 3 3 5 2 4" xfId="17109" xr:uid="{E20689FA-C19E-4015-896D-7DC7E1B68111}"/>
    <cellStyle name="Normal 9 2 3 3 5 3" xfId="6542" xr:uid="{00000000-0005-0000-0000-0000441F0000}"/>
    <cellStyle name="Normal 9 2 3 3 5 4" xfId="10753" xr:uid="{746C66B7-B31E-4980-8699-4E052322EC8C}"/>
    <cellStyle name="Normal 9 2 3 3 5 5" xfId="14964" xr:uid="{F31AD9E1-2A51-43F1-B812-872D2C9CB551}"/>
    <cellStyle name="Normal 9 2 3 3 6" xfId="2670" xr:uid="{00000000-0005-0000-0000-0000451F0000}"/>
    <cellStyle name="Normal 9 2 3 3 6 2" xfId="6955" xr:uid="{00000000-0005-0000-0000-0000461F0000}"/>
    <cellStyle name="Normal 9 2 3 3 6 3" xfId="11166" xr:uid="{B7CB43C6-88C5-4A83-8C60-F2A67C7A8AF6}"/>
    <cellStyle name="Normal 9 2 3 3 6 4" xfId="15377" xr:uid="{3ECEEB89-9B0A-49D2-A0F5-960FB6063952}"/>
    <cellStyle name="Normal 9 2 3 3 7" xfId="4890" xr:uid="{00000000-0005-0000-0000-0000471F0000}"/>
    <cellStyle name="Normal 9 2 3 3 8" xfId="9101" xr:uid="{359E89DA-2A3B-46BA-BEBB-D7DEA15F21AB}"/>
    <cellStyle name="Normal 9 2 3 3 9" xfId="13312" xr:uid="{4C3E4C2D-7706-49B2-A8A4-B0C9BF3ED4F3}"/>
    <cellStyle name="Normal 9 2 3 4" xfId="988" xr:uid="{00000000-0005-0000-0000-0000481F0000}"/>
    <cellStyle name="Normal 9 2 3 4 2" xfId="3221" xr:uid="{00000000-0005-0000-0000-0000491F0000}"/>
    <cellStyle name="Normal 9 2 3 4 2 2" xfId="7445" xr:uid="{00000000-0005-0000-0000-00004A1F0000}"/>
    <cellStyle name="Normal 9 2 3 4 2 3" xfId="11656" xr:uid="{4AC4907C-1466-40ED-AE7F-FFF192A9FC10}"/>
    <cellStyle name="Normal 9 2 3 4 2 4" xfId="15867" xr:uid="{CE1F1538-66A6-474A-B564-0017C37B58E1}"/>
    <cellStyle name="Normal 9 2 3 4 3" xfId="5300" xr:uid="{00000000-0005-0000-0000-00004B1F0000}"/>
    <cellStyle name="Normal 9 2 3 4 4" xfId="9511" xr:uid="{EE512F75-F395-42E8-B0EE-D4A3A12779F4}"/>
    <cellStyle name="Normal 9 2 3 4 5" xfId="13722" xr:uid="{EF2939AE-588C-4342-B6AB-71356F739C4D}"/>
    <cellStyle name="Normal 9 2 3 5" xfId="1404" xr:uid="{00000000-0005-0000-0000-00004C1F0000}"/>
    <cellStyle name="Normal 9 2 3 5 2" xfId="3634" xr:uid="{00000000-0005-0000-0000-00004D1F0000}"/>
    <cellStyle name="Normal 9 2 3 5 2 2" xfId="7858" xr:uid="{00000000-0005-0000-0000-00004E1F0000}"/>
    <cellStyle name="Normal 9 2 3 5 2 3" xfId="12069" xr:uid="{289F3977-395E-4A91-BC9F-AB1FC0FB25D4}"/>
    <cellStyle name="Normal 9 2 3 5 2 4" xfId="16280" xr:uid="{21AEF818-28FA-42DA-8679-86D9DDE9CC4C}"/>
    <cellStyle name="Normal 9 2 3 5 3" xfId="5713" xr:uid="{00000000-0005-0000-0000-00004F1F0000}"/>
    <cellStyle name="Normal 9 2 3 5 4" xfId="9924" xr:uid="{3907CCC5-A915-49CD-92B2-C2A268755DD3}"/>
    <cellStyle name="Normal 9 2 3 5 5" xfId="14135" xr:uid="{4888AF3F-8C6B-473A-8C68-96869BC8D4B2}"/>
    <cellStyle name="Normal 9 2 3 6" xfId="1817" xr:uid="{00000000-0005-0000-0000-0000501F0000}"/>
    <cellStyle name="Normal 9 2 3 6 2" xfId="4047" xr:uid="{00000000-0005-0000-0000-0000511F0000}"/>
    <cellStyle name="Normal 9 2 3 6 2 2" xfId="8271" xr:uid="{00000000-0005-0000-0000-0000521F0000}"/>
    <cellStyle name="Normal 9 2 3 6 2 3" xfId="12482" xr:uid="{C1DFC97B-A85D-45CF-A85B-6D9267C041B3}"/>
    <cellStyle name="Normal 9 2 3 6 2 4" xfId="16693" xr:uid="{7B989E85-1C43-4764-A89B-986A5633D48B}"/>
    <cellStyle name="Normal 9 2 3 6 3" xfId="6126" xr:uid="{00000000-0005-0000-0000-0000531F0000}"/>
    <cellStyle name="Normal 9 2 3 6 4" xfId="10337" xr:uid="{C2938A58-6181-412A-AB83-EC5E06DEF43A}"/>
    <cellStyle name="Normal 9 2 3 6 5" xfId="14548" xr:uid="{BF17AC0E-2305-4FB4-BDCA-06190464D5F3}"/>
    <cellStyle name="Normal 9 2 3 7" xfId="2231" xr:uid="{00000000-0005-0000-0000-0000541F0000}"/>
    <cellStyle name="Normal 9 2 3 7 2" xfId="4460" xr:uid="{00000000-0005-0000-0000-0000551F0000}"/>
    <cellStyle name="Normal 9 2 3 7 2 2" xfId="8684" xr:uid="{00000000-0005-0000-0000-0000561F0000}"/>
    <cellStyle name="Normal 9 2 3 7 2 3" xfId="12895" xr:uid="{8600A7CD-3BA7-4A1C-AC43-FEC3EE56467E}"/>
    <cellStyle name="Normal 9 2 3 7 2 4" xfId="17106" xr:uid="{BA14A9AC-F4E1-4103-91AB-9BD529B3FA21}"/>
    <cellStyle name="Normal 9 2 3 7 3" xfId="6539" xr:uid="{00000000-0005-0000-0000-0000571F0000}"/>
    <cellStyle name="Normal 9 2 3 7 4" xfId="10750" xr:uid="{255EE5E1-A2C1-4161-9986-C8DAFDC8ED5E}"/>
    <cellStyle name="Normal 9 2 3 7 5" xfId="14961" xr:uid="{DC18E9EA-EED3-4CA7-B587-DC7C16328C1F}"/>
    <cellStyle name="Normal 9 2 3 8" xfId="2667" xr:uid="{00000000-0005-0000-0000-0000581F0000}"/>
    <cellStyle name="Normal 9 2 3 8 2" xfId="6952" xr:uid="{00000000-0005-0000-0000-0000591F0000}"/>
    <cellStyle name="Normal 9 2 3 8 3" xfId="11163" xr:uid="{86A1C9C7-F64D-46E5-A946-AA417E15C0A9}"/>
    <cellStyle name="Normal 9 2 3 8 4" xfId="15374" xr:uid="{96ECF0A7-8782-464B-9AB2-172487580DA0}"/>
    <cellStyle name="Normal 9 2 3 9" xfId="4887" xr:uid="{00000000-0005-0000-0000-00005A1F0000}"/>
    <cellStyle name="Normal 9 2 4" xfId="524" xr:uid="{00000000-0005-0000-0000-00005B1F0000}"/>
    <cellStyle name="Normal 9 2 4 10" xfId="13313" xr:uid="{1604F1A5-0BEA-4C1E-9D67-3C764650D98C}"/>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2 3" xfId="11661" xr:uid="{FA56FE7C-B62A-46B5-8D23-307C5F7E6C39}"/>
    <cellStyle name="Normal 9 2 4 2 2 2 4" xfId="15872" xr:uid="{4F5B1DE4-25C2-431E-AF31-2394FB9B0FBD}"/>
    <cellStyle name="Normal 9 2 4 2 2 3" xfId="5305" xr:uid="{00000000-0005-0000-0000-0000601F0000}"/>
    <cellStyle name="Normal 9 2 4 2 2 4" xfId="9516" xr:uid="{AFF86252-04EB-49FA-9BE1-2CD40EF85150}"/>
    <cellStyle name="Normal 9 2 4 2 2 5" xfId="13727" xr:uid="{7D3AA08D-BB18-4019-B661-6F58B862C89C}"/>
    <cellStyle name="Normal 9 2 4 2 3" xfId="1409" xr:uid="{00000000-0005-0000-0000-0000611F0000}"/>
    <cellStyle name="Normal 9 2 4 2 3 2" xfId="3639" xr:uid="{00000000-0005-0000-0000-0000621F0000}"/>
    <cellStyle name="Normal 9 2 4 2 3 2 2" xfId="7863" xr:uid="{00000000-0005-0000-0000-0000631F0000}"/>
    <cellStyle name="Normal 9 2 4 2 3 2 3" xfId="12074" xr:uid="{9C464BE3-112A-4B58-B687-358BDB698544}"/>
    <cellStyle name="Normal 9 2 4 2 3 2 4" xfId="16285" xr:uid="{FC8C28FE-2DBA-427D-A297-3E0517C47812}"/>
    <cellStyle name="Normal 9 2 4 2 3 3" xfId="5718" xr:uid="{00000000-0005-0000-0000-0000641F0000}"/>
    <cellStyle name="Normal 9 2 4 2 3 4" xfId="9929" xr:uid="{06529628-9A2E-467F-B8CF-FBE09E02D929}"/>
    <cellStyle name="Normal 9 2 4 2 3 5" xfId="14140" xr:uid="{DD9F5C7B-6B1F-43F4-9616-5354F2FEA4D2}"/>
    <cellStyle name="Normal 9 2 4 2 4" xfId="1822" xr:uid="{00000000-0005-0000-0000-0000651F0000}"/>
    <cellStyle name="Normal 9 2 4 2 4 2" xfId="4052" xr:uid="{00000000-0005-0000-0000-0000661F0000}"/>
    <cellStyle name="Normal 9 2 4 2 4 2 2" xfId="8276" xr:uid="{00000000-0005-0000-0000-0000671F0000}"/>
    <cellStyle name="Normal 9 2 4 2 4 2 3" xfId="12487" xr:uid="{95C16EE4-9370-4BB8-AA17-09EAC01DCA3F}"/>
    <cellStyle name="Normal 9 2 4 2 4 2 4" xfId="16698" xr:uid="{BF90B572-610E-4ABC-9F4D-85000A1D2688}"/>
    <cellStyle name="Normal 9 2 4 2 4 3" xfId="6131" xr:uid="{00000000-0005-0000-0000-0000681F0000}"/>
    <cellStyle name="Normal 9 2 4 2 4 4" xfId="10342" xr:uid="{6BA28930-4C81-47B7-A9E1-2B6BA3F97811}"/>
    <cellStyle name="Normal 9 2 4 2 4 5" xfId="14553" xr:uid="{5B4F5148-A0D5-42C3-A770-4D294799C41E}"/>
    <cellStyle name="Normal 9 2 4 2 5" xfId="2236" xr:uid="{00000000-0005-0000-0000-0000691F0000}"/>
    <cellStyle name="Normal 9 2 4 2 5 2" xfId="4465" xr:uid="{00000000-0005-0000-0000-00006A1F0000}"/>
    <cellStyle name="Normal 9 2 4 2 5 2 2" xfId="8689" xr:uid="{00000000-0005-0000-0000-00006B1F0000}"/>
    <cellStyle name="Normal 9 2 4 2 5 2 3" xfId="12900" xr:uid="{5EA17313-A1AD-4822-B95B-62C9FBAE7B97}"/>
    <cellStyle name="Normal 9 2 4 2 5 2 4" xfId="17111" xr:uid="{02A89D73-6606-4790-BD09-DC5119CFC764}"/>
    <cellStyle name="Normal 9 2 4 2 5 3" xfId="6544" xr:uid="{00000000-0005-0000-0000-00006C1F0000}"/>
    <cellStyle name="Normal 9 2 4 2 5 4" xfId="10755" xr:uid="{49CD8056-083A-475B-AEC4-B72FF0DC192F}"/>
    <cellStyle name="Normal 9 2 4 2 5 5" xfId="14966" xr:uid="{F2D8D91A-F409-446E-8668-4EF63F10F190}"/>
    <cellStyle name="Normal 9 2 4 2 6" xfId="2672" xr:uid="{00000000-0005-0000-0000-00006D1F0000}"/>
    <cellStyle name="Normal 9 2 4 2 6 2" xfId="6957" xr:uid="{00000000-0005-0000-0000-00006E1F0000}"/>
    <cellStyle name="Normal 9 2 4 2 6 3" xfId="11168" xr:uid="{FE62715F-279E-43AC-A7FE-A0B09D37668E}"/>
    <cellStyle name="Normal 9 2 4 2 6 4" xfId="15379" xr:uid="{AF337B41-5C0D-495C-AD3B-5227BB246EFF}"/>
    <cellStyle name="Normal 9 2 4 2 7" xfId="4892" xr:uid="{00000000-0005-0000-0000-00006F1F0000}"/>
    <cellStyle name="Normal 9 2 4 2 8" xfId="9103" xr:uid="{60D2E64D-9AC8-4F1E-B2A4-EC7B0EF52B31}"/>
    <cellStyle name="Normal 9 2 4 2 9" xfId="13314" xr:uid="{B5F41367-036F-4E3F-AF7A-BAD1F62D2614}"/>
    <cellStyle name="Normal 9 2 4 3" xfId="992" xr:uid="{00000000-0005-0000-0000-0000701F0000}"/>
    <cellStyle name="Normal 9 2 4 3 2" xfId="3225" xr:uid="{00000000-0005-0000-0000-0000711F0000}"/>
    <cellStyle name="Normal 9 2 4 3 2 2" xfId="7449" xr:uid="{00000000-0005-0000-0000-0000721F0000}"/>
    <cellStyle name="Normal 9 2 4 3 2 3" xfId="11660" xr:uid="{D5691DA1-1104-4AF7-8690-8802F3F51555}"/>
    <cellStyle name="Normal 9 2 4 3 2 4" xfId="15871" xr:uid="{1FAF2DD7-8C85-4320-81E7-55A6495C00D9}"/>
    <cellStyle name="Normal 9 2 4 3 3" xfId="5304" xr:uid="{00000000-0005-0000-0000-0000731F0000}"/>
    <cellStyle name="Normal 9 2 4 3 4" xfId="9515" xr:uid="{B1E9C742-8CCD-4F16-B4BF-E47FA7C31136}"/>
    <cellStyle name="Normal 9 2 4 3 5" xfId="13726" xr:uid="{4CBFDF9C-2D23-4713-BC52-6D8C56E7A52E}"/>
    <cellStyle name="Normal 9 2 4 4" xfId="1408" xr:uid="{00000000-0005-0000-0000-0000741F0000}"/>
    <cellStyle name="Normal 9 2 4 4 2" xfId="3638" xr:uid="{00000000-0005-0000-0000-0000751F0000}"/>
    <cellStyle name="Normal 9 2 4 4 2 2" xfId="7862" xr:uid="{00000000-0005-0000-0000-0000761F0000}"/>
    <cellStyle name="Normal 9 2 4 4 2 3" xfId="12073" xr:uid="{34CEB8CD-FB26-4F1A-82EE-ABA59CF73D1A}"/>
    <cellStyle name="Normal 9 2 4 4 2 4" xfId="16284" xr:uid="{219FA65D-BB97-4E53-9AA6-5B53843C0B33}"/>
    <cellStyle name="Normal 9 2 4 4 3" xfId="5717" xr:uid="{00000000-0005-0000-0000-0000771F0000}"/>
    <cellStyle name="Normal 9 2 4 4 4" xfId="9928" xr:uid="{D9EAD0F7-BCC7-47F7-9430-7F3755C2126F}"/>
    <cellStyle name="Normal 9 2 4 4 5" xfId="14139" xr:uid="{628F59E4-72BE-40F1-A383-E6C5A3827A9B}"/>
    <cellStyle name="Normal 9 2 4 5" xfId="1821" xr:uid="{00000000-0005-0000-0000-0000781F0000}"/>
    <cellStyle name="Normal 9 2 4 5 2" xfId="4051" xr:uid="{00000000-0005-0000-0000-0000791F0000}"/>
    <cellStyle name="Normal 9 2 4 5 2 2" xfId="8275" xr:uid="{00000000-0005-0000-0000-00007A1F0000}"/>
    <cellStyle name="Normal 9 2 4 5 2 3" xfId="12486" xr:uid="{ABCAB279-6FC9-460E-85CA-879931406DA8}"/>
    <cellStyle name="Normal 9 2 4 5 2 4" xfId="16697" xr:uid="{184AB19A-BB8D-4B07-B73B-B1D846E7F51C}"/>
    <cellStyle name="Normal 9 2 4 5 3" xfId="6130" xr:uid="{00000000-0005-0000-0000-00007B1F0000}"/>
    <cellStyle name="Normal 9 2 4 5 4" xfId="10341" xr:uid="{85A0F2E0-8ACD-401C-B937-8CBC1F678C5E}"/>
    <cellStyle name="Normal 9 2 4 5 5" xfId="14552" xr:uid="{87F95D19-0C9D-456D-B66D-460F7B55092A}"/>
    <cellStyle name="Normal 9 2 4 6" xfId="2235" xr:uid="{00000000-0005-0000-0000-00007C1F0000}"/>
    <cellStyle name="Normal 9 2 4 6 2" xfId="4464" xr:uid="{00000000-0005-0000-0000-00007D1F0000}"/>
    <cellStyle name="Normal 9 2 4 6 2 2" xfId="8688" xr:uid="{00000000-0005-0000-0000-00007E1F0000}"/>
    <cellStyle name="Normal 9 2 4 6 2 3" xfId="12899" xr:uid="{8066EEB2-380D-4989-ADF9-EA718A7F73E7}"/>
    <cellStyle name="Normal 9 2 4 6 2 4" xfId="17110" xr:uid="{FD55AA8E-36F8-492C-B94E-050D84671E61}"/>
    <cellStyle name="Normal 9 2 4 6 3" xfId="6543" xr:uid="{00000000-0005-0000-0000-00007F1F0000}"/>
    <cellStyle name="Normal 9 2 4 6 4" xfId="10754" xr:uid="{2C4674CF-A324-4B92-BA83-28A595077932}"/>
    <cellStyle name="Normal 9 2 4 6 5" xfId="14965" xr:uid="{9E4BEA18-5517-4AEB-8310-790A3ABE1A5C}"/>
    <cellStyle name="Normal 9 2 4 7" xfId="2671" xr:uid="{00000000-0005-0000-0000-0000801F0000}"/>
    <cellStyle name="Normal 9 2 4 7 2" xfId="6956" xr:uid="{00000000-0005-0000-0000-0000811F0000}"/>
    <cellStyle name="Normal 9 2 4 7 3" xfId="11167" xr:uid="{DF536C2E-C3A3-42BF-A1D6-DD1AA4B1E790}"/>
    <cellStyle name="Normal 9 2 4 7 4" xfId="15378" xr:uid="{B28AA34D-FA0C-4B47-B805-5EEB8E8FE77A}"/>
    <cellStyle name="Normal 9 2 4 8" xfId="4891" xr:uid="{00000000-0005-0000-0000-0000821F0000}"/>
    <cellStyle name="Normal 9 2 4 9" xfId="9102" xr:uid="{93F0671D-D32B-4465-8A9F-B4C8CFB0A8B3}"/>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2 3" xfId="11662" xr:uid="{AA96A8DD-D348-4E88-80E8-CC7AA2B3B4F2}"/>
    <cellStyle name="Normal 9 2 5 2 2 4" xfId="15873" xr:uid="{55EBD194-E2D8-478F-AEE4-36E30B8AF20F}"/>
    <cellStyle name="Normal 9 2 5 2 3" xfId="5306" xr:uid="{00000000-0005-0000-0000-0000871F0000}"/>
    <cellStyle name="Normal 9 2 5 2 4" xfId="9517" xr:uid="{2C7A60C8-63E4-4205-A3A3-953EBC04A837}"/>
    <cellStyle name="Normal 9 2 5 2 5" xfId="13728" xr:uid="{5DF4A978-0EFD-4E0C-9858-D4ADEFD3932C}"/>
    <cellStyle name="Normal 9 2 5 3" xfId="1410" xr:uid="{00000000-0005-0000-0000-0000881F0000}"/>
    <cellStyle name="Normal 9 2 5 3 2" xfId="3640" xr:uid="{00000000-0005-0000-0000-0000891F0000}"/>
    <cellStyle name="Normal 9 2 5 3 2 2" xfId="7864" xr:uid="{00000000-0005-0000-0000-00008A1F0000}"/>
    <cellStyle name="Normal 9 2 5 3 2 3" xfId="12075" xr:uid="{99E2033E-FEB3-4BBE-8ADA-EB7E2B1FC796}"/>
    <cellStyle name="Normal 9 2 5 3 2 4" xfId="16286" xr:uid="{43F2D406-F8F6-41B8-B8A7-FD42E3999EC5}"/>
    <cellStyle name="Normal 9 2 5 3 3" xfId="5719" xr:uid="{00000000-0005-0000-0000-00008B1F0000}"/>
    <cellStyle name="Normal 9 2 5 3 4" xfId="9930" xr:uid="{30C78A60-ADE9-40C6-8D12-07D52584FFCB}"/>
    <cellStyle name="Normal 9 2 5 3 5" xfId="14141" xr:uid="{46469CEC-C49E-493A-ADEE-38300DD3F491}"/>
    <cellStyle name="Normal 9 2 5 4" xfId="1823" xr:uid="{00000000-0005-0000-0000-00008C1F0000}"/>
    <cellStyle name="Normal 9 2 5 4 2" xfId="4053" xr:uid="{00000000-0005-0000-0000-00008D1F0000}"/>
    <cellStyle name="Normal 9 2 5 4 2 2" xfId="8277" xr:uid="{00000000-0005-0000-0000-00008E1F0000}"/>
    <cellStyle name="Normal 9 2 5 4 2 3" xfId="12488" xr:uid="{EFB5660E-D4B8-489B-8A5D-F5ED3EA69011}"/>
    <cellStyle name="Normal 9 2 5 4 2 4" xfId="16699" xr:uid="{FB0826FF-E6E6-418F-9969-EA607474C15D}"/>
    <cellStyle name="Normal 9 2 5 4 3" xfId="6132" xr:uid="{00000000-0005-0000-0000-00008F1F0000}"/>
    <cellStyle name="Normal 9 2 5 4 4" xfId="10343" xr:uid="{AA95BA38-9CBE-429F-BE12-ED1137DEE0C0}"/>
    <cellStyle name="Normal 9 2 5 4 5" xfId="14554" xr:uid="{711AF50F-B6B5-4E4F-86F6-B04F4EF135CE}"/>
    <cellStyle name="Normal 9 2 5 5" xfId="2237" xr:uid="{00000000-0005-0000-0000-0000901F0000}"/>
    <cellStyle name="Normal 9 2 5 5 2" xfId="4466" xr:uid="{00000000-0005-0000-0000-0000911F0000}"/>
    <cellStyle name="Normal 9 2 5 5 2 2" xfId="8690" xr:uid="{00000000-0005-0000-0000-0000921F0000}"/>
    <cellStyle name="Normal 9 2 5 5 2 3" xfId="12901" xr:uid="{9CBBFAD7-2EF1-4DCB-94DD-CDB7E12EDC8A}"/>
    <cellStyle name="Normal 9 2 5 5 2 4" xfId="17112" xr:uid="{435C9AFE-FA14-4052-9682-38EC01552013}"/>
    <cellStyle name="Normal 9 2 5 5 3" xfId="6545" xr:uid="{00000000-0005-0000-0000-0000931F0000}"/>
    <cellStyle name="Normal 9 2 5 5 4" xfId="10756" xr:uid="{E3FC9EDC-E3A3-4F78-8808-1467DBF6AFC5}"/>
    <cellStyle name="Normal 9 2 5 5 5" xfId="14967" xr:uid="{DA61249A-09B3-4146-93DD-92D31FF3F84E}"/>
    <cellStyle name="Normal 9 2 5 6" xfId="2673" xr:uid="{00000000-0005-0000-0000-0000941F0000}"/>
    <cellStyle name="Normal 9 2 5 6 2" xfId="6958" xr:uid="{00000000-0005-0000-0000-0000951F0000}"/>
    <cellStyle name="Normal 9 2 5 6 3" xfId="11169" xr:uid="{D683DE00-D4F2-451E-B656-FA42D230E389}"/>
    <cellStyle name="Normal 9 2 5 6 4" xfId="15380" xr:uid="{1A8BCB3A-DB76-4611-A1EA-FB58AAD482D1}"/>
    <cellStyle name="Normal 9 2 5 7" xfId="4893" xr:uid="{00000000-0005-0000-0000-0000961F0000}"/>
    <cellStyle name="Normal 9 2 5 8" xfId="9104" xr:uid="{493BAAFD-0911-40D6-989E-A80793A543B5}"/>
    <cellStyle name="Normal 9 2 5 9" xfId="13315" xr:uid="{E9A5E72F-EF82-44E6-89A0-CC69906A1A5D}"/>
    <cellStyle name="Normal 9 2 6" xfId="979" xr:uid="{00000000-0005-0000-0000-0000971F0000}"/>
    <cellStyle name="Normal 9 2 6 2" xfId="3212" xr:uid="{00000000-0005-0000-0000-0000981F0000}"/>
    <cellStyle name="Normal 9 2 6 2 2" xfId="7436" xr:uid="{00000000-0005-0000-0000-0000991F0000}"/>
    <cellStyle name="Normal 9 2 6 2 3" xfId="11647" xr:uid="{A9B71F27-2F58-4D6C-BBEC-6EE5B6FA2C8C}"/>
    <cellStyle name="Normal 9 2 6 2 4" xfId="15858" xr:uid="{80A2B18A-BD16-46AE-8F33-11E324F145BA}"/>
    <cellStyle name="Normal 9 2 6 3" xfId="5291" xr:uid="{00000000-0005-0000-0000-00009A1F0000}"/>
    <cellStyle name="Normal 9 2 6 4" xfId="9502" xr:uid="{FB07F247-5E0B-4F9E-92D9-055D16B95F83}"/>
    <cellStyle name="Normal 9 2 6 5" xfId="13713" xr:uid="{2E7E0C0F-13EE-456C-B369-7457A92C21D1}"/>
    <cellStyle name="Normal 9 2 7" xfId="1395" xr:uid="{00000000-0005-0000-0000-00009B1F0000}"/>
    <cellStyle name="Normal 9 2 7 2" xfId="3625" xr:uid="{00000000-0005-0000-0000-00009C1F0000}"/>
    <cellStyle name="Normal 9 2 7 2 2" xfId="7849" xr:uid="{00000000-0005-0000-0000-00009D1F0000}"/>
    <cellStyle name="Normal 9 2 7 2 3" xfId="12060" xr:uid="{DA7DF90C-6B71-4544-9AB9-59AB5A3BB381}"/>
    <cellStyle name="Normal 9 2 7 2 4" xfId="16271" xr:uid="{B0DAA9D5-B3A0-4BA4-81C1-734643853C79}"/>
    <cellStyle name="Normal 9 2 7 3" xfId="5704" xr:uid="{00000000-0005-0000-0000-00009E1F0000}"/>
    <cellStyle name="Normal 9 2 7 4" xfId="9915" xr:uid="{7C8D5F8F-94E0-4F29-8989-2B2AC6A601FF}"/>
    <cellStyle name="Normal 9 2 7 5" xfId="14126" xr:uid="{4D057FA5-6E8C-44D0-BD08-A62E9EDEFD75}"/>
    <cellStyle name="Normal 9 2 8" xfId="1808" xr:uid="{00000000-0005-0000-0000-00009F1F0000}"/>
    <cellStyle name="Normal 9 2 8 2" xfId="4038" xr:uid="{00000000-0005-0000-0000-0000A01F0000}"/>
    <cellStyle name="Normal 9 2 8 2 2" xfId="8262" xr:uid="{00000000-0005-0000-0000-0000A11F0000}"/>
    <cellStyle name="Normal 9 2 8 2 3" xfId="12473" xr:uid="{BAC8E4B2-1240-4552-8E6C-ECEDA3FCC23E}"/>
    <cellStyle name="Normal 9 2 8 2 4" xfId="16684" xr:uid="{9AFC6D17-F27D-47CE-9EE0-3193D3D490C1}"/>
    <cellStyle name="Normal 9 2 8 3" xfId="6117" xr:uid="{00000000-0005-0000-0000-0000A21F0000}"/>
    <cellStyle name="Normal 9 2 8 4" xfId="10328" xr:uid="{643B4003-2E30-4FAF-85E9-40F3A9A717C1}"/>
    <cellStyle name="Normal 9 2 8 5" xfId="14539" xr:uid="{2F6D9296-6A93-4C33-ACF8-0B351A752846}"/>
    <cellStyle name="Normal 9 2 9" xfId="2222" xr:uid="{00000000-0005-0000-0000-0000A31F0000}"/>
    <cellStyle name="Normal 9 2 9 2" xfId="4451" xr:uid="{00000000-0005-0000-0000-0000A41F0000}"/>
    <cellStyle name="Normal 9 2 9 2 2" xfId="8675" xr:uid="{00000000-0005-0000-0000-0000A51F0000}"/>
    <cellStyle name="Normal 9 2 9 2 3" xfId="12886" xr:uid="{8ABE4646-32EF-4B36-B769-6B7C561151BF}"/>
    <cellStyle name="Normal 9 2 9 2 4" xfId="17097" xr:uid="{3F62930C-E883-497B-A0D5-987E30A874D9}"/>
    <cellStyle name="Normal 9 2 9 3" xfId="6530" xr:uid="{00000000-0005-0000-0000-0000A61F0000}"/>
    <cellStyle name="Normal 9 2 9 4" xfId="10741" xr:uid="{07B03F4C-D869-4CEF-A3D3-B5B5E137CC99}"/>
    <cellStyle name="Normal 9 2 9 5" xfId="14952" xr:uid="{16963010-E974-4CD4-8A72-3A4D6ED66028}"/>
    <cellStyle name="Normal 9 3" xfId="527" xr:uid="{00000000-0005-0000-0000-0000A71F0000}"/>
    <cellStyle name="Normal 9 3 10" xfId="4894" xr:uid="{00000000-0005-0000-0000-0000A81F0000}"/>
    <cellStyle name="Normal 9 3 11" xfId="9105" xr:uid="{A2AAC9C4-C5E4-44B7-AFFA-8D4408E14DBF}"/>
    <cellStyle name="Normal 9 3 12" xfId="13316" xr:uid="{260F61F0-8EF9-4C5B-8782-0E9DF3743758}"/>
    <cellStyle name="Normal 9 3 2" xfId="528" xr:uid="{00000000-0005-0000-0000-0000A91F0000}"/>
    <cellStyle name="Normal 9 3 2 10" xfId="9106" xr:uid="{2DB1F2F1-1AA8-408C-A61E-AB46E645ED44}"/>
    <cellStyle name="Normal 9 3 2 11" xfId="13317" xr:uid="{BE5F6A75-006F-4246-B0B9-DB9B5BD6AD07}"/>
    <cellStyle name="Normal 9 3 2 2" xfId="529" xr:uid="{00000000-0005-0000-0000-0000AA1F0000}"/>
    <cellStyle name="Normal 9 3 2 2 10" xfId="13318" xr:uid="{9C4A566A-12A4-4ED9-8168-84EDC6B268A6}"/>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2 3" xfId="11666" xr:uid="{A81CA694-B85C-44DD-A3F8-2BA721696855}"/>
    <cellStyle name="Normal 9 3 2 2 2 2 2 4" xfId="15877" xr:uid="{1971D334-B3C5-4ABA-A8DD-A84BFED96180}"/>
    <cellStyle name="Normal 9 3 2 2 2 2 3" xfId="5310" xr:uid="{00000000-0005-0000-0000-0000AF1F0000}"/>
    <cellStyle name="Normal 9 3 2 2 2 2 4" xfId="9521" xr:uid="{DBD69EE4-D969-407B-948E-EEB283BF0F00}"/>
    <cellStyle name="Normal 9 3 2 2 2 2 5" xfId="13732" xr:uid="{3A5A0BC7-6E9C-44D8-A18D-59A513CBA444}"/>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2 3" xfId="12079" xr:uid="{4B82D36B-BBBD-4308-AEF7-04126E0ED10E}"/>
    <cellStyle name="Normal 9 3 2 2 2 3 2 4" xfId="16290" xr:uid="{ADDB5627-BC44-458E-8E2B-FDF82DD99A16}"/>
    <cellStyle name="Normal 9 3 2 2 2 3 3" xfId="5723" xr:uid="{00000000-0005-0000-0000-0000B31F0000}"/>
    <cellStyle name="Normal 9 3 2 2 2 3 4" xfId="9934" xr:uid="{4BA3C556-7BDD-48ED-B499-BF975FD32ABA}"/>
    <cellStyle name="Normal 9 3 2 2 2 3 5" xfId="14145" xr:uid="{538E9216-223D-442C-B32F-D96F1FF52F9A}"/>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2 3" xfId="12492" xr:uid="{C51123D5-1305-4F6C-B917-857437B95888}"/>
    <cellStyle name="Normal 9 3 2 2 2 4 2 4" xfId="16703" xr:uid="{8E6ACA84-1E47-4B5E-9100-B675561F05FB}"/>
    <cellStyle name="Normal 9 3 2 2 2 4 3" xfId="6136" xr:uid="{00000000-0005-0000-0000-0000B71F0000}"/>
    <cellStyle name="Normal 9 3 2 2 2 4 4" xfId="10347" xr:uid="{BCDD283A-E80C-48CA-9E91-E97B0F42AFA6}"/>
    <cellStyle name="Normal 9 3 2 2 2 4 5" xfId="14558" xr:uid="{5FE11169-5A23-4038-BE7E-AE0D0FDEC97D}"/>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2 3" xfId="12905" xr:uid="{2B13617F-D69E-451E-8CEA-371BB69D92BF}"/>
    <cellStyle name="Normal 9 3 2 2 2 5 2 4" xfId="17116" xr:uid="{F0F2D361-5707-46FB-AF2E-306C02939052}"/>
    <cellStyle name="Normal 9 3 2 2 2 5 3" xfId="6549" xr:uid="{00000000-0005-0000-0000-0000BB1F0000}"/>
    <cellStyle name="Normal 9 3 2 2 2 5 4" xfId="10760" xr:uid="{1A506C7B-206B-4CC9-8C08-0E322EC6B97B}"/>
    <cellStyle name="Normal 9 3 2 2 2 5 5" xfId="14971" xr:uid="{94FDA383-1692-4911-99FD-D13E4E15D617}"/>
    <cellStyle name="Normal 9 3 2 2 2 6" xfId="2677" xr:uid="{00000000-0005-0000-0000-0000BC1F0000}"/>
    <cellStyle name="Normal 9 3 2 2 2 6 2" xfId="6962" xr:uid="{00000000-0005-0000-0000-0000BD1F0000}"/>
    <cellStyle name="Normal 9 3 2 2 2 6 3" xfId="11173" xr:uid="{8171AD10-2CE4-4DB4-909A-FEB00778C78C}"/>
    <cellStyle name="Normal 9 3 2 2 2 6 4" xfId="15384" xr:uid="{F3645B84-8286-4FA6-B460-05FE22F1745C}"/>
    <cellStyle name="Normal 9 3 2 2 2 7" xfId="4897" xr:uid="{00000000-0005-0000-0000-0000BE1F0000}"/>
    <cellStyle name="Normal 9 3 2 2 2 8" xfId="9108" xr:uid="{E8C53862-EAEF-434C-8B8D-9CA211DA2DF2}"/>
    <cellStyle name="Normal 9 3 2 2 2 9" xfId="13319" xr:uid="{47599658-D717-437A-A921-9F6A7ECA431D}"/>
    <cellStyle name="Normal 9 3 2 2 3" xfId="997" xr:uid="{00000000-0005-0000-0000-0000BF1F0000}"/>
    <cellStyle name="Normal 9 3 2 2 3 2" xfId="3230" xr:uid="{00000000-0005-0000-0000-0000C01F0000}"/>
    <cellStyle name="Normal 9 3 2 2 3 2 2" xfId="7454" xr:uid="{00000000-0005-0000-0000-0000C11F0000}"/>
    <cellStyle name="Normal 9 3 2 2 3 2 3" xfId="11665" xr:uid="{94E511B9-959C-4F15-8C96-B2D819BE839C}"/>
    <cellStyle name="Normal 9 3 2 2 3 2 4" xfId="15876" xr:uid="{B94827DC-5A03-45F6-8424-D59C20D1ABB3}"/>
    <cellStyle name="Normal 9 3 2 2 3 3" xfId="5309" xr:uid="{00000000-0005-0000-0000-0000C21F0000}"/>
    <cellStyle name="Normal 9 3 2 2 3 4" xfId="9520" xr:uid="{9401F286-3A8E-4E2A-B2C5-21DCF747A0D9}"/>
    <cellStyle name="Normal 9 3 2 2 3 5" xfId="13731" xr:uid="{C9610108-703A-4410-A0E0-07780E212A93}"/>
    <cellStyle name="Normal 9 3 2 2 4" xfId="1413" xr:uid="{00000000-0005-0000-0000-0000C31F0000}"/>
    <cellStyle name="Normal 9 3 2 2 4 2" xfId="3643" xr:uid="{00000000-0005-0000-0000-0000C41F0000}"/>
    <cellStyle name="Normal 9 3 2 2 4 2 2" xfId="7867" xr:uid="{00000000-0005-0000-0000-0000C51F0000}"/>
    <cellStyle name="Normal 9 3 2 2 4 2 3" xfId="12078" xr:uid="{F7512120-3E78-49EE-AB8A-510FD60C78B9}"/>
    <cellStyle name="Normal 9 3 2 2 4 2 4" xfId="16289" xr:uid="{E5B49AE7-6470-4AC2-BAD1-A35955095B5F}"/>
    <cellStyle name="Normal 9 3 2 2 4 3" xfId="5722" xr:uid="{00000000-0005-0000-0000-0000C61F0000}"/>
    <cellStyle name="Normal 9 3 2 2 4 4" xfId="9933" xr:uid="{DCACD5C5-04B7-437A-8093-35A408ACA671}"/>
    <cellStyle name="Normal 9 3 2 2 4 5" xfId="14144" xr:uid="{9434B12F-B265-4C28-AA12-710267E09331}"/>
    <cellStyle name="Normal 9 3 2 2 5" xfId="1826" xr:uid="{00000000-0005-0000-0000-0000C71F0000}"/>
    <cellStyle name="Normal 9 3 2 2 5 2" xfId="4056" xr:uid="{00000000-0005-0000-0000-0000C81F0000}"/>
    <cellStyle name="Normal 9 3 2 2 5 2 2" xfId="8280" xr:uid="{00000000-0005-0000-0000-0000C91F0000}"/>
    <cellStyle name="Normal 9 3 2 2 5 2 3" xfId="12491" xr:uid="{3BE62F38-43BE-436E-A5D1-E3A8A13419A1}"/>
    <cellStyle name="Normal 9 3 2 2 5 2 4" xfId="16702" xr:uid="{55233F71-9195-4423-8F30-357E7112B4E3}"/>
    <cellStyle name="Normal 9 3 2 2 5 3" xfId="6135" xr:uid="{00000000-0005-0000-0000-0000CA1F0000}"/>
    <cellStyle name="Normal 9 3 2 2 5 4" xfId="10346" xr:uid="{D5BDC62D-2134-45A9-A93A-8107E82276D0}"/>
    <cellStyle name="Normal 9 3 2 2 5 5" xfId="14557" xr:uid="{72241052-A608-4DAE-B40A-D2E41366087E}"/>
    <cellStyle name="Normal 9 3 2 2 6" xfId="2240" xr:uid="{00000000-0005-0000-0000-0000CB1F0000}"/>
    <cellStyle name="Normal 9 3 2 2 6 2" xfId="4469" xr:uid="{00000000-0005-0000-0000-0000CC1F0000}"/>
    <cellStyle name="Normal 9 3 2 2 6 2 2" xfId="8693" xr:uid="{00000000-0005-0000-0000-0000CD1F0000}"/>
    <cellStyle name="Normal 9 3 2 2 6 2 3" xfId="12904" xr:uid="{B38AA67B-D85B-4CFF-85B5-3ACE13F5A627}"/>
    <cellStyle name="Normal 9 3 2 2 6 2 4" xfId="17115" xr:uid="{C297790F-B41A-44FA-835B-8E7394360C2C}"/>
    <cellStyle name="Normal 9 3 2 2 6 3" xfId="6548" xr:uid="{00000000-0005-0000-0000-0000CE1F0000}"/>
    <cellStyle name="Normal 9 3 2 2 6 4" xfId="10759" xr:uid="{681A6602-9D9A-4B0D-9F2A-A64EEBA33EE4}"/>
    <cellStyle name="Normal 9 3 2 2 6 5" xfId="14970" xr:uid="{5685424B-629A-4A33-B4EC-6F66042B7CD5}"/>
    <cellStyle name="Normal 9 3 2 2 7" xfId="2676" xr:uid="{00000000-0005-0000-0000-0000CF1F0000}"/>
    <cellStyle name="Normal 9 3 2 2 7 2" xfId="6961" xr:uid="{00000000-0005-0000-0000-0000D01F0000}"/>
    <cellStyle name="Normal 9 3 2 2 7 3" xfId="11172" xr:uid="{CEFA2588-2DE3-4FFC-9941-EC0EC1CA219C}"/>
    <cellStyle name="Normal 9 3 2 2 7 4" xfId="15383" xr:uid="{719E1C58-DBD8-44BA-9A7C-AA54B164C627}"/>
    <cellStyle name="Normal 9 3 2 2 8" xfId="4896" xr:uid="{00000000-0005-0000-0000-0000D11F0000}"/>
    <cellStyle name="Normal 9 3 2 2 9" xfId="9107" xr:uid="{5731035C-837C-4291-B578-10F4D6F9E1C3}"/>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2 3" xfId="11667" xr:uid="{766D5259-6FAC-4EE6-BE62-6F502A74BB61}"/>
    <cellStyle name="Normal 9 3 2 3 2 2 4" xfId="15878" xr:uid="{DB992CFA-0C24-4352-857E-99C7FD576408}"/>
    <cellStyle name="Normal 9 3 2 3 2 3" xfId="5311" xr:uid="{00000000-0005-0000-0000-0000D61F0000}"/>
    <cellStyle name="Normal 9 3 2 3 2 4" xfId="9522" xr:uid="{B430E3EF-4C28-43E4-B379-56897737001C}"/>
    <cellStyle name="Normal 9 3 2 3 2 5" xfId="13733" xr:uid="{B75960B6-9887-4B56-A87E-C2915E012F10}"/>
    <cellStyle name="Normal 9 3 2 3 3" xfId="1415" xr:uid="{00000000-0005-0000-0000-0000D71F0000}"/>
    <cellStyle name="Normal 9 3 2 3 3 2" xfId="3645" xr:uid="{00000000-0005-0000-0000-0000D81F0000}"/>
    <cellStyle name="Normal 9 3 2 3 3 2 2" xfId="7869" xr:uid="{00000000-0005-0000-0000-0000D91F0000}"/>
    <cellStyle name="Normal 9 3 2 3 3 2 3" xfId="12080" xr:uid="{D4CFFCF0-5C17-4A5D-ABFF-11F8FD290962}"/>
    <cellStyle name="Normal 9 3 2 3 3 2 4" xfId="16291" xr:uid="{AC4800D0-09C3-4101-B30A-30714B688023}"/>
    <cellStyle name="Normal 9 3 2 3 3 3" xfId="5724" xr:uid="{00000000-0005-0000-0000-0000DA1F0000}"/>
    <cellStyle name="Normal 9 3 2 3 3 4" xfId="9935" xr:uid="{86FA66AE-7EC3-4841-9643-8DC0EDBF3574}"/>
    <cellStyle name="Normal 9 3 2 3 3 5" xfId="14146" xr:uid="{7709A411-99D3-4C6C-B429-34E0ADBF768E}"/>
    <cellStyle name="Normal 9 3 2 3 4" xfId="1828" xr:uid="{00000000-0005-0000-0000-0000DB1F0000}"/>
    <cellStyle name="Normal 9 3 2 3 4 2" xfId="4058" xr:uid="{00000000-0005-0000-0000-0000DC1F0000}"/>
    <cellStyle name="Normal 9 3 2 3 4 2 2" xfId="8282" xr:uid="{00000000-0005-0000-0000-0000DD1F0000}"/>
    <cellStyle name="Normal 9 3 2 3 4 2 3" xfId="12493" xr:uid="{D3D67347-6D6F-4E9E-8D07-FC9B72344DC5}"/>
    <cellStyle name="Normal 9 3 2 3 4 2 4" xfId="16704" xr:uid="{C6676734-76B3-4089-BB23-9776BFEEDB9C}"/>
    <cellStyle name="Normal 9 3 2 3 4 3" xfId="6137" xr:uid="{00000000-0005-0000-0000-0000DE1F0000}"/>
    <cellStyle name="Normal 9 3 2 3 4 4" xfId="10348" xr:uid="{FC0AD273-D175-4DDA-A456-D0788D61B52D}"/>
    <cellStyle name="Normal 9 3 2 3 4 5" xfId="14559" xr:uid="{869A5A09-1CD3-4A6C-8979-6F821E68508C}"/>
    <cellStyle name="Normal 9 3 2 3 5" xfId="2242" xr:uid="{00000000-0005-0000-0000-0000DF1F0000}"/>
    <cellStyle name="Normal 9 3 2 3 5 2" xfId="4471" xr:uid="{00000000-0005-0000-0000-0000E01F0000}"/>
    <cellStyle name="Normal 9 3 2 3 5 2 2" xfId="8695" xr:uid="{00000000-0005-0000-0000-0000E11F0000}"/>
    <cellStyle name="Normal 9 3 2 3 5 2 3" xfId="12906" xr:uid="{26F5BA18-1C35-431B-BE7C-6A9E53E75230}"/>
    <cellStyle name="Normal 9 3 2 3 5 2 4" xfId="17117" xr:uid="{59B37616-41B7-42CF-90D6-51C61CCB3A2A}"/>
    <cellStyle name="Normal 9 3 2 3 5 3" xfId="6550" xr:uid="{00000000-0005-0000-0000-0000E21F0000}"/>
    <cellStyle name="Normal 9 3 2 3 5 4" xfId="10761" xr:uid="{545FD030-CD48-4E61-BECD-DD36F6A01065}"/>
    <cellStyle name="Normal 9 3 2 3 5 5" xfId="14972" xr:uid="{0DEEA5FC-43BC-40CA-A028-43A75816D3CB}"/>
    <cellStyle name="Normal 9 3 2 3 6" xfId="2678" xr:uid="{00000000-0005-0000-0000-0000E31F0000}"/>
    <cellStyle name="Normal 9 3 2 3 6 2" xfId="6963" xr:uid="{00000000-0005-0000-0000-0000E41F0000}"/>
    <cellStyle name="Normal 9 3 2 3 6 3" xfId="11174" xr:uid="{511EA231-91EE-4DA4-A292-6CE5602C9356}"/>
    <cellStyle name="Normal 9 3 2 3 6 4" xfId="15385" xr:uid="{66814820-2F19-4A03-B855-B96F2469CB58}"/>
    <cellStyle name="Normal 9 3 2 3 7" xfId="4898" xr:uid="{00000000-0005-0000-0000-0000E51F0000}"/>
    <cellStyle name="Normal 9 3 2 3 8" xfId="9109" xr:uid="{70093DEE-8E45-461E-B0B4-CC05F8A54752}"/>
    <cellStyle name="Normal 9 3 2 3 9" xfId="13320" xr:uid="{363332D2-FCA1-4C4C-A563-B97AB005F809}"/>
    <cellStyle name="Normal 9 3 2 4" xfId="996" xr:uid="{00000000-0005-0000-0000-0000E61F0000}"/>
    <cellStyle name="Normal 9 3 2 4 2" xfId="3229" xr:uid="{00000000-0005-0000-0000-0000E71F0000}"/>
    <cellStyle name="Normal 9 3 2 4 2 2" xfId="7453" xr:uid="{00000000-0005-0000-0000-0000E81F0000}"/>
    <cellStyle name="Normal 9 3 2 4 2 3" xfId="11664" xr:uid="{90A46A57-AD43-4BBB-9EDC-DE0BD56684ED}"/>
    <cellStyle name="Normal 9 3 2 4 2 4" xfId="15875" xr:uid="{4BF56AB2-F181-4188-A022-9863FFB41E54}"/>
    <cellStyle name="Normal 9 3 2 4 3" xfId="5308" xr:uid="{00000000-0005-0000-0000-0000E91F0000}"/>
    <cellStyle name="Normal 9 3 2 4 4" xfId="9519" xr:uid="{74E52661-0277-4541-8015-67642A7744A2}"/>
    <cellStyle name="Normal 9 3 2 4 5" xfId="13730" xr:uid="{DEE03B76-8884-4213-A206-7864D04C5A8C}"/>
    <cellStyle name="Normal 9 3 2 5" xfId="1412" xr:uid="{00000000-0005-0000-0000-0000EA1F0000}"/>
    <cellStyle name="Normal 9 3 2 5 2" xfId="3642" xr:uid="{00000000-0005-0000-0000-0000EB1F0000}"/>
    <cellStyle name="Normal 9 3 2 5 2 2" xfId="7866" xr:uid="{00000000-0005-0000-0000-0000EC1F0000}"/>
    <cellStyle name="Normal 9 3 2 5 2 3" xfId="12077" xr:uid="{E074E791-D762-443E-BDF5-3151D9323DBA}"/>
    <cellStyle name="Normal 9 3 2 5 2 4" xfId="16288" xr:uid="{60EA3F49-9854-4A99-88E0-CEFDE307E7BD}"/>
    <cellStyle name="Normal 9 3 2 5 3" xfId="5721" xr:uid="{00000000-0005-0000-0000-0000ED1F0000}"/>
    <cellStyle name="Normal 9 3 2 5 4" xfId="9932" xr:uid="{CA378071-303F-4627-A422-97AEEDC1A235}"/>
    <cellStyle name="Normal 9 3 2 5 5" xfId="14143" xr:uid="{C7563F50-8D82-48F6-9F12-92BC5BFE830C}"/>
    <cellStyle name="Normal 9 3 2 6" xfId="1825" xr:uid="{00000000-0005-0000-0000-0000EE1F0000}"/>
    <cellStyle name="Normal 9 3 2 6 2" xfId="4055" xr:uid="{00000000-0005-0000-0000-0000EF1F0000}"/>
    <cellStyle name="Normal 9 3 2 6 2 2" xfId="8279" xr:uid="{00000000-0005-0000-0000-0000F01F0000}"/>
    <cellStyle name="Normal 9 3 2 6 2 3" xfId="12490" xr:uid="{0A424CF4-4196-4F30-ADE6-D4EC162D1744}"/>
    <cellStyle name="Normal 9 3 2 6 2 4" xfId="16701" xr:uid="{E283622A-FB75-4167-9036-66A9A0CAAC99}"/>
    <cellStyle name="Normal 9 3 2 6 3" xfId="6134" xr:uid="{00000000-0005-0000-0000-0000F11F0000}"/>
    <cellStyle name="Normal 9 3 2 6 4" xfId="10345" xr:uid="{A1FBAEAB-503C-452F-8192-AAC69D3418EF}"/>
    <cellStyle name="Normal 9 3 2 6 5" xfId="14556" xr:uid="{9B5D5EF8-46F1-4613-8B1E-EC92E14A79B9}"/>
    <cellStyle name="Normal 9 3 2 7" xfId="2239" xr:uid="{00000000-0005-0000-0000-0000F21F0000}"/>
    <cellStyle name="Normal 9 3 2 7 2" xfId="4468" xr:uid="{00000000-0005-0000-0000-0000F31F0000}"/>
    <cellStyle name="Normal 9 3 2 7 2 2" xfId="8692" xr:uid="{00000000-0005-0000-0000-0000F41F0000}"/>
    <cellStyle name="Normal 9 3 2 7 2 3" xfId="12903" xr:uid="{29491972-D4CD-4E3D-8D83-D1C3EC5A7EA6}"/>
    <cellStyle name="Normal 9 3 2 7 2 4" xfId="17114" xr:uid="{6046CF69-AE75-4911-8A38-8827F38C39BD}"/>
    <cellStyle name="Normal 9 3 2 7 3" xfId="6547" xr:uid="{00000000-0005-0000-0000-0000F51F0000}"/>
    <cellStyle name="Normal 9 3 2 7 4" xfId="10758" xr:uid="{033B3682-26FC-414D-AF4D-D65FDD4439B2}"/>
    <cellStyle name="Normal 9 3 2 7 5" xfId="14969" xr:uid="{DF88C43C-C320-41EE-9CFC-53DCA30C2403}"/>
    <cellStyle name="Normal 9 3 2 8" xfId="2675" xr:uid="{00000000-0005-0000-0000-0000F61F0000}"/>
    <cellStyle name="Normal 9 3 2 8 2" xfId="6960" xr:uid="{00000000-0005-0000-0000-0000F71F0000}"/>
    <cellStyle name="Normal 9 3 2 8 3" xfId="11171" xr:uid="{CC385497-EEDD-40CE-9868-E5BBC9CBF523}"/>
    <cellStyle name="Normal 9 3 2 8 4" xfId="15382" xr:uid="{E3FED769-CCA1-49C3-B8BA-A38B2069A863}"/>
    <cellStyle name="Normal 9 3 2 9" xfId="4895" xr:uid="{00000000-0005-0000-0000-0000F81F0000}"/>
    <cellStyle name="Normal 9 3 3" xfId="532" xr:uid="{00000000-0005-0000-0000-0000F91F0000}"/>
    <cellStyle name="Normal 9 3 3 10" xfId="13321" xr:uid="{35E4AD9A-BB06-48D2-9B76-994037069A66}"/>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2 3" xfId="11669" xr:uid="{097BF8E3-C06B-4747-AE97-7B79F5831A5E}"/>
    <cellStyle name="Normal 9 3 3 2 2 2 4" xfId="15880" xr:uid="{4CAB30F9-C1EF-4716-88CF-57DFD9D8372E}"/>
    <cellStyle name="Normal 9 3 3 2 2 3" xfId="5313" xr:uid="{00000000-0005-0000-0000-0000FE1F0000}"/>
    <cellStyle name="Normal 9 3 3 2 2 4" xfId="9524" xr:uid="{BF538776-4F65-4E21-B483-873B155F0C28}"/>
    <cellStyle name="Normal 9 3 3 2 2 5" xfId="13735" xr:uid="{BD2A9F90-662E-462D-8C6A-3E8863F6C3C6}"/>
    <cellStyle name="Normal 9 3 3 2 3" xfId="1417" xr:uid="{00000000-0005-0000-0000-0000FF1F0000}"/>
    <cellStyle name="Normal 9 3 3 2 3 2" xfId="3647" xr:uid="{00000000-0005-0000-0000-000000200000}"/>
    <cellStyle name="Normal 9 3 3 2 3 2 2" xfId="7871" xr:uid="{00000000-0005-0000-0000-000001200000}"/>
    <cellStyle name="Normal 9 3 3 2 3 2 3" xfId="12082" xr:uid="{FFC47004-B146-4958-9786-452B6E3BE8B2}"/>
    <cellStyle name="Normal 9 3 3 2 3 2 4" xfId="16293" xr:uid="{3543DDCE-CC73-483C-A934-E782A69DDCAC}"/>
    <cellStyle name="Normal 9 3 3 2 3 3" xfId="5726" xr:uid="{00000000-0005-0000-0000-000002200000}"/>
    <cellStyle name="Normal 9 3 3 2 3 4" xfId="9937" xr:uid="{BFFAD0C4-3085-414F-A111-89ED3B09B362}"/>
    <cellStyle name="Normal 9 3 3 2 3 5" xfId="14148" xr:uid="{58592668-1037-4A71-9E18-9BABBA268E0C}"/>
    <cellStyle name="Normal 9 3 3 2 4" xfId="1830" xr:uid="{00000000-0005-0000-0000-000003200000}"/>
    <cellStyle name="Normal 9 3 3 2 4 2" xfId="4060" xr:uid="{00000000-0005-0000-0000-000004200000}"/>
    <cellStyle name="Normal 9 3 3 2 4 2 2" xfId="8284" xr:uid="{00000000-0005-0000-0000-000005200000}"/>
    <cellStyle name="Normal 9 3 3 2 4 2 3" xfId="12495" xr:uid="{FF361279-F843-4BA1-828C-1EFA02F81516}"/>
    <cellStyle name="Normal 9 3 3 2 4 2 4" xfId="16706" xr:uid="{65957BE3-0D10-4CDF-B38F-13E21241F71B}"/>
    <cellStyle name="Normal 9 3 3 2 4 3" xfId="6139" xr:uid="{00000000-0005-0000-0000-000006200000}"/>
    <cellStyle name="Normal 9 3 3 2 4 4" xfId="10350" xr:uid="{952D50D0-3F1D-4BBC-8BB0-9DEE22F3A56B}"/>
    <cellStyle name="Normal 9 3 3 2 4 5" xfId="14561" xr:uid="{ED557024-1E85-4F0A-B485-DFF2FBA0E8A7}"/>
    <cellStyle name="Normal 9 3 3 2 5" xfId="2244" xr:uid="{00000000-0005-0000-0000-000007200000}"/>
    <cellStyle name="Normal 9 3 3 2 5 2" xfId="4473" xr:uid="{00000000-0005-0000-0000-000008200000}"/>
    <cellStyle name="Normal 9 3 3 2 5 2 2" xfId="8697" xr:uid="{00000000-0005-0000-0000-000009200000}"/>
    <cellStyle name="Normal 9 3 3 2 5 2 3" xfId="12908" xr:uid="{DF0F8957-F659-489F-896D-D3BBF1C36D05}"/>
    <cellStyle name="Normal 9 3 3 2 5 2 4" xfId="17119" xr:uid="{FF402224-523D-475B-9E7F-0F346CBCAB84}"/>
    <cellStyle name="Normal 9 3 3 2 5 3" xfId="6552" xr:uid="{00000000-0005-0000-0000-00000A200000}"/>
    <cellStyle name="Normal 9 3 3 2 5 4" xfId="10763" xr:uid="{59CE3906-3630-417F-A24D-257CAD5252CA}"/>
    <cellStyle name="Normal 9 3 3 2 5 5" xfId="14974" xr:uid="{9FF86D57-0337-416C-9C79-0326121C60B8}"/>
    <cellStyle name="Normal 9 3 3 2 6" xfId="2680" xr:uid="{00000000-0005-0000-0000-00000B200000}"/>
    <cellStyle name="Normal 9 3 3 2 6 2" xfId="6965" xr:uid="{00000000-0005-0000-0000-00000C200000}"/>
    <cellStyle name="Normal 9 3 3 2 6 3" xfId="11176" xr:uid="{D21112EE-BC2B-4FDA-AC85-05F3EFA296FA}"/>
    <cellStyle name="Normal 9 3 3 2 6 4" xfId="15387" xr:uid="{73134D3D-E54B-4D95-B93C-FAB807F2F15D}"/>
    <cellStyle name="Normal 9 3 3 2 7" xfId="4900" xr:uid="{00000000-0005-0000-0000-00000D200000}"/>
    <cellStyle name="Normal 9 3 3 2 8" xfId="9111" xr:uid="{A57D5B5B-B44C-4799-8EF2-BAB18220B838}"/>
    <cellStyle name="Normal 9 3 3 2 9" xfId="13322" xr:uid="{78C4C6A9-2B8C-432B-8A8D-0A2351F20515}"/>
    <cellStyle name="Normal 9 3 3 3" xfId="1000" xr:uid="{00000000-0005-0000-0000-00000E200000}"/>
    <cellStyle name="Normal 9 3 3 3 2" xfId="3233" xr:uid="{00000000-0005-0000-0000-00000F200000}"/>
    <cellStyle name="Normal 9 3 3 3 2 2" xfId="7457" xr:uid="{00000000-0005-0000-0000-000010200000}"/>
    <cellStyle name="Normal 9 3 3 3 2 3" xfId="11668" xr:uid="{4620901F-A653-434B-941F-5D9EA2B5D568}"/>
    <cellStyle name="Normal 9 3 3 3 2 4" xfId="15879" xr:uid="{393E3F0E-AB79-4D35-B640-DA1BFCEB1ADD}"/>
    <cellStyle name="Normal 9 3 3 3 3" xfId="5312" xr:uid="{00000000-0005-0000-0000-000011200000}"/>
    <cellStyle name="Normal 9 3 3 3 4" xfId="9523" xr:uid="{7989274B-C311-4F4D-BF5C-E11B6B67D078}"/>
    <cellStyle name="Normal 9 3 3 3 5" xfId="13734" xr:uid="{9FC2E18F-69BB-495F-976C-C054CBFFFBDB}"/>
    <cellStyle name="Normal 9 3 3 4" xfId="1416" xr:uid="{00000000-0005-0000-0000-000012200000}"/>
    <cellStyle name="Normal 9 3 3 4 2" xfId="3646" xr:uid="{00000000-0005-0000-0000-000013200000}"/>
    <cellStyle name="Normal 9 3 3 4 2 2" xfId="7870" xr:uid="{00000000-0005-0000-0000-000014200000}"/>
    <cellStyle name="Normal 9 3 3 4 2 3" xfId="12081" xr:uid="{9094E35E-5DA4-4323-A810-BB5E99D8B872}"/>
    <cellStyle name="Normal 9 3 3 4 2 4" xfId="16292" xr:uid="{58179163-EB9F-47B9-B1AA-653F31EABD01}"/>
    <cellStyle name="Normal 9 3 3 4 3" xfId="5725" xr:uid="{00000000-0005-0000-0000-000015200000}"/>
    <cellStyle name="Normal 9 3 3 4 4" xfId="9936" xr:uid="{BC5C9DA1-5D6D-45AC-BC19-1C68AC6D4EBC}"/>
    <cellStyle name="Normal 9 3 3 4 5" xfId="14147" xr:uid="{7F5F6976-0E62-4DF9-B799-D593863455D6}"/>
    <cellStyle name="Normal 9 3 3 5" xfId="1829" xr:uid="{00000000-0005-0000-0000-000016200000}"/>
    <cellStyle name="Normal 9 3 3 5 2" xfId="4059" xr:uid="{00000000-0005-0000-0000-000017200000}"/>
    <cellStyle name="Normal 9 3 3 5 2 2" xfId="8283" xr:uid="{00000000-0005-0000-0000-000018200000}"/>
    <cellStyle name="Normal 9 3 3 5 2 3" xfId="12494" xr:uid="{1A2947F3-8118-4C24-B628-4F00F032EB14}"/>
    <cellStyle name="Normal 9 3 3 5 2 4" xfId="16705" xr:uid="{2078F595-2EB1-401C-95AC-7DBEF39CD77A}"/>
    <cellStyle name="Normal 9 3 3 5 3" xfId="6138" xr:uid="{00000000-0005-0000-0000-000019200000}"/>
    <cellStyle name="Normal 9 3 3 5 4" xfId="10349" xr:uid="{6B0AE2FA-D1BF-4D77-9E54-E2F543DE585A}"/>
    <cellStyle name="Normal 9 3 3 5 5" xfId="14560" xr:uid="{C5A50D15-2E67-455E-8D21-4B7B761C8851}"/>
    <cellStyle name="Normal 9 3 3 6" xfId="2243" xr:uid="{00000000-0005-0000-0000-00001A200000}"/>
    <cellStyle name="Normal 9 3 3 6 2" xfId="4472" xr:uid="{00000000-0005-0000-0000-00001B200000}"/>
    <cellStyle name="Normal 9 3 3 6 2 2" xfId="8696" xr:uid="{00000000-0005-0000-0000-00001C200000}"/>
    <cellStyle name="Normal 9 3 3 6 2 3" xfId="12907" xr:uid="{64EFE795-B2B8-49C0-8B36-1240A8A4E761}"/>
    <cellStyle name="Normal 9 3 3 6 2 4" xfId="17118" xr:uid="{2F7595EA-7298-4FDB-B14B-5EF9469CDB85}"/>
    <cellStyle name="Normal 9 3 3 6 3" xfId="6551" xr:uid="{00000000-0005-0000-0000-00001D200000}"/>
    <cellStyle name="Normal 9 3 3 6 4" xfId="10762" xr:uid="{AF2381F4-4C58-4E17-880A-344C9A9C6FEE}"/>
    <cellStyle name="Normal 9 3 3 6 5" xfId="14973" xr:uid="{1F0BD1AA-4755-46E7-9C31-E309203253C4}"/>
    <cellStyle name="Normal 9 3 3 7" xfId="2679" xr:uid="{00000000-0005-0000-0000-00001E200000}"/>
    <cellStyle name="Normal 9 3 3 7 2" xfId="6964" xr:uid="{00000000-0005-0000-0000-00001F200000}"/>
    <cellStyle name="Normal 9 3 3 7 3" xfId="11175" xr:uid="{99B953E2-8A6B-484B-AF91-1022DECB5FC8}"/>
    <cellStyle name="Normal 9 3 3 7 4" xfId="15386" xr:uid="{6417061D-03BE-49AB-9C01-E53689C983AD}"/>
    <cellStyle name="Normal 9 3 3 8" xfId="4899" xr:uid="{00000000-0005-0000-0000-000020200000}"/>
    <cellStyle name="Normal 9 3 3 9" xfId="9110" xr:uid="{24B26442-E7E7-4205-BA8F-90982C820DE7}"/>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2 3" xfId="11670" xr:uid="{CD8483D4-A750-4A61-BE7C-E8AC4C4E2CE8}"/>
    <cellStyle name="Normal 9 3 4 2 2 4" xfId="15881" xr:uid="{67BC7D71-A959-4BAD-B068-98F527FB521B}"/>
    <cellStyle name="Normal 9 3 4 2 3" xfId="5314" xr:uid="{00000000-0005-0000-0000-000025200000}"/>
    <cellStyle name="Normal 9 3 4 2 4" xfId="9525" xr:uid="{F10431BB-9450-4851-9F05-BC90B1CEE2B0}"/>
    <cellStyle name="Normal 9 3 4 2 5" xfId="13736" xr:uid="{0E46C46D-4D54-4E10-A8D1-9C72B6387031}"/>
    <cellStyle name="Normal 9 3 4 3" xfId="1418" xr:uid="{00000000-0005-0000-0000-000026200000}"/>
    <cellStyle name="Normal 9 3 4 3 2" xfId="3648" xr:uid="{00000000-0005-0000-0000-000027200000}"/>
    <cellStyle name="Normal 9 3 4 3 2 2" xfId="7872" xr:uid="{00000000-0005-0000-0000-000028200000}"/>
    <cellStyle name="Normal 9 3 4 3 2 3" xfId="12083" xr:uid="{E3B13900-D0B8-415E-9413-AD9493100918}"/>
    <cellStyle name="Normal 9 3 4 3 2 4" xfId="16294" xr:uid="{4CA3096F-CE40-4564-89B3-6F3205E28615}"/>
    <cellStyle name="Normal 9 3 4 3 3" xfId="5727" xr:uid="{00000000-0005-0000-0000-000029200000}"/>
    <cellStyle name="Normal 9 3 4 3 4" xfId="9938" xr:uid="{90D5F5CC-6254-442A-9D86-AAF31E8763C2}"/>
    <cellStyle name="Normal 9 3 4 3 5" xfId="14149" xr:uid="{3259A707-BD61-4BEC-B2E8-22F683085D63}"/>
    <cellStyle name="Normal 9 3 4 4" xfId="1831" xr:uid="{00000000-0005-0000-0000-00002A200000}"/>
    <cellStyle name="Normal 9 3 4 4 2" xfId="4061" xr:uid="{00000000-0005-0000-0000-00002B200000}"/>
    <cellStyle name="Normal 9 3 4 4 2 2" xfId="8285" xr:uid="{00000000-0005-0000-0000-00002C200000}"/>
    <cellStyle name="Normal 9 3 4 4 2 3" xfId="12496" xr:uid="{76499D97-94D0-4B02-8A84-C4DA0D60F6E2}"/>
    <cellStyle name="Normal 9 3 4 4 2 4" xfId="16707" xr:uid="{7C799C10-DA63-4CB7-916A-24DD4E30C2A9}"/>
    <cellStyle name="Normal 9 3 4 4 3" xfId="6140" xr:uid="{00000000-0005-0000-0000-00002D200000}"/>
    <cellStyle name="Normal 9 3 4 4 4" xfId="10351" xr:uid="{CB43641F-B016-4263-BB55-02F13CEFB8F5}"/>
    <cellStyle name="Normal 9 3 4 4 5" xfId="14562" xr:uid="{EF94DA14-4B3D-4595-B687-A59E20EF1F82}"/>
    <cellStyle name="Normal 9 3 4 5" xfId="2245" xr:uid="{00000000-0005-0000-0000-00002E200000}"/>
    <cellStyle name="Normal 9 3 4 5 2" xfId="4474" xr:uid="{00000000-0005-0000-0000-00002F200000}"/>
    <cellStyle name="Normal 9 3 4 5 2 2" xfId="8698" xr:uid="{00000000-0005-0000-0000-000030200000}"/>
    <cellStyle name="Normal 9 3 4 5 2 3" xfId="12909" xr:uid="{7418672A-9A97-48AA-A1D2-BCAFC4CFCA3B}"/>
    <cellStyle name="Normal 9 3 4 5 2 4" xfId="17120" xr:uid="{4093C35D-EB73-4F70-98C9-DE4887BFDC97}"/>
    <cellStyle name="Normal 9 3 4 5 3" xfId="6553" xr:uid="{00000000-0005-0000-0000-000031200000}"/>
    <cellStyle name="Normal 9 3 4 5 4" xfId="10764" xr:uid="{114C618D-C65E-4A02-9B60-F5F3DED2695F}"/>
    <cellStyle name="Normal 9 3 4 5 5" xfId="14975" xr:uid="{98445082-7947-4FDE-AE8E-A6463121A572}"/>
    <cellStyle name="Normal 9 3 4 6" xfId="2681" xr:uid="{00000000-0005-0000-0000-000032200000}"/>
    <cellStyle name="Normal 9 3 4 6 2" xfId="6966" xr:uid="{00000000-0005-0000-0000-000033200000}"/>
    <cellStyle name="Normal 9 3 4 6 3" xfId="11177" xr:uid="{CB2A3A2A-FE4A-42D8-BBA4-50B9586B02CC}"/>
    <cellStyle name="Normal 9 3 4 6 4" xfId="15388" xr:uid="{71F88452-BB3A-4943-AD86-B18195A00D67}"/>
    <cellStyle name="Normal 9 3 4 7" xfId="4901" xr:uid="{00000000-0005-0000-0000-000034200000}"/>
    <cellStyle name="Normal 9 3 4 8" xfId="9112" xr:uid="{B99CCCC6-1005-40C7-986B-13241CC979BA}"/>
    <cellStyle name="Normal 9 3 4 9" xfId="13323" xr:uid="{4895335A-E885-4381-9F9B-701422564874}"/>
    <cellStyle name="Normal 9 3 5" xfId="995" xr:uid="{00000000-0005-0000-0000-000035200000}"/>
    <cellStyle name="Normal 9 3 5 2" xfId="3228" xr:uid="{00000000-0005-0000-0000-000036200000}"/>
    <cellStyle name="Normal 9 3 5 2 2" xfId="7452" xr:uid="{00000000-0005-0000-0000-000037200000}"/>
    <cellStyle name="Normal 9 3 5 2 3" xfId="11663" xr:uid="{C98F606C-A4CB-424D-A48B-6A7FFEAFF4D6}"/>
    <cellStyle name="Normal 9 3 5 2 4" xfId="15874" xr:uid="{69476C5A-0711-4C00-9EF2-6A459295C8B9}"/>
    <cellStyle name="Normal 9 3 5 3" xfId="5307" xr:uid="{00000000-0005-0000-0000-000038200000}"/>
    <cellStyle name="Normal 9 3 5 4" xfId="9518" xr:uid="{A8718445-37C8-4449-8894-8358AE0E1ADE}"/>
    <cellStyle name="Normal 9 3 5 5" xfId="13729" xr:uid="{84532AD8-1914-4E5F-9DA8-7089FD352907}"/>
    <cellStyle name="Normal 9 3 6" xfId="1411" xr:uid="{00000000-0005-0000-0000-000039200000}"/>
    <cellStyle name="Normal 9 3 6 2" xfId="3641" xr:uid="{00000000-0005-0000-0000-00003A200000}"/>
    <cellStyle name="Normal 9 3 6 2 2" xfId="7865" xr:uid="{00000000-0005-0000-0000-00003B200000}"/>
    <cellStyle name="Normal 9 3 6 2 3" xfId="12076" xr:uid="{ABFCF20D-646E-4BAE-B197-E232202DD499}"/>
    <cellStyle name="Normal 9 3 6 2 4" xfId="16287" xr:uid="{47E5D2E8-F3CF-4C87-926C-3B4B60E07900}"/>
    <cellStyle name="Normal 9 3 6 3" xfId="5720" xr:uid="{00000000-0005-0000-0000-00003C200000}"/>
    <cellStyle name="Normal 9 3 6 4" xfId="9931" xr:uid="{0673DD4D-F571-47A7-9171-B782D6D9E560}"/>
    <cellStyle name="Normal 9 3 6 5" xfId="14142" xr:uid="{C44B3A8E-5211-44E0-8825-01EAA43F43EA}"/>
    <cellStyle name="Normal 9 3 7" xfId="1824" xr:uid="{00000000-0005-0000-0000-00003D200000}"/>
    <cellStyle name="Normal 9 3 7 2" xfId="4054" xr:uid="{00000000-0005-0000-0000-00003E200000}"/>
    <cellStyle name="Normal 9 3 7 2 2" xfId="8278" xr:uid="{00000000-0005-0000-0000-00003F200000}"/>
    <cellStyle name="Normal 9 3 7 2 3" xfId="12489" xr:uid="{243A4C15-21EF-4809-B2AA-9AFBDFA33ED1}"/>
    <cellStyle name="Normal 9 3 7 2 4" xfId="16700" xr:uid="{31BDC8A5-5300-4F21-A1EA-37DAAD48366D}"/>
    <cellStyle name="Normal 9 3 7 3" xfId="6133" xr:uid="{00000000-0005-0000-0000-000040200000}"/>
    <cellStyle name="Normal 9 3 7 4" xfId="10344" xr:uid="{051CEABD-9539-4C38-A7CE-2AA2A1457167}"/>
    <cellStyle name="Normal 9 3 7 5" xfId="14555" xr:uid="{547B29C7-2ECA-42DE-9629-A0139BEE00F2}"/>
    <cellStyle name="Normal 9 3 8" xfId="2238" xr:uid="{00000000-0005-0000-0000-000041200000}"/>
    <cellStyle name="Normal 9 3 8 2" xfId="4467" xr:uid="{00000000-0005-0000-0000-000042200000}"/>
    <cellStyle name="Normal 9 3 8 2 2" xfId="8691" xr:uid="{00000000-0005-0000-0000-000043200000}"/>
    <cellStyle name="Normal 9 3 8 2 3" xfId="12902" xr:uid="{B6CB1BFB-1BBD-4D06-A948-C0BFDF3FDB74}"/>
    <cellStyle name="Normal 9 3 8 2 4" xfId="17113" xr:uid="{6351B1D4-EA49-4E66-8A84-DB2089E3E169}"/>
    <cellStyle name="Normal 9 3 8 3" xfId="6546" xr:uid="{00000000-0005-0000-0000-000044200000}"/>
    <cellStyle name="Normal 9 3 8 4" xfId="10757" xr:uid="{1A90F9DC-9991-43CF-8DA1-2E8A1D561E5C}"/>
    <cellStyle name="Normal 9 3 8 5" xfId="14968" xr:uid="{4F44A78E-CBB9-466F-879F-FE421853E967}"/>
    <cellStyle name="Normal 9 3 9" xfId="2674" xr:uid="{00000000-0005-0000-0000-000045200000}"/>
    <cellStyle name="Normal 9 3 9 2" xfId="6959" xr:uid="{00000000-0005-0000-0000-000046200000}"/>
    <cellStyle name="Normal 9 3 9 3" xfId="11170" xr:uid="{0BA32B8C-E0AA-4580-B130-17C138C07083}"/>
    <cellStyle name="Normal 9 3 9 4" xfId="15381" xr:uid="{FD86246A-41A0-47E9-BDCE-E42C310D6D26}"/>
    <cellStyle name="Normal 9 4" xfId="535" xr:uid="{00000000-0005-0000-0000-000047200000}"/>
    <cellStyle name="Normal 9 4 2" xfId="1003" xr:uid="{00000000-0005-0000-0000-000048200000}"/>
    <cellStyle name="Normal 9 5" xfId="536" xr:uid="{00000000-0005-0000-0000-000049200000}"/>
    <cellStyle name="Normal 9 5 10" xfId="13324" xr:uid="{72FDA5A3-CF57-43B4-B860-D298CC326C85}"/>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2 3" xfId="11672" xr:uid="{04A201D7-CBA8-4AF9-8289-64941E196186}"/>
    <cellStyle name="Normal 9 5 2 2 2 4" xfId="15883" xr:uid="{52269970-5858-42FD-9985-CC53CB031989}"/>
    <cellStyle name="Normal 9 5 2 2 3" xfId="5316" xr:uid="{00000000-0005-0000-0000-00004E200000}"/>
    <cellStyle name="Normal 9 5 2 2 4" xfId="9527" xr:uid="{A3C7A808-D4C4-4792-BD17-73F942604BC7}"/>
    <cellStyle name="Normal 9 5 2 2 5" xfId="13738" xr:uid="{8E9F88B5-4BB4-4ECD-B8E9-0482031EDC8A}"/>
    <cellStyle name="Normal 9 5 2 3" xfId="1420" xr:uid="{00000000-0005-0000-0000-00004F200000}"/>
    <cellStyle name="Normal 9 5 2 3 2" xfId="3650" xr:uid="{00000000-0005-0000-0000-000050200000}"/>
    <cellStyle name="Normal 9 5 2 3 2 2" xfId="7874" xr:uid="{00000000-0005-0000-0000-000051200000}"/>
    <cellStyle name="Normal 9 5 2 3 2 3" xfId="12085" xr:uid="{103BA49E-E587-4597-902C-16A041A908EE}"/>
    <cellStyle name="Normal 9 5 2 3 2 4" xfId="16296" xr:uid="{798F1FD6-0013-4FFD-85E9-544D35B11102}"/>
    <cellStyle name="Normal 9 5 2 3 3" xfId="5729" xr:uid="{00000000-0005-0000-0000-000052200000}"/>
    <cellStyle name="Normal 9 5 2 3 4" xfId="9940" xr:uid="{FEDAB987-CCFF-4C66-8533-516529BDCE73}"/>
    <cellStyle name="Normal 9 5 2 3 5" xfId="14151" xr:uid="{15912C69-CA8C-4F7A-83F9-31D53779256D}"/>
    <cellStyle name="Normal 9 5 2 4" xfId="1833" xr:uid="{00000000-0005-0000-0000-000053200000}"/>
    <cellStyle name="Normal 9 5 2 4 2" xfId="4063" xr:uid="{00000000-0005-0000-0000-000054200000}"/>
    <cellStyle name="Normal 9 5 2 4 2 2" xfId="8287" xr:uid="{00000000-0005-0000-0000-000055200000}"/>
    <cellStyle name="Normal 9 5 2 4 2 3" xfId="12498" xr:uid="{D9A5B8E1-1B87-43F2-96AE-1E367C2B2AAE}"/>
    <cellStyle name="Normal 9 5 2 4 2 4" xfId="16709" xr:uid="{A2286AFC-94F4-47F5-8674-24E818B0CF5E}"/>
    <cellStyle name="Normal 9 5 2 4 3" xfId="6142" xr:uid="{00000000-0005-0000-0000-000056200000}"/>
    <cellStyle name="Normal 9 5 2 4 4" xfId="10353" xr:uid="{EF402A95-38FF-4A93-BAEA-CAE57482D917}"/>
    <cellStyle name="Normal 9 5 2 4 5" xfId="14564" xr:uid="{5D414A8F-F54F-4CFF-AD8D-DC08A574A88F}"/>
    <cellStyle name="Normal 9 5 2 5" xfId="2247" xr:uid="{00000000-0005-0000-0000-000057200000}"/>
    <cellStyle name="Normal 9 5 2 5 2" xfId="4476" xr:uid="{00000000-0005-0000-0000-000058200000}"/>
    <cellStyle name="Normal 9 5 2 5 2 2" xfId="8700" xr:uid="{00000000-0005-0000-0000-000059200000}"/>
    <cellStyle name="Normal 9 5 2 5 2 3" xfId="12911" xr:uid="{BC0A954D-464D-4A64-B78B-0C6A411F9ABA}"/>
    <cellStyle name="Normal 9 5 2 5 2 4" xfId="17122" xr:uid="{8A2C3FF4-B047-46E6-9F50-CAE6AABB27D9}"/>
    <cellStyle name="Normal 9 5 2 5 3" xfId="6555" xr:uid="{00000000-0005-0000-0000-00005A200000}"/>
    <cellStyle name="Normal 9 5 2 5 4" xfId="10766" xr:uid="{78B003FA-C74F-41CE-8DF3-A0EA05E7FACE}"/>
    <cellStyle name="Normal 9 5 2 5 5" xfId="14977" xr:uid="{9E20A997-BEF5-4153-AB54-4FB40CBE3FE4}"/>
    <cellStyle name="Normal 9 5 2 6" xfId="2683" xr:uid="{00000000-0005-0000-0000-00005B200000}"/>
    <cellStyle name="Normal 9 5 2 6 2" xfId="6968" xr:uid="{00000000-0005-0000-0000-00005C200000}"/>
    <cellStyle name="Normal 9 5 2 6 3" xfId="11179" xr:uid="{920F2729-E46D-494A-B2BB-FDD6EC3D13B2}"/>
    <cellStyle name="Normal 9 5 2 6 4" xfId="15390" xr:uid="{C7DEDB8C-5735-4B66-B050-C48C0703BE84}"/>
    <cellStyle name="Normal 9 5 2 7" xfId="4903" xr:uid="{00000000-0005-0000-0000-00005D200000}"/>
    <cellStyle name="Normal 9 5 2 8" xfId="9114" xr:uid="{4E84BA11-7EDC-4197-A0AE-72A1A3F9C3C4}"/>
    <cellStyle name="Normal 9 5 2 9" xfId="13325" xr:uid="{890B41D4-EA03-47A1-BC9C-2EC8479FF3E4}"/>
    <cellStyle name="Normal 9 5 3" xfId="1004" xr:uid="{00000000-0005-0000-0000-00005E200000}"/>
    <cellStyle name="Normal 9 5 3 2" xfId="3236" xr:uid="{00000000-0005-0000-0000-00005F200000}"/>
    <cellStyle name="Normal 9 5 3 2 2" xfId="7460" xr:uid="{00000000-0005-0000-0000-000060200000}"/>
    <cellStyle name="Normal 9 5 3 2 3" xfId="11671" xr:uid="{174CE9D3-309A-40F7-B6B4-19FB2E7D9824}"/>
    <cellStyle name="Normal 9 5 3 2 4" xfId="15882" xr:uid="{FCCFF4F7-D09C-4D3E-8033-D00FE87AA7CA}"/>
    <cellStyle name="Normal 9 5 3 3" xfId="5315" xr:uid="{00000000-0005-0000-0000-000061200000}"/>
    <cellStyle name="Normal 9 5 3 4" xfId="9526" xr:uid="{186BA077-9FFD-42D8-8AA2-243BEDEB5CB2}"/>
    <cellStyle name="Normal 9 5 3 5" xfId="13737" xr:uid="{28C72FBC-4887-4A77-BD54-3294F9FA30D1}"/>
    <cellStyle name="Normal 9 5 4" xfId="1419" xr:uid="{00000000-0005-0000-0000-000062200000}"/>
    <cellStyle name="Normal 9 5 4 2" xfId="3649" xr:uid="{00000000-0005-0000-0000-000063200000}"/>
    <cellStyle name="Normal 9 5 4 2 2" xfId="7873" xr:uid="{00000000-0005-0000-0000-000064200000}"/>
    <cellStyle name="Normal 9 5 4 2 3" xfId="12084" xr:uid="{4CA2AFC5-C38D-4087-9276-66498DF9DB90}"/>
    <cellStyle name="Normal 9 5 4 2 4" xfId="16295" xr:uid="{DDAFE708-6CA0-43E1-BFE6-01ED94EF34D1}"/>
    <cellStyle name="Normal 9 5 4 3" xfId="5728" xr:uid="{00000000-0005-0000-0000-000065200000}"/>
    <cellStyle name="Normal 9 5 4 4" xfId="9939" xr:uid="{E5880AB3-51D6-46D0-AE51-365F334AC300}"/>
    <cellStyle name="Normal 9 5 4 5" xfId="14150" xr:uid="{A950DC36-D82F-4DAC-9089-0F6B68F78903}"/>
    <cellStyle name="Normal 9 5 5" xfId="1832" xr:uid="{00000000-0005-0000-0000-000066200000}"/>
    <cellStyle name="Normal 9 5 5 2" xfId="4062" xr:uid="{00000000-0005-0000-0000-000067200000}"/>
    <cellStyle name="Normal 9 5 5 2 2" xfId="8286" xr:uid="{00000000-0005-0000-0000-000068200000}"/>
    <cellStyle name="Normal 9 5 5 2 3" xfId="12497" xr:uid="{B5E375B2-060F-467E-AA11-EA66CE977C60}"/>
    <cellStyle name="Normal 9 5 5 2 4" xfId="16708" xr:uid="{055E5A40-ED3E-4751-8812-1C97F1D62794}"/>
    <cellStyle name="Normal 9 5 5 3" xfId="6141" xr:uid="{00000000-0005-0000-0000-000069200000}"/>
    <cellStyle name="Normal 9 5 5 4" xfId="10352" xr:uid="{15AC3B4D-D68D-4B5B-AFC3-C7445A6B5C5D}"/>
    <cellStyle name="Normal 9 5 5 5" xfId="14563" xr:uid="{D88C106B-5096-4A06-AEFC-F207678D9546}"/>
    <cellStyle name="Normal 9 5 6" xfId="2246" xr:uid="{00000000-0005-0000-0000-00006A200000}"/>
    <cellStyle name="Normal 9 5 6 2" xfId="4475" xr:uid="{00000000-0005-0000-0000-00006B200000}"/>
    <cellStyle name="Normal 9 5 6 2 2" xfId="8699" xr:uid="{00000000-0005-0000-0000-00006C200000}"/>
    <cellStyle name="Normal 9 5 6 2 3" xfId="12910" xr:uid="{48BFC1C9-70CB-4154-BED1-DE772FA41515}"/>
    <cellStyle name="Normal 9 5 6 2 4" xfId="17121" xr:uid="{A804A87C-D7F1-4571-8FDE-C0A834F88385}"/>
    <cellStyle name="Normal 9 5 6 3" xfId="6554" xr:uid="{00000000-0005-0000-0000-00006D200000}"/>
    <cellStyle name="Normal 9 5 6 4" xfId="10765" xr:uid="{1D6BBA82-EFF4-4497-8BAF-A2BE8443343A}"/>
    <cellStyle name="Normal 9 5 6 5" xfId="14976" xr:uid="{D7CEBA49-7D1D-48F2-8601-F039909BE2FB}"/>
    <cellStyle name="Normal 9 5 7" xfId="2682" xr:uid="{00000000-0005-0000-0000-00006E200000}"/>
    <cellStyle name="Normal 9 5 7 2" xfId="6967" xr:uid="{00000000-0005-0000-0000-00006F200000}"/>
    <cellStyle name="Normal 9 5 7 3" xfId="11178" xr:uid="{A0BD6B4F-5DF8-4AD8-837C-6F0ED402C3BA}"/>
    <cellStyle name="Normal 9 5 7 4" xfId="15389" xr:uid="{FA1BD652-5D35-4F68-B9FF-CCDB7E7AF490}"/>
    <cellStyle name="Normal 9 5 8" xfId="4902" xr:uid="{00000000-0005-0000-0000-000070200000}"/>
    <cellStyle name="Normal 9 5 9" xfId="9113" xr:uid="{3883CA0E-79F7-453B-A996-210E6245BF54}"/>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2 3" xfId="11673" xr:uid="{7CACCD7D-3F0F-4509-ABC1-580F49182ED5}"/>
    <cellStyle name="Normal 9 6 2 2 4" xfId="15884" xr:uid="{D7A38B96-7636-48DE-BF64-5FA71527527B}"/>
    <cellStyle name="Normal 9 6 2 3" xfId="5317" xr:uid="{00000000-0005-0000-0000-000075200000}"/>
    <cellStyle name="Normal 9 6 2 4" xfId="9528" xr:uid="{80520563-85DA-4D82-AC7B-9FBF538AE89C}"/>
    <cellStyle name="Normal 9 6 2 5" xfId="13739" xr:uid="{C08E923A-2459-4478-B078-B8EE8B8E165D}"/>
    <cellStyle name="Normal 9 6 3" xfId="1421" xr:uid="{00000000-0005-0000-0000-000076200000}"/>
    <cellStyle name="Normal 9 6 3 2" xfId="3651" xr:uid="{00000000-0005-0000-0000-000077200000}"/>
    <cellStyle name="Normal 9 6 3 2 2" xfId="7875" xr:uid="{00000000-0005-0000-0000-000078200000}"/>
    <cellStyle name="Normal 9 6 3 2 3" xfId="12086" xr:uid="{0C8F7FA7-F995-47C7-93A9-5268142752C0}"/>
    <cellStyle name="Normal 9 6 3 2 4" xfId="16297" xr:uid="{5E3B2064-0FB2-4047-A22D-2FB66C16786A}"/>
    <cellStyle name="Normal 9 6 3 3" xfId="5730" xr:uid="{00000000-0005-0000-0000-000079200000}"/>
    <cellStyle name="Normal 9 6 3 4" xfId="9941" xr:uid="{179B211C-2961-4662-83C3-B1A6ECE49B21}"/>
    <cellStyle name="Normal 9 6 3 5" xfId="14152" xr:uid="{0D223B75-9D2A-4FC3-9AC9-87807256B0E7}"/>
    <cellStyle name="Normal 9 6 4" xfId="1834" xr:uid="{00000000-0005-0000-0000-00007A200000}"/>
    <cellStyle name="Normal 9 6 4 2" xfId="4064" xr:uid="{00000000-0005-0000-0000-00007B200000}"/>
    <cellStyle name="Normal 9 6 4 2 2" xfId="8288" xr:uid="{00000000-0005-0000-0000-00007C200000}"/>
    <cellStyle name="Normal 9 6 4 2 3" xfId="12499" xr:uid="{1FB5EB4B-B4F4-4E70-9A63-97C2E36E4D1B}"/>
    <cellStyle name="Normal 9 6 4 2 4" xfId="16710" xr:uid="{D6B1D2E5-CCD4-481E-9332-18C0B1E4E6A6}"/>
    <cellStyle name="Normal 9 6 4 3" xfId="6143" xr:uid="{00000000-0005-0000-0000-00007D200000}"/>
    <cellStyle name="Normal 9 6 4 4" xfId="10354" xr:uid="{6CD9FF10-2A38-4811-BC10-6A6240CE9C90}"/>
    <cellStyle name="Normal 9 6 4 5" xfId="14565" xr:uid="{2385CB0C-944D-4560-96B5-11DA1E74E442}"/>
    <cellStyle name="Normal 9 6 5" xfId="2248" xr:uid="{00000000-0005-0000-0000-00007E200000}"/>
    <cellStyle name="Normal 9 6 5 2" xfId="4477" xr:uid="{00000000-0005-0000-0000-00007F200000}"/>
    <cellStyle name="Normal 9 6 5 2 2" xfId="8701" xr:uid="{00000000-0005-0000-0000-000080200000}"/>
    <cellStyle name="Normal 9 6 5 2 3" xfId="12912" xr:uid="{62E67E82-4F68-4A1B-8815-FF586D17A682}"/>
    <cellStyle name="Normal 9 6 5 2 4" xfId="17123" xr:uid="{0475A758-021C-4717-84FE-DC1F1FFF2A5B}"/>
    <cellStyle name="Normal 9 6 5 3" xfId="6556" xr:uid="{00000000-0005-0000-0000-000081200000}"/>
    <cellStyle name="Normal 9 6 5 4" xfId="10767" xr:uid="{626427A4-D88C-46B2-B921-2BC92721B308}"/>
    <cellStyle name="Normal 9 6 5 5" xfId="14978" xr:uid="{7ADE2E69-FE83-48B4-82B3-73D19C67DABA}"/>
    <cellStyle name="Normal 9 6 6" xfId="2684" xr:uid="{00000000-0005-0000-0000-000082200000}"/>
    <cellStyle name="Normal 9 6 6 2" xfId="6969" xr:uid="{00000000-0005-0000-0000-000083200000}"/>
    <cellStyle name="Normal 9 6 6 3" xfId="11180" xr:uid="{94AB7C09-B3DF-470A-A155-5462D0B554E9}"/>
    <cellStyle name="Normal 9 6 6 4" xfId="15391" xr:uid="{5F6ABDCE-F28D-479D-902B-7356465F6C87}"/>
    <cellStyle name="Normal 9 6 7" xfId="4904" xr:uid="{00000000-0005-0000-0000-000084200000}"/>
    <cellStyle name="Normal 9 6 8" xfId="9115" xr:uid="{9873BF9E-EA4A-4FAF-8690-088FF2B47FA2}"/>
    <cellStyle name="Normal 9 6 9" xfId="13326" xr:uid="{F6AEB432-A605-4A3F-B785-C8695BBF3062}"/>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0 3" xfId="11261" xr:uid="{4169140F-EBE5-4C4D-89E8-F36C8C6F2573}"/>
    <cellStyle name="Note 2 2 10 4" xfId="15472" xr:uid="{3AA3BC04-BD81-4418-8014-4FF75E3AB65C}"/>
    <cellStyle name="Note 2 2 11" xfId="4905" xr:uid="{00000000-0005-0000-0000-000093200000}"/>
    <cellStyle name="Note 2 2 12" xfId="9116" xr:uid="{9636DF07-EF4B-448E-9591-51EDD8253057}"/>
    <cellStyle name="Note 2 2 13" xfId="13327" xr:uid="{9407B3C8-6F4F-46C7-B268-353F89EA899D}"/>
    <cellStyle name="Note 2 2 2" xfId="547" xr:uid="{00000000-0005-0000-0000-000094200000}"/>
    <cellStyle name="Note 2 2 2 10" xfId="4906" xr:uid="{00000000-0005-0000-0000-000095200000}"/>
    <cellStyle name="Note 2 2 2 11" xfId="9117" xr:uid="{6D09EC68-4A8B-4DFB-B353-9B8748AA52C8}"/>
    <cellStyle name="Note 2 2 2 12" xfId="13328" xr:uid="{C2AB3469-1724-44EF-95E4-7C216FA826CA}"/>
    <cellStyle name="Note 2 2 2 2" xfId="548" xr:uid="{00000000-0005-0000-0000-000096200000}"/>
    <cellStyle name="Note 2 2 2 2 10" xfId="9118" xr:uid="{11498878-B247-4FD9-AB78-3F4372412998}"/>
    <cellStyle name="Note 2 2 2 2 11" xfId="13329" xr:uid="{A82B46A8-0881-4959-87DB-2159E6DA880F}"/>
    <cellStyle name="Note 2 2 2 2 2" xfId="1009" xr:uid="{00000000-0005-0000-0000-000097200000}"/>
    <cellStyle name="Note 2 2 2 2 2 2" xfId="3241" xr:uid="{00000000-0005-0000-0000-000098200000}"/>
    <cellStyle name="Note 2 2 2 2 2 2 2" xfId="7465" xr:uid="{00000000-0005-0000-0000-000099200000}"/>
    <cellStyle name="Note 2 2 2 2 2 2 3" xfId="11676" xr:uid="{0E7B9EA3-0CF5-446A-86B6-0B8D5C3A6FDA}"/>
    <cellStyle name="Note 2 2 2 2 2 2 4" xfId="15887" xr:uid="{13A7361E-1CA1-438F-8107-A3B0BF6BC6C2}"/>
    <cellStyle name="Note 2 2 2 2 2 3" xfId="5320" xr:uid="{00000000-0005-0000-0000-00009A200000}"/>
    <cellStyle name="Note 2 2 2 2 2 4" xfId="9531" xr:uid="{8DBC21CB-560E-4E13-9D84-C99E616D186A}"/>
    <cellStyle name="Note 2 2 2 2 2 5" xfId="13742" xr:uid="{30FBD7AD-60AB-428B-9F8B-0AF97B79F8BF}"/>
    <cellStyle name="Note 2 2 2 2 3" xfId="1424" xr:uid="{00000000-0005-0000-0000-00009B200000}"/>
    <cellStyle name="Note 2 2 2 2 3 2" xfId="3654" xr:uid="{00000000-0005-0000-0000-00009C200000}"/>
    <cellStyle name="Note 2 2 2 2 3 2 2" xfId="7878" xr:uid="{00000000-0005-0000-0000-00009D200000}"/>
    <cellStyle name="Note 2 2 2 2 3 2 3" xfId="12089" xr:uid="{74995A2A-4564-4970-8880-B4D405A6B325}"/>
    <cellStyle name="Note 2 2 2 2 3 2 4" xfId="16300" xr:uid="{335A9962-BF5C-4192-BE63-9A103167D59E}"/>
    <cellStyle name="Note 2 2 2 2 3 3" xfId="5733" xr:uid="{00000000-0005-0000-0000-00009E200000}"/>
    <cellStyle name="Note 2 2 2 2 3 4" xfId="9944" xr:uid="{CDD33828-5856-43DF-A625-382672011EE0}"/>
    <cellStyle name="Note 2 2 2 2 3 5" xfId="14155" xr:uid="{8352334D-E60E-4402-A126-E9A43D91D9B0}"/>
    <cellStyle name="Note 2 2 2 2 4" xfId="1838" xr:uid="{00000000-0005-0000-0000-00009F200000}"/>
    <cellStyle name="Note 2 2 2 2 4 2" xfId="4067" xr:uid="{00000000-0005-0000-0000-0000A0200000}"/>
    <cellStyle name="Note 2 2 2 2 4 2 2" xfId="8291" xr:uid="{00000000-0005-0000-0000-0000A1200000}"/>
    <cellStyle name="Note 2 2 2 2 4 2 3" xfId="12502" xr:uid="{CEB6185B-9B6F-43CB-93A5-BD238A033A05}"/>
    <cellStyle name="Note 2 2 2 2 4 2 4" xfId="16713" xr:uid="{033864A6-551D-4E0E-BD0B-D7C889C5A1FA}"/>
    <cellStyle name="Note 2 2 2 2 4 3" xfId="6146" xr:uid="{00000000-0005-0000-0000-0000A2200000}"/>
    <cellStyle name="Note 2 2 2 2 4 4" xfId="10357" xr:uid="{15B5EFA2-2CD4-4025-AEC4-FF0C259932E9}"/>
    <cellStyle name="Note 2 2 2 2 4 5" xfId="14568" xr:uid="{031AC8C7-CC64-4278-A149-F6B929625EE9}"/>
    <cellStyle name="Note 2 2 2 2 5" xfId="2251" xr:uid="{00000000-0005-0000-0000-0000A3200000}"/>
    <cellStyle name="Note 2 2 2 2 5 2" xfId="4480" xr:uid="{00000000-0005-0000-0000-0000A4200000}"/>
    <cellStyle name="Note 2 2 2 2 5 2 2" xfId="8704" xr:uid="{00000000-0005-0000-0000-0000A5200000}"/>
    <cellStyle name="Note 2 2 2 2 5 2 3" xfId="12915" xr:uid="{220F10EE-767A-42F5-8B00-2089D1C43231}"/>
    <cellStyle name="Note 2 2 2 2 5 2 4" xfId="17126" xr:uid="{53444435-EF4E-41B2-8ACD-DCC4C473EB68}"/>
    <cellStyle name="Note 2 2 2 2 5 3" xfId="6559" xr:uid="{00000000-0005-0000-0000-0000A6200000}"/>
    <cellStyle name="Note 2 2 2 2 5 4" xfId="10770" xr:uid="{93416109-431B-4A41-9992-0473E4867BBD}"/>
    <cellStyle name="Note 2 2 2 2 5 5" xfId="14981" xr:uid="{2A5CF86F-1DAA-49CD-8E5A-45030F5BFFC2}"/>
    <cellStyle name="Note 2 2 2 2 6" xfId="2687" xr:uid="{00000000-0005-0000-0000-0000A7200000}"/>
    <cellStyle name="Note 2 2 2 2 6 2" xfId="6972" xr:uid="{00000000-0005-0000-0000-0000A8200000}"/>
    <cellStyle name="Note 2 2 2 2 6 3" xfId="11183" xr:uid="{6DB47EC5-7DF8-4B84-8F6B-04BCC7E782B0}"/>
    <cellStyle name="Note 2 2 2 2 6 4" xfId="15394" xr:uid="{94DC7433-1FC0-4BE0-820B-7ACCBC5AF3DF}"/>
    <cellStyle name="Note 2 2 2 2 7" xfId="2746" xr:uid="{00000000-0005-0000-0000-0000A9200000}"/>
    <cellStyle name="Note 2 2 2 2 8" xfId="2827" xr:uid="{00000000-0005-0000-0000-0000AA200000}"/>
    <cellStyle name="Note 2 2 2 2 8 2" xfId="7052" xr:uid="{00000000-0005-0000-0000-0000AB200000}"/>
    <cellStyle name="Note 2 2 2 2 8 3" xfId="11263" xr:uid="{1704CEB0-955D-4D24-B2ED-C3157C8FCA3C}"/>
    <cellStyle name="Note 2 2 2 2 8 4" xfId="15474" xr:uid="{97EAEC31-2C3A-4242-A7CA-E2677D739AD4}"/>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2 3" xfId="11675" xr:uid="{4C65C267-D663-4EAB-8053-DAED8948537E}"/>
    <cellStyle name="Note 2 2 2 3 2 4" xfId="15886" xr:uid="{4FB90857-31FD-461E-B939-FB63EF917E37}"/>
    <cellStyle name="Note 2 2 2 3 3" xfId="5319" xr:uid="{00000000-0005-0000-0000-0000B0200000}"/>
    <cellStyle name="Note 2 2 2 3 4" xfId="9530" xr:uid="{B519C65C-3D0C-479A-A902-0AF70C40BA7B}"/>
    <cellStyle name="Note 2 2 2 3 5" xfId="13741" xr:uid="{0068A20B-E359-4160-8D19-A6AB63DB38B9}"/>
    <cellStyle name="Note 2 2 2 4" xfId="1423" xr:uid="{00000000-0005-0000-0000-0000B1200000}"/>
    <cellStyle name="Note 2 2 2 4 2" xfId="3653" xr:uid="{00000000-0005-0000-0000-0000B2200000}"/>
    <cellStyle name="Note 2 2 2 4 2 2" xfId="7877" xr:uid="{00000000-0005-0000-0000-0000B3200000}"/>
    <cellStyle name="Note 2 2 2 4 2 3" xfId="12088" xr:uid="{6097EFD1-E396-4A74-A09A-3C676D8C0DF5}"/>
    <cellStyle name="Note 2 2 2 4 2 4" xfId="16299" xr:uid="{F3482168-12B0-4523-805B-A98A5A87DC55}"/>
    <cellStyle name="Note 2 2 2 4 3" xfId="5732" xr:uid="{00000000-0005-0000-0000-0000B4200000}"/>
    <cellStyle name="Note 2 2 2 4 4" xfId="9943" xr:uid="{79CD5326-4E56-47FA-B027-87DE9AF444BE}"/>
    <cellStyle name="Note 2 2 2 4 5" xfId="14154" xr:uid="{DD49AD50-A841-4FB0-9D13-344D7B54DE98}"/>
    <cellStyle name="Note 2 2 2 5" xfId="1837" xr:uid="{00000000-0005-0000-0000-0000B5200000}"/>
    <cellStyle name="Note 2 2 2 5 2" xfId="4066" xr:uid="{00000000-0005-0000-0000-0000B6200000}"/>
    <cellStyle name="Note 2 2 2 5 2 2" xfId="8290" xr:uid="{00000000-0005-0000-0000-0000B7200000}"/>
    <cellStyle name="Note 2 2 2 5 2 3" xfId="12501" xr:uid="{9F3E1A63-A0DC-43DA-8E9F-FA3A0BE4AB0B}"/>
    <cellStyle name="Note 2 2 2 5 2 4" xfId="16712" xr:uid="{3562DE40-B1C3-4143-B36E-6458D15B644B}"/>
    <cellStyle name="Note 2 2 2 5 3" xfId="6145" xr:uid="{00000000-0005-0000-0000-0000B8200000}"/>
    <cellStyle name="Note 2 2 2 5 4" xfId="10356" xr:uid="{C9B11F8E-93C7-4610-8966-3CE40B1118D0}"/>
    <cellStyle name="Note 2 2 2 5 5" xfId="14567" xr:uid="{86834CA3-5C65-4254-B360-ED0BFF323F38}"/>
    <cellStyle name="Note 2 2 2 6" xfId="2250" xr:uid="{00000000-0005-0000-0000-0000B9200000}"/>
    <cellStyle name="Note 2 2 2 6 2" xfId="4479" xr:uid="{00000000-0005-0000-0000-0000BA200000}"/>
    <cellStyle name="Note 2 2 2 6 2 2" xfId="8703" xr:uid="{00000000-0005-0000-0000-0000BB200000}"/>
    <cellStyle name="Note 2 2 2 6 2 3" xfId="12914" xr:uid="{203C9821-D672-4E09-A26E-5DCC0F77B80F}"/>
    <cellStyle name="Note 2 2 2 6 2 4" xfId="17125" xr:uid="{F6B2EA6C-6241-4C31-96E7-FA44C516D511}"/>
    <cellStyle name="Note 2 2 2 6 3" xfId="6558" xr:uid="{00000000-0005-0000-0000-0000BC200000}"/>
    <cellStyle name="Note 2 2 2 6 4" xfId="10769" xr:uid="{A07A8484-6090-4E74-ABDC-352F325CB4E9}"/>
    <cellStyle name="Note 2 2 2 6 5" xfId="14980" xr:uid="{8A8535B8-7A20-42B5-BA3D-0066E8133096}"/>
    <cellStyle name="Note 2 2 2 7" xfId="2686" xr:uid="{00000000-0005-0000-0000-0000BD200000}"/>
    <cellStyle name="Note 2 2 2 7 2" xfId="6971" xr:uid="{00000000-0005-0000-0000-0000BE200000}"/>
    <cellStyle name="Note 2 2 2 7 3" xfId="11182" xr:uid="{094550A9-3361-412C-B939-F7B721753688}"/>
    <cellStyle name="Note 2 2 2 7 4" xfId="15393" xr:uid="{C7162295-7326-4573-A0A5-4696D90C6560}"/>
    <cellStyle name="Note 2 2 2 8" xfId="2745" xr:uid="{00000000-0005-0000-0000-0000BF200000}"/>
    <cellStyle name="Note 2 2 2 9" xfId="2826" xr:uid="{00000000-0005-0000-0000-0000C0200000}"/>
    <cellStyle name="Note 2 2 2 9 2" xfId="7051" xr:uid="{00000000-0005-0000-0000-0000C1200000}"/>
    <cellStyle name="Note 2 2 2 9 3" xfId="11262" xr:uid="{F1092A30-7520-4FC1-9EB2-E5345E7B3045}"/>
    <cellStyle name="Note 2 2 2 9 4" xfId="15473" xr:uid="{535EC020-1C76-4FB7-A6AD-5EA8A92F29EA}"/>
    <cellStyle name="Note 2 2 3" xfId="549" xr:uid="{00000000-0005-0000-0000-0000C2200000}"/>
    <cellStyle name="Note 2 2 3 10" xfId="9119" xr:uid="{EFB61A68-6DC3-4AB4-897F-AC8A3718AD7F}"/>
    <cellStyle name="Note 2 2 3 11" xfId="13330" xr:uid="{ECECB7A8-BAFD-4F9E-93AB-4DBD85A79BFA}"/>
    <cellStyle name="Note 2 2 3 2" xfId="1010" xr:uid="{00000000-0005-0000-0000-0000C3200000}"/>
    <cellStyle name="Note 2 2 3 2 2" xfId="3242" xr:uid="{00000000-0005-0000-0000-0000C4200000}"/>
    <cellStyle name="Note 2 2 3 2 2 2" xfId="7466" xr:uid="{00000000-0005-0000-0000-0000C5200000}"/>
    <cellStyle name="Note 2 2 3 2 2 3" xfId="11677" xr:uid="{8C1019F5-F5D9-4076-BF60-FBB0BD2A357D}"/>
    <cellStyle name="Note 2 2 3 2 2 4" xfId="15888" xr:uid="{2E75D7F8-C180-4819-9E4A-3C69635D5B24}"/>
    <cellStyle name="Note 2 2 3 2 3" xfId="5321" xr:uid="{00000000-0005-0000-0000-0000C6200000}"/>
    <cellStyle name="Note 2 2 3 2 4" xfId="9532" xr:uid="{2D3D5A80-1659-4A5B-9A08-DEA015B5C29A}"/>
    <cellStyle name="Note 2 2 3 2 5" xfId="13743" xr:uid="{1E2F6E56-5265-4848-9BB5-6D86A9178920}"/>
    <cellStyle name="Note 2 2 3 3" xfId="1425" xr:uid="{00000000-0005-0000-0000-0000C7200000}"/>
    <cellStyle name="Note 2 2 3 3 2" xfId="3655" xr:uid="{00000000-0005-0000-0000-0000C8200000}"/>
    <cellStyle name="Note 2 2 3 3 2 2" xfId="7879" xr:uid="{00000000-0005-0000-0000-0000C9200000}"/>
    <cellStyle name="Note 2 2 3 3 2 3" xfId="12090" xr:uid="{A9078085-0568-44F0-871D-0B076FB68B0A}"/>
    <cellStyle name="Note 2 2 3 3 2 4" xfId="16301" xr:uid="{35812C81-51E0-4D8C-A419-11721DDB77F5}"/>
    <cellStyle name="Note 2 2 3 3 3" xfId="5734" xr:uid="{00000000-0005-0000-0000-0000CA200000}"/>
    <cellStyle name="Note 2 2 3 3 4" xfId="9945" xr:uid="{D10A44FB-4409-472F-9830-54A99FFFE972}"/>
    <cellStyle name="Note 2 2 3 3 5" xfId="14156" xr:uid="{89EEB256-1DC7-4B36-A328-392E6FD9A3CD}"/>
    <cellStyle name="Note 2 2 3 4" xfId="1839" xr:uid="{00000000-0005-0000-0000-0000CB200000}"/>
    <cellStyle name="Note 2 2 3 4 2" xfId="4068" xr:uid="{00000000-0005-0000-0000-0000CC200000}"/>
    <cellStyle name="Note 2 2 3 4 2 2" xfId="8292" xr:uid="{00000000-0005-0000-0000-0000CD200000}"/>
    <cellStyle name="Note 2 2 3 4 2 3" xfId="12503" xr:uid="{580DE12D-F796-4FB8-B217-86C02ABB82E3}"/>
    <cellStyle name="Note 2 2 3 4 2 4" xfId="16714" xr:uid="{F4BEA026-39D6-4D4B-8083-94CD5C61E9B1}"/>
    <cellStyle name="Note 2 2 3 4 3" xfId="6147" xr:uid="{00000000-0005-0000-0000-0000CE200000}"/>
    <cellStyle name="Note 2 2 3 4 4" xfId="10358" xr:uid="{FA3681C7-7EEA-4398-B934-E0089E098EF9}"/>
    <cellStyle name="Note 2 2 3 4 5" xfId="14569" xr:uid="{26558930-FC3D-42CF-BC55-DC33C1E0765C}"/>
    <cellStyle name="Note 2 2 3 5" xfId="2252" xr:uid="{00000000-0005-0000-0000-0000CF200000}"/>
    <cellStyle name="Note 2 2 3 5 2" xfId="4481" xr:uid="{00000000-0005-0000-0000-0000D0200000}"/>
    <cellStyle name="Note 2 2 3 5 2 2" xfId="8705" xr:uid="{00000000-0005-0000-0000-0000D1200000}"/>
    <cellStyle name="Note 2 2 3 5 2 3" xfId="12916" xr:uid="{AC7453B2-A507-4DEB-B92D-8D872FA3D62A}"/>
    <cellStyle name="Note 2 2 3 5 2 4" xfId="17127" xr:uid="{F4AB161F-0842-480B-9C05-6C9975ED8809}"/>
    <cellStyle name="Note 2 2 3 5 3" xfId="6560" xr:uid="{00000000-0005-0000-0000-0000D2200000}"/>
    <cellStyle name="Note 2 2 3 5 4" xfId="10771" xr:uid="{2E77795C-937C-4A7D-89EC-B33214116723}"/>
    <cellStyle name="Note 2 2 3 5 5" xfId="14982" xr:uid="{B2CF9842-7C99-4DC2-944D-106DB25A298D}"/>
    <cellStyle name="Note 2 2 3 6" xfId="2688" xr:uid="{00000000-0005-0000-0000-0000D3200000}"/>
    <cellStyle name="Note 2 2 3 6 2" xfId="6973" xr:uid="{00000000-0005-0000-0000-0000D4200000}"/>
    <cellStyle name="Note 2 2 3 6 3" xfId="11184" xr:uid="{1428C62B-DCFC-43D7-86D4-8FAF7C6C1DC1}"/>
    <cellStyle name="Note 2 2 3 6 4" xfId="15395" xr:uid="{604FBD5C-AF41-4894-8BE7-ACA1EEFDE264}"/>
    <cellStyle name="Note 2 2 3 7" xfId="2747" xr:uid="{00000000-0005-0000-0000-0000D5200000}"/>
    <cellStyle name="Note 2 2 3 8" xfId="2828" xr:uid="{00000000-0005-0000-0000-0000D6200000}"/>
    <cellStyle name="Note 2 2 3 8 2" xfId="7053" xr:uid="{00000000-0005-0000-0000-0000D7200000}"/>
    <cellStyle name="Note 2 2 3 8 3" xfId="11264" xr:uid="{1D176302-B53A-490E-99BC-41CA7272F82F}"/>
    <cellStyle name="Note 2 2 3 8 4" xfId="15475" xr:uid="{D60CB3DB-A15D-47AA-B99B-0E0F07BE4B5B}"/>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2 3" xfId="11674" xr:uid="{CE570ABF-CF00-4FFF-BB68-902FBA932FA8}"/>
    <cellStyle name="Note 2 2 4 2 4" xfId="15885" xr:uid="{C5C71A1E-C9A1-406F-B4A3-C81D55EE5D23}"/>
    <cellStyle name="Note 2 2 4 3" xfId="5318" xr:uid="{00000000-0005-0000-0000-0000DC200000}"/>
    <cellStyle name="Note 2 2 4 4" xfId="9529" xr:uid="{3890F8D1-2FE3-4104-AF54-7DF262E12A2C}"/>
    <cellStyle name="Note 2 2 4 5" xfId="13740" xr:uid="{E8E775EE-1F44-42DD-A998-E912B1B24AD7}"/>
    <cellStyle name="Note 2 2 5" xfId="1422" xr:uid="{00000000-0005-0000-0000-0000DD200000}"/>
    <cellStyle name="Note 2 2 5 2" xfId="3652" xr:uid="{00000000-0005-0000-0000-0000DE200000}"/>
    <cellStyle name="Note 2 2 5 2 2" xfId="7876" xr:uid="{00000000-0005-0000-0000-0000DF200000}"/>
    <cellStyle name="Note 2 2 5 2 3" xfId="12087" xr:uid="{1ED771B4-3137-40B7-98D6-C06C6E880AAE}"/>
    <cellStyle name="Note 2 2 5 2 4" xfId="16298" xr:uid="{5153135D-B401-4F06-B675-A9EEACA6CE45}"/>
    <cellStyle name="Note 2 2 5 3" xfId="5731" xr:uid="{00000000-0005-0000-0000-0000E0200000}"/>
    <cellStyle name="Note 2 2 5 4" xfId="9942" xr:uid="{C4080EDB-CBEE-4C1B-81E0-020EEF07E1EB}"/>
    <cellStyle name="Note 2 2 5 5" xfId="14153" xr:uid="{7025F5CC-9896-41EA-9EFC-5323390D508D}"/>
    <cellStyle name="Note 2 2 6" xfId="1836" xr:uid="{00000000-0005-0000-0000-0000E1200000}"/>
    <cellStyle name="Note 2 2 6 2" xfId="4065" xr:uid="{00000000-0005-0000-0000-0000E2200000}"/>
    <cellStyle name="Note 2 2 6 2 2" xfId="8289" xr:uid="{00000000-0005-0000-0000-0000E3200000}"/>
    <cellStyle name="Note 2 2 6 2 3" xfId="12500" xr:uid="{51208DD4-8B27-40F6-81D8-67E3023F80DB}"/>
    <cellStyle name="Note 2 2 6 2 4" xfId="16711" xr:uid="{5F634024-9B0C-4D5D-8DAC-32AE2B196C01}"/>
    <cellStyle name="Note 2 2 6 3" xfId="6144" xr:uid="{00000000-0005-0000-0000-0000E4200000}"/>
    <cellStyle name="Note 2 2 6 4" xfId="10355" xr:uid="{77EBF3A3-4E5F-46AB-B9E8-88DFF9BDBA7D}"/>
    <cellStyle name="Note 2 2 6 5" xfId="14566" xr:uid="{734DAB9D-5845-40E6-82AC-9CF1EF463ABF}"/>
    <cellStyle name="Note 2 2 7" xfId="2249" xr:uid="{00000000-0005-0000-0000-0000E5200000}"/>
    <cellStyle name="Note 2 2 7 2" xfId="4478" xr:uid="{00000000-0005-0000-0000-0000E6200000}"/>
    <cellStyle name="Note 2 2 7 2 2" xfId="8702" xr:uid="{00000000-0005-0000-0000-0000E7200000}"/>
    <cellStyle name="Note 2 2 7 2 3" xfId="12913" xr:uid="{20102A6E-5158-4146-85FF-4A28A056A92D}"/>
    <cellStyle name="Note 2 2 7 2 4" xfId="17124" xr:uid="{994FF784-F261-4F8A-933F-DF1DFE74B4C3}"/>
    <cellStyle name="Note 2 2 7 3" xfId="6557" xr:uid="{00000000-0005-0000-0000-0000E8200000}"/>
    <cellStyle name="Note 2 2 7 4" xfId="10768" xr:uid="{A7D8FA67-4642-4FBD-A414-CDC0966EC060}"/>
    <cellStyle name="Note 2 2 7 5" xfId="14979" xr:uid="{15B046FE-EEFD-40B8-9288-5B55DF294BEC}"/>
    <cellStyle name="Note 2 2 8" xfId="2685" xr:uid="{00000000-0005-0000-0000-0000E9200000}"/>
    <cellStyle name="Note 2 2 8 2" xfId="6970" xr:uid="{00000000-0005-0000-0000-0000EA200000}"/>
    <cellStyle name="Note 2 2 8 3" xfId="11181" xr:uid="{208CD764-93BE-40AC-8311-B118E427EFAE}"/>
    <cellStyle name="Note 2 2 8 4" xfId="15392" xr:uid="{B39BD4D2-AAD7-4951-997A-C76ACBEF4364}"/>
    <cellStyle name="Note 2 2 9" xfId="2744" xr:uid="{00000000-0005-0000-0000-0000EB200000}"/>
    <cellStyle name="Note 2 3" xfId="550" xr:uid="{00000000-0005-0000-0000-0000EC200000}"/>
    <cellStyle name="Note 2 3 10" xfId="4909" xr:uid="{00000000-0005-0000-0000-0000ED200000}"/>
    <cellStyle name="Note 2 3 11" xfId="9120" xr:uid="{585EA0C0-9450-4D0D-B6F0-AE402EA3B74D}"/>
    <cellStyle name="Note 2 3 12" xfId="13331" xr:uid="{244FD287-EEA8-4017-9179-5B07AED6C1BD}"/>
    <cellStyle name="Note 2 3 2" xfId="551" xr:uid="{00000000-0005-0000-0000-0000EE200000}"/>
    <cellStyle name="Note 2 3 2 10" xfId="9121" xr:uid="{0547A034-ED06-4F32-8029-6A0FF8CC514F}"/>
    <cellStyle name="Note 2 3 2 11" xfId="13332" xr:uid="{51320FF9-E161-44AE-B0D4-52CD7871618F}"/>
    <cellStyle name="Note 2 3 2 2" xfId="1012" xr:uid="{00000000-0005-0000-0000-0000EF200000}"/>
    <cellStyle name="Note 2 3 2 2 2" xfId="3244" xr:uid="{00000000-0005-0000-0000-0000F0200000}"/>
    <cellStyle name="Note 2 3 2 2 2 2" xfId="7468" xr:uid="{00000000-0005-0000-0000-0000F1200000}"/>
    <cellStyle name="Note 2 3 2 2 2 3" xfId="11679" xr:uid="{896B90DD-B291-4AB3-A1B7-D78956F0FA87}"/>
    <cellStyle name="Note 2 3 2 2 2 4" xfId="15890" xr:uid="{0A3650FD-1C43-4664-BCB2-46950FE7CD2D}"/>
    <cellStyle name="Note 2 3 2 2 3" xfId="5323" xr:uid="{00000000-0005-0000-0000-0000F2200000}"/>
    <cellStyle name="Note 2 3 2 2 4" xfId="9534" xr:uid="{C914761F-5645-49E3-8903-E2B0A1615358}"/>
    <cellStyle name="Note 2 3 2 2 5" xfId="13745" xr:uid="{D85D7D0D-3244-4081-9151-F7C2EDF760B9}"/>
    <cellStyle name="Note 2 3 2 3" xfId="1427" xr:uid="{00000000-0005-0000-0000-0000F3200000}"/>
    <cellStyle name="Note 2 3 2 3 2" xfId="3657" xr:uid="{00000000-0005-0000-0000-0000F4200000}"/>
    <cellStyle name="Note 2 3 2 3 2 2" xfId="7881" xr:uid="{00000000-0005-0000-0000-0000F5200000}"/>
    <cellStyle name="Note 2 3 2 3 2 3" xfId="12092" xr:uid="{7F95CBD0-AB6E-4B88-B99A-CDB50BF63CD4}"/>
    <cellStyle name="Note 2 3 2 3 2 4" xfId="16303" xr:uid="{98B6B991-2448-4B56-9926-505834D853C5}"/>
    <cellStyle name="Note 2 3 2 3 3" xfId="5736" xr:uid="{00000000-0005-0000-0000-0000F6200000}"/>
    <cellStyle name="Note 2 3 2 3 4" xfId="9947" xr:uid="{A2E5E3C0-176A-445D-BB6B-3AF65579A7BA}"/>
    <cellStyle name="Note 2 3 2 3 5" xfId="14158" xr:uid="{3D9863F5-4F8C-4BEB-BBD7-D81EFBBB94E9}"/>
    <cellStyle name="Note 2 3 2 4" xfId="1841" xr:uid="{00000000-0005-0000-0000-0000F7200000}"/>
    <cellStyle name="Note 2 3 2 4 2" xfId="4070" xr:uid="{00000000-0005-0000-0000-0000F8200000}"/>
    <cellStyle name="Note 2 3 2 4 2 2" xfId="8294" xr:uid="{00000000-0005-0000-0000-0000F9200000}"/>
    <cellStyle name="Note 2 3 2 4 2 3" xfId="12505" xr:uid="{3530AB63-1241-4888-8DC8-95DB6F5B5CCE}"/>
    <cellStyle name="Note 2 3 2 4 2 4" xfId="16716" xr:uid="{F43BA70A-BD52-4D75-9228-D71239661FDC}"/>
    <cellStyle name="Note 2 3 2 4 3" xfId="6149" xr:uid="{00000000-0005-0000-0000-0000FA200000}"/>
    <cellStyle name="Note 2 3 2 4 4" xfId="10360" xr:uid="{2401DBED-295A-4B1B-8A99-4D71893A90D1}"/>
    <cellStyle name="Note 2 3 2 4 5" xfId="14571" xr:uid="{96E48244-9427-4CF8-B42E-4D7D61387E91}"/>
    <cellStyle name="Note 2 3 2 5" xfId="2254" xr:uid="{00000000-0005-0000-0000-0000FB200000}"/>
    <cellStyle name="Note 2 3 2 5 2" xfId="4483" xr:uid="{00000000-0005-0000-0000-0000FC200000}"/>
    <cellStyle name="Note 2 3 2 5 2 2" xfId="8707" xr:uid="{00000000-0005-0000-0000-0000FD200000}"/>
    <cellStyle name="Note 2 3 2 5 2 3" xfId="12918" xr:uid="{E2C93033-2E58-4DC8-ACC5-C9E11AFBEA79}"/>
    <cellStyle name="Note 2 3 2 5 2 4" xfId="17129" xr:uid="{7DBBF765-53CD-45D7-8CC5-AE94716BB0E8}"/>
    <cellStyle name="Note 2 3 2 5 3" xfId="6562" xr:uid="{00000000-0005-0000-0000-0000FE200000}"/>
    <cellStyle name="Note 2 3 2 5 4" xfId="10773" xr:uid="{9D0021BE-8608-4BD8-A897-87C1E2897718}"/>
    <cellStyle name="Note 2 3 2 5 5" xfId="14984" xr:uid="{7F41FE88-030D-45AD-8C75-7DDBCC2F9C4A}"/>
    <cellStyle name="Note 2 3 2 6" xfId="2690" xr:uid="{00000000-0005-0000-0000-0000FF200000}"/>
    <cellStyle name="Note 2 3 2 6 2" xfId="6975" xr:uid="{00000000-0005-0000-0000-000000210000}"/>
    <cellStyle name="Note 2 3 2 6 3" xfId="11186" xr:uid="{5352EDBB-07B5-420B-8D66-D4560DE77548}"/>
    <cellStyle name="Note 2 3 2 6 4" xfId="15397" xr:uid="{A570A07E-70AD-4AFD-9E2F-15B8EC184125}"/>
    <cellStyle name="Note 2 3 2 7" xfId="2749" xr:uid="{00000000-0005-0000-0000-000001210000}"/>
    <cellStyle name="Note 2 3 2 8" xfId="2830" xr:uid="{00000000-0005-0000-0000-000002210000}"/>
    <cellStyle name="Note 2 3 2 8 2" xfId="7055" xr:uid="{00000000-0005-0000-0000-000003210000}"/>
    <cellStyle name="Note 2 3 2 8 3" xfId="11266" xr:uid="{D44C6DE9-C0F3-4EB0-B871-FE98A0A628A3}"/>
    <cellStyle name="Note 2 3 2 8 4" xfId="15477" xr:uid="{FB83C61E-CDF5-4071-9B38-DC5558E3466C}"/>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2 3" xfId="11678" xr:uid="{CD649060-E632-42F2-A839-46C7F6436C33}"/>
    <cellStyle name="Note 2 3 3 2 4" xfId="15889" xr:uid="{1AD0969C-2588-476E-ABF3-1D0A96E4FF14}"/>
    <cellStyle name="Note 2 3 3 3" xfId="5322" xr:uid="{00000000-0005-0000-0000-000008210000}"/>
    <cellStyle name="Note 2 3 3 4" xfId="9533" xr:uid="{34B04834-DFFB-4370-A0BB-E090E6B36AAA}"/>
    <cellStyle name="Note 2 3 3 5" xfId="13744" xr:uid="{E8E00620-83F1-4608-8069-3CC92A9995C9}"/>
    <cellStyle name="Note 2 3 4" xfId="1426" xr:uid="{00000000-0005-0000-0000-000009210000}"/>
    <cellStyle name="Note 2 3 4 2" xfId="3656" xr:uid="{00000000-0005-0000-0000-00000A210000}"/>
    <cellStyle name="Note 2 3 4 2 2" xfId="7880" xr:uid="{00000000-0005-0000-0000-00000B210000}"/>
    <cellStyle name="Note 2 3 4 2 3" xfId="12091" xr:uid="{304AB148-10B3-4310-B2EB-D751A125EE5B}"/>
    <cellStyle name="Note 2 3 4 2 4" xfId="16302" xr:uid="{9B25FA84-9609-44C9-8508-A2C41AEA7D1B}"/>
    <cellStyle name="Note 2 3 4 3" xfId="5735" xr:uid="{00000000-0005-0000-0000-00000C210000}"/>
    <cellStyle name="Note 2 3 4 4" xfId="9946" xr:uid="{C62B015B-5B99-4E72-9874-C3BBA14CC7F0}"/>
    <cellStyle name="Note 2 3 4 5" xfId="14157" xr:uid="{B47A9412-E7BF-4C27-81BA-49A90ACF5DAD}"/>
    <cellStyle name="Note 2 3 5" xfId="1840" xr:uid="{00000000-0005-0000-0000-00000D210000}"/>
    <cellStyle name="Note 2 3 5 2" xfId="4069" xr:uid="{00000000-0005-0000-0000-00000E210000}"/>
    <cellStyle name="Note 2 3 5 2 2" xfId="8293" xr:uid="{00000000-0005-0000-0000-00000F210000}"/>
    <cellStyle name="Note 2 3 5 2 3" xfId="12504" xr:uid="{021B0A09-D360-4D99-BD6D-94CC6F324C6F}"/>
    <cellStyle name="Note 2 3 5 2 4" xfId="16715" xr:uid="{8671870A-367C-44B6-B7B1-7A20889233B9}"/>
    <cellStyle name="Note 2 3 5 3" xfId="6148" xr:uid="{00000000-0005-0000-0000-000010210000}"/>
    <cellStyle name="Note 2 3 5 4" xfId="10359" xr:uid="{E3B26C9E-81D8-468D-95FA-9205060DE1D7}"/>
    <cellStyle name="Note 2 3 5 5" xfId="14570" xr:uid="{55E0D681-7C45-43F4-887D-5397867680E0}"/>
    <cellStyle name="Note 2 3 6" xfId="2253" xr:uid="{00000000-0005-0000-0000-000011210000}"/>
    <cellStyle name="Note 2 3 6 2" xfId="4482" xr:uid="{00000000-0005-0000-0000-000012210000}"/>
    <cellStyle name="Note 2 3 6 2 2" xfId="8706" xr:uid="{00000000-0005-0000-0000-000013210000}"/>
    <cellStyle name="Note 2 3 6 2 3" xfId="12917" xr:uid="{7A1BC13A-145E-4D5E-B4DC-1CD332A5F0E3}"/>
    <cellStyle name="Note 2 3 6 2 4" xfId="17128" xr:uid="{12AB3FFD-30B7-406D-90C7-9A2E03EC982D}"/>
    <cellStyle name="Note 2 3 6 3" xfId="6561" xr:uid="{00000000-0005-0000-0000-000014210000}"/>
    <cellStyle name="Note 2 3 6 4" xfId="10772" xr:uid="{D1DE0861-B06E-4689-9968-5E27C45AA889}"/>
    <cellStyle name="Note 2 3 6 5" xfId="14983" xr:uid="{B63042DF-1CD4-4306-9726-223F2EF7A9AD}"/>
    <cellStyle name="Note 2 3 7" xfId="2689" xr:uid="{00000000-0005-0000-0000-000015210000}"/>
    <cellStyle name="Note 2 3 7 2" xfId="6974" xr:uid="{00000000-0005-0000-0000-000016210000}"/>
    <cellStyle name="Note 2 3 7 3" xfId="11185" xr:uid="{FD323667-D54C-4307-ADE9-0F0976FC0A5A}"/>
    <cellStyle name="Note 2 3 7 4" xfId="15396" xr:uid="{6BD3AF0D-E556-4AED-91EB-183D53520C53}"/>
    <cellStyle name="Note 2 3 8" xfId="2748" xr:uid="{00000000-0005-0000-0000-000017210000}"/>
    <cellStyle name="Note 2 3 9" xfId="2829" xr:uid="{00000000-0005-0000-0000-000018210000}"/>
    <cellStyle name="Note 2 3 9 2" xfId="7054" xr:uid="{00000000-0005-0000-0000-000019210000}"/>
    <cellStyle name="Note 2 3 9 3" xfId="11265" xr:uid="{604A8343-8E11-47CB-B0B9-3DF8488CFD7F}"/>
    <cellStyle name="Note 2 3 9 4" xfId="15476" xr:uid="{2A81EDA4-9561-4951-9EA6-D8E106BA53F4}"/>
    <cellStyle name="Note 2 4" xfId="552" xr:uid="{00000000-0005-0000-0000-00001A210000}"/>
    <cellStyle name="Note 2 4 10" xfId="9122" xr:uid="{D85CDC35-0662-4C56-9C5A-6935A6EC36DD}"/>
    <cellStyle name="Note 2 4 11" xfId="13333" xr:uid="{430CF1E8-AD76-4696-94CD-C56F8ABE5E82}"/>
    <cellStyle name="Note 2 4 2" xfId="1013" xr:uid="{00000000-0005-0000-0000-00001B210000}"/>
    <cellStyle name="Note 2 4 2 2" xfId="3245" xr:uid="{00000000-0005-0000-0000-00001C210000}"/>
    <cellStyle name="Note 2 4 2 2 2" xfId="7469" xr:uid="{00000000-0005-0000-0000-00001D210000}"/>
    <cellStyle name="Note 2 4 2 2 3" xfId="11680" xr:uid="{60AE17F2-C792-4F85-8345-28920992E37B}"/>
    <cellStyle name="Note 2 4 2 2 4" xfId="15891" xr:uid="{9344489F-60A4-4A3D-8F5C-4ECF2F9824E1}"/>
    <cellStyle name="Note 2 4 2 3" xfId="5324" xr:uid="{00000000-0005-0000-0000-00001E210000}"/>
    <cellStyle name="Note 2 4 2 4" xfId="9535" xr:uid="{0A3F1C52-E60C-4819-AF95-E3631EB31A3D}"/>
    <cellStyle name="Note 2 4 2 5" xfId="13746" xr:uid="{506928C2-CF1D-4A51-88BE-71F68FBA21E6}"/>
    <cellStyle name="Note 2 4 3" xfId="1428" xr:uid="{00000000-0005-0000-0000-00001F210000}"/>
    <cellStyle name="Note 2 4 3 2" xfId="3658" xr:uid="{00000000-0005-0000-0000-000020210000}"/>
    <cellStyle name="Note 2 4 3 2 2" xfId="7882" xr:uid="{00000000-0005-0000-0000-000021210000}"/>
    <cellStyle name="Note 2 4 3 2 3" xfId="12093" xr:uid="{EA3944EB-90A3-4F17-A430-CD69C52665B8}"/>
    <cellStyle name="Note 2 4 3 2 4" xfId="16304" xr:uid="{67AAF789-1642-4C27-BD02-45936E04DB80}"/>
    <cellStyle name="Note 2 4 3 3" xfId="5737" xr:uid="{00000000-0005-0000-0000-000022210000}"/>
    <cellStyle name="Note 2 4 3 4" xfId="9948" xr:uid="{EE073B72-908F-47B3-A134-4515C1EBA426}"/>
    <cellStyle name="Note 2 4 3 5" xfId="14159" xr:uid="{3DB755EB-2F2B-448F-8DEE-4319DE8522FD}"/>
    <cellStyle name="Note 2 4 4" xfId="1842" xr:uid="{00000000-0005-0000-0000-000023210000}"/>
    <cellStyle name="Note 2 4 4 2" xfId="4071" xr:uid="{00000000-0005-0000-0000-000024210000}"/>
    <cellStyle name="Note 2 4 4 2 2" xfId="8295" xr:uid="{00000000-0005-0000-0000-000025210000}"/>
    <cellStyle name="Note 2 4 4 2 3" xfId="12506" xr:uid="{FEBCFB5B-7044-4FFB-A867-7B47F0BA9DEF}"/>
    <cellStyle name="Note 2 4 4 2 4" xfId="16717" xr:uid="{C1B7C81C-44B8-4767-9FAD-C7C93A0BCD62}"/>
    <cellStyle name="Note 2 4 4 3" xfId="6150" xr:uid="{00000000-0005-0000-0000-000026210000}"/>
    <cellStyle name="Note 2 4 4 4" xfId="10361" xr:uid="{2A8CAF27-B5E8-4BD9-8549-1046E0CAD004}"/>
    <cellStyle name="Note 2 4 4 5" xfId="14572" xr:uid="{867E6093-0DC3-40EC-8314-EAE0C63091C6}"/>
    <cellStyle name="Note 2 4 5" xfId="2255" xr:uid="{00000000-0005-0000-0000-000027210000}"/>
    <cellStyle name="Note 2 4 5 2" xfId="4484" xr:uid="{00000000-0005-0000-0000-000028210000}"/>
    <cellStyle name="Note 2 4 5 2 2" xfId="8708" xr:uid="{00000000-0005-0000-0000-000029210000}"/>
    <cellStyle name="Note 2 4 5 2 3" xfId="12919" xr:uid="{A3DD9814-38E5-4289-AC6C-DC248026E1D2}"/>
    <cellStyle name="Note 2 4 5 2 4" xfId="17130" xr:uid="{FD5EE50B-9EC0-438B-9EC7-E243B0DF689A}"/>
    <cellStyle name="Note 2 4 5 3" xfId="6563" xr:uid="{00000000-0005-0000-0000-00002A210000}"/>
    <cellStyle name="Note 2 4 5 4" xfId="10774" xr:uid="{6907C6A6-701C-4DE1-85DE-F4F9CD5BA901}"/>
    <cellStyle name="Note 2 4 5 5" xfId="14985" xr:uid="{3C2198FA-E1A6-4D4E-995A-1D5EE4DEA618}"/>
    <cellStyle name="Note 2 4 6" xfId="2691" xr:uid="{00000000-0005-0000-0000-00002B210000}"/>
    <cellStyle name="Note 2 4 6 2" xfId="6976" xr:uid="{00000000-0005-0000-0000-00002C210000}"/>
    <cellStyle name="Note 2 4 6 3" xfId="11187" xr:uid="{B91D9713-A0E9-4731-978F-6FA7000D9078}"/>
    <cellStyle name="Note 2 4 6 4" xfId="15398" xr:uid="{AE8B1BEE-124D-43AA-ABF7-BD9EAF250C55}"/>
    <cellStyle name="Note 2 4 7" xfId="2750" xr:uid="{00000000-0005-0000-0000-00002D210000}"/>
    <cellStyle name="Note 2 4 8" xfId="2831" xr:uid="{00000000-0005-0000-0000-00002E210000}"/>
    <cellStyle name="Note 2 4 8 2" xfId="7056" xr:uid="{00000000-0005-0000-0000-00002F210000}"/>
    <cellStyle name="Note 2 4 8 3" xfId="11267" xr:uid="{0BA6D5BB-0ABB-40CB-9B48-C3E3961E0268}"/>
    <cellStyle name="Note 2 4 8 4" xfId="15478" xr:uid="{918C2F4C-B753-4518-8BFA-876D8C759692}"/>
    <cellStyle name="Note 2 4 9" xfId="4911" xr:uid="{00000000-0005-0000-0000-000030210000}"/>
    <cellStyle name="Note 2 5" xfId="553" xr:uid="{00000000-0005-0000-0000-000031210000}"/>
    <cellStyle name="Note 2 5 10" xfId="9123" xr:uid="{011832E3-382A-4CEE-A895-A8FE8D1D7D02}"/>
    <cellStyle name="Note 2 5 11" xfId="13334" xr:uid="{B7B35FAD-79ED-4CA4-9866-13363281FCE1}"/>
    <cellStyle name="Note 2 5 2" xfId="1014" xr:uid="{00000000-0005-0000-0000-000032210000}"/>
    <cellStyle name="Note 2 5 2 2" xfId="3246" xr:uid="{00000000-0005-0000-0000-000033210000}"/>
    <cellStyle name="Note 2 5 2 2 2" xfId="7470" xr:uid="{00000000-0005-0000-0000-000034210000}"/>
    <cellStyle name="Note 2 5 2 2 3" xfId="11681" xr:uid="{32E026C6-2749-4CC7-8721-3C62196EB074}"/>
    <cellStyle name="Note 2 5 2 2 4" xfId="15892" xr:uid="{F3F243D3-85AD-4B40-8908-F97468C6F7DE}"/>
    <cellStyle name="Note 2 5 2 3" xfId="5325" xr:uid="{00000000-0005-0000-0000-000035210000}"/>
    <cellStyle name="Note 2 5 2 4" xfId="9536" xr:uid="{5979156D-E94F-4D90-81B3-73CA78B83879}"/>
    <cellStyle name="Note 2 5 2 5" xfId="13747" xr:uid="{AF105CA2-7336-4A4C-9656-89EA281B6DD7}"/>
    <cellStyle name="Note 2 5 3" xfId="1429" xr:uid="{00000000-0005-0000-0000-000036210000}"/>
    <cellStyle name="Note 2 5 3 2" xfId="3659" xr:uid="{00000000-0005-0000-0000-000037210000}"/>
    <cellStyle name="Note 2 5 3 2 2" xfId="7883" xr:uid="{00000000-0005-0000-0000-000038210000}"/>
    <cellStyle name="Note 2 5 3 2 3" xfId="12094" xr:uid="{4BA21CF4-9957-4801-9DE6-9850BA5FDD3E}"/>
    <cellStyle name="Note 2 5 3 2 4" xfId="16305" xr:uid="{0C60D232-7435-426E-82D2-6D6AD130ADB7}"/>
    <cellStyle name="Note 2 5 3 3" xfId="5738" xr:uid="{00000000-0005-0000-0000-000039210000}"/>
    <cellStyle name="Note 2 5 3 4" xfId="9949" xr:uid="{BAE8698E-A755-4EA2-BA40-08F5B4E1D93B}"/>
    <cellStyle name="Note 2 5 3 5" xfId="14160" xr:uid="{7B697691-6170-42DB-91CF-E32255EEF27E}"/>
    <cellStyle name="Note 2 5 4" xfId="1843" xr:uid="{00000000-0005-0000-0000-00003A210000}"/>
    <cellStyle name="Note 2 5 4 2" xfId="4072" xr:uid="{00000000-0005-0000-0000-00003B210000}"/>
    <cellStyle name="Note 2 5 4 2 2" xfId="8296" xr:uid="{00000000-0005-0000-0000-00003C210000}"/>
    <cellStyle name="Note 2 5 4 2 3" xfId="12507" xr:uid="{BA16A398-80C3-49A4-9CE2-CE18DC84D29B}"/>
    <cellStyle name="Note 2 5 4 2 4" xfId="16718" xr:uid="{EC700B80-E32A-41E2-932F-E943A2BC36D8}"/>
    <cellStyle name="Note 2 5 4 3" xfId="6151" xr:uid="{00000000-0005-0000-0000-00003D210000}"/>
    <cellStyle name="Note 2 5 4 4" xfId="10362" xr:uid="{32A9D3A4-60B5-493C-B2CD-ED45A4B40F03}"/>
    <cellStyle name="Note 2 5 4 5" xfId="14573" xr:uid="{B04598CA-E0C2-47A3-9481-613BBF41FF7E}"/>
    <cellStyle name="Note 2 5 5" xfId="2256" xr:uid="{00000000-0005-0000-0000-00003E210000}"/>
    <cellStyle name="Note 2 5 5 2" xfId="4485" xr:uid="{00000000-0005-0000-0000-00003F210000}"/>
    <cellStyle name="Note 2 5 5 2 2" xfId="8709" xr:uid="{00000000-0005-0000-0000-000040210000}"/>
    <cellStyle name="Note 2 5 5 2 3" xfId="12920" xr:uid="{00B142B0-A815-4912-8957-37B1A85F8720}"/>
    <cellStyle name="Note 2 5 5 2 4" xfId="17131" xr:uid="{72385C93-F3F8-4C32-A6EF-1F63DF72F23A}"/>
    <cellStyle name="Note 2 5 5 3" xfId="6564" xr:uid="{00000000-0005-0000-0000-000041210000}"/>
    <cellStyle name="Note 2 5 5 4" xfId="10775" xr:uid="{FEBF2741-5F57-4965-AE4C-EEEC24B0BF08}"/>
    <cellStyle name="Note 2 5 5 5" xfId="14986" xr:uid="{D2190218-CE09-42BC-88EE-5DCD8FD6D458}"/>
    <cellStyle name="Note 2 5 6" xfId="2692" xr:uid="{00000000-0005-0000-0000-000042210000}"/>
    <cellStyle name="Note 2 5 6 2" xfId="6977" xr:uid="{00000000-0005-0000-0000-000043210000}"/>
    <cellStyle name="Note 2 5 6 3" xfId="11188" xr:uid="{A2DB591A-ECAB-4971-9291-6939AA56C508}"/>
    <cellStyle name="Note 2 5 6 4" xfId="15399" xr:uid="{9B99B1A5-1708-4107-A20C-7460C487B7CF}"/>
    <cellStyle name="Note 2 5 7" xfId="2751" xr:uid="{00000000-0005-0000-0000-000044210000}"/>
    <cellStyle name="Note 2 5 8" xfId="2832" xr:uid="{00000000-0005-0000-0000-000045210000}"/>
    <cellStyle name="Note 2 5 8 2" xfId="7057" xr:uid="{00000000-0005-0000-0000-000046210000}"/>
    <cellStyle name="Note 2 5 8 3" xfId="11268" xr:uid="{FCC805BF-FDE9-4F26-872D-AFBA8F55D93F}"/>
    <cellStyle name="Note 2 5 8 4" xfId="15479" xr:uid="{86BFE0EA-6BA3-4A3E-AAAD-39D56EA7EF13}"/>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0 3" xfId="11269" xr:uid="{6271CC3F-5299-4098-A1B3-B1725EE763B0}"/>
    <cellStyle name="Note 3 2 10 4" xfId="15480" xr:uid="{98FFB8A4-89EC-4307-8E01-3BEF3F83FF1F}"/>
    <cellStyle name="Note 3 2 11" xfId="4913" xr:uid="{00000000-0005-0000-0000-00004C210000}"/>
    <cellStyle name="Note 3 2 12" xfId="9124" xr:uid="{E04A0E97-0F07-42D2-A371-7B56F4F80FA0}"/>
    <cellStyle name="Note 3 2 13" xfId="13335" xr:uid="{E58E7D61-0022-4F91-BF1F-58F6ECE62EF9}"/>
    <cellStyle name="Note 3 2 2" xfId="556" xr:uid="{00000000-0005-0000-0000-00004D210000}"/>
    <cellStyle name="Note 3 2 2 10" xfId="4914" xr:uid="{00000000-0005-0000-0000-00004E210000}"/>
    <cellStyle name="Note 3 2 2 11" xfId="9125" xr:uid="{2C250C9F-D163-4D8D-9DED-E527245A3494}"/>
    <cellStyle name="Note 3 2 2 12" xfId="13336" xr:uid="{EA7B51E0-812D-4E1A-90F2-4FC0E7E969E8}"/>
    <cellStyle name="Note 3 2 2 2" xfId="557" xr:uid="{00000000-0005-0000-0000-00004F210000}"/>
    <cellStyle name="Note 3 2 2 2 10" xfId="9126" xr:uid="{B4230D9B-929F-4AB7-8BD8-7682F1430896}"/>
    <cellStyle name="Note 3 2 2 2 11" xfId="13337" xr:uid="{FC710048-5926-4F2C-869D-681DCF971E78}"/>
    <cellStyle name="Note 3 2 2 2 2" xfId="1017" xr:uid="{00000000-0005-0000-0000-000050210000}"/>
    <cellStyle name="Note 3 2 2 2 2 2" xfId="3249" xr:uid="{00000000-0005-0000-0000-000051210000}"/>
    <cellStyle name="Note 3 2 2 2 2 2 2" xfId="7473" xr:uid="{00000000-0005-0000-0000-000052210000}"/>
    <cellStyle name="Note 3 2 2 2 2 2 3" xfId="11684" xr:uid="{B6A8D12E-C334-4E40-87CB-C44F2672FF75}"/>
    <cellStyle name="Note 3 2 2 2 2 2 4" xfId="15895" xr:uid="{3D4603B3-E18C-4F86-8BFC-D96FE1893D05}"/>
    <cellStyle name="Note 3 2 2 2 2 3" xfId="5328" xr:uid="{00000000-0005-0000-0000-000053210000}"/>
    <cellStyle name="Note 3 2 2 2 2 4" xfId="9539" xr:uid="{D4E9028B-467C-4F1C-A360-720CDAE6DCB4}"/>
    <cellStyle name="Note 3 2 2 2 2 5" xfId="13750" xr:uid="{6D93CE69-F17E-4CCE-B069-92751DD957C8}"/>
    <cellStyle name="Note 3 2 2 2 3" xfId="1432" xr:uid="{00000000-0005-0000-0000-000054210000}"/>
    <cellStyle name="Note 3 2 2 2 3 2" xfId="3662" xr:uid="{00000000-0005-0000-0000-000055210000}"/>
    <cellStyle name="Note 3 2 2 2 3 2 2" xfId="7886" xr:uid="{00000000-0005-0000-0000-000056210000}"/>
    <cellStyle name="Note 3 2 2 2 3 2 3" xfId="12097" xr:uid="{C5C3FEC3-BEDF-448D-BCEC-461D9468AED3}"/>
    <cellStyle name="Note 3 2 2 2 3 2 4" xfId="16308" xr:uid="{D17B043E-0523-4658-894D-213E7ED7CB63}"/>
    <cellStyle name="Note 3 2 2 2 3 3" xfId="5741" xr:uid="{00000000-0005-0000-0000-000057210000}"/>
    <cellStyle name="Note 3 2 2 2 3 4" xfId="9952" xr:uid="{6DA7AEF5-6A69-438E-AFBC-1AD4CF8893BF}"/>
    <cellStyle name="Note 3 2 2 2 3 5" xfId="14163" xr:uid="{8A173B57-49CC-4A9D-B50E-DEC774B6AC1A}"/>
    <cellStyle name="Note 3 2 2 2 4" xfId="1846" xr:uid="{00000000-0005-0000-0000-000058210000}"/>
    <cellStyle name="Note 3 2 2 2 4 2" xfId="4075" xr:uid="{00000000-0005-0000-0000-000059210000}"/>
    <cellStyle name="Note 3 2 2 2 4 2 2" xfId="8299" xr:uid="{00000000-0005-0000-0000-00005A210000}"/>
    <cellStyle name="Note 3 2 2 2 4 2 3" xfId="12510" xr:uid="{0A737A4E-1BC8-4951-AD39-D2FB28E1F005}"/>
    <cellStyle name="Note 3 2 2 2 4 2 4" xfId="16721" xr:uid="{A01E11B0-37DD-41EE-9108-B1FEFAD673E8}"/>
    <cellStyle name="Note 3 2 2 2 4 3" xfId="6154" xr:uid="{00000000-0005-0000-0000-00005B210000}"/>
    <cellStyle name="Note 3 2 2 2 4 4" xfId="10365" xr:uid="{2673FA84-6994-4017-8ADE-2F53D47239D9}"/>
    <cellStyle name="Note 3 2 2 2 4 5" xfId="14576" xr:uid="{07922438-59B1-4C01-B4BA-5D08A0D848F3}"/>
    <cellStyle name="Note 3 2 2 2 5" xfId="2259" xr:uid="{00000000-0005-0000-0000-00005C210000}"/>
    <cellStyle name="Note 3 2 2 2 5 2" xfId="4488" xr:uid="{00000000-0005-0000-0000-00005D210000}"/>
    <cellStyle name="Note 3 2 2 2 5 2 2" xfId="8712" xr:uid="{00000000-0005-0000-0000-00005E210000}"/>
    <cellStyle name="Note 3 2 2 2 5 2 3" xfId="12923" xr:uid="{6E03F3C9-2FBE-4ED6-BE7E-503F68DDDA08}"/>
    <cellStyle name="Note 3 2 2 2 5 2 4" xfId="17134" xr:uid="{4F667B9C-9209-4AE0-95F4-BCB9207379C9}"/>
    <cellStyle name="Note 3 2 2 2 5 3" xfId="6567" xr:uid="{00000000-0005-0000-0000-00005F210000}"/>
    <cellStyle name="Note 3 2 2 2 5 4" xfId="10778" xr:uid="{4DF21DE0-C9D2-4C1D-B75A-F79BD108A5CD}"/>
    <cellStyle name="Note 3 2 2 2 5 5" xfId="14989" xr:uid="{2368BB03-F49A-4FA6-A5B8-98D84F609D5B}"/>
    <cellStyle name="Note 3 2 2 2 6" xfId="2695" xr:uid="{00000000-0005-0000-0000-000060210000}"/>
    <cellStyle name="Note 3 2 2 2 6 2" xfId="6980" xr:uid="{00000000-0005-0000-0000-000061210000}"/>
    <cellStyle name="Note 3 2 2 2 6 3" xfId="11191" xr:uid="{6CEDDBF5-80CF-4FCF-B0B8-609F1B8B639D}"/>
    <cellStyle name="Note 3 2 2 2 6 4" xfId="15402" xr:uid="{E3E42B67-DF21-4755-A66E-6AF14E327B02}"/>
    <cellStyle name="Note 3 2 2 2 7" xfId="2754" xr:uid="{00000000-0005-0000-0000-000062210000}"/>
    <cellStyle name="Note 3 2 2 2 8" xfId="2835" xr:uid="{00000000-0005-0000-0000-000063210000}"/>
    <cellStyle name="Note 3 2 2 2 8 2" xfId="7060" xr:uid="{00000000-0005-0000-0000-000064210000}"/>
    <cellStyle name="Note 3 2 2 2 8 3" xfId="11271" xr:uid="{EE723B45-60AA-450E-B6AC-ECF78563C44F}"/>
    <cellStyle name="Note 3 2 2 2 8 4" xfId="15482" xr:uid="{F8912C48-2D33-4DD6-B41A-232EF99D6254}"/>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2 3" xfId="11683" xr:uid="{26FDBF4D-72C6-424D-A136-89D34EB07EC8}"/>
    <cellStyle name="Note 3 2 2 3 2 4" xfId="15894" xr:uid="{D8039A92-32DF-43AD-AE84-9AB8DB95D1E5}"/>
    <cellStyle name="Note 3 2 2 3 3" xfId="5327" xr:uid="{00000000-0005-0000-0000-000069210000}"/>
    <cellStyle name="Note 3 2 2 3 4" xfId="9538" xr:uid="{2392A0DA-A904-408A-BE78-6C2D0C795AFC}"/>
    <cellStyle name="Note 3 2 2 3 5" xfId="13749" xr:uid="{A5FC3B18-6F1B-4C79-A95B-5369BD8CA6C2}"/>
    <cellStyle name="Note 3 2 2 4" xfId="1431" xr:uid="{00000000-0005-0000-0000-00006A210000}"/>
    <cellStyle name="Note 3 2 2 4 2" xfId="3661" xr:uid="{00000000-0005-0000-0000-00006B210000}"/>
    <cellStyle name="Note 3 2 2 4 2 2" xfId="7885" xr:uid="{00000000-0005-0000-0000-00006C210000}"/>
    <cellStyle name="Note 3 2 2 4 2 3" xfId="12096" xr:uid="{FC04F70F-1085-4CF9-A42C-84E3FCA939EB}"/>
    <cellStyle name="Note 3 2 2 4 2 4" xfId="16307" xr:uid="{347BA5B9-BC57-42F0-9A49-12A386CD5C2A}"/>
    <cellStyle name="Note 3 2 2 4 3" xfId="5740" xr:uid="{00000000-0005-0000-0000-00006D210000}"/>
    <cellStyle name="Note 3 2 2 4 4" xfId="9951" xr:uid="{2EABA9A8-E5DE-4C67-846F-94F52F8524FD}"/>
    <cellStyle name="Note 3 2 2 4 5" xfId="14162" xr:uid="{D35DB78B-6D48-4BD6-A11A-8303C19CCB16}"/>
    <cellStyle name="Note 3 2 2 5" xfId="1845" xr:uid="{00000000-0005-0000-0000-00006E210000}"/>
    <cellStyle name="Note 3 2 2 5 2" xfId="4074" xr:uid="{00000000-0005-0000-0000-00006F210000}"/>
    <cellStyle name="Note 3 2 2 5 2 2" xfId="8298" xr:uid="{00000000-0005-0000-0000-000070210000}"/>
    <cellStyle name="Note 3 2 2 5 2 3" xfId="12509" xr:uid="{CED0ADC2-46F9-4E51-B931-FD760CC3A5F6}"/>
    <cellStyle name="Note 3 2 2 5 2 4" xfId="16720" xr:uid="{42F7B0C8-79B3-4A9E-A3BC-625EA5A977C6}"/>
    <cellStyle name="Note 3 2 2 5 3" xfId="6153" xr:uid="{00000000-0005-0000-0000-000071210000}"/>
    <cellStyle name="Note 3 2 2 5 4" xfId="10364" xr:uid="{8A41DA08-E65E-4C0A-9453-62E6DBC99AF2}"/>
    <cellStyle name="Note 3 2 2 5 5" xfId="14575" xr:uid="{1BC25BBE-2B91-4D9A-8B62-B162999D9F3A}"/>
    <cellStyle name="Note 3 2 2 6" xfId="2258" xr:uid="{00000000-0005-0000-0000-000072210000}"/>
    <cellStyle name="Note 3 2 2 6 2" xfId="4487" xr:uid="{00000000-0005-0000-0000-000073210000}"/>
    <cellStyle name="Note 3 2 2 6 2 2" xfId="8711" xr:uid="{00000000-0005-0000-0000-000074210000}"/>
    <cellStyle name="Note 3 2 2 6 2 3" xfId="12922" xr:uid="{67F80969-2E7F-4F08-A9F2-26C8C5F04D84}"/>
    <cellStyle name="Note 3 2 2 6 2 4" xfId="17133" xr:uid="{2E60340D-2767-4614-8201-417B2CA03E81}"/>
    <cellStyle name="Note 3 2 2 6 3" xfId="6566" xr:uid="{00000000-0005-0000-0000-000075210000}"/>
    <cellStyle name="Note 3 2 2 6 4" xfId="10777" xr:uid="{8C69DA39-4CFF-4724-B883-029CB5C0317C}"/>
    <cellStyle name="Note 3 2 2 6 5" xfId="14988" xr:uid="{E0ADDB0F-84D2-460D-AC7D-125F7A76BBBA}"/>
    <cellStyle name="Note 3 2 2 7" xfId="2694" xr:uid="{00000000-0005-0000-0000-000076210000}"/>
    <cellStyle name="Note 3 2 2 7 2" xfId="6979" xr:uid="{00000000-0005-0000-0000-000077210000}"/>
    <cellStyle name="Note 3 2 2 7 3" xfId="11190" xr:uid="{11205A95-8161-4FD8-9C15-4C26CC700639}"/>
    <cellStyle name="Note 3 2 2 7 4" xfId="15401" xr:uid="{B03246B1-305E-4A44-9DDD-237699EC357E}"/>
    <cellStyle name="Note 3 2 2 8" xfId="2753" xr:uid="{00000000-0005-0000-0000-000078210000}"/>
    <cellStyle name="Note 3 2 2 9" xfId="2834" xr:uid="{00000000-0005-0000-0000-000079210000}"/>
    <cellStyle name="Note 3 2 2 9 2" xfId="7059" xr:uid="{00000000-0005-0000-0000-00007A210000}"/>
    <cellStyle name="Note 3 2 2 9 3" xfId="11270" xr:uid="{5A08B867-8A96-408F-BFE0-E205AA4CAE0A}"/>
    <cellStyle name="Note 3 2 2 9 4" xfId="15481" xr:uid="{F66A5501-8B41-4DC1-91B7-350EFBAA8CD1}"/>
    <cellStyle name="Note 3 2 3" xfId="558" xr:uid="{00000000-0005-0000-0000-00007B210000}"/>
    <cellStyle name="Note 3 2 3 10" xfId="9127" xr:uid="{354AAD73-D83F-475E-809A-45059747F4F5}"/>
    <cellStyle name="Note 3 2 3 11" xfId="13338" xr:uid="{29B73D97-8AEC-4B94-81E3-65C52E5691A1}"/>
    <cellStyle name="Note 3 2 3 2" xfId="1018" xr:uid="{00000000-0005-0000-0000-00007C210000}"/>
    <cellStyle name="Note 3 2 3 2 2" xfId="3250" xr:uid="{00000000-0005-0000-0000-00007D210000}"/>
    <cellStyle name="Note 3 2 3 2 2 2" xfId="7474" xr:uid="{00000000-0005-0000-0000-00007E210000}"/>
    <cellStyle name="Note 3 2 3 2 2 3" xfId="11685" xr:uid="{CA849D41-FC96-4928-9268-4992BFABC188}"/>
    <cellStyle name="Note 3 2 3 2 2 4" xfId="15896" xr:uid="{4D862434-72F8-42CB-A335-23BD0E1722B8}"/>
    <cellStyle name="Note 3 2 3 2 3" xfId="5329" xr:uid="{00000000-0005-0000-0000-00007F210000}"/>
    <cellStyle name="Note 3 2 3 2 4" xfId="9540" xr:uid="{3DD7BA98-9E9F-4E5D-A3DF-FAC22CB45D08}"/>
    <cellStyle name="Note 3 2 3 2 5" xfId="13751" xr:uid="{3830F73A-C09A-49A5-A563-D53D8C053B13}"/>
    <cellStyle name="Note 3 2 3 3" xfId="1433" xr:uid="{00000000-0005-0000-0000-000080210000}"/>
    <cellStyle name="Note 3 2 3 3 2" xfId="3663" xr:uid="{00000000-0005-0000-0000-000081210000}"/>
    <cellStyle name="Note 3 2 3 3 2 2" xfId="7887" xr:uid="{00000000-0005-0000-0000-000082210000}"/>
    <cellStyle name="Note 3 2 3 3 2 3" xfId="12098" xr:uid="{DC0292A6-EF20-489E-BDCE-75BFF813990F}"/>
    <cellStyle name="Note 3 2 3 3 2 4" xfId="16309" xr:uid="{90E89AD4-8AE9-4C5D-BAAA-F6E6438A03B5}"/>
    <cellStyle name="Note 3 2 3 3 3" xfId="5742" xr:uid="{00000000-0005-0000-0000-000083210000}"/>
    <cellStyle name="Note 3 2 3 3 4" xfId="9953" xr:uid="{A420BF39-C846-4464-85B6-10AA9ACBA09C}"/>
    <cellStyle name="Note 3 2 3 3 5" xfId="14164" xr:uid="{7BDB6341-A7E6-47A5-A90C-C7AEC2D695FA}"/>
    <cellStyle name="Note 3 2 3 4" xfId="1847" xr:uid="{00000000-0005-0000-0000-000084210000}"/>
    <cellStyle name="Note 3 2 3 4 2" xfId="4076" xr:uid="{00000000-0005-0000-0000-000085210000}"/>
    <cellStyle name="Note 3 2 3 4 2 2" xfId="8300" xr:uid="{00000000-0005-0000-0000-000086210000}"/>
    <cellStyle name="Note 3 2 3 4 2 3" xfId="12511" xr:uid="{3B85DBB7-8E55-461C-8493-8C744400D899}"/>
    <cellStyle name="Note 3 2 3 4 2 4" xfId="16722" xr:uid="{82A90962-07CC-4746-AFD0-321955453466}"/>
    <cellStyle name="Note 3 2 3 4 3" xfId="6155" xr:uid="{00000000-0005-0000-0000-000087210000}"/>
    <cellStyle name="Note 3 2 3 4 4" xfId="10366" xr:uid="{4ACACB68-CA11-4908-A413-1E5C060A3806}"/>
    <cellStyle name="Note 3 2 3 4 5" xfId="14577" xr:uid="{EFB8E13A-4F77-44A2-BDAC-E84F2CEEBFEC}"/>
    <cellStyle name="Note 3 2 3 5" xfId="2260" xr:uid="{00000000-0005-0000-0000-000088210000}"/>
    <cellStyle name="Note 3 2 3 5 2" xfId="4489" xr:uid="{00000000-0005-0000-0000-000089210000}"/>
    <cellStyle name="Note 3 2 3 5 2 2" xfId="8713" xr:uid="{00000000-0005-0000-0000-00008A210000}"/>
    <cellStyle name="Note 3 2 3 5 2 3" xfId="12924" xr:uid="{5395A32A-70F6-4D5A-A32B-B430778A9B9E}"/>
    <cellStyle name="Note 3 2 3 5 2 4" xfId="17135" xr:uid="{373ADD46-A29B-46A5-A93C-87D70175001E}"/>
    <cellStyle name="Note 3 2 3 5 3" xfId="6568" xr:uid="{00000000-0005-0000-0000-00008B210000}"/>
    <cellStyle name="Note 3 2 3 5 4" xfId="10779" xr:uid="{CDB91550-5131-4642-A8F1-6CE3771733C1}"/>
    <cellStyle name="Note 3 2 3 5 5" xfId="14990" xr:uid="{0EE4F62D-7B04-4B3B-BDD1-0FF939E4CF24}"/>
    <cellStyle name="Note 3 2 3 6" xfId="2696" xr:uid="{00000000-0005-0000-0000-00008C210000}"/>
    <cellStyle name="Note 3 2 3 6 2" xfId="6981" xr:uid="{00000000-0005-0000-0000-00008D210000}"/>
    <cellStyle name="Note 3 2 3 6 3" xfId="11192" xr:uid="{077593B9-8368-4CE1-88C1-632BA310F336}"/>
    <cellStyle name="Note 3 2 3 6 4" xfId="15403" xr:uid="{693BE8BE-DB85-456E-9F70-61AC1C844F54}"/>
    <cellStyle name="Note 3 2 3 7" xfId="2755" xr:uid="{00000000-0005-0000-0000-00008E210000}"/>
    <cellStyle name="Note 3 2 3 8" xfId="2836" xr:uid="{00000000-0005-0000-0000-00008F210000}"/>
    <cellStyle name="Note 3 2 3 8 2" xfId="7061" xr:uid="{00000000-0005-0000-0000-000090210000}"/>
    <cellStyle name="Note 3 2 3 8 3" xfId="11272" xr:uid="{19B243D5-2C59-45DF-B737-BADC892E67FE}"/>
    <cellStyle name="Note 3 2 3 8 4" xfId="15483" xr:uid="{F9AA91D7-F38D-4142-A11A-99BF094C9BFD}"/>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2 3" xfId="11682" xr:uid="{B1A5D6EA-1333-471D-804B-6FE6CAB7A0D1}"/>
    <cellStyle name="Note 3 2 4 2 4" xfId="15893" xr:uid="{9D88C88A-2541-4CB1-B851-1B4089AF9493}"/>
    <cellStyle name="Note 3 2 4 3" xfId="5326" xr:uid="{00000000-0005-0000-0000-000095210000}"/>
    <cellStyle name="Note 3 2 4 4" xfId="9537" xr:uid="{D4EC2C90-FB77-4462-8263-C15294C749F9}"/>
    <cellStyle name="Note 3 2 4 5" xfId="13748" xr:uid="{6FA16ADD-AD21-456E-813D-6F74CB0D9A87}"/>
    <cellStyle name="Note 3 2 5" xfId="1430" xr:uid="{00000000-0005-0000-0000-000096210000}"/>
    <cellStyle name="Note 3 2 5 2" xfId="3660" xr:uid="{00000000-0005-0000-0000-000097210000}"/>
    <cellStyle name="Note 3 2 5 2 2" xfId="7884" xr:uid="{00000000-0005-0000-0000-000098210000}"/>
    <cellStyle name="Note 3 2 5 2 3" xfId="12095" xr:uid="{87F57408-CB43-4779-B1EC-AD8289BDE9BF}"/>
    <cellStyle name="Note 3 2 5 2 4" xfId="16306" xr:uid="{4DDB98EA-A389-4BC4-A5BC-09B119123881}"/>
    <cellStyle name="Note 3 2 5 3" xfId="5739" xr:uid="{00000000-0005-0000-0000-000099210000}"/>
    <cellStyle name="Note 3 2 5 4" xfId="9950" xr:uid="{0BA62D50-2901-4ECD-BF49-900D101A0A8E}"/>
    <cellStyle name="Note 3 2 5 5" xfId="14161" xr:uid="{0A28DD34-41F5-49A7-AD81-CF20040F942B}"/>
    <cellStyle name="Note 3 2 6" xfId="1844" xr:uid="{00000000-0005-0000-0000-00009A210000}"/>
    <cellStyle name="Note 3 2 6 2" xfId="4073" xr:uid="{00000000-0005-0000-0000-00009B210000}"/>
    <cellStyle name="Note 3 2 6 2 2" xfId="8297" xr:uid="{00000000-0005-0000-0000-00009C210000}"/>
    <cellStyle name="Note 3 2 6 2 3" xfId="12508" xr:uid="{9145DFE1-0E2B-474B-9B0B-922EE69FF6AE}"/>
    <cellStyle name="Note 3 2 6 2 4" xfId="16719" xr:uid="{1B445B4F-890A-4274-A278-20EB30EA45DF}"/>
    <cellStyle name="Note 3 2 6 3" xfId="6152" xr:uid="{00000000-0005-0000-0000-00009D210000}"/>
    <cellStyle name="Note 3 2 6 4" xfId="10363" xr:uid="{1CB3BF3C-8957-4084-A92D-D09289CDA6AD}"/>
    <cellStyle name="Note 3 2 6 5" xfId="14574" xr:uid="{F64121D3-1EC5-412B-8A11-8AED92C9CE5E}"/>
    <cellStyle name="Note 3 2 7" xfId="2257" xr:uid="{00000000-0005-0000-0000-00009E210000}"/>
    <cellStyle name="Note 3 2 7 2" xfId="4486" xr:uid="{00000000-0005-0000-0000-00009F210000}"/>
    <cellStyle name="Note 3 2 7 2 2" xfId="8710" xr:uid="{00000000-0005-0000-0000-0000A0210000}"/>
    <cellStyle name="Note 3 2 7 2 3" xfId="12921" xr:uid="{1683C48D-43D9-4512-9DF2-96BDFB382740}"/>
    <cellStyle name="Note 3 2 7 2 4" xfId="17132" xr:uid="{5CFCB929-F357-40B8-8BB9-C499EE6D644A}"/>
    <cellStyle name="Note 3 2 7 3" xfId="6565" xr:uid="{00000000-0005-0000-0000-0000A1210000}"/>
    <cellStyle name="Note 3 2 7 4" xfId="10776" xr:uid="{FC4A98C2-E022-4D0E-B771-D78A90B20FE0}"/>
    <cellStyle name="Note 3 2 7 5" xfId="14987" xr:uid="{E2FDE32B-BA45-445D-9198-16D971DA21D2}"/>
    <cellStyle name="Note 3 2 8" xfId="2693" xr:uid="{00000000-0005-0000-0000-0000A2210000}"/>
    <cellStyle name="Note 3 2 8 2" xfId="6978" xr:uid="{00000000-0005-0000-0000-0000A3210000}"/>
    <cellStyle name="Note 3 2 8 3" xfId="11189" xr:uid="{40EA6FE4-F0A8-4EB4-8661-80B9F05F70DC}"/>
    <cellStyle name="Note 3 2 8 4" xfId="15400" xr:uid="{D11F6ADB-8968-471E-9E8F-62FFAC2E08CB}"/>
    <cellStyle name="Note 3 2 9" xfId="2752" xr:uid="{00000000-0005-0000-0000-0000A4210000}"/>
    <cellStyle name="Note 3 3" xfId="559" xr:uid="{00000000-0005-0000-0000-0000A5210000}"/>
    <cellStyle name="Note 3 3 10" xfId="4917" xr:uid="{00000000-0005-0000-0000-0000A6210000}"/>
    <cellStyle name="Note 3 3 11" xfId="9128" xr:uid="{88FCFF21-9216-4552-A2CB-7AD7E8F24E23}"/>
    <cellStyle name="Note 3 3 12" xfId="13339" xr:uid="{B28D8FB0-04B2-4C2F-B4CE-E0530DE7580F}"/>
    <cellStyle name="Note 3 3 2" xfId="560" xr:uid="{00000000-0005-0000-0000-0000A7210000}"/>
    <cellStyle name="Note 3 3 2 10" xfId="9129" xr:uid="{A06BA5B4-8629-404E-A2D6-4A6F4EB90FE3}"/>
    <cellStyle name="Note 3 3 2 11" xfId="13340" xr:uid="{D5EC2391-58BC-4D6E-BCFC-7F62201523B0}"/>
    <cellStyle name="Note 3 3 2 2" xfId="1020" xr:uid="{00000000-0005-0000-0000-0000A8210000}"/>
    <cellStyle name="Note 3 3 2 2 2" xfId="3252" xr:uid="{00000000-0005-0000-0000-0000A9210000}"/>
    <cellStyle name="Note 3 3 2 2 2 2" xfId="7476" xr:uid="{00000000-0005-0000-0000-0000AA210000}"/>
    <cellStyle name="Note 3 3 2 2 2 3" xfId="11687" xr:uid="{1B30F2A9-6345-407D-8A77-4F7D862CDF76}"/>
    <cellStyle name="Note 3 3 2 2 2 4" xfId="15898" xr:uid="{FBD63C40-3207-4B47-9793-39BABF5E5C67}"/>
    <cellStyle name="Note 3 3 2 2 3" xfId="5331" xr:uid="{00000000-0005-0000-0000-0000AB210000}"/>
    <cellStyle name="Note 3 3 2 2 4" xfId="9542" xr:uid="{079994E6-56B3-402A-8668-760B94648EAF}"/>
    <cellStyle name="Note 3 3 2 2 5" xfId="13753" xr:uid="{A84433B1-0AAA-43FA-977C-3808CD8A3E40}"/>
    <cellStyle name="Note 3 3 2 3" xfId="1435" xr:uid="{00000000-0005-0000-0000-0000AC210000}"/>
    <cellStyle name="Note 3 3 2 3 2" xfId="3665" xr:uid="{00000000-0005-0000-0000-0000AD210000}"/>
    <cellStyle name="Note 3 3 2 3 2 2" xfId="7889" xr:uid="{00000000-0005-0000-0000-0000AE210000}"/>
    <cellStyle name="Note 3 3 2 3 2 3" xfId="12100" xr:uid="{20E782DF-3435-4284-9967-FA6A6C5C0A6F}"/>
    <cellStyle name="Note 3 3 2 3 2 4" xfId="16311" xr:uid="{5C6C4425-E7E8-4F2E-BE42-BE04A34D393F}"/>
    <cellStyle name="Note 3 3 2 3 3" xfId="5744" xr:uid="{00000000-0005-0000-0000-0000AF210000}"/>
    <cellStyle name="Note 3 3 2 3 4" xfId="9955" xr:uid="{7909D45E-267A-41DB-BE62-CC973E39E4A8}"/>
    <cellStyle name="Note 3 3 2 3 5" xfId="14166" xr:uid="{0B772C81-7480-472D-B03D-716B86D3FC48}"/>
    <cellStyle name="Note 3 3 2 4" xfId="1849" xr:uid="{00000000-0005-0000-0000-0000B0210000}"/>
    <cellStyle name="Note 3 3 2 4 2" xfId="4078" xr:uid="{00000000-0005-0000-0000-0000B1210000}"/>
    <cellStyle name="Note 3 3 2 4 2 2" xfId="8302" xr:uid="{00000000-0005-0000-0000-0000B2210000}"/>
    <cellStyle name="Note 3 3 2 4 2 3" xfId="12513" xr:uid="{0335AF92-DF0F-46B0-8C84-62468B29D7D6}"/>
    <cellStyle name="Note 3 3 2 4 2 4" xfId="16724" xr:uid="{E63A7A26-7DAD-47CA-8DF5-3B584CB45FDD}"/>
    <cellStyle name="Note 3 3 2 4 3" xfId="6157" xr:uid="{00000000-0005-0000-0000-0000B3210000}"/>
    <cellStyle name="Note 3 3 2 4 4" xfId="10368" xr:uid="{ACBDE29B-3B2B-46E6-9193-E66478839487}"/>
    <cellStyle name="Note 3 3 2 4 5" xfId="14579" xr:uid="{8C25514E-B047-4388-BF3F-D910432EC0E1}"/>
    <cellStyle name="Note 3 3 2 5" xfId="2262" xr:uid="{00000000-0005-0000-0000-0000B4210000}"/>
    <cellStyle name="Note 3 3 2 5 2" xfId="4491" xr:uid="{00000000-0005-0000-0000-0000B5210000}"/>
    <cellStyle name="Note 3 3 2 5 2 2" xfId="8715" xr:uid="{00000000-0005-0000-0000-0000B6210000}"/>
    <cellStyle name="Note 3 3 2 5 2 3" xfId="12926" xr:uid="{8B589EDB-B4F8-4860-B5E1-C04210BEDA32}"/>
    <cellStyle name="Note 3 3 2 5 2 4" xfId="17137" xr:uid="{B8B14F13-5CE0-463D-A4CB-6D44B423FF8B}"/>
    <cellStyle name="Note 3 3 2 5 3" xfId="6570" xr:uid="{00000000-0005-0000-0000-0000B7210000}"/>
    <cellStyle name="Note 3 3 2 5 4" xfId="10781" xr:uid="{D0878E27-502E-4D74-A44C-9CF868B9BF07}"/>
    <cellStyle name="Note 3 3 2 5 5" xfId="14992" xr:uid="{B1D923D2-7763-47F6-9F21-248137B232F0}"/>
    <cellStyle name="Note 3 3 2 6" xfId="2698" xr:uid="{00000000-0005-0000-0000-0000B8210000}"/>
    <cellStyle name="Note 3 3 2 6 2" xfId="6983" xr:uid="{00000000-0005-0000-0000-0000B9210000}"/>
    <cellStyle name="Note 3 3 2 6 3" xfId="11194" xr:uid="{B6754917-49D3-443C-ACA3-5D0DC17AF5CC}"/>
    <cellStyle name="Note 3 3 2 6 4" xfId="15405" xr:uid="{EDD1958F-07DD-493B-B140-C9DBCF98F181}"/>
    <cellStyle name="Note 3 3 2 7" xfId="2757" xr:uid="{00000000-0005-0000-0000-0000BA210000}"/>
    <cellStyle name="Note 3 3 2 8" xfId="2838" xr:uid="{00000000-0005-0000-0000-0000BB210000}"/>
    <cellStyle name="Note 3 3 2 8 2" xfId="7063" xr:uid="{00000000-0005-0000-0000-0000BC210000}"/>
    <cellStyle name="Note 3 3 2 8 3" xfId="11274" xr:uid="{47EF336A-9C95-4450-844D-8408287DF4B4}"/>
    <cellStyle name="Note 3 3 2 8 4" xfId="15485" xr:uid="{916D1D03-B071-4F79-B61F-BE8A94B1A153}"/>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2 3" xfId="11686" xr:uid="{DB15F327-E6AB-4CC8-B4DA-A0A2B96D37EC}"/>
    <cellStyle name="Note 3 3 3 2 4" xfId="15897" xr:uid="{06289EE6-0531-4747-B318-6F8AF87D047B}"/>
    <cellStyle name="Note 3 3 3 3" xfId="5330" xr:uid="{00000000-0005-0000-0000-0000C1210000}"/>
    <cellStyle name="Note 3 3 3 4" xfId="9541" xr:uid="{4E4635B8-87D6-48BF-BB7E-17AB6B2154A6}"/>
    <cellStyle name="Note 3 3 3 5" xfId="13752" xr:uid="{FE8BD321-4804-47EE-BBAF-1E06626488A9}"/>
    <cellStyle name="Note 3 3 4" xfId="1434" xr:uid="{00000000-0005-0000-0000-0000C2210000}"/>
    <cellStyle name="Note 3 3 4 2" xfId="3664" xr:uid="{00000000-0005-0000-0000-0000C3210000}"/>
    <cellStyle name="Note 3 3 4 2 2" xfId="7888" xr:uid="{00000000-0005-0000-0000-0000C4210000}"/>
    <cellStyle name="Note 3 3 4 2 3" xfId="12099" xr:uid="{39B70447-95B7-4BE9-98F9-7A505B2F8AC3}"/>
    <cellStyle name="Note 3 3 4 2 4" xfId="16310" xr:uid="{A2001EAD-C2F3-4CCC-A514-BF7178E387F3}"/>
    <cellStyle name="Note 3 3 4 3" xfId="5743" xr:uid="{00000000-0005-0000-0000-0000C5210000}"/>
    <cellStyle name="Note 3 3 4 4" xfId="9954" xr:uid="{00CE9B7F-9FE6-49EA-A0E1-B5CD26FD53B5}"/>
    <cellStyle name="Note 3 3 4 5" xfId="14165" xr:uid="{A9239D72-867A-4512-8973-253EDEAE9541}"/>
    <cellStyle name="Note 3 3 5" xfId="1848" xr:uid="{00000000-0005-0000-0000-0000C6210000}"/>
    <cellStyle name="Note 3 3 5 2" xfId="4077" xr:uid="{00000000-0005-0000-0000-0000C7210000}"/>
    <cellStyle name="Note 3 3 5 2 2" xfId="8301" xr:uid="{00000000-0005-0000-0000-0000C8210000}"/>
    <cellStyle name="Note 3 3 5 2 3" xfId="12512" xr:uid="{FABBB0D3-84A4-4542-8060-F8078514C1A6}"/>
    <cellStyle name="Note 3 3 5 2 4" xfId="16723" xr:uid="{CD0D78C3-569F-4052-AD40-777E64C8AAF6}"/>
    <cellStyle name="Note 3 3 5 3" xfId="6156" xr:uid="{00000000-0005-0000-0000-0000C9210000}"/>
    <cellStyle name="Note 3 3 5 4" xfId="10367" xr:uid="{3437324B-E542-485F-891D-A0CCB4EFD99E}"/>
    <cellStyle name="Note 3 3 5 5" xfId="14578" xr:uid="{1EABDCEB-1A4B-4F20-97A2-73D62B1183EB}"/>
    <cellStyle name="Note 3 3 6" xfId="2261" xr:uid="{00000000-0005-0000-0000-0000CA210000}"/>
    <cellStyle name="Note 3 3 6 2" xfId="4490" xr:uid="{00000000-0005-0000-0000-0000CB210000}"/>
    <cellStyle name="Note 3 3 6 2 2" xfId="8714" xr:uid="{00000000-0005-0000-0000-0000CC210000}"/>
    <cellStyle name="Note 3 3 6 2 3" xfId="12925" xr:uid="{03F54268-4A0A-48D9-A667-771DCDA17291}"/>
    <cellStyle name="Note 3 3 6 2 4" xfId="17136" xr:uid="{14F305C9-7364-4DEB-9359-9E355D3669FB}"/>
    <cellStyle name="Note 3 3 6 3" xfId="6569" xr:uid="{00000000-0005-0000-0000-0000CD210000}"/>
    <cellStyle name="Note 3 3 6 4" xfId="10780" xr:uid="{0945BFC1-6AFD-4B4F-8F6C-4E749CC11527}"/>
    <cellStyle name="Note 3 3 6 5" xfId="14991" xr:uid="{F9C1ED0C-6D46-44EE-9AB8-F7A2E78BA018}"/>
    <cellStyle name="Note 3 3 7" xfId="2697" xr:uid="{00000000-0005-0000-0000-0000CE210000}"/>
    <cellStyle name="Note 3 3 7 2" xfId="6982" xr:uid="{00000000-0005-0000-0000-0000CF210000}"/>
    <cellStyle name="Note 3 3 7 3" xfId="11193" xr:uid="{51412E08-B46C-4891-8EAD-6E73AF424165}"/>
    <cellStyle name="Note 3 3 7 4" xfId="15404" xr:uid="{AD3779CD-650B-49C0-AA48-4871D57F3E4D}"/>
    <cellStyle name="Note 3 3 8" xfId="2756" xr:uid="{00000000-0005-0000-0000-0000D0210000}"/>
    <cellStyle name="Note 3 3 9" xfId="2837" xr:uid="{00000000-0005-0000-0000-0000D1210000}"/>
    <cellStyle name="Note 3 3 9 2" xfId="7062" xr:uid="{00000000-0005-0000-0000-0000D2210000}"/>
    <cellStyle name="Note 3 3 9 3" xfId="11273" xr:uid="{BA52A1E2-B9AA-45F1-837E-7ECE8C615E4F}"/>
    <cellStyle name="Note 3 3 9 4" xfId="15484" xr:uid="{781B7FE0-4929-4F18-9D4C-1F0CD89FCE4D}"/>
    <cellStyle name="Note 3 4" xfId="561" xr:uid="{00000000-0005-0000-0000-0000D3210000}"/>
    <cellStyle name="Note 3 4 10" xfId="9130" xr:uid="{597BDB7F-6C44-4CE6-BAE3-7753AAC47ECF}"/>
    <cellStyle name="Note 3 4 11" xfId="13341" xr:uid="{AADB860E-601B-426C-B1DB-D889C72835D3}"/>
    <cellStyle name="Note 3 4 2" xfId="1021" xr:uid="{00000000-0005-0000-0000-0000D4210000}"/>
    <cellStyle name="Note 3 4 2 2" xfId="3253" xr:uid="{00000000-0005-0000-0000-0000D5210000}"/>
    <cellStyle name="Note 3 4 2 2 2" xfId="7477" xr:uid="{00000000-0005-0000-0000-0000D6210000}"/>
    <cellStyle name="Note 3 4 2 2 3" xfId="11688" xr:uid="{B44E3EA9-9093-4BC4-B1B9-D177A2CD2ADC}"/>
    <cellStyle name="Note 3 4 2 2 4" xfId="15899" xr:uid="{81731B7E-51F9-4EA0-A0F6-5B9AB3ACDEDC}"/>
    <cellStyle name="Note 3 4 2 3" xfId="5332" xr:uid="{00000000-0005-0000-0000-0000D7210000}"/>
    <cellStyle name="Note 3 4 2 4" xfId="9543" xr:uid="{A73235E4-721D-4AD3-B500-A3FCFE603EC3}"/>
    <cellStyle name="Note 3 4 2 5" xfId="13754" xr:uid="{4B64221B-2076-42CC-9A36-CC1CB48BA645}"/>
    <cellStyle name="Note 3 4 3" xfId="1436" xr:uid="{00000000-0005-0000-0000-0000D8210000}"/>
    <cellStyle name="Note 3 4 3 2" xfId="3666" xr:uid="{00000000-0005-0000-0000-0000D9210000}"/>
    <cellStyle name="Note 3 4 3 2 2" xfId="7890" xr:uid="{00000000-0005-0000-0000-0000DA210000}"/>
    <cellStyle name="Note 3 4 3 2 3" xfId="12101" xr:uid="{C0EAF5D9-D8AD-40EB-97E4-32A1109B5512}"/>
    <cellStyle name="Note 3 4 3 2 4" xfId="16312" xr:uid="{F8020A92-7BA3-4DB1-A81B-08AC57E082FA}"/>
    <cellStyle name="Note 3 4 3 3" xfId="5745" xr:uid="{00000000-0005-0000-0000-0000DB210000}"/>
    <cellStyle name="Note 3 4 3 4" xfId="9956" xr:uid="{FD2C3E4D-3273-4240-9EC1-9337E20D10A0}"/>
    <cellStyle name="Note 3 4 3 5" xfId="14167" xr:uid="{C9703047-6657-4863-9101-883A377ACDE0}"/>
    <cellStyle name="Note 3 4 4" xfId="1850" xr:uid="{00000000-0005-0000-0000-0000DC210000}"/>
    <cellStyle name="Note 3 4 4 2" xfId="4079" xr:uid="{00000000-0005-0000-0000-0000DD210000}"/>
    <cellStyle name="Note 3 4 4 2 2" xfId="8303" xr:uid="{00000000-0005-0000-0000-0000DE210000}"/>
    <cellStyle name="Note 3 4 4 2 3" xfId="12514" xr:uid="{358486F6-A908-46D6-BC33-8981A6055298}"/>
    <cellStyle name="Note 3 4 4 2 4" xfId="16725" xr:uid="{01E5D75A-65CD-43D7-BE0C-95591F9F3F7A}"/>
    <cellStyle name="Note 3 4 4 3" xfId="6158" xr:uid="{00000000-0005-0000-0000-0000DF210000}"/>
    <cellStyle name="Note 3 4 4 4" xfId="10369" xr:uid="{EC840F56-CDCA-40FD-8501-1B39B4F8806C}"/>
    <cellStyle name="Note 3 4 4 5" xfId="14580" xr:uid="{1C89B384-B859-4786-ADB3-49928A2087BC}"/>
    <cellStyle name="Note 3 4 5" xfId="2263" xr:uid="{00000000-0005-0000-0000-0000E0210000}"/>
    <cellStyle name="Note 3 4 5 2" xfId="4492" xr:uid="{00000000-0005-0000-0000-0000E1210000}"/>
    <cellStyle name="Note 3 4 5 2 2" xfId="8716" xr:uid="{00000000-0005-0000-0000-0000E2210000}"/>
    <cellStyle name="Note 3 4 5 2 3" xfId="12927" xr:uid="{4629972F-486B-4069-9962-602F05FA3D98}"/>
    <cellStyle name="Note 3 4 5 2 4" xfId="17138" xr:uid="{73584B13-3EF9-4428-B232-9BD889198DEA}"/>
    <cellStyle name="Note 3 4 5 3" xfId="6571" xr:uid="{00000000-0005-0000-0000-0000E3210000}"/>
    <cellStyle name="Note 3 4 5 4" xfId="10782" xr:uid="{EB522D99-9CB8-4B08-A686-97366B6F8EAB}"/>
    <cellStyle name="Note 3 4 5 5" xfId="14993" xr:uid="{146BFB9F-CB2A-4E6F-8FC7-71D5965CE61E}"/>
    <cellStyle name="Note 3 4 6" xfId="2699" xr:uid="{00000000-0005-0000-0000-0000E4210000}"/>
    <cellStyle name="Note 3 4 6 2" xfId="6984" xr:uid="{00000000-0005-0000-0000-0000E5210000}"/>
    <cellStyle name="Note 3 4 6 3" xfId="11195" xr:uid="{3B9B8661-0AAA-4BB7-8E68-419777797056}"/>
    <cellStyle name="Note 3 4 6 4" xfId="15406" xr:uid="{5F8C400E-C84B-472C-A222-91DB84CDC321}"/>
    <cellStyle name="Note 3 4 7" xfId="2758" xr:uid="{00000000-0005-0000-0000-0000E6210000}"/>
    <cellStyle name="Note 3 4 8" xfId="2839" xr:uid="{00000000-0005-0000-0000-0000E7210000}"/>
    <cellStyle name="Note 3 4 8 2" xfId="7064" xr:uid="{00000000-0005-0000-0000-0000E8210000}"/>
    <cellStyle name="Note 3 4 8 3" xfId="11275" xr:uid="{9C05850D-4D0B-419F-8550-E8646D29C36B}"/>
    <cellStyle name="Note 3 4 8 4" xfId="15486" xr:uid="{30BA4882-41A3-4164-A983-E0F4FE58DA93}"/>
    <cellStyle name="Note 3 4 9" xfId="4919" xr:uid="{00000000-0005-0000-0000-0000E9210000}"/>
    <cellStyle name="Note 3 5" xfId="562" xr:uid="{00000000-0005-0000-0000-0000EA210000}"/>
    <cellStyle name="Note 3 5 10" xfId="9131" xr:uid="{27BB75B8-5699-4E55-A75A-1F8350260E0E}"/>
    <cellStyle name="Note 3 5 11" xfId="13342" xr:uid="{4A5E48D3-197B-4FF4-81B2-EB30348CA39D}"/>
    <cellStyle name="Note 3 5 2" xfId="1022" xr:uid="{00000000-0005-0000-0000-0000EB210000}"/>
    <cellStyle name="Note 3 5 2 2" xfId="3254" xr:uid="{00000000-0005-0000-0000-0000EC210000}"/>
    <cellStyle name="Note 3 5 2 2 2" xfId="7478" xr:uid="{00000000-0005-0000-0000-0000ED210000}"/>
    <cellStyle name="Note 3 5 2 2 3" xfId="11689" xr:uid="{342F3FDE-8F9D-4801-BC00-924370DB3118}"/>
    <cellStyle name="Note 3 5 2 2 4" xfId="15900" xr:uid="{32BB5F28-8FA4-4783-B5E8-2DFEB94575E1}"/>
    <cellStyle name="Note 3 5 2 3" xfId="5333" xr:uid="{00000000-0005-0000-0000-0000EE210000}"/>
    <cellStyle name="Note 3 5 2 4" xfId="9544" xr:uid="{9BC11682-0AA0-4B7E-AC86-30CD010D2B69}"/>
    <cellStyle name="Note 3 5 2 5" xfId="13755" xr:uid="{CC99708F-7FBB-4974-B65E-E5D64FF3773F}"/>
    <cellStyle name="Note 3 5 3" xfId="1437" xr:uid="{00000000-0005-0000-0000-0000EF210000}"/>
    <cellStyle name="Note 3 5 3 2" xfId="3667" xr:uid="{00000000-0005-0000-0000-0000F0210000}"/>
    <cellStyle name="Note 3 5 3 2 2" xfId="7891" xr:uid="{00000000-0005-0000-0000-0000F1210000}"/>
    <cellStyle name="Note 3 5 3 2 3" xfId="12102" xr:uid="{44BD2B6F-AEE9-485E-976F-F06082A5CE7D}"/>
    <cellStyle name="Note 3 5 3 2 4" xfId="16313" xr:uid="{CBC797D4-A8F3-48B6-A9ED-FBB20B711412}"/>
    <cellStyle name="Note 3 5 3 3" xfId="5746" xr:uid="{00000000-0005-0000-0000-0000F2210000}"/>
    <cellStyle name="Note 3 5 3 4" xfId="9957" xr:uid="{0D292DE9-7559-422A-B171-53D4084B2ABE}"/>
    <cellStyle name="Note 3 5 3 5" xfId="14168" xr:uid="{84784849-DC73-40C6-B4A8-AD5C52D9A6CA}"/>
    <cellStyle name="Note 3 5 4" xfId="1851" xr:uid="{00000000-0005-0000-0000-0000F3210000}"/>
    <cellStyle name="Note 3 5 4 2" xfId="4080" xr:uid="{00000000-0005-0000-0000-0000F4210000}"/>
    <cellStyle name="Note 3 5 4 2 2" xfId="8304" xr:uid="{00000000-0005-0000-0000-0000F5210000}"/>
    <cellStyle name="Note 3 5 4 2 3" xfId="12515" xr:uid="{9F3FEB16-2D71-49CB-95F6-5F080FDECE5F}"/>
    <cellStyle name="Note 3 5 4 2 4" xfId="16726" xr:uid="{7FDEBE7C-6E01-4F4D-B922-91018D64BF89}"/>
    <cellStyle name="Note 3 5 4 3" xfId="6159" xr:uid="{00000000-0005-0000-0000-0000F6210000}"/>
    <cellStyle name="Note 3 5 4 4" xfId="10370" xr:uid="{DA608E23-F509-4C9F-94CA-FB427B5BCA16}"/>
    <cellStyle name="Note 3 5 4 5" xfId="14581" xr:uid="{D7F1E94B-A7ED-48B2-B62E-AC19B1AC261B}"/>
    <cellStyle name="Note 3 5 5" xfId="2264" xr:uid="{00000000-0005-0000-0000-0000F7210000}"/>
    <cellStyle name="Note 3 5 5 2" xfId="4493" xr:uid="{00000000-0005-0000-0000-0000F8210000}"/>
    <cellStyle name="Note 3 5 5 2 2" xfId="8717" xr:uid="{00000000-0005-0000-0000-0000F9210000}"/>
    <cellStyle name="Note 3 5 5 2 3" xfId="12928" xr:uid="{5CB69341-0E25-49EF-96BA-CA53A869AF06}"/>
    <cellStyle name="Note 3 5 5 2 4" xfId="17139" xr:uid="{AB4E6A28-A90E-4520-A0CE-857D1D5C4BE2}"/>
    <cellStyle name="Note 3 5 5 3" xfId="6572" xr:uid="{00000000-0005-0000-0000-0000FA210000}"/>
    <cellStyle name="Note 3 5 5 4" xfId="10783" xr:uid="{F2DEA7C4-4C04-451D-87A4-E2C729031DE3}"/>
    <cellStyle name="Note 3 5 5 5" xfId="14994" xr:uid="{8E69CA0B-8C93-4B27-A5AC-66EA4F338BD2}"/>
    <cellStyle name="Note 3 5 6" xfId="2700" xr:uid="{00000000-0005-0000-0000-0000FB210000}"/>
    <cellStyle name="Note 3 5 6 2" xfId="6985" xr:uid="{00000000-0005-0000-0000-0000FC210000}"/>
    <cellStyle name="Note 3 5 6 3" xfId="11196" xr:uid="{129EE2F2-F505-4D35-9775-4AA35DD7AF7B}"/>
    <cellStyle name="Note 3 5 6 4" xfId="15407" xr:uid="{835F1A9F-BD6F-4F75-9E78-B56E5E8B1640}"/>
    <cellStyle name="Note 3 5 7" xfId="2759" xr:uid="{00000000-0005-0000-0000-0000FD210000}"/>
    <cellStyle name="Note 3 5 8" xfId="2840" xr:uid="{00000000-0005-0000-0000-0000FE210000}"/>
    <cellStyle name="Note 3 5 8 2" xfId="7065" xr:uid="{00000000-0005-0000-0000-0000FF210000}"/>
    <cellStyle name="Note 3 5 8 3" xfId="11276" xr:uid="{9F8FBA4E-2774-47E1-A4E8-1A1C361DE828}"/>
    <cellStyle name="Note 3 5 8 4" xfId="15487" xr:uid="{CD5A4681-69A5-4469-9A29-46028BD8754C}"/>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92">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141384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358" zoomScaleNormal="100" zoomScaleSheetLayoutView="100" workbookViewId="0">
      <selection sqref="A1:AL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886" t="s">
        <v>585</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row>
    <row r="2" spans="1:38" ht="13" thickBot="1">
      <c r="A2" s="1887"/>
      <c r="B2" s="1887"/>
      <c r="C2" s="1887"/>
      <c r="D2" s="1887"/>
      <c r="E2" s="1887"/>
      <c r="F2" s="1887"/>
      <c r="G2" s="1887"/>
      <c r="H2" s="1887"/>
      <c r="I2" s="1887"/>
      <c r="J2" s="1887"/>
      <c r="K2" s="1887"/>
      <c r="L2" s="1887"/>
      <c r="M2" s="1887"/>
      <c r="N2" s="1887"/>
      <c r="O2" s="1887"/>
      <c r="P2" s="1887"/>
      <c r="Q2" s="1887"/>
      <c r="R2" s="1887"/>
      <c r="S2" s="1887"/>
      <c r="T2" s="1887"/>
      <c r="U2" s="1887"/>
      <c r="V2" s="1887"/>
      <c r="W2" s="1887"/>
      <c r="X2" s="1887"/>
      <c r="Y2" s="1887"/>
      <c r="Z2" s="1887"/>
      <c r="AA2" s="1887"/>
      <c r="AB2" s="1887"/>
      <c r="AC2" s="1887"/>
      <c r="AD2" s="1887"/>
      <c r="AE2" s="1887"/>
      <c r="AF2" s="1887"/>
      <c r="AG2" s="1887"/>
      <c r="AH2" s="1887"/>
      <c r="AI2" s="1887"/>
      <c r="AJ2" s="1887"/>
      <c r="AK2" s="1887"/>
      <c r="AL2" s="1887"/>
    </row>
    <row r="3" spans="1:38" ht="13" thickTop="1"/>
    <row r="4" spans="1:38" s="8" customFormat="1" ht="13">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8"/>
      <c r="B7" s="326"/>
      <c r="C7" s="327"/>
      <c r="D7" s="1888" t="s">
        <v>1394</v>
      </c>
      <c r="E7" s="1888"/>
      <c r="F7" s="1888"/>
      <c r="G7" s="1888"/>
      <c r="H7" s="1888"/>
      <c r="I7" s="1888"/>
      <c r="J7" s="1888"/>
      <c r="K7" s="1888"/>
      <c r="L7" s="1888"/>
      <c r="M7" s="1888"/>
      <c r="N7" s="1888"/>
      <c r="O7" s="1888"/>
      <c r="P7" s="1888"/>
      <c r="Q7" s="1888"/>
      <c r="R7" s="1888"/>
      <c r="S7" s="1888"/>
      <c r="T7" s="1888"/>
      <c r="U7" s="1888"/>
      <c r="V7" s="1888"/>
      <c r="W7" s="1888"/>
      <c r="X7" s="1888"/>
      <c r="Y7" s="1888"/>
      <c r="Z7" s="1888"/>
      <c r="AA7" s="1888"/>
      <c r="AB7" s="1888"/>
      <c r="AC7" s="1888"/>
      <c r="AD7" s="1888"/>
      <c r="AE7" s="1888"/>
      <c r="AF7" s="1888"/>
      <c r="AG7" s="1888"/>
      <c r="AH7" s="1888"/>
      <c r="AI7" s="1888"/>
      <c r="AJ7" s="1888"/>
      <c r="AK7" s="1888"/>
      <c r="AL7" s="747"/>
    </row>
    <row r="8" spans="1:38" ht="13">
      <c r="A8" s="328"/>
      <c r="B8" s="326"/>
      <c r="C8" s="327"/>
      <c r="D8" s="1888"/>
      <c r="E8" s="1888"/>
      <c r="F8" s="1888"/>
      <c r="G8" s="1888"/>
      <c r="H8" s="1888"/>
      <c r="I8" s="1888"/>
      <c r="J8" s="1888"/>
      <c r="K8" s="1888"/>
      <c r="L8" s="1888"/>
      <c r="M8" s="1888"/>
      <c r="N8" s="1888"/>
      <c r="O8" s="1888"/>
      <c r="P8" s="1888"/>
      <c r="Q8" s="1888"/>
      <c r="R8" s="1888"/>
      <c r="S8" s="1888"/>
      <c r="T8" s="1888"/>
      <c r="U8" s="1888"/>
      <c r="V8" s="1888"/>
      <c r="W8" s="1888"/>
      <c r="X8" s="1888"/>
      <c r="Y8" s="1888"/>
      <c r="Z8" s="1888"/>
      <c r="AA8" s="1888"/>
      <c r="AB8" s="1888"/>
      <c r="AC8" s="1888"/>
      <c r="AD8" s="1888"/>
      <c r="AE8" s="1888"/>
      <c r="AF8" s="1888"/>
      <c r="AG8" s="1888"/>
      <c r="AH8" s="1888"/>
      <c r="AI8" s="1888"/>
      <c r="AJ8" s="1888"/>
      <c r="AK8" s="1888"/>
      <c r="AL8" s="747"/>
    </row>
    <row r="9" spans="1:38" ht="13">
      <c r="A9" s="328"/>
      <c r="B9" s="326"/>
      <c r="C9" s="327"/>
      <c r="D9" s="1888"/>
      <c r="E9" s="1888"/>
      <c r="F9" s="1888"/>
      <c r="G9" s="1888"/>
      <c r="H9" s="1888"/>
      <c r="I9" s="1888"/>
      <c r="J9" s="1888"/>
      <c r="K9" s="1888"/>
      <c r="L9" s="1888"/>
      <c r="M9" s="1888"/>
      <c r="N9" s="1888"/>
      <c r="O9" s="1888"/>
      <c r="P9" s="1888"/>
      <c r="Q9" s="1888"/>
      <c r="R9" s="1888"/>
      <c r="S9" s="1888"/>
      <c r="T9" s="1888"/>
      <c r="U9" s="1888"/>
      <c r="V9" s="1888"/>
      <c r="W9" s="1888"/>
      <c r="X9" s="1888"/>
      <c r="Y9" s="1888"/>
      <c r="Z9" s="1888"/>
      <c r="AA9" s="1888"/>
      <c r="AB9" s="1888"/>
      <c r="AC9" s="1888"/>
      <c r="AD9" s="1888"/>
      <c r="AE9" s="1888"/>
      <c r="AF9" s="1888"/>
      <c r="AG9" s="1888"/>
      <c r="AH9" s="1888"/>
      <c r="AI9" s="1888"/>
      <c r="AJ9" s="1888"/>
      <c r="AK9" s="1888"/>
      <c r="AL9" s="747"/>
    </row>
    <row r="10" spans="1:38" ht="13">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3" customHeight="1">
      <c r="A11" s="328"/>
      <c r="B11" s="326"/>
      <c r="C11" s="327"/>
      <c r="D11" s="1888" t="s">
        <v>1401</v>
      </c>
      <c r="E11" s="1888"/>
      <c r="F11" s="1888"/>
      <c r="G11" s="1888"/>
      <c r="H11" s="1888"/>
      <c r="I11" s="1888"/>
      <c r="J11" s="1888"/>
      <c r="K11" s="1888"/>
      <c r="L11" s="1888"/>
      <c r="M11" s="1888"/>
      <c r="N11" s="1888"/>
      <c r="O11" s="1888"/>
      <c r="P11" s="1888"/>
      <c r="Q11" s="1888"/>
      <c r="R11" s="1888"/>
      <c r="S11" s="1888"/>
      <c r="T11" s="1888"/>
      <c r="U11" s="1888"/>
      <c r="V11" s="1888"/>
      <c r="W11" s="1888"/>
      <c r="X11" s="1888"/>
      <c r="Y11" s="1888"/>
      <c r="Z11" s="1888"/>
      <c r="AA11" s="1888"/>
      <c r="AB11" s="1888"/>
      <c r="AC11" s="1888"/>
      <c r="AD11" s="1888"/>
      <c r="AE11" s="1888"/>
      <c r="AF11" s="1888"/>
      <c r="AG11" s="1888"/>
      <c r="AH11" s="1888"/>
      <c r="AI11" s="1888"/>
      <c r="AJ11" s="1888"/>
      <c r="AK11" s="1888"/>
      <c r="AL11" s="747"/>
    </row>
    <row r="12" spans="1:38" ht="13">
      <c r="A12" s="328"/>
      <c r="B12" s="326"/>
      <c r="C12" s="327"/>
      <c r="D12" s="1888"/>
      <c r="E12" s="1888"/>
      <c r="F12" s="1888"/>
      <c r="G12" s="1888"/>
      <c r="H12" s="1888"/>
      <c r="I12" s="1888"/>
      <c r="J12" s="1888"/>
      <c r="K12" s="1888"/>
      <c r="L12" s="1888"/>
      <c r="M12" s="1888"/>
      <c r="N12" s="1888"/>
      <c r="O12" s="1888"/>
      <c r="P12" s="1888"/>
      <c r="Q12" s="1888"/>
      <c r="R12" s="1888"/>
      <c r="S12" s="1888"/>
      <c r="T12" s="1888"/>
      <c r="U12" s="1888"/>
      <c r="V12" s="1888"/>
      <c r="W12" s="1888"/>
      <c r="X12" s="1888"/>
      <c r="Y12" s="1888"/>
      <c r="Z12" s="1888"/>
      <c r="AA12" s="1888"/>
      <c r="AB12" s="1888"/>
      <c r="AC12" s="1888"/>
      <c r="AD12" s="1888"/>
      <c r="AE12" s="1888"/>
      <c r="AF12" s="1888"/>
      <c r="AG12" s="1888"/>
      <c r="AH12" s="1888"/>
      <c r="AI12" s="1888"/>
      <c r="AJ12" s="1888"/>
      <c r="AK12" s="1888"/>
      <c r="AL12" s="747"/>
    </row>
    <row r="13" spans="1:38" s="718" customFormat="1" ht="13">
      <c r="A13" s="328"/>
      <c r="B13" s="326"/>
      <c r="C13" s="327"/>
      <c r="D13" s="1888"/>
      <c r="E13" s="1888"/>
      <c r="F13" s="1888"/>
      <c r="G13" s="1888"/>
      <c r="H13" s="1888"/>
      <c r="I13" s="1888"/>
      <c r="J13" s="1888"/>
      <c r="K13" s="1888"/>
      <c r="L13" s="1888"/>
      <c r="M13" s="1888"/>
      <c r="N13" s="1888"/>
      <c r="O13" s="1888"/>
      <c r="P13" s="1888"/>
      <c r="Q13" s="1888"/>
      <c r="R13" s="1888"/>
      <c r="S13" s="1888"/>
      <c r="T13" s="1888"/>
      <c r="U13" s="1888"/>
      <c r="V13" s="1888"/>
      <c r="W13" s="1888"/>
      <c r="X13" s="1888"/>
      <c r="Y13" s="1888"/>
      <c r="Z13" s="1888"/>
      <c r="AA13" s="1888"/>
      <c r="AB13" s="1888"/>
      <c r="AC13" s="1888"/>
      <c r="AD13" s="1888"/>
      <c r="AE13" s="1888"/>
      <c r="AF13" s="1888"/>
      <c r="AG13" s="1888"/>
      <c r="AH13" s="1888"/>
      <c r="AI13" s="1888"/>
      <c r="AJ13" s="1888"/>
      <c r="AK13" s="1888"/>
      <c r="AL13" s="747"/>
    </row>
    <row r="14" spans="1:38" s="718" customFormat="1" ht="13.25" customHeight="1">
      <c r="A14" s="328"/>
      <c r="B14" s="326"/>
      <c r="C14" s="327"/>
      <c r="E14" s="1874" t="s">
        <v>2184</v>
      </c>
      <c r="F14" s="1874"/>
      <c r="G14" s="1874"/>
      <c r="H14" s="1874"/>
      <c r="I14" s="1874"/>
      <c r="J14" s="1874"/>
      <c r="K14" s="1874"/>
      <c r="L14" s="1874"/>
      <c r="M14" s="1874"/>
      <c r="N14" s="1874"/>
      <c r="O14" s="1874"/>
      <c r="P14" s="1874"/>
      <c r="Q14" s="1874"/>
      <c r="R14" s="1874"/>
      <c r="S14" s="1874"/>
      <c r="T14" s="1874"/>
      <c r="U14" s="1874"/>
      <c r="V14" s="1874"/>
      <c r="W14" s="1874"/>
      <c r="X14" s="1874"/>
      <c r="Y14" s="1874"/>
      <c r="Z14" s="1874"/>
      <c r="AA14" s="1874"/>
      <c r="AB14" s="1874"/>
      <c r="AC14" s="1874"/>
      <c r="AD14" s="1874"/>
      <c r="AE14" s="1874"/>
      <c r="AF14" s="1874"/>
      <c r="AG14" s="1874"/>
      <c r="AH14" s="1874"/>
      <c r="AI14" s="1874"/>
      <c r="AJ14" s="1874"/>
      <c r="AK14" s="1874"/>
      <c r="AL14" s="747"/>
    </row>
    <row r="15" spans="1:38" s="718" customFormat="1" ht="13.25" customHeight="1">
      <c r="A15" s="328"/>
      <c r="B15" s="326"/>
      <c r="C15" s="327"/>
      <c r="E15" s="1874"/>
      <c r="F15" s="1874"/>
      <c r="G15" s="1874"/>
      <c r="H15" s="1874"/>
      <c r="I15" s="1874"/>
      <c r="J15" s="1874"/>
      <c r="K15" s="1874"/>
      <c r="L15" s="1874"/>
      <c r="M15" s="1874"/>
      <c r="N15" s="1874"/>
      <c r="O15" s="1874"/>
      <c r="P15" s="1874"/>
      <c r="Q15" s="1874"/>
      <c r="R15" s="1874"/>
      <c r="S15" s="1874"/>
      <c r="T15" s="1874"/>
      <c r="U15" s="1874"/>
      <c r="V15" s="1874"/>
      <c r="W15" s="1874"/>
      <c r="X15" s="1874"/>
      <c r="Y15" s="1874"/>
      <c r="Z15" s="1874"/>
      <c r="AA15" s="1874"/>
      <c r="AB15" s="1874"/>
      <c r="AC15" s="1874"/>
      <c r="AD15" s="1874"/>
      <c r="AE15" s="1874"/>
      <c r="AF15" s="1874"/>
      <c r="AG15" s="1874"/>
      <c r="AH15" s="1874"/>
      <c r="AI15" s="1874"/>
      <c r="AJ15" s="1874"/>
      <c r="AK15" s="1874"/>
      <c r="AL15" s="747"/>
    </row>
    <row r="16" spans="1:38" s="718" customFormat="1" ht="13">
      <c r="A16" s="328"/>
      <c r="B16" s="326"/>
      <c r="C16" s="327"/>
      <c r="D16" s="747"/>
      <c r="E16" s="1874"/>
      <c r="F16" s="1874"/>
      <c r="G16" s="1874"/>
      <c r="H16" s="1874"/>
      <c r="I16" s="1874"/>
      <c r="J16" s="1874"/>
      <c r="K16" s="1874"/>
      <c r="L16" s="1874"/>
      <c r="M16" s="1874"/>
      <c r="N16" s="1874"/>
      <c r="O16" s="1874"/>
      <c r="P16" s="1874"/>
      <c r="Q16" s="1874"/>
      <c r="R16" s="1874"/>
      <c r="S16" s="1874"/>
      <c r="T16" s="1874"/>
      <c r="U16" s="1874"/>
      <c r="V16" s="1874"/>
      <c r="W16" s="1874"/>
      <c r="X16" s="1874"/>
      <c r="Y16" s="1874"/>
      <c r="Z16" s="1874"/>
      <c r="AA16" s="1874"/>
      <c r="AB16" s="1874"/>
      <c r="AC16" s="1874"/>
      <c r="AD16" s="1874"/>
      <c r="AE16" s="1874"/>
      <c r="AF16" s="1874"/>
      <c r="AG16" s="1874"/>
      <c r="AH16" s="1874"/>
      <c r="AI16" s="1874"/>
      <c r="AJ16" s="1874"/>
      <c r="AK16" s="1874"/>
      <c r="AL16" s="747"/>
    </row>
    <row r="17" spans="1:38" s="718" customFormat="1" ht="13">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5" customHeight="1">
      <c r="A18" s="328"/>
      <c r="B18" s="326"/>
      <c r="C18" s="327"/>
      <c r="D18" s="1874" t="s">
        <v>1530</v>
      </c>
      <c r="E18" s="1874"/>
      <c r="F18" s="1874"/>
      <c r="G18" s="1874"/>
      <c r="H18" s="1874"/>
      <c r="I18" s="1874"/>
      <c r="J18" s="1874"/>
      <c r="K18" s="1874"/>
      <c r="L18" s="1874"/>
      <c r="M18" s="1874"/>
      <c r="N18" s="1874"/>
      <c r="O18" s="1874"/>
      <c r="P18" s="1874"/>
      <c r="Q18" s="1874"/>
      <c r="R18" s="1874"/>
      <c r="S18" s="1874"/>
      <c r="T18" s="1874"/>
      <c r="U18" s="1874"/>
      <c r="V18" s="1874"/>
      <c r="W18" s="1874"/>
      <c r="X18" s="1874"/>
      <c r="Y18" s="1874"/>
      <c r="Z18" s="1874"/>
      <c r="AA18" s="1874"/>
      <c r="AB18" s="1874"/>
      <c r="AC18" s="1874"/>
      <c r="AD18" s="1874"/>
      <c r="AE18" s="1874"/>
      <c r="AF18" s="1874"/>
      <c r="AG18" s="1874"/>
      <c r="AH18" s="1874"/>
      <c r="AI18" s="1874"/>
      <c r="AJ18" s="1874"/>
      <c r="AK18" s="1874"/>
      <c r="AL18" s="326"/>
    </row>
    <row r="19" spans="1:38" ht="13">
      <c r="A19" s="328"/>
      <c r="B19" s="326"/>
      <c r="C19" s="327"/>
      <c r="D19" s="1874"/>
      <c r="E19" s="1874"/>
      <c r="F19" s="1874"/>
      <c r="G19" s="1874"/>
      <c r="H19" s="1874"/>
      <c r="I19" s="1874"/>
      <c r="J19" s="1874"/>
      <c r="K19" s="1874"/>
      <c r="L19" s="1874"/>
      <c r="M19" s="1874"/>
      <c r="N19" s="1874"/>
      <c r="O19" s="1874"/>
      <c r="P19" s="1874"/>
      <c r="Q19" s="1874"/>
      <c r="R19" s="1874"/>
      <c r="S19" s="1874"/>
      <c r="T19" s="1874"/>
      <c r="U19" s="1874"/>
      <c r="V19" s="1874"/>
      <c r="W19" s="1874"/>
      <c r="X19" s="1874"/>
      <c r="Y19" s="1874"/>
      <c r="Z19" s="1874"/>
      <c r="AA19" s="1874"/>
      <c r="AB19" s="1874"/>
      <c r="AC19" s="1874"/>
      <c r="AD19" s="1874"/>
      <c r="AE19" s="1874"/>
      <c r="AF19" s="1874"/>
      <c r="AG19" s="1874"/>
      <c r="AH19" s="1874"/>
      <c r="AI19" s="1874"/>
      <c r="AJ19" s="1874"/>
      <c r="AK19" s="1874"/>
      <c r="AL19" s="326"/>
    </row>
    <row r="20" spans="1:38" s="718" customFormat="1" ht="13">
      <c r="A20" s="328"/>
      <c r="B20" s="326"/>
      <c r="C20" s="327"/>
      <c r="D20" s="1874"/>
      <c r="E20" s="1874"/>
      <c r="F20" s="1874"/>
      <c r="G20" s="1874"/>
      <c r="H20" s="1874"/>
      <c r="I20" s="1874"/>
      <c r="J20" s="1874"/>
      <c r="K20" s="1874"/>
      <c r="L20" s="1874"/>
      <c r="M20" s="1874"/>
      <c r="N20" s="1874"/>
      <c r="O20" s="1874"/>
      <c r="P20" s="1874"/>
      <c r="Q20" s="1874"/>
      <c r="R20" s="1874"/>
      <c r="S20" s="1874"/>
      <c r="T20" s="1874"/>
      <c r="U20" s="1874"/>
      <c r="V20" s="1874"/>
      <c r="W20" s="1874"/>
      <c r="X20" s="1874"/>
      <c r="Y20" s="1874"/>
      <c r="Z20" s="1874"/>
      <c r="AA20" s="1874"/>
      <c r="AB20" s="1874"/>
      <c r="AC20" s="1874"/>
      <c r="AD20" s="1874"/>
      <c r="AE20" s="1874"/>
      <c r="AF20" s="1874"/>
      <c r="AG20" s="1874"/>
      <c r="AH20" s="1874"/>
      <c r="AI20" s="1874"/>
      <c r="AJ20" s="1874"/>
      <c r="AK20" s="1874"/>
      <c r="AL20" s="326"/>
    </row>
    <row r="21" spans="1:38" s="718" customFormat="1" ht="13.25" customHeight="1">
      <c r="A21" s="328"/>
      <c r="B21" s="326"/>
      <c r="C21" s="327"/>
      <c r="D21" s="1874"/>
      <c r="E21" s="1874"/>
      <c r="F21" s="1874"/>
      <c r="G21" s="1874"/>
      <c r="H21" s="1874"/>
      <c r="I21" s="1874"/>
      <c r="J21" s="1874"/>
      <c r="K21" s="1874"/>
      <c r="L21" s="1874"/>
      <c r="M21" s="1874"/>
      <c r="N21" s="1874"/>
      <c r="O21" s="1874"/>
      <c r="P21" s="1874"/>
      <c r="Q21" s="1874"/>
      <c r="R21" s="1874"/>
      <c r="S21" s="1874"/>
      <c r="T21" s="1874"/>
      <c r="U21" s="1874"/>
      <c r="V21" s="1874"/>
      <c r="W21" s="1874"/>
      <c r="X21" s="1874"/>
      <c r="Y21" s="1874"/>
      <c r="Z21" s="1874"/>
      <c r="AA21" s="1874"/>
      <c r="AB21" s="1874"/>
      <c r="AC21" s="1874"/>
      <c r="AD21" s="1874"/>
      <c r="AE21" s="1874"/>
      <c r="AF21" s="1874"/>
      <c r="AG21" s="1874"/>
      <c r="AH21" s="1874"/>
      <c r="AI21" s="1874"/>
      <c r="AJ21" s="1874"/>
      <c r="AK21" s="1874"/>
      <c r="AL21" s="326"/>
    </row>
    <row r="22" spans="1:38" s="718" customFormat="1" ht="13">
      <c r="A22" s="328"/>
      <c r="B22" s="326"/>
      <c r="C22" s="327"/>
      <c r="D22" s="1874"/>
      <c r="E22" s="1874"/>
      <c r="F22" s="1874"/>
      <c r="G22" s="1874"/>
      <c r="H22" s="1874"/>
      <c r="I22" s="1874"/>
      <c r="J22" s="1874"/>
      <c r="K22" s="1874"/>
      <c r="L22" s="1874"/>
      <c r="M22" s="1874"/>
      <c r="N22" s="1874"/>
      <c r="O22" s="1874"/>
      <c r="P22" s="1874"/>
      <c r="Q22" s="1874"/>
      <c r="R22" s="1874"/>
      <c r="S22" s="1874"/>
      <c r="T22" s="1874"/>
      <c r="U22" s="1874"/>
      <c r="V22" s="1874"/>
      <c r="W22" s="1874"/>
      <c r="X22" s="1874"/>
      <c r="Y22" s="1874"/>
      <c r="Z22" s="1874"/>
      <c r="AA22" s="1874"/>
      <c r="AB22" s="1874"/>
      <c r="AC22" s="1874"/>
      <c r="AD22" s="1874"/>
      <c r="AE22" s="1874"/>
      <c r="AF22" s="1874"/>
      <c r="AG22" s="1874"/>
      <c r="AH22" s="1874"/>
      <c r="AI22" s="1874"/>
      <c r="AJ22" s="1874"/>
      <c r="AK22" s="1874"/>
      <c r="AL22" s="326"/>
    </row>
    <row r="23" spans="1:38" s="718" customFormat="1" ht="13">
      <c r="A23" s="328"/>
      <c r="B23" s="326"/>
      <c r="C23" s="327"/>
      <c r="D23" s="1874"/>
      <c r="E23" s="1874"/>
      <c r="F23" s="1874"/>
      <c r="G23" s="1874"/>
      <c r="H23" s="1874"/>
      <c r="I23" s="1874"/>
      <c r="J23" s="1874"/>
      <c r="K23" s="1874"/>
      <c r="L23" s="1874"/>
      <c r="M23" s="1874"/>
      <c r="N23" s="1874"/>
      <c r="O23" s="1874"/>
      <c r="P23" s="1874"/>
      <c r="Q23" s="1874"/>
      <c r="R23" s="1874"/>
      <c r="S23" s="1874"/>
      <c r="T23" s="1874"/>
      <c r="U23" s="1874"/>
      <c r="V23" s="1874"/>
      <c r="W23" s="1874"/>
      <c r="X23" s="1874"/>
      <c r="Y23" s="1874"/>
      <c r="Z23" s="1874"/>
      <c r="AA23" s="1874"/>
      <c r="AB23" s="1874"/>
      <c r="AC23" s="1874"/>
      <c r="AD23" s="1874"/>
      <c r="AE23" s="1874"/>
      <c r="AF23" s="1874"/>
      <c r="AG23" s="1874"/>
      <c r="AH23" s="1874"/>
      <c r="AI23" s="1874"/>
      <c r="AJ23" s="1874"/>
      <c r="AK23" s="1874"/>
      <c r="AL23" s="326"/>
    </row>
    <row r="24" spans="1:38" ht="13">
      <c r="A24" s="328"/>
      <c r="B24" s="326"/>
      <c r="C24" s="327"/>
      <c r="D24" s="1874"/>
      <c r="E24" s="1874"/>
      <c r="F24" s="1874"/>
      <c r="G24" s="1874"/>
      <c r="H24" s="1874"/>
      <c r="I24" s="1874"/>
      <c r="J24" s="1874"/>
      <c r="K24" s="1874"/>
      <c r="L24" s="1874"/>
      <c r="M24" s="1874"/>
      <c r="N24" s="1874"/>
      <c r="O24" s="1874"/>
      <c r="P24" s="1874"/>
      <c r="Q24" s="1874"/>
      <c r="R24" s="1874"/>
      <c r="S24" s="1874"/>
      <c r="T24" s="1874"/>
      <c r="U24" s="1874"/>
      <c r="V24" s="1874"/>
      <c r="W24" s="1874"/>
      <c r="X24" s="1874"/>
      <c r="Y24" s="1874"/>
      <c r="Z24" s="1874"/>
      <c r="AA24" s="1874"/>
      <c r="AB24" s="1874"/>
      <c r="AC24" s="1874"/>
      <c r="AD24" s="1874"/>
      <c r="AE24" s="1874"/>
      <c r="AF24" s="1874"/>
      <c r="AG24" s="1874"/>
      <c r="AH24" s="1874"/>
      <c r="AI24" s="1874"/>
      <c r="AJ24" s="1874"/>
      <c r="AK24" s="1874"/>
      <c r="AL24" s="326"/>
    </row>
    <row r="25" spans="1:38" s="718" customFormat="1" ht="13">
      <c r="A25" s="328"/>
      <c r="B25" s="326"/>
      <c r="C25" s="327"/>
      <c r="D25" s="1874"/>
      <c r="E25" s="1874"/>
      <c r="F25" s="1874"/>
      <c r="G25" s="1874"/>
      <c r="H25" s="1874"/>
      <c r="I25" s="1874"/>
      <c r="J25" s="1874"/>
      <c r="K25" s="1874"/>
      <c r="L25" s="1874"/>
      <c r="M25" s="1874"/>
      <c r="N25" s="1874"/>
      <c r="O25" s="1874"/>
      <c r="P25" s="1874"/>
      <c r="Q25" s="1874"/>
      <c r="R25" s="1874"/>
      <c r="S25" s="1874"/>
      <c r="T25" s="1874"/>
      <c r="U25" s="1874"/>
      <c r="V25" s="1874"/>
      <c r="W25" s="1874"/>
      <c r="X25" s="1874"/>
      <c r="Y25" s="1874"/>
      <c r="Z25" s="1874"/>
      <c r="AA25" s="1874"/>
      <c r="AB25" s="1874"/>
      <c r="AC25" s="1874"/>
      <c r="AD25" s="1874"/>
      <c r="AE25" s="1874"/>
      <c r="AF25" s="1874"/>
      <c r="AG25" s="1874"/>
      <c r="AH25" s="1874"/>
      <c r="AI25" s="1874"/>
      <c r="AJ25" s="1874"/>
      <c r="AK25" s="1874"/>
      <c r="AL25" s="326"/>
    </row>
    <row r="26" spans="1:38" s="718" customFormat="1" ht="13">
      <c r="A26" s="328"/>
      <c r="B26" s="326"/>
      <c r="C26" s="327"/>
      <c r="D26" s="1874"/>
      <c r="E26" s="1874"/>
      <c r="F26" s="1874"/>
      <c r="G26" s="1874"/>
      <c r="H26" s="1874"/>
      <c r="I26" s="1874"/>
      <c r="J26" s="1874"/>
      <c r="K26" s="1874"/>
      <c r="L26" s="1874"/>
      <c r="M26" s="1874"/>
      <c r="N26" s="1874"/>
      <c r="O26" s="1874"/>
      <c r="P26" s="1874"/>
      <c r="Q26" s="1874"/>
      <c r="R26" s="1874"/>
      <c r="S26" s="1874"/>
      <c r="T26" s="1874"/>
      <c r="U26" s="1874"/>
      <c r="V26" s="1874"/>
      <c r="W26" s="1874"/>
      <c r="X26" s="1874"/>
      <c r="Y26" s="1874"/>
      <c r="Z26" s="1874"/>
      <c r="AA26" s="1874"/>
      <c r="AB26" s="1874"/>
      <c r="AC26" s="1874"/>
      <c r="AD26" s="1874"/>
      <c r="AE26" s="1874"/>
      <c r="AF26" s="1874"/>
      <c r="AG26" s="1874"/>
      <c r="AH26" s="1874"/>
      <c r="AI26" s="1874"/>
      <c r="AJ26" s="1874"/>
      <c r="AK26" s="1874"/>
      <c r="AL26" s="326"/>
    </row>
    <row r="27" spans="1:38" s="718" customFormat="1" ht="12" customHeight="1">
      <c r="A27" s="328"/>
      <c r="B27" s="326"/>
      <c r="C27" s="327"/>
      <c r="D27" s="1874"/>
      <c r="E27" s="1874"/>
      <c r="F27" s="1874"/>
      <c r="G27" s="1874"/>
      <c r="H27" s="1874"/>
      <c r="I27" s="1874"/>
      <c r="J27" s="1874"/>
      <c r="K27" s="1874"/>
      <c r="L27" s="1874"/>
      <c r="M27" s="1874"/>
      <c r="N27" s="1874"/>
      <c r="O27" s="1874"/>
      <c r="P27" s="1874"/>
      <c r="Q27" s="1874"/>
      <c r="R27" s="1874"/>
      <c r="S27" s="1874"/>
      <c r="T27" s="1874"/>
      <c r="U27" s="1874"/>
      <c r="V27" s="1874"/>
      <c r="W27" s="1874"/>
      <c r="X27" s="1874"/>
      <c r="Y27" s="1874"/>
      <c r="Z27" s="1874"/>
      <c r="AA27" s="1874"/>
      <c r="AB27" s="1874"/>
      <c r="AC27" s="1874"/>
      <c r="AD27" s="1874"/>
      <c r="AE27" s="1874"/>
      <c r="AF27" s="1874"/>
      <c r="AG27" s="1874"/>
      <c r="AH27" s="1874"/>
      <c r="AI27" s="1874"/>
      <c r="AJ27" s="1874"/>
      <c r="AK27" s="1874"/>
      <c r="AL27" s="326"/>
    </row>
    <row r="28" spans="1:38" s="718" customFormat="1" ht="13.25" customHeight="1">
      <c r="A28" s="328"/>
      <c r="B28" s="326"/>
      <c r="C28" s="327"/>
      <c r="E28" s="1874" t="s">
        <v>2185</v>
      </c>
      <c r="F28" s="1874"/>
      <c r="G28" s="1874"/>
      <c r="H28" s="1874"/>
      <c r="I28" s="1874"/>
      <c r="J28" s="1874"/>
      <c r="K28" s="1874"/>
      <c r="L28" s="1874"/>
      <c r="M28" s="1874"/>
      <c r="N28" s="1874"/>
      <c r="O28" s="1874"/>
      <c r="P28" s="1874"/>
      <c r="Q28" s="1874"/>
      <c r="R28" s="1874"/>
      <c r="S28" s="1874"/>
      <c r="T28" s="1874"/>
      <c r="U28" s="1874"/>
      <c r="V28" s="1874"/>
      <c r="W28" s="1874"/>
      <c r="X28" s="1874"/>
      <c r="Y28" s="1874"/>
      <c r="Z28" s="1874"/>
      <c r="AA28" s="1874"/>
      <c r="AB28" s="1874"/>
      <c r="AC28" s="1874"/>
      <c r="AD28" s="1874"/>
      <c r="AE28" s="1874"/>
      <c r="AF28" s="1874"/>
      <c r="AG28" s="1874"/>
      <c r="AH28" s="1874"/>
      <c r="AI28" s="1874"/>
      <c r="AJ28" s="1874"/>
      <c r="AK28" s="1874"/>
      <c r="AL28" s="326"/>
    </row>
    <row r="29" spans="1:38" s="718" customFormat="1" ht="13.25" customHeight="1">
      <c r="A29" s="328"/>
      <c r="B29" s="326"/>
      <c r="C29" s="327"/>
      <c r="E29" s="1874"/>
      <c r="F29" s="1874"/>
      <c r="G29" s="1874"/>
      <c r="H29" s="1874"/>
      <c r="I29" s="1874"/>
      <c r="J29" s="1874"/>
      <c r="K29" s="1874"/>
      <c r="L29" s="1874"/>
      <c r="M29" s="1874"/>
      <c r="N29" s="1874"/>
      <c r="O29" s="1874"/>
      <c r="P29" s="1874"/>
      <c r="Q29" s="1874"/>
      <c r="R29" s="1874"/>
      <c r="S29" s="1874"/>
      <c r="T29" s="1874"/>
      <c r="U29" s="1874"/>
      <c r="V29" s="1874"/>
      <c r="W29" s="1874"/>
      <c r="X29" s="1874"/>
      <c r="Y29" s="1874"/>
      <c r="Z29" s="1874"/>
      <c r="AA29" s="1874"/>
      <c r="AB29" s="1874"/>
      <c r="AC29" s="1874"/>
      <c r="AD29" s="1874"/>
      <c r="AE29" s="1874"/>
      <c r="AF29" s="1874"/>
      <c r="AG29" s="1874"/>
      <c r="AH29" s="1874"/>
      <c r="AI29" s="1874"/>
      <c r="AJ29" s="1874"/>
      <c r="AK29" s="1874"/>
      <c r="AL29" s="326"/>
    </row>
    <row r="30" spans="1:38" s="718" customFormat="1" ht="13">
      <c r="A30" s="328"/>
      <c r="B30" s="326"/>
      <c r="C30" s="327"/>
      <c r="D30" s="747"/>
      <c r="E30" s="1874"/>
      <c r="F30" s="1874"/>
      <c r="G30" s="1874"/>
      <c r="H30" s="1874"/>
      <c r="I30" s="1874"/>
      <c r="J30" s="1874"/>
      <c r="K30" s="1874"/>
      <c r="L30" s="1874"/>
      <c r="M30" s="1874"/>
      <c r="N30" s="1874"/>
      <c r="O30" s="1874"/>
      <c r="P30" s="1874"/>
      <c r="Q30" s="1874"/>
      <c r="R30" s="1874"/>
      <c r="S30" s="1874"/>
      <c r="T30" s="1874"/>
      <c r="U30" s="1874"/>
      <c r="V30" s="1874"/>
      <c r="W30" s="1874"/>
      <c r="X30" s="1874"/>
      <c r="Y30" s="1874"/>
      <c r="Z30" s="1874"/>
      <c r="AA30" s="1874"/>
      <c r="AB30" s="1874"/>
      <c r="AC30" s="1874"/>
      <c r="AD30" s="1874"/>
      <c r="AE30" s="1874"/>
      <c r="AF30" s="1874"/>
      <c r="AG30" s="1874"/>
      <c r="AH30" s="1874"/>
      <c r="AI30" s="1874"/>
      <c r="AJ30" s="1874"/>
      <c r="AK30" s="1874"/>
      <c r="AL30" s="326"/>
    </row>
    <row r="31" spans="1:38" s="718" customFormat="1" ht="13">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5" customHeight="1">
      <c r="A32" s="328"/>
      <c r="B32" s="326"/>
      <c r="C32" s="327"/>
      <c r="D32" s="1876" t="s">
        <v>1402</v>
      </c>
      <c r="E32" s="1876"/>
      <c r="F32" s="1876"/>
      <c r="G32" s="1876"/>
      <c r="H32" s="1876"/>
      <c r="I32" s="1876"/>
      <c r="J32" s="1876"/>
      <c r="K32" s="1876"/>
      <c r="L32" s="1876"/>
      <c r="M32" s="1876"/>
      <c r="N32" s="1876"/>
      <c r="O32" s="1876"/>
      <c r="P32" s="1876"/>
      <c r="Q32" s="1876"/>
      <c r="R32" s="1876"/>
      <c r="S32" s="1876"/>
      <c r="T32" s="1876"/>
      <c r="U32" s="1876"/>
      <c r="V32" s="1876"/>
      <c r="W32" s="1876"/>
      <c r="X32" s="1876"/>
      <c r="Y32" s="1876"/>
      <c r="Z32" s="1876"/>
      <c r="AA32" s="1876"/>
      <c r="AB32" s="1876"/>
      <c r="AC32" s="1876"/>
      <c r="AD32" s="1876"/>
      <c r="AE32" s="1876"/>
      <c r="AF32" s="1876"/>
      <c r="AG32" s="1876"/>
      <c r="AH32" s="1876"/>
      <c r="AI32" s="1876"/>
      <c r="AJ32" s="1876"/>
      <c r="AK32" s="1876"/>
      <c r="AL32" s="326"/>
    </row>
    <row r="33" spans="1:38" s="718" customFormat="1" ht="13">
      <c r="A33" s="328"/>
      <c r="B33" s="326"/>
      <c r="C33" s="327"/>
      <c r="D33" s="747"/>
      <c r="E33" s="1875" t="s">
        <v>1461</v>
      </c>
      <c r="F33" s="1875"/>
      <c r="G33" s="1875"/>
      <c r="H33" s="1875"/>
      <c r="I33" s="1875"/>
      <c r="J33" s="1875"/>
      <c r="K33" s="1875"/>
      <c r="L33" s="1875"/>
      <c r="M33" s="1875"/>
      <c r="N33" s="1875"/>
      <c r="O33" s="1875"/>
      <c r="P33" s="1875"/>
      <c r="Q33" s="1875"/>
      <c r="R33" s="1875"/>
      <c r="S33" s="1875"/>
      <c r="T33" s="1875"/>
      <c r="U33" s="1875"/>
      <c r="V33" s="1875"/>
      <c r="W33" s="1875"/>
      <c r="X33" s="1875"/>
      <c r="Y33" s="1875"/>
      <c r="Z33" s="1875"/>
      <c r="AA33" s="1875"/>
      <c r="AB33" s="1875"/>
      <c r="AC33" s="1875"/>
      <c r="AD33" s="1875"/>
      <c r="AE33" s="1875"/>
      <c r="AF33" s="1875"/>
      <c r="AG33" s="1875"/>
      <c r="AH33" s="1875"/>
      <c r="AI33" s="1875"/>
      <c r="AJ33" s="1875"/>
      <c r="AK33" s="1875"/>
      <c r="AL33" s="326"/>
    </row>
    <row r="34" spans="1:38" ht="13">
      <c r="A34" s="149"/>
      <c r="C34" s="5"/>
    </row>
    <row r="35" spans="1:38">
      <c r="A35" s="149"/>
      <c r="D35" s="1889" t="s">
        <v>1389</v>
      </c>
      <c r="E35" s="1889"/>
      <c r="F35" s="1889"/>
      <c r="G35" s="1889"/>
      <c r="H35" s="1889"/>
      <c r="I35" s="1889"/>
      <c r="J35" s="1889"/>
      <c r="K35" s="1889"/>
      <c r="L35" s="1889"/>
      <c r="M35" s="1889"/>
      <c r="N35" s="1889"/>
      <c r="O35" s="1889"/>
      <c r="P35" s="1889"/>
      <c r="Q35" s="1889"/>
      <c r="R35" s="1889"/>
      <c r="S35" s="1889"/>
      <c r="T35" s="1889"/>
      <c r="U35" s="1889"/>
      <c r="V35" s="1889"/>
      <c r="W35" s="1889"/>
      <c r="X35" s="1889"/>
      <c r="Y35" s="1889"/>
      <c r="Z35" s="1889"/>
      <c r="AA35" s="1889"/>
      <c r="AB35" s="1889"/>
      <c r="AC35" s="1889"/>
      <c r="AD35" s="1889"/>
      <c r="AE35" s="1889"/>
      <c r="AF35" s="1889"/>
      <c r="AG35" s="1889"/>
      <c r="AH35" s="1889"/>
      <c r="AI35" s="1889"/>
      <c r="AJ35" s="1889"/>
      <c r="AK35" s="1889"/>
    </row>
    <row r="36" spans="1:38">
      <c r="A36" s="149"/>
      <c r="D36" s="1889"/>
      <c r="E36" s="1889"/>
      <c r="F36" s="1889"/>
      <c r="G36" s="1889"/>
      <c r="H36" s="1889"/>
      <c r="I36" s="1889"/>
      <c r="J36" s="1889"/>
      <c r="K36" s="1889"/>
      <c r="L36" s="1889"/>
      <c r="M36" s="1889"/>
      <c r="N36" s="1889"/>
      <c r="O36" s="1889"/>
      <c r="P36" s="1889"/>
      <c r="Q36" s="1889"/>
      <c r="R36" s="1889"/>
      <c r="S36" s="1889"/>
      <c r="T36" s="1889"/>
      <c r="U36" s="1889"/>
      <c r="V36" s="1889"/>
      <c r="W36" s="1889"/>
      <c r="X36" s="1889"/>
      <c r="Y36" s="1889"/>
      <c r="Z36" s="1889"/>
      <c r="AA36" s="1889"/>
      <c r="AB36" s="1889"/>
      <c r="AC36" s="1889"/>
      <c r="AD36" s="1889"/>
      <c r="AE36" s="1889"/>
      <c r="AF36" s="1889"/>
      <c r="AG36" s="1889"/>
      <c r="AH36" s="1889"/>
      <c r="AI36" s="1889"/>
      <c r="AJ36" s="1889"/>
      <c r="AK36" s="1889"/>
    </row>
    <row r="37" spans="1:38" ht="13">
      <c r="A37" s="149"/>
      <c r="D37" s="250"/>
      <c r="E37" s="1882" t="s">
        <v>1097</v>
      </c>
      <c r="F37" s="1882"/>
      <c r="G37" s="1882"/>
      <c r="H37" s="1882"/>
      <c r="I37" s="1882"/>
      <c r="J37" s="1882"/>
      <c r="K37" s="1882"/>
      <c r="L37" s="1882"/>
      <c r="M37" s="1882"/>
      <c r="N37" s="1882"/>
      <c r="O37" s="1882"/>
      <c r="P37" s="1882"/>
      <c r="Q37" s="1882"/>
      <c r="R37" s="1882"/>
      <c r="S37" s="1882"/>
      <c r="T37" s="1882"/>
      <c r="U37" s="1882"/>
      <c r="V37" s="1882"/>
      <c r="W37" s="1882"/>
      <c r="X37" s="1882"/>
      <c r="Y37" s="1882"/>
      <c r="Z37" s="1882"/>
      <c r="AA37" s="1882"/>
      <c r="AB37" s="1882"/>
      <c r="AC37" s="1882"/>
      <c r="AD37" s="1882"/>
      <c r="AE37" s="1882"/>
      <c r="AF37" s="1882"/>
      <c r="AG37" s="1882"/>
      <c r="AH37" s="1882"/>
      <c r="AI37" s="1882"/>
      <c r="AJ37" s="1882"/>
      <c r="AK37" s="1882"/>
    </row>
    <row r="38" spans="1:38" ht="13">
      <c r="A38" s="149"/>
      <c r="D38" s="250"/>
      <c r="E38" s="1882" t="s">
        <v>1400</v>
      </c>
      <c r="F38" s="1882"/>
      <c r="G38" s="1882"/>
      <c r="H38" s="1882"/>
      <c r="I38" s="1882"/>
      <c r="J38" s="1882"/>
      <c r="K38" s="1882"/>
      <c r="L38" s="1882"/>
      <c r="M38" s="1882"/>
      <c r="N38" s="1882"/>
      <c r="O38" s="1882"/>
      <c r="P38" s="1882"/>
      <c r="Q38" s="1882"/>
      <c r="R38" s="1882"/>
      <c r="S38" s="1882"/>
      <c r="T38" s="1882"/>
      <c r="U38" s="1882"/>
      <c r="V38" s="1882"/>
      <c r="W38" s="1882"/>
      <c r="X38" s="1882"/>
      <c r="Y38" s="1882"/>
      <c r="Z38" s="1882"/>
      <c r="AA38" s="1882"/>
      <c r="AB38" s="1882"/>
      <c r="AC38" s="1882"/>
      <c r="AD38" s="1882"/>
      <c r="AE38" s="1882"/>
      <c r="AF38" s="1882"/>
      <c r="AG38" s="1882"/>
      <c r="AH38" s="1882"/>
      <c r="AI38" s="1882"/>
      <c r="AJ38" s="1882"/>
      <c r="AK38" s="1882"/>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74" customFormat="1" ht="13.25" customHeight="1">
      <c r="A42" s="149"/>
      <c r="B42"/>
      <c r="C42" s="5"/>
      <c r="D42" s="149"/>
      <c r="E42" s="149" t="s">
        <v>692</v>
      </c>
      <c r="F42" s="1874" t="s">
        <v>1363</v>
      </c>
    </row>
    <row r="43" spans="1:38" s="1874" customFormat="1" ht="13.25" customHeight="1">
      <c r="A43" s="149"/>
      <c r="B43" s="718"/>
      <c r="C43" s="5"/>
      <c r="D43" s="149"/>
      <c r="E43" s="149"/>
    </row>
    <row r="44" spans="1:38" ht="13">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5" customHeight="1">
      <c r="A45" s="149"/>
      <c r="B45"/>
      <c r="C45" s="5"/>
      <c r="D45" s="149"/>
      <c r="E45" s="6" t="s">
        <v>360</v>
      </c>
      <c r="F45" s="1881" t="s">
        <v>1483</v>
      </c>
      <c r="G45" s="1881"/>
      <c r="H45" s="1881"/>
      <c r="I45" s="1881"/>
      <c r="J45" s="1881"/>
      <c r="K45" s="1881"/>
      <c r="L45" s="1881"/>
      <c r="M45" s="1881"/>
      <c r="N45" s="1881"/>
      <c r="O45" s="1881"/>
      <c r="P45" s="1881"/>
      <c r="Q45" s="1881"/>
      <c r="R45" s="1881"/>
      <c r="S45" s="1881"/>
      <c r="T45" s="1881"/>
      <c r="U45" s="1881"/>
      <c r="V45" s="1881"/>
      <c r="W45" s="1881"/>
      <c r="X45" s="1881"/>
      <c r="Y45" s="1881"/>
      <c r="Z45" s="1881"/>
      <c r="AA45" s="1881"/>
      <c r="AB45" s="1881"/>
      <c r="AC45" s="1881"/>
      <c r="AD45" s="1881"/>
      <c r="AE45" s="1881"/>
      <c r="AF45" s="1881"/>
      <c r="AG45" s="1881"/>
      <c r="AH45" s="1881"/>
      <c r="AI45" s="1881"/>
      <c r="AJ45" s="1881"/>
      <c r="AK45" s="1881"/>
      <c r="AL45" s="1881"/>
    </row>
    <row r="46" spans="1:38" s="771" customFormat="1" ht="13">
      <c r="A46" s="149"/>
      <c r="B46" s="718"/>
      <c r="C46" s="5"/>
      <c r="D46" s="149"/>
      <c r="E46" s="149"/>
      <c r="F46" s="1881"/>
      <c r="G46" s="1881"/>
      <c r="H46" s="1881"/>
      <c r="I46" s="1881"/>
      <c r="J46" s="1881"/>
      <c r="K46" s="1881"/>
      <c r="L46" s="1881"/>
      <c r="M46" s="1881"/>
      <c r="N46" s="1881"/>
      <c r="O46" s="1881"/>
      <c r="P46" s="1881"/>
      <c r="Q46" s="1881"/>
      <c r="R46" s="1881"/>
      <c r="S46" s="1881"/>
      <c r="T46" s="1881"/>
      <c r="U46" s="1881"/>
      <c r="V46" s="1881"/>
      <c r="W46" s="1881"/>
      <c r="X46" s="1881"/>
      <c r="Y46" s="1881"/>
      <c r="Z46" s="1881"/>
      <c r="AA46" s="1881"/>
      <c r="AB46" s="1881"/>
      <c r="AC46" s="1881"/>
      <c r="AD46" s="1881"/>
      <c r="AE46" s="1881"/>
      <c r="AF46" s="1881"/>
      <c r="AG46" s="1881"/>
      <c r="AH46" s="1881"/>
      <c r="AI46" s="1881"/>
      <c r="AJ46" s="1881"/>
      <c r="AK46" s="1881"/>
      <c r="AL46" s="1881"/>
    </row>
    <row r="47" spans="1:38" s="771" customFormat="1" ht="13.25" customHeight="1">
      <c r="A47" s="149"/>
      <c r="B47" s="718"/>
      <c r="C47" s="5"/>
      <c r="D47" s="149"/>
      <c r="E47" s="149"/>
      <c r="F47" s="1881"/>
      <c r="G47" s="1881"/>
      <c r="H47" s="1881"/>
      <c r="I47" s="1881"/>
      <c r="J47" s="1881"/>
      <c r="K47" s="1881"/>
      <c r="L47" s="1881"/>
      <c r="M47" s="1881"/>
      <c r="N47" s="1881"/>
      <c r="O47" s="1881"/>
      <c r="P47" s="1881"/>
      <c r="Q47" s="1881"/>
      <c r="R47" s="1881"/>
      <c r="S47" s="1881"/>
      <c r="T47" s="1881"/>
      <c r="U47" s="1881"/>
      <c r="V47" s="1881"/>
      <c r="W47" s="1881"/>
      <c r="X47" s="1881"/>
      <c r="Y47" s="1881"/>
      <c r="Z47" s="1881"/>
      <c r="AA47" s="1881"/>
      <c r="AB47" s="1881"/>
      <c r="AC47" s="1881"/>
      <c r="AD47" s="1881"/>
      <c r="AE47" s="1881"/>
      <c r="AF47" s="1881"/>
      <c r="AG47" s="1881"/>
      <c r="AH47" s="1881"/>
      <c r="AI47" s="1881"/>
      <c r="AJ47" s="1881"/>
      <c r="AK47" s="1881"/>
      <c r="AL47" s="1881"/>
    </row>
    <row r="48" spans="1:38" ht="13">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ht="13">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ht="13">
      <c r="A50" s="149"/>
      <c r="C50" s="5"/>
      <c r="D50" s="149"/>
      <c r="E50" s="6" t="s">
        <v>361</v>
      </c>
      <c r="F50" s="1874" t="s">
        <v>1484</v>
      </c>
      <c r="G50" s="1874"/>
      <c r="H50" s="1874"/>
      <c r="I50" s="1874"/>
      <c r="J50" s="1874"/>
      <c r="K50" s="1874"/>
      <c r="L50" s="1874"/>
      <c r="M50" s="1874"/>
      <c r="N50" s="1874"/>
      <c r="O50" s="1874"/>
      <c r="P50" s="1874"/>
      <c r="Q50" s="1874"/>
      <c r="R50" s="1874"/>
      <c r="S50" s="1874"/>
      <c r="T50" s="1874"/>
      <c r="U50" s="1874"/>
      <c r="V50" s="1874"/>
      <c r="W50" s="1874"/>
      <c r="X50" s="1874"/>
      <c r="Y50" s="1874"/>
      <c r="Z50" s="1874"/>
      <c r="AA50" s="1874"/>
      <c r="AB50" s="1874"/>
      <c r="AC50" s="1874"/>
      <c r="AD50" s="1874"/>
      <c r="AE50" s="1874"/>
      <c r="AF50" s="1874"/>
      <c r="AG50" s="1874"/>
      <c r="AH50" s="1874"/>
      <c r="AI50" s="1874"/>
      <c r="AJ50" s="1874"/>
      <c r="AK50" s="1874"/>
    </row>
    <row r="51" spans="1:38" ht="13">
      <c r="A51" s="149"/>
      <c r="C51" s="5"/>
      <c r="D51" s="149"/>
      <c r="E51" s="149"/>
      <c r="F51" s="1874"/>
      <c r="G51" s="1874"/>
      <c r="H51" s="1874"/>
      <c r="I51" s="1874"/>
      <c r="J51" s="1874"/>
      <c r="K51" s="1874"/>
      <c r="L51" s="1874"/>
      <c r="M51" s="1874"/>
      <c r="N51" s="1874"/>
      <c r="O51" s="1874"/>
      <c r="P51" s="1874"/>
      <c r="Q51" s="1874"/>
      <c r="R51" s="1874"/>
      <c r="S51" s="1874"/>
      <c r="T51" s="1874"/>
      <c r="U51" s="1874"/>
      <c r="V51" s="1874"/>
      <c r="W51" s="1874"/>
      <c r="X51" s="1874"/>
      <c r="Y51" s="1874"/>
      <c r="Z51" s="1874"/>
      <c r="AA51" s="1874"/>
      <c r="AB51" s="1874"/>
      <c r="AC51" s="1874"/>
      <c r="AD51" s="1874"/>
      <c r="AE51" s="1874"/>
      <c r="AF51" s="1874"/>
      <c r="AG51" s="1874"/>
      <c r="AH51" s="1874"/>
      <c r="AI51" s="1874"/>
      <c r="AJ51" s="1874"/>
      <c r="AK51" s="1874"/>
    </row>
    <row r="52" spans="1:38" ht="13">
      <c r="A52" s="149"/>
      <c r="C52" s="5"/>
      <c r="D52" s="149"/>
      <c r="F52" s="1874"/>
      <c r="G52" s="1874"/>
      <c r="H52" s="1874"/>
      <c r="I52" s="1874"/>
      <c r="J52" s="1874"/>
      <c r="K52" s="1874"/>
      <c r="L52" s="1874"/>
      <c r="M52" s="1874"/>
      <c r="N52" s="1874"/>
      <c r="O52" s="1874"/>
      <c r="P52" s="1874"/>
      <c r="Q52" s="1874"/>
      <c r="R52" s="1874"/>
      <c r="S52" s="1874"/>
      <c r="T52" s="1874"/>
      <c r="U52" s="1874"/>
      <c r="V52" s="1874"/>
      <c r="W52" s="1874"/>
      <c r="X52" s="1874"/>
      <c r="Y52" s="1874"/>
      <c r="Z52" s="1874"/>
      <c r="AA52" s="1874"/>
      <c r="AB52" s="1874"/>
      <c r="AC52" s="1874"/>
      <c r="AD52" s="1874"/>
      <c r="AE52" s="1874"/>
      <c r="AF52" s="1874"/>
      <c r="AG52" s="1874"/>
      <c r="AH52" s="1874"/>
      <c r="AI52" s="1874"/>
      <c r="AJ52" s="1874"/>
      <c r="AK52" s="1874"/>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692</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8"/>
      <c r="B56" s="326"/>
      <c r="C56" s="327"/>
      <c r="D56" s="327"/>
      <c r="E56" s="328"/>
      <c r="F56" s="332" t="s">
        <v>727</v>
      </c>
      <c r="G56" s="1879" t="s">
        <v>1403</v>
      </c>
      <c r="H56" s="1879"/>
      <c r="I56" s="1879"/>
      <c r="J56" s="1879"/>
      <c r="K56" s="1879"/>
      <c r="L56" s="1879"/>
      <c r="M56" s="1879"/>
      <c r="N56" s="1879"/>
      <c r="O56" s="1879"/>
      <c r="P56" s="1879"/>
      <c r="Q56" s="1879"/>
      <c r="R56" s="1879"/>
      <c r="S56" s="1879"/>
      <c r="T56" s="1879"/>
      <c r="U56" s="1879"/>
      <c r="V56" s="1879"/>
      <c r="W56" s="1879"/>
      <c r="X56" s="1879"/>
      <c r="Y56" s="1879"/>
      <c r="Z56" s="1879"/>
      <c r="AA56" s="1879"/>
      <c r="AB56" s="1879"/>
      <c r="AC56" s="1879"/>
      <c r="AD56" s="1879"/>
      <c r="AE56" s="1879"/>
      <c r="AF56" s="1879"/>
      <c r="AG56" s="1879"/>
      <c r="AH56" s="1879"/>
      <c r="AI56" s="1879"/>
      <c r="AJ56" s="1879"/>
      <c r="AK56" s="1879"/>
      <c r="AL56" s="326"/>
    </row>
    <row r="57" spans="1:38" s="718" customFormat="1" ht="13.25"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ht="13">
      <c r="A58" s="328"/>
      <c r="B58" s="326"/>
      <c r="C58" s="327"/>
      <c r="D58" s="327"/>
      <c r="E58" s="328"/>
      <c r="F58" s="332"/>
      <c r="G58" s="1879" t="s">
        <v>612</v>
      </c>
      <c r="H58" s="1879"/>
      <c r="I58" s="1879"/>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5" customHeight="1">
      <c r="A59" s="328"/>
      <c r="B59" s="327"/>
      <c r="C59" s="327"/>
      <c r="D59" s="327"/>
      <c r="E59" s="328"/>
      <c r="F59" s="332" t="s">
        <v>544</v>
      </c>
      <c r="G59" s="1880" t="s">
        <v>1485</v>
      </c>
      <c r="H59" s="1880"/>
      <c r="I59" s="1880"/>
      <c r="J59" s="1880"/>
      <c r="K59" s="1880"/>
      <c r="L59" s="1880"/>
      <c r="M59" s="1880"/>
      <c r="N59" s="1880"/>
      <c r="O59" s="1880"/>
      <c r="P59" s="1880"/>
      <c r="Q59" s="1880"/>
      <c r="R59" s="1880"/>
      <c r="S59" s="1880"/>
      <c r="T59" s="1880"/>
      <c r="U59" s="1880"/>
      <c r="V59" s="1880"/>
      <c r="W59" s="1880"/>
      <c r="X59" s="1880"/>
      <c r="Y59" s="1880"/>
      <c r="Z59" s="1880"/>
      <c r="AA59" s="1880"/>
      <c r="AB59" s="1880"/>
      <c r="AC59" s="1880"/>
      <c r="AD59" s="1880"/>
      <c r="AE59" s="1880"/>
      <c r="AF59" s="1880"/>
      <c r="AG59" s="1880"/>
      <c r="AH59" s="1880"/>
      <c r="AI59" s="1880"/>
      <c r="AJ59" s="1880"/>
      <c r="AK59" s="1880"/>
      <c r="AL59" s="1880"/>
    </row>
    <row r="60" spans="1:38" s="2" customFormat="1" ht="13">
      <c r="A60" s="328"/>
      <c r="B60" s="326"/>
      <c r="C60" s="327"/>
      <c r="D60" s="327"/>
      <c r="E60" s="328"/>
      <c r="F60" s="332"/>
      <c r="G60" s="1880"/>
      <c r="H60" s="1880"/>
      <c r="I60" s="1880"/>
      <c r="J60" s="1880"/>
      <c r="K60" s="1880"/>
      <c r="L60" s="1880"/>
      <c r="M60" s="1880"/>
      <c r="N60" s="1880"/>
      <c r="O60" s="1880"/>
      <c r="P60" s="1880"/>
      <c r="Q60" s="1880"/>
      <c r="R60" s="1880"/>
      <c r="S60" s="1880"/>
      <c r="T60" s="1880"/>
      <c r="U60" s="1880"/>
      <c r="V60" s="1880"/>
      <c r="W60" s="1880"/>
      <c r="X60" s="1880"/>
      <c r="Y60" s="1880"/>
      <c r="Z60" s="1880"/>
      <c r="AA60" s="1880"/>
      <c r="AB60" s="1880"/>
      <c r="AC60" s="1880"/>
      <c r="AD60" s="1880"/>
      <c r="AE60" s="1880"/>
      <c r="AF60" s="1880"/>
      <c r="AG60" s="1880"/>
      <c r="AH60" s="1880"/>
      <c r="AI60" s="1880"/>
      <c r="AJ60" s="1880"/>
      <c r="AK60" s="1880"/>
      <c r="AL60" s="1880"/>
    </row>
    <row r="61" spans="1:38" ht="13">
      <c r="A61" s="330"/>
      <c r="B61" s="329"/>
      <c r="C61" s="331"/>
      <c r="D61" s="331"/>
      <c r="E61" s="330"/>
      <c r="F61" s="333"/>
      <c r="G61" s="779" t="s">
        <v>1529</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ht="13">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727</v>
      </c>
      <c r="G66" s="1874" t="s">
        <v>1365</v>
      </c>
      <c r="H66" s="1874"/>
      <c r="I66" s="1874"/>
      <c r="J66" s="1874"/>
      <c r="K66" s="1874"/>
      <c r="L66" s="1874"/>
      <c r="M66" s="1874"/>
      <c r="N66" s="1874"/>
      <c r="O66" s="1874"/>
      <c r="P66" s="1874"/>
      <c r="Q66" s="1874"/>
      <c r="R66" s="1874"/>
      <c r="S66" s="1874"/>
      <c r="T66" s="1874"/>
      <c r="U66" s="1874"/>
      <c r="V66" s="1874"/>
      <c r="W66" s="1874"/>
      <c r="X66" s="1874"/>
      <c r="Y66" s="1874"/>
      <c r="Z66" s="1874"/>
      <c r="AA66" s="1874"/>
      <c r="AB66" s="1874"/>
      <c r="AC66" s="1874"/>
      <c r="AD66" s="1874"/>
      <c r="AE66" s="1874"/>
      <c r="AF66" s="1874"/>
      <c r="AG66" s="1874"/>
      <c r="AH66" s="1874"/>
      <c r="AI66" s="1874"/>
      <c r="AJ66" s="1874"/>
      <c r="AK66" s="1874"/>
    </row>
    <row r="67" spans="1:37" ht="13">
      <c r="A67" s="149"/>
      <c r="C67" s="5"/>
      <c r="D67" s="149"/>
      <c r="E67" s="149"/>
      <c r="F67" s="9"/>
      <c r="G67" s="1874"/>
      <c r="H67" s="1874"/>
      <c r="I67" s="1874"/>
      <c r="J67" s="1874"/>
      <c r="K67" s="1874"/>
      <c r="L67" s="1874"/>
      <c r="M67" s="1874"/>
      <c r="N67" s="1874"/>
      <c r="O67" s="1874"/>
      <c r="P67" s="1874"/>
      <c r="Q67" s="1874"/>
      <c r="R67" s="1874"/>
      <c r="S67" s="1874"/>
      <c r="T67" s="1874"/>
      <c r="U67" s="1874"/>
      <c r="V67" s="1874"/>
      <c r="W67" s="1874"/>
      <c r="X67" s="1874"/>
      <c r="Y67" s="1874"/>
      <c r="Z67" s="1874"/>
      <c r="AA67" s="1874"/>
      <c r="AB67" s="1874"/>
      <c r="AC67" s="1874"/>
      <c r="AD67" s="1874"/>
      <c r="AE67" s="1874"/>
      <c r="AF67" s="1874"/>
      <c r="AG67" s="1874"/>
      <c r="AH67" s="1874"/>
      <c r="AI67" s="1874"/>
      <c r="AJ67" s="1874"/>
      <c r="AK67" s="1874"/>
    </row>
    <row r="68" spans="1:37" ht="13">
      <c r="A68" s="149"/>
      <c r="C68" s="5"/>
      <c r="D68" s="149"/>
      <c r="E68" s="149"/>
      <c r="F68" s="9"/>
      <c r="G68" s="1874"/>
      <c r="H68" s="1874"/>
      <c r="I68" s="1874"/>
      <c r="J68" s="1874"/>
      <c r="K68" s="1874"/>
      <c r="L68" s="1874"/>
      <c r="M68" s="1874"/>
      <c r="N68" s="1874"/>
      <c r="O68" s="1874"/>
      <c r="P68" s="1874"/>
      <c r="Q68" s="1874"/>
      <c r="R68" s="1874"/>
      <c r="S68" s="1874"/>
      <c r="T68" s="1874"/>
      <c r="U68" s="1874"/>
      <c r="V68" s="1874"/>
      <c r="W68" s="1874"/>
      <c r="X68" s="1874"/>
      <c r="Y68" s="1874"/>
      <c r="Z68" s="1874"/>
      <c r="AA68" s="1874"/>
      <c r="AB68" s="1874"/>
      <c r="AC68" s="1874"/>
      <c r="AD68" s="1874"/>
      <c r="AE68" s="1874"/>
      <c r="AF68" s="1874"/>
      <c r="AG68" s="1874"/>
      <c r="AH68" s="1874"/>
      <c r="AI68" s="1874"/>
      <c r="AJ68" s="1874"/>
      <c r="AK68" s="1874"/>
    </row>
    <row r="69" spans="1:37" ht="13.25" customHeight="1">
      <c r="A69" s="149"/>
      <c r="C69" s="5"/>
      <c r="D69" s="149"/>
      <c r="E69" s="149"/>
      <c r="F69" s="9" t="s">
        <v>544</v>
      </c>
      <c r="G69" s="1874" t="s">
        <v>1366</v>
      </c>
      <c r="H69" s="1874"/>
      <c r="I69" s="1874"/>
      <c r="J69" s="1874"/>
      <c r="K69" s="1874"/>
      <c r="L69" s="1874"/>
      <c r="M69" s="1874"/>
      <c r="N69" s="1874"/>
      <c r="O69" s="1874"/>
      <c r="P69" s="1874"/>
      <c r="Q69" s="1874"/>
      <c r="R69" s="1874"/>
      <c r="S69" s="1874"/>
      <c r="T69" s="1874"/>
      <c r="U69" s="1874"/>
      <c r="V69" s="1874"/>
      <c r="W69" s="1874"/>
      <c r="X69" s="1874"/>
      <c r="Y69" s="1874"/>
      <c r="Z69" s="1874"/>
      <c r="AA69" s="1874"/>
      <c r="AB69" s="1874"/>
      <c r="AC69" s="1874"/>
      <c r="AD69" s="1874"/>
      <c r="AE69" s="1874"/>
      <c r="AF69" s="1874"/>
      <c r="AG69" s="1874"/>
      <c r="AH69" s="1874"/>
      <c r="AI69" s="1874"/>
      <c r="AJ69" s="1874"/>
      <c r="AK69" s="1874"/>
    </row>
    <row r="70" spans="1:37" ht="13">
      <c r="A70" s="149"/>
      <c r="C70" s="5"/>
      <c r="D70" s="149"/>
      <c r="E70" s="149"/>
      <c r="F70" s="380"/>
      <c r="G70" s="1874"/>
      <c r="H70" s="1874"/>
      <c r="I70" s="1874"/>
      <c r="J70" s="1874"/>
      <c r="K70" s="1874"/>
      <c r="L70" s="1874"/>
      <c r="M70" s="1874"/>
      <c r="N70" s="1874"/>
      <c r="O70" s="1874"/>
      <c r="P70" s="1874"/>
      <c r="Q70" s="1874"/>
      <c r="R70" s="1874"/>
      <c r="S70" s="1874"/>
      <c r="T70" s="1874"/>
      <c r="U70" s="1874"/>
      <c r="V70" s="1874"/>
      <c r="W70" s="1874"/>
      <c r="X70" s="1874"/>
      <c r="Y70" s="1874"/>
      <c r="Z70" s="1874"/>
      <c r="AA70" s="1874"/>
      <c r="AB70" s="1874"/>
      <c r="AC70" s="1874"/>
      <c r="AD70" s="1874"/>
      <c r="AE70" s="1874"/>
      <c r="AF70" s="1874"/>
      <c r="AG70" s="1874"/>
      <c r="AH70" s="1874"/>
      <c r="AI70" s="1874"/>
      <c r="AJ70" s="1874"/>
      <c r="AK70" s="1874"/>
    </row>
    <row r="71" spans="1:37" ht="13">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ht="13">
      <c r="A72" s="149"/>
      <c r="C72" s="5"/>
      <c r="D72" s="149"/>
      <c r="E72" s="149"/>
      <c r="F72" s="249" t="s">
        <v>727</v>
      </c>
      <c r="G72" s="1874" t="s">
        <v>1367</v>
      </c>
      <c r="H72" s="1874"/>
      <c r="I72" s="1874"/>
      <c r="J72" s="1874"/>
      <c r="K72" s="1874"/>
      <c r="L72" s="1874"/>
      <c r="M72" s="1874"/>
      <c r="N72" s="1874"/>
      <c r="O72" s="1874"/>
      <c r="P72" s="1874"/>
      <c r="Q72" s="1874"/>
      <c r="R72" s="1874"/>
      <c r="S72" s="1874"/>
      <c r="T72" s="1874"/>
      <c r="U72" s="1874"/>
      <c r="V72" s="1874"/>
      <c r="W72" s="1874"/>
      <c r="X72" s="1874"/>
      <c r="Y72" s="1874"/>
      <c r="Z72" s="1874"/>
      <c r="AA72" s="1874"/>
      <c r="AB72" s="1874"/>
      <c r="AC72" s="1874"/>
      <c r="AD72" s="1874"/>
      <c r="AE72" s="1874"/>
      <c r="AF72" s="1874"/>
      <c r="AG72" s="1874"/>
      <c r="AH72" s="1874"/>
      <c r="AI72" s="1874"/>
      <c r="AJ72" s="1874"/>
      <c r="AK72" s="1874"/>
    </row>
    <row r="73" spans="1:37" ht="13">
      <c r="A73" s="149"/>
      <c r="C73" s="5"/>
      <c r="D73" s="149"/>
      <c r="E73" s="149"/>
      <c r="F73" s="249"/>
      <c r="G73" s="1874"/>
      <c r="H73" s="1874"/>
      <c r="I73" s="1874"/>
      <c r="J73" s="1874"/>
      <c r="K73" s="1874"/>
      <c r="L73" s="1874"/>
      <c r="M73" s="1874"/>
      <c r="N73" s="1874"/>
      <c r="O73" s="1874"/>
      <c r="P73" s="1874"/>
      <c r="Q73" s="1874"/>
      <c r="R73" s="1874"/>
      <c r="S73" s="1874"/>
      <c r="T73" s="1874"/>
      <c r="U73" s="1874"/>
      <c r="V73" s="1874"/>
      <c r="W73" s="1874"/>
      <c r="X73" s="1874"/>
      <c r="Y73" s="1874"/>
      <c r="Z73" s="1874"/>
      <c r="AA73" s="1874"/>
      <c r="AB73" s="1874"/>
      <c r="AC73" s="1874"/>
      <c r="AD73" s="1874"/>
      <c r="AE73" s="1874"/>
      <c r="AF73" s="1874"/>
      <c r="AG73" s="1874"/>
      <c r="AH73" s="1874"/>
      <c r="AI73" s="1874"/>
      <c r="AJ73" s="1874"/>
      <c r="AK73" s="1874"/>
    </row>
    <row r="74" spans="1:37" ht="13">
      <c r="A74" s="149"/>
      <c r="C74" s="5"/>
      <c r="D74" s="149"/>
      <c r="E74" s="149"/>
      <c r="F74" s="249" t="s">
        <v>544</v>
      </c>
      <c r="G74" s="1874" t="s">
        <v>1368</v>
      </c>
      <c r="H74" s="1874"/>
      <c r="I74" s="1874"/>
      <c r="J74" s="1874"/>
      <c r="K74" s="1874"/>
      <c r="L74" s="1874"/>
      <c r="M74" s="1874"/>
      <c r="N74" s="1874"/>
      <c r="O74" s="1874"/>
      <c r="P74" s="1874"/>
      <c r="Q74" s="1874"/>
      <c r="R74" s="1874"/>
      <c r="S74" s="1874"/>
      <c r="T74" s="1874"/>
      <c r="U74" s="1874"/>
      <c r="V74" s="1874"/>
      <c r="W74" s="1874"/>
      <c r="X74" s="1874"/>
      <c r="Y74" s="1874"/>
      <c r="Z74" s="1874"/>
      <c r="AA74" s="1874"/>
      <c r="AB74" s="1874"/>
      <c r="AC74" s="1874"/>
      <c r="AD74" s="1874"/>
      <c r="AE74" s="1874"/>
      <c r="AF74" s="1874"/>
      <c r="AG74" s="1874"/>
      <c r="AH74" s="1874"/>
      <c r="AI74" s="1874"/>
      <c r="AJ74" s="1874"/>
      <c r="AK74" s="1874"/>
    </row>
    <row r="75" spans="1:37" ht="13">
      <c r="A75" s="149"/>
      <c r="C75" s="5"/>
      <c r="D75" s="149"/>
      <c r="E75" s="149"/>
      <c r="F75" s="249"/>
      <c r="G75" s="1874"/>
      <c r="H75" s="1874"/>
      <c r="I75" s="1874"/>
      <c r="J75" s="1874"/>
      <c r="K75" s="1874"/>
      <c r="L75" s="1874"/>
      <c r="M75" s="1874"/>
      <c r="N75" s="1874"/>
      <c r="O75" s="1874"/>
      <c r="P75" s="1874"/>
      <c r="Q75" s="1874"/>
      <c r="R75" s="1874"/>
      <c r="S75" s="1874"/>
      <c r="T75" s="1874"/>
      <c r="U75" s="1874"/>
      <c r="V75" s="1874"/>
      <c r="W75" s="1874"/>
      <c r="X75" s="1874"/>
      <c r="Y75" s="1874"/>
      <c r="Z75" s="1874"/>
      <c r="AA75" s="1874"/>
      <c r="AB75" s="1874"/>
      <c r="AC75" s="1874"/>
      <c r="AD75" s="1874"/>
      <c r="AE75" s="1874"/>
      <c r="AF75" s="1874"/>
      <c r="AG75" s="1874"/>
      <c r="AH75" s="1874"/>
      <c r="AI75" s="1874"/>
      <c r="AJ75" s="1874"/>
      <c r="AK75" s="1874"/>
    </row>
    <row r="76" spans="1:37" ht="13">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ht="13">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74" t="s">
        <v>1369</v>
      </c>
      <c r="H82" s="1874"/>
      <c r="I82" s="1874"/>
      <c r="J82" s="1874"/>
      <c r="K82" s="1874"/>
      <c r="L82" s="1874"/>
      <c r="M82" s="1874"/>
      <c r="N82" s="1874"/>
      <c r="O82" s="1874"/>
      <c r="P82" s="1874"/>
      <c r="Q82" s="1874"/>
      <c r="R82" s="1874"/>
      <c r="S82" s="1874"/>
      <c r="T82" s="1874"/>
      <c r="U82" s="1874"/>
      <c r="V82" s="1874"/>
      <c r="W82" s="1874"/>
      <c r="X82" s="1874"/>
      <c r="Y82" s="1874"/>
      <c r="Z82" s="1874"/>
      <c r="AA82" s="1874"/>
      <c r="AB82" s="1874"/>
      <c r="AC82" s="1874"/>
      <c r="AD82" s="1874"/>
      <c r="AE82" s="1874"/>
      <c r="AF82" s="1874"/>
      <c r="AG82" s="1874"/>
      <c r="AH82" s="1874"/>
      <c r="AI82" s="1874"/>
      <c r="AJ82" s="1874"/>
      <c r="AK82" s="1874"/>
    </row>
    <row r="83" spans="1:37" ht="13">
      <c r="A83" s="149"/>
      <c r="C83" s="5"/>
      <c r="D83" s="149"/>
      <c r="E83" s="149"/>
      <c r="F83" s="149"/>
      <c r="G83" s="1874"/>
      <c r="H83" s="1874"/>
      <c r="I83" s="1874"/>
      <c r="J83" s="1874"/>
      <c r="K83" s="1874"/>
      <c r="L83" s="1874"/>
      <c r="M83" s="1874"/>
      <c r="N83" s="1874"/>
      <c r="O83" s="1874"/>
      <c r="P83" s="1874"/>
      <c r="Q83" s="1874"/>
      <c r="R83" s="1874"/>
      <c r="S83" s="1874"/>
      <c r="T83" s="1874"/>
      <c r="U83" s="1874"/>
      <c r="V83" s="1874"/>
      <c r="W83" s="1874"/>
      <c r="X83" s="1874"/>
      <c r="Y83" s="1874"/>
      <c r="Z83" s="1874"/>
      <c r="AA83" s="1874"/>
      <c r="AB83" s="1874"/>
      <c r="AC83" s="1874"/>
      <c r="AD83" s="1874"/>
      <c r="AE83" s="1874"/>
      <c r="AF83" s="1874"/>
      <c r="AG83" s="1874"/>
      <c r="AH83" s="1874"/>
      <c r="AI83" s="1874"/>
      <c r="AJ83" s="1874"/>
      <c r="AK83" s="1874"/>
    </row>
    <row r="84" spans="1:37" s="718" customFormat="1" ht="13">
      <c r="A84" s="149"/>
      <c r="C84" s="5"/>
      <c r="D84" s="149"/>
      <c r="E84" s="149"/>
      <c r="F84" s="149"/>
      <c r="G84" s="1874"/>
      <c r="H84" s="1874"/>
      <c r="I84" s="1874"/>
      <c r="J84" s="1874"/>
      <c r="K84" s="1874"/>
      <c r="L84" s="1874"/>
      <c r="M84" s="1874"/>
      <c r="N84" s="1874"/>
      <c r="O84" s="1874"/>
      <c r="P84" s="1874"/>
      <c r="Q84" s="1874"/>
      <c r="R84" s="1874"/>
      <c r="S84" s="1874"/>
      <c r="T84" s="1874"/>
      <c r="U84" s="1874"/>
      <c r="V84" s="1874"/>
      <c r="W84" s="1874"/>
      <c r="X84" s="1874"/>
      <c r="Y84" s="1874"/>
      <c r="Z84" s="1874"/>
      <c r="AA84" s="1874"/>
      <c r="AB84" s="1874"/>
      <c r="AC84" s="1874"/>
      <c r="AD84" s="1874"/>
      <c r="AE84" s="1874"/>
      <c r="AF84" s="1874"/>
      <c r="AG84" s="1874"/>
      <c r="AH84" s="1874"/>
      <c r="AI84" s="1874"/>
      <c r="AJ84" s="1874"/>
      <c r="AK84" s="1874"/>
    </row>
    <row r="85" spans="1:37" ht="13">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74" t="s">
        <v>1370</v>
      </c>
      <c r="H86" s="1874"/>
      <c r="I86" s="1874"/>
      <c r="J86" s="1874"/>
      <c r="K86" s="1874"/>
      <c r="L86" s="1874"/>
      <c r="M86" s="1874"/>
      <c r="N86" s="1874"/>
      <c r="O86" s="1874"/>
      <c r="P86" s="1874"/>
      <c r="Q86" s="1874"/>
      <c r="R86" s="1874"/>
      <c r="S86" s="1874"/>
      <c r="T86" s="1874"/>
      <c r="U86" s="1874"/>
      <c r="V86" s="1874"/>
      <c r="W86" s="1874"/>
      <c r="X86" s="1874"/>
      <c r="Y86" s="1874"/>
      <c r="Z86" s="1874"/>
      <c r="AA86" s="1874"/>
      <c r="AB86" s="1874"/>
      <c r="AC86" s="1874"/>
      <c r="AD86" s="1874"/>
      <c r="AE86" s="1874"/>
      <c r="AF86" s="1874"/>
      <c r="AG86" s="1874"/>
      <c r="AH86" s="1874"/>
      <c r="AI86" s="1874"/>
      <c r="AJ86" s="1874"/>
      <c r="AK86" s="1874"/>
    </row>
    <row r="87" spans="1:37" ht="13">
      <c r="A87" s="149"/>
      <c r="C87" s="5"/>
      <c r="D87" s="149"/>
      <c r="E87" s="149"/>
      <c r="F87" s="149"/>
      <c r="G87" s="1874"/>
      <c r="H87" s="1874"/>
      <c r="I87" s="1874"/>
      <c r="J87" s="1874"/>
      <c r="K87" s="1874"/>
      <c r="L87" s="1874"/>
      <c r="M87" s="1874"/>
      <c r="N87" s="1874"/>
      <c r="O87" s="1874"/>
      <c r="P87" s="1874"/>
      <c r="Q87" s="1874"/>
      <c r="R87" s="1874"/>
      <c r="S87" s="1874"/>
      <c r="T87" s="1874"/>
      <c r="U87" s="1874"/>
      <c r="V87" s="1874"/>
      <c r="W87" s="1874"/>
      <c r="X87" s="1874"/>
      <c r="Y87" s="1874"/>
      <c r="Z87" s="1874"/>
      <c r="AA87" s="1874"/>
      <c r="AB87" s="1874"/>
      <c r="AC87" s="1874"/>
      <c r="AD87" s="1874"/>
      <c r="AE87" s="1874"/>
      <c r="AF87" s="1874"/>
      <c r="AG87" s="1874"/>
      <c r="AH87" s="1874"/>
      <c r="AI87" s="1874"/>
      <c r="AJ87" s="1874"/>
      <c r="AK87" s="1874"/>
    </row>
    <row r="88" spans="1:37" ht="13">
      <c r="A88" s="149"/>
      <c r="C88" s="5"/>
      <c r="D88" s="149"/>
      <c r="E88" s="149"/>
      <c r="G88" s="1874"/>
      <c r="H88" s="1874"/>
      <c r="I88" s="1874"/>
      <c r="J88" s="1874"/>
      <c r="K88" s="1874"/>
      <c r="L88" s="1874"/>
      <c r="M88" s="1874"/>
      <c r="N88" s="1874"/>
      <c r="O88" s="1874"/>
      <c r="P88" s="1874"/>
      <c r="Q88" s="1874"/>
      <c r="R88" s="1874"/>
      <c r="S88" s="1874"/>
      <c r="T88" s="1874"/>
      <c r="U88" s="1874"/>
      <c r="V88" s="1874"/>
      <c r="W88" s="1874"/>
      <c r="X88" s="1874"/>
      <c r="Y88" s="1874"/>
      <c r="Z88" s="1874"/>
      <c r="AA88" s="1874"/>
      <c r="AB88" s="1874"/>
      <c r="AC88" s="1874"/>
      <c r="AD88" s="1874"/>
      <c r="AE88" s="1874"/>
      <c r="AF88" s="1874"/>
      <c r="AG88" s="1874"/>
      <c r="AH88" s="1874"/>
      <c r="AI88" s="1874"/>
      <c r="AJ88" s="1874"/>
      <c r="AK88" s="1874"/>
    </row>
    <row r="89" spans="1:37" ht="13">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77" t="s">
        <v>1371</v>
      </c>
      <c r="H90" s="1877"/>
      <c r="I90" s="1877"/>
      <c r="J90" s="1877"/>
      <c r="K90" s="1877"/>
      <c r="L90" s="1877"/>
      <c r="M90" s="1877"/>
      <c r="N90" s="1877"/>
      <c r="O90" s="1877"/>
      <c r="P90" s="1877"/>
      <c r="Q90" s="1877"/>
      <c r="R90" s="1877"/>
      <c r="S90" s="1877"/>
      <c r="T90" s="1877"/>
      <c r="U90" s="1877"/>
      <c r="V90" s="1877"/>
      <c r="W90" s="1877"/>
      <c r="X90" s="1877"/>
      <c r="Y90" s="1877"/>
      <c r="Z90" s="1877"/>
      <c r="AA90" s="1877"/>
      <c r="AB90" s="1877"/>
      <c r="AC90" s="1877"/>
      <c r="AD90" s="1877"/>
      <c r="AE90" s="1877"/>
      <c r="AF90" s="1877"/>
      <c r="AG90" s="1877"/>
      <c r="AH90" s="1877"/>
      <c r="AI90" s="1877"/>
      <c r="AJ90" s="1877"/>
      <c r="AK90" s="1877"/>
    </row>
    <row r="91" spans="1:37" s="718" customFormat="1" ht="13">
      <c r="A91" s="149"/>
      <c r="C91" s="5"/>
      <c r="D91" s="149"/>
      <c r="E91" s="149"/>
      <c r="G91" s="1877"/>
      <c r="H91" s="1877"/>
      <c r="I91" s="1877"/>
      <c r="J91" s="1877"/>
      <c r="K91" s="1877"/>
      <c r="L91" s="1877"/>
      <c r="M91" s="1877"/>
      <c r="N91" s="1877"/>
      <c r="O91" s="1877"/>
      <c r="P91" s="1877"/>
      <c r="Q91" s="1877"/>
      <c r="R91" s="1877"/>
      <c r="S91" s="1877"/>
      <c r="T91" s="1877"/>
      <c r="U91" s="1877"/>
      <c r="V91" s="1877"/>
      <c r="W91" s="1877"/>
      <c r="X91" s="1877"/>
      <c r="Y91" s="1877"/>
      <c r="Z91" s="1877"/>
      <c r="AA91" s="1877"/>
      <c r="AB91" s="1877"/>
      <c r="AC91" s="1877"/>
      <c r="AD91" s="1877"/>
      <c r="AE91" s="1877"/>
      <c r="AF91" s="1877"/>
      <c r="AG91" s="1877"/>
      <c r="AH91" s="1877"/>
      <c r="AI91" s="1877"/>
      <c r="AJ91" s="1877"/>
      <c r="AK91" s="1877"/>
    </row>
    <row r="92" spans="1:37" ht="13">
      <c r="A92" s="149"/>
      <c r="C92" s="5"/>
      <c r="D92" s="149"/>
      <c r="E92" s="149"/>
      <c r="G92" s="1877"/>
      <c r="H92" s="1877"/>
      <c r="I92" s="1877"/>
      <c r="J92" s="1877"/>
      <c r="K92" s="1877"/>
      <c r="L92" s="1877"/>
      <c r="M92" s="1877"/>
      <c r="N92" s="1877"/>
      <c r="O92" s="1877"/>
      <c r="P92" s="1877"/>
      <c r="Q92" s="1877"/>
      <c r="R92" s="1877"/>
      <c r="S92" s="1877"/>
      <c r="T92" s="1877"/>
      <c r="U92" s="1877"/>
      <c r="V92" s="1877"/>
      <c r="W92" s="1877"/>
      <c r="X92" s="1877"/>
      <c r="Y92" s="1877"/>
      <c r="Z92" s="1877"/>
      <c r="AA92" s="1877"/>
      <c r="AB92" s="1877"/>
      <c r="AC92" s="1877"/>
      <c r="AD92" s="1877"/>
      <c r="AE92" s="1877"/>
      <c r="AF92" s="1877"/>
      <c r="AG92" s="1877"/>
      <c r="AH92" s="1877"/>
      <c r="AI92" s="1877"/>
      <c r="AJ92" s="1877"/>
      <c r="AK92" s="1877"/>
    </row>
    <row r="93" spans="1:37" ht="13">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74" t="s">
        <v>1372</v>
      </c>
      <c r="H94" s="1874"/>
      <c r="I94" s="1874"/>
      <c r="J94" s="1874"/>
      <c r="K94" s="1874"/>
      <c r="L94" s="1874"/>
      <c r="M94" s="1874"/>
      <c r="N94" s="1874"/>
      <c r="O94" s="1874"/>
      <c r="P94" s="1874"/>
      <c r="Q94" s="1874"/>
      <c r="R94" s="1874"/>
      <c r="S94" s="1874"/>
      <c r="T94" s="1874"/>
      <c r="U94" s="1874"/>
      <c r="V94" s="1874"/>
      <c r="W94" s="1874"/>
      <c r="X94" s="1874"/>
      <c r="Y94" s="1874"/>
      <c r="Z94" s="1874"/>
      <c r="AA94" s="1874"/>
      <c r="AB94" s="1874"/>
      <c r="AC94" s="1874"/>
      <c r="AD94" s="1874"/>
      <c r="AE94" s="1874"/>
      <c r="AF94" s="1874"/>
      <c r="AG94" s="1874"/>
      <c r="AH94" s="1874"/>
      <c r="AI94" s="1874"/>
      <c r="AJ94" s="1874"/>
      <c r="AK94" s="1874"/>
    </row>
    <row r="95" spans="1:37" ht="13">
      <c r="A95" s="149"/>
      <c r="C95" s="5"/>
      <c r="D95" s="149"/>
      <c r="E95" s="149"/>
      <c r="G95" s="1874"/>
      <c r="H95" s="1874"/>
      <c r="I95" s="1874"/>
      <c r="J95" s="1874"/>
      <c r="K95" s="1874"/>
      <c r="L95" s="1874"/>
      <c r="M95" s="1874"/>
      <c r="N95" s="1874"/>
      <c r="O95" s="1874"/>
      <c r="P95" s="1874"/>
      <c r="Q95" s="1874"/>
      <c r="R95" s="1874"/>
      <c r="S95" s="1874"/>
      <c r="T95" s="1874"/>
      <c r="U95" s="1874"/>
      <c r="V95" s="1874"/>
      <c r="W95" s="1874"/>
      <c r="X95" s="1874"/>
      <c r="Y95" s="1874"/>
      <c r="Z95" s="1874"/>
      <c r="AA95" s="1874"/>
      <c r="AB95" s="1874"/>
      <c r="AC95" s="1874"/>
      <c r="AD95" s="1874"/>
      <c r="AE95" s="1874"/>
      <c r="AF95" s="1874"/>
      <c r="AG95" s="1874"/>
      <c r="AH95" s="1874"/>
      <c r="AI95" s="1874"/>
      <c r="AJ95" s="1874"/>
      <c r="AK95" s="1874"/>
    </row>
    <row r="96" spans="1:37" ht="13">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ht="13">
      <c r="A97" s="149"/>
      <c r="C97" s="5"/>
      <c r="D97" s="149"/>
      <c r="E97" s="149"/>
      <c r="G97" s="1874" t="s">
        <v>1373</v>
      </c>
      <c r="H97" s="1874"/>
      <c r="I97" s="1874"/>
      <c r="J97" s="1874"/>
      <c r="K97" s="1874"/>
      <c r="L97" s="1874"/>
      <c r="M97" s="1874"/>
      <c r="N97" s="1874"/>
      <c r="O97" s="1874"/>
      <c r="P97" s="1874"/>
      <c r="Q97" s="1874"/>
      <c r="R97" s="1874"/>
      <c r="S97" s="1874"/>
      <c r="T97" s="1874"/>
      <c r="U97" s="1874"/>
      <c r="V97" s="1874"/>
      <c r="W97" s="1874"/>
      <c r="X97" s="1874"/>
      <c r="Y97" s="1874"/>
      <c r="Z97" s="1874"/>
      <c r="AA97" s="1874"/>
      <c r="AB97" s="1874"/>
      <c r="AC97" s="1874"/>
      <c r="AD97" s="1874"/>
      <c r="AE97" s="1874"/>
      <c r="AF97" s="1874"/>
      <c r="AG97" s="1874"/>
      <c r="AH97" s="1874"/>
      <c r="AI97" s="1874"/>
      <c r="AJ97" s="1874"/>
      <c r="AK97" s="1874"/>
    </row>
    <row r="98" spans="1:38" ht="13">
      <c r="A98" s="149"/>
      <c r="C98" s="183"/>
      <c r="D98" s="182"/>
      <c r="E98" s="182"/>
      <c r="F98" s="2"/>
      <c r="G98" s="1874"/>
      <c r="H98" s="1874"/>
      <c r="I98" s="1874"/>
      <c r="J98" s="1874"/>
      <c r="K98" s="1874"/>
      <c r="L98" s="1874"/>
      <c r="M98" s="1874"/>
      <c r="N98" s="1874"/>
      <c r="O98" s="1874"/>
      <c r="P98" s="1874"/>
      <c r="Q98" s="1874"/>
      <c r="R98" s="1874"/>
      <c r="S98" s="1874"/>
      <c r="T98" s="1874"/>
      <c r="U98" s="1874"/>
      <c r="V98" s="1874"/>
      <c r="W98" s="1874"/>
      <c r="X98" s="1874"/>
      <c r="Y98" s="1874"/>
      <c r="Z98" s="1874"/>
      <c r="AA98" s="1874"/>
      <c r="AB98" s="1874"/>
      <c r="AC98" s="1874"/>
      <c r="AD98" s="1874"/>
      <c r="AE98" s="1874"/>
      <c r="AF98" s="1874"/>
      <c r="AG98" s="1874"/>
      <c r="AH98" s="1874"/>
      <c r="AI98" s="1874"/>
      <c r="AJ98" s="1874"/>
      <c r="AK98" s="1874"/>
      <c r="AL98" s="2"/>
    </row>
    <row r="99" spans="1:38" ht="13">
      <c r="A99" s="149"/>
      <c r="C99" s="183"/>
      <c r="D99" s="182"/>
      <c r="E99" s="182"/>
      <c r="F99" s="2"/>
      <c r="G99" s="1874"/>
      <c r="H99" s="1874"/>
      <c r="I99" s="1874"/>
      <c r="J99" s="1874"/>
      <c r="K99" s="1874"/>
      <c r="L99" s="1874"/>
      <c r="M99" s="1874"/>
      <c r="N99" s="1874"/>
      <c r="O99" s="1874"/>
      <c r="P99" s="1874"/>
      <c r="Q99" s="1874"/>
      <c r="R99" s="1874"/>
      <c r="S99" s="1874"/>
      <c r="T99" s="1874"/>
      <c r="U99" s="1874"/>
      <c r="V99" s="1874"/>
      <c r="W99" s="1874"/>
      <c r="X99" s="1874"/>
      <c r="Y99" s="1874"/>
      <c r="Z99" s="1874"/>
      <c r="AA99" s="1874"/>
      <c r="AB99" s="1874"/>
      <c r="AC99" s="1874"/>
      <c r="AD99" s="1874"/>
      <c r="AE99" s="1874"/>
      <c r="AF99" s="1874"/>
      <c r="AG99" s="1874"/>
      <c r="AH99" s="1874"/>
      <c r="AI99" s="1874"/>
      <c r="AJ99" s="1874"/>
      <c r="AK99" s="1874"/>
      <c r="AL99" s="2"/>
    </row>
    <row r="100" spans="1:38" ht="13">
      <c r="A100" s="149"/>
      <c r="C100" s="2"/>
      <c r="D100" s="492"/>
      <c r="E100" s="1878" t="s">
        <v>1374</v>
      </c>
      <c r="F100" s="1878"/>
      <c r="G100" s="1878"/>
      <c r="H100" s="1878"/>
      <c r="I100" s="1878"/>
      <c r="J100" s="1878"/>
      <c r="K100" s="1878"/>
      <c r="L100" s="1878"/>
      <c r="M100" s="1878"/>
      <c r="N100" s="1878"/>
      <c r="O100" s="1878"/>
      <c r="P100" s="1878"/>
      <c r="Q100" s="1878"/>
      <c r="R100" s="1878"/>
      <c r="S100" s="1878"/>
      <c r="T100" s="1878"/>
      <c r="U100" s="1878"/>
      <c r="V100" s="1878"/>
      <c r="W100" s="1878"/>
      <c r="X100" s="1878"/>
      <c r="Y100" s="1878"/>
      <c r="Z100" s="1878"/>
      <c r="AA100" s="1878"/>
      <c r="AB100" s="1878"/>
      <c r="AC100" s="1878"/>
      <c r="AD100" s="1878"/>
      <c r="AE100" s="1878"/>
      <c r="AF100" s="1878"/>
      <c r="AG100" s="1878"/>
      <c r="AH100" s="1878"/>
      <c r="AI100" s="1878"/>
      <c r="AJ100" s="1878"/>
      <c r="AK100" s="1878"/>
      <c r="AL100" s="2"/>
    </row>
    <row r="101" spans="1:38" ht="13">
      <c r="A101" s="149"/>
      <c r="D101" s="153"/>
      <c r="E101" s="1878"/>
      <c r="F101" s="1878"/>
      <c r="G101" s="1878"/>
      <c r="H101" s="1878"/>
      <c r="I101" s="1878"/>
      <c r="J101" s="1878"/>
      <c r="K101" s="1878"/>
      <c r="L101" s="1878"/>
      <c r="M101" s="1878"/>
      <c r="N101" s="1878"/>
      <c r="O101" s="1878"/>
      <c r="P101" s="1878"/>
      <c r="Q101" s="1878"/>
      <c r="R101" s="1878"/>
      <c r="S101" s="1878"/>
      <c r="T101" s="1878"/>
      <c r="U101" s="1878"/>
      <c r="V101" s="1878"/>
      <c r="W101" s="1878"/>
      <c r="X101" s="1878"/>
      <c r="Y101" s="1878"/>
      <c r="Z101" s="1878"/>
      <c r="AA101" s="1878"/>
      <c r="AB101" s="1878"/>
      <c r="AC101" s="1878"/>
      <c r="AD101" s="1878"/>
      <c r="AE101" s="1878"/>
      <c r="AF101" s="1878"/>
      <c r="AG101" s="1878"/>
      <c r="AH101" s="1878"/>
      <c r="AI101" s="1878"/>
      <c r="AJ101" s="1878"/>
      <c r="AK101" s="1878"/>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1393</v>
      </c>
      <c r="F106" s="5"/>
      <c r="G106" s="5"/>
      <c r="H106" s="5"/>
      <c r="I106" s="5"/>
      <c r="J106" s="5"/>
      <c r="K106" s="5"/>
      <c r="L106" s="5"/>
      <c r="M106" s="5"/>
    </row>
    <row r="107" spans="1:38" ht="13">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ht="13">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ht="13">
      <c r="F119" s="149" t="s">
        <v>1126</v>
      </c>
      <c r="G119" s="149"/>
    </row>
    <row r="120" spans="1:38" ht="13">
      <c r="F120" s="153" t="s">
        <v>1392</v>
      </c>
      <c r="G120" s="153"/>
    </row>
    <row r="121" spans="1:38" ht="13">
      <c r="G121" s="153"/>
    </row>
    <row r="122" spans="1:38">
      <c r="E122" s="149" t="s">
        <v>825</v>
      </c>
      <c r="F122" s="152" t="s">
        <v>398</v>
      </c>
    </row>
    <row r="123" spans="1:38">
      <c r="E123" s="149"/>
      <c r="F123" s="149" t="s">
        <v>1117</v>
      </c>
    </row>
    <row r="124" spans="1:38" ht="13">
      <c r="B124" s="5"/>
      <c r="C124" s="5"/>
      <c r="F124" s="5"/>
    </row>
    <row r="125" spans="1:38" ht="13">
      <c r="B125" s="5"/>
      <c r="C125" s="5" t="s">
        <v>454</v>
      </c>
      <c r="G125" s="5" t="s">
        <v>399</v>
      </c>
    </row>
    <row r="126" spans="1:38" ht="13">
      <c r="B126" s="5"/>
      <c r="C126" s="5"/>
      <c r="D126" s="5" t="s">
        <v>213</v>
      </c>
      <c r="E126" s="154" t="s">
        <v>331</v>
      </c>
      <c r="F126" s="5"/>
      <c r="G126" s="5"/>
      <c r="H126" s="5"/>
      <c r="I126" s="5"/>
      <c r="J126" s="5"/>
    </row>
    <row r="127" spans="1:38" ht="13">
      <c r="B127" s="5"/>
      <c r="C127" s="5"/>
      <c r="E127" s="149" t="s">
        <v>1003</v>
      </c>
      <c r="F127" s="149"/>
    </row>
    <row r="128" spans="1:38"/>
    <row r="129" spans="4:37" ht="13">
      <c r="D129" s="5" t="s">
        <v>353</v>
      </c>
      <c r="E129" s="5" t="s">
        <v>614</v>
      </c>
    </row>
    <row r="130" spans="4:37">
      <c r="E130" s="149" t="s">
        <v>1003</v>
      </c>
      <c r="F130" s="149"/>
    </row>
    <row r="131" spans="4:37"/>
    <row r="132" spans="4:37" ht="13">
      <c r="D132" s="5" t="s">
        <v>611</v>
      </c>
      <c r="E132" s="5" t="s">
        <v>769</v>
      </c>
      <c r="G132" s="5"/>
      <c r="H132" s="5"/>
      <c r="I132" s="5"/>
      <c r="J132" s="5"/>
      <c r="K132" s="5"/>
      <c r="L132" s="5"/>
      <c r="M132" s="5"/>
      <c r="N132" s="5"/>
    </row>
    <row r="133" spans="4:37" s="718" customFormat="1" ht="13">
      <c r="D133" s="5"/>
      <c r="E133" s="886" t="s">
        <v>1498</v>
      </c>
      <c r="G133" s="5"/>
      <c r="H133" s="5"/>
      <c r="I133" s="5"/>
      <c r="J133" s="5"/>
      <c r="K133" s="5"/>
      <c r="L133" s="5"/>
      <c r="M133" s="5"/>
      <c r="N133" s="5"/>
    </row>
    <row r="134" spans="4:37" ht="12.75"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ht="13">
      <c r="D137" s="5" t="s">
        <v>549</v>
      </c>
      <c r="E137" s="5" t="s">
        <v>552</v>
      </c>
      <c r="F137" s="5"/>
    </row>
    <row r="138" spans="4:37">
      <c r="E138" s="885" t="s">
        <v>1430</v>
      </c>
      <c r="F138" s="149"/>
    </row>
    <row r="139" spans="4:37">
      <c r="F139" s="149"/>
    </row>
    <row r="140" spans="4:37" ht="13">
      <c r="D140" s="5" t="s">
        <v>313</v>
      </c>
      <c r="E140" s="5" t="s">
        <v>982</v>
      </c>
      <c r="F140" s="5"/>
      <c r="G140" s="5"/>
      <c r="H140" s="5"/>
    </row>
    <row r="141" spans="4:37">
      <c r="E141" t="s">
        <v>117</v>
      </c>
      <c r="F141" t="s">
        <v>55</v>
      </c>
    </row>
    <row r="142" spans="4:37">
      <c r="E142" t="s">
        <v>118</v>
      </c>
      <c r="F142" t="s">
        <v>501</v>
      </c>
    </row>
    <row r="143" spans="4:37"/>
    <row r="144" spans="4:37" ht="13">
      <c r="D144" s="5" t="s">
        <v>452</v>
      </c>
      <c r="E144" s="5" t="s">
        <v>1005</v>
      </c>
    </row>
    <row r="145" spans="3:7">
      <c r="E145" s="328" t="s">
        <v>1006</v>
      </c>
      <c r="F145" s="328"/>
    </row>
    <row r="146" spans="3:7"/>
    <row r="147" spans="3:7" ht="13">
      <c r="C147" s="5" t="s">
        <v>6</v>
      </c>
      <c r="G147" s="5" t="s">
        <v>400</v>
      </c>
    </row>
    <row r="148" spans="3:7" ht="13">
      <c r="D148" s="183" t="s">
        <v>213</v>
      </c>
      <c r="E148" s="183" t="s">
        <v>140</v>
      </c>
    </row>
    <row r="149" spans="3:7">
      <c r="D149" s="2"/>
      <c r="E149" t="s">
        <v>859</v>
      </c>
    </row>
    <row r="150" spans="3:7">
      <c r="D150" s="2"/>
      <c r="E150" s="2"/>
    </row>
    <row r="151" spans="3:7" ht="13">
      <c r="D151" s="183" t="s">
        <v>353</v>
      </c>
      <c r="E151" s="183" t="s">
        <v>559</v>
      </c>
      <c r="F151" s="5"/>
    </row>
    <row r="152" spans="3:7">
      <c r="D152" s="2"/>
      <c r="E152" s="149" t="s">
        <v>1007</v>
      </c>
      <c r="F152" s="149"/>
    </row>
    <row r="153" spans="3:7">
      <c r="D153" s="2"/>
      <c r="E153" s="2"/>
    </row>
    <row r="154" spans="3:7" ht="13">
      <c r="D154" s="183" t="s">
        <v>611</v>
      </c>
      <c r="E154" s="183" t="s">
        <v>588</v>
      </c>
    </row>
    <row r="155" spans="3:7">
      <c r="D155" s="2"/>
      <c r="E155" s="149" t="s">
        <v>1008</v>
      </c>
    </row>
    <row r="156" spans="3:7">
      <c r="D156" s="2"/>
      <c r="E156" s="149" t="s">
        <v>1004</v>
      </c>
      <c r="G156" s="149"/>
    </row>
    <row r="157" spans="3:7">
      <c r="D157" s="2"/>
      <c r="E157" s="2"/>
    </row>
    <row r="158" spans="3:7" ht="13">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ht="13">
      <c r="D163" s="183" t="s">
        <v>313</v>
      </c>
      <c r="E163" s="183" t="s">
        <v>401</v>
      </c>
    </row>
    <row r="164" spans="3:20">
      <c r="D164" s="2"/>
      <c r="E164" s="149" t="s">
        <v>1011</v>
      </c>
      <c r="F164" s="149"/>
    </row>
    <row r="165" spans="3:20">
      <c r="D165" s="2"/>
      <c r="E165" s="2"/>
    </row>
    <row r="166" spans="3:20" ht="13">
      <c r="D166" s="183" t="s">
        <v>452</v>
      </c>
      <c r="E166" s="183" t="s">
        <v>177</v>
      </c>
    </row>
    <row r="167" spans="3:20">
      <c r="D167" s="2"/>
      <c r="E167" s="149" t="s">
        <v>1013</v>
      </c>
    </row>
    <row r="168" spans="3:20">
      <c r="D168" s="2"/>
      <c r="E168" s="149" t="s">
        <v>1012</v>
      </c>
    </row>
    <row r="169" spans="3:20">
      <c r="D169" s="2"/>
      <c r="E169" s="2"/>
    </row>
    <row r="170" spans="3:20" ht="13">
      <c r="D170" s="183" t="s">
        <v>592</v>
      </c>
      <c r="E170" s="183" t="s">
        <v>659</v>
      </c>
    </row>
    <row r="171" spans="3:20">
      <c r="D171" s="2"/>
      <c r="E171" s="2" t="s">
        <v>117</v>
      </c>
      <c r="F171" t="s">
        <v>771</v>
      </c>
    </row>
    <row r="172" spans="3:20">
      <c r="E172" s="2" t="s">
        <v>118</v>
      </c>
      <c r="F172" t="s">
        <v>307</v>
      </c>
    </row>
    <row r="173" spans="3:20">
      <c r="F173" s="149"/>
    </row>
    <row r="174" spans="3:20" ht="13">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614</v>
      </c>
    </row>
    <row r="178" spans="2:19" ht="13">
      <c r="D178" s="5" t="s">
        <v>213</v>
      </c>
      <c r="E178" s="5" t="s">
        <v>308</v>
      </c>
      <c r="G178" s="149"/>
      <c r="H178" s="149"/>
      <c r="I178" s="149"/>
      <c r="J178" s="149"/>
      <c r="K178" s="149"/>
      <c r="L178" s="149"/>
      <c r="M178" s="149"/>
      <c r="N178" s="149"/>
    </row>
    <row r="179" spans="2:19">
      <c r="E179" t="s">
        <v>117</v>
      </c>
      <c r="F179" s="149" t="s">
        <v>1014</v>
      </c>
    </row>
    <row r="180" spans="2:19" ht="13">
      <c r="F180" s="184" t="s">
        <v>1343</v>
      </c>
      <c r="I180" s="184"/>
    </row>
    <row r="181" spans="2:19" ht="13">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ht="13">
      <c r="D185" s="5" t="s">
        <v>353</v>
      </c>
      <c r="E185" s="50" t="s">
        <v>1118</v>
      </c>
    </row>
    <row r="186" spans="2:19">
      <c r="B186" s="149"/>
      <c r="C186" s="149"/>
      <c r="E186" s="149" t="s">
        <v>754</v>
      </c>
      <c r="F186" s="149"/>
      <c r="I186" s="149"/>
    </row>
    <row r="187" spans="2:19" ht="13">
      <c r="B187" s="149"/>
      <c r="C187" s="149"/>
      <c r="E187" s="149" t="s">
        <v>1116</v>
      </c>
      <c r="F187" s="184"/>
      <c r="G187" s="149"/>
      <c r="I187" s="184"/>
    </row>
    <row r="188" spans="2:19" ht="13">
      <c r="B188" s="149"/>
      <c r="C188" s="149"/>
      <c r="F188" s="184"/>
      <c r="G188" s="149"/>
      <c r="I188" s="184"/>
    </row>
    <row r="189" spans="2:19" ht="13">
      <c r="B189" s="149"/>
      <c r="C189" s="149"/>
      <c r="D189" s="5" t="s">
        <v>611</v>
      </c>
      <c r="E189" s="5" t="s">
        <v>3</v>
      </c>
      <c r="F189" s="184"/>
      <c r="G189" s="149"/>
      <c r="I189" s="184"/>
    </row>
    <row r="190" spans="2:19" ht="13">
      <c r="B190" s="149"/>
      <c r="C190" s="149"/>
      <c r="D190" s="5"/>
      <c r="E190" s="149" t="s">
        <v>309</v>
      </c>
      <c r="F190" s="149"/>
      <c r="G190" s="149"/>
      <c r="I190" s="184"/>
    </row>
    <row r="191" spans="2:19" ht="13">
      <c r="B191" s="149"/>
      <c r="C191" s="149"/>
      <c r="F191" s="184"/>
      <c r="G191" s="149"/>
      <c r="I191" s="184"/>
    </row>
    <row r="192" spans="2:19" ht="13">
      <c r="D192" s="5" t="s">
        <v>549</v>
      </c>
      <c r="E192" s="5" t="s">
        <v>116</v>
      </c>
    </row>
    <row r="193" spans="2:37" ht="13">
      <c r="B193" s="149"/>
      <c r="C193" s="5"/>
      <c r="E193" t="s">
        <v>117</v>
      </c>
      <c r="F193" s="149" t="s">
        <v>1127</v>
      </c>
      <c r="G193" s="149"/>
      <c r="H193" s="149"/>
      <c r="I193" s="149"/>
    </row>
    <row r="194" spans="2:37" ht="13">
      <c r="B194" s="149"/>
      <c r="C194" s="5"/>
      <c r="F194" s="149" t="s">
        <v>692</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452</v>
      </c>
      <c r="E201" s="5" t="s">
        <v>125</v>
      </c>
      <c r="G201" s="149"/>
      <c r="H201" s="149"/>
      <c r="I201" s="149"/>
      <c r="J201" s="149"/>
      <c r="M201" s="149"/>
      <c r="N201" s="149"/>
      <c r="O201" s="149"/>
      <c r="P201" s="149"/>
      <c r="Q201" s="149"/>
      <c r="R201" s="149"/>
      <c r="S201" s="149"/>
    </row>
    <row r="202" spans="2:37" ht="13">
      <c r="B202" s="149"/>
      <c r="C202" s="149"/>
      <c r="D202" s="5"/>
      <c r="E202" s="149" t="s">
        <v>117</v>
      </c>
      <c r="F202" s="149" t="s">
        <v>1017</v>
      </c>
      <c r="M202" s="149"/>
      <c r="N202" s="149"/>
      <c r="O202" s="149"/>
      <c r="P202" s="149"/>
      <c r="Q202" s="149"/>
      <c r="R202" s="149"/>
      <c r="S202" s="149"/>
    </row>
    <row r="203" spans="2:37" ht="13">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618</v>
      </c>
      <c r="F206" s="149" t="s">
        <v>1019</v>
      </c>
      <c r="M206" s="149"/>
      <c r="N206" s="149"/>
      <c r="O206" s="149"/>
      <c r="P206" s="149"/>
      <c r="Q206" s="149"/>
      <c r="R206" s="149"/>
      <c r="S206" s="149"/>
    </row>
    <row r="207" spans="2:37" ht="13">
      <c r="B207" s="149"/>
      <c r="C207" s="149"/>
      <c r="D207" s="5"/>
      <c r="F207" t="s">
        <v>692</v>
      </c>
      <c r="G207" s="1874" t="s">
        <v>1375</v>
      </c>
      <c r="H207" s="1874"/>
      <c r="I207" s="1874"/>
      <c r="J207" s="1874"/>
      <c r="K207" s="1874"/>
      <c r="L207" s="1874"/>
      <c r="M207" s="1874"/>
      <c r="N207" s="1874"/>
      <c r="O207" s="1874"/>
      <c r="P207" s="1874"/>
      <c r="Q207" s="1874"/>
      <c r="R207" s="1874"/>
      <c r="S207" s="1874"/>
      <c r="T207" s="1874"/>
      <c r="U207" s="1874"/>
      <c r="V207" s="1874"/>
      <c r="W207" s="1874"/>
      <c r="X207" s="1874"/>
      <c r="Y207" s="1874"/>
      <c r="Z207" s="1874"/>
      <c r="AA207" s="1874"/>
      <c r="AB207" s="1874"/>
      <c r="AC207" s="1874"/>
      <c r="AD207" s="1874"/>
      <c r="AE207" s="1874"/>
      <c r="AF207" s="1874"/>
      <c r="AG207" s="1874"/>
      <c r="AH207" s="1874"/>
      <c r="AI207" s="1874"/>
      <c r="AJ207" s="1874"/>
      <c r="AK207" s="1874"/>
    </row>
    <row r="208" spans="2:37" ht="13">
      <c r="B208" s="149"/>
      <c r="C208" s="149"/>
      <c r="D208" s="5"/>
      <c r="G208" s="1874"/>
      <c r="H208" s="1874"/>
      <c r="I208" s="1874"/>
      <c r="J208" s="1874"/>
      <c r="K208" s="1874"/>
      <c r="L208" s="1874"/>
      <c r="M208" s="1874"/>
      <c r="N208" s="1874"/>
      <c r="O208" s="1874"/>
      <c r="P208" s="1874"/>
      <c r="Q208" s="1874"/>
      <c r="R208" s="1874"/>
      <c r="S208" s="1874"/>
      <c r="T208" s="1874"/>
      <c r="U208" s="1874"/>
      <c r="V208" s="1874"/>
      <c r="W208" s="1874"/>
      <c r="X208" s="1874"/>
      <c r="Y208" s="1874"/>
      <c r="Z208" s="1874"/>
      <c r="AA208" s="1874"/>
      <c r="AB208" s="1874"/>
      <c r="AC208" s="1874"/>
      <c r="AD208" s="1874"/>
      <c r="AE208" s="1874"/>
      <c r="AF208" s="1874"/>
      <c r="AG208" s="1874"/>
      <c r="AH208" s="1874"/>
      <c r="AI208" s="1874"/>
      <c r="AJ208" s="1874"/>
      <c r="AK208" s="1874"/>
    </row>
    <row r="209" spans="1:38" ht="13">
      <c r="B209" s="149"/>
      <c r="C209" s="149"/>
      <c r="D209" s="5"/>
      <c r="M209" s="149"/>
      <c r="N209" s="149"/>
      <c r="O209" s="149"/>
      <c r="P209" s="149"/>
      <c r="Q209" s="149"/>
      <c r="R209" s="149"/>
      <c r="S209" s="149"/>
    </row>
    <row r="210" spans="1:38" ht="13">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309</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453</v>
      </c>
      <c r="D225" s="149"/>
      <c r="E225" s="149"/>
      <c r="F225" s="149"/>
      <c r="G225" s="5" t="s">
        <v>485</v>
      </c>
      <c r="I225" s="149"/>
      <c r="J225" s="149"/>
      <c r="K225" s="149"/>
      <c r="M225" s="149"/>
      <c r="N225" s="149"/>
      <c r="O225" s="149"/>
      <c r="P225" s="149"/>
      <c r="Q225" s="149"/>
      <c r="R225" s="149"/>
      <c r="S225" s="149"/>
    </row>
    <row r="226" spans="2:19" ht="13">
      <c r="B226" s="5"/>
      <c r="E226" s="149" t="s">
        <v>117</v>
      </c>
      <c r="F226" s="149" t="s">
        <v>761</v>
      </c>
      <c r="G226" s="149"/>
      <c r="I226" s="149"/>
      <c r="J226" s="149"/>
      <c r="K226" s="149"/>
      <c r="L226" s="149"/>
      <c r="M226" s="149"/>
      <c r="N226" s="149"/>
      <c r="O226" s="149"/>
      <c r="P226" s="149"/>
      <c r="Q226" s="149"/>
      <c r="R226" s="149"/>
      <c r="S226" s="149"/>
    </row>
    <row r="227" spans="2:19" ht="13">
      <c r="B227" s="5"/>
      <c r="E227" s="149" t="s">
        <v>118</v>
      </c>
      <c r="F227" s="149" t="s">
        <v>719</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454</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762</v>
      </c>
      <c r="G230" s="149"/>
      <c r="I230" s="149"/>
      <c r="J230" s="149"/>
      <c r="K230" s="149"/>
      <c r="L230" s="149"/>
      <c r="M230" s="149"/>
      <c r="N230" s="149"/>
      <c r="O230" s="149"/>
      <c r="P230" s="149"/>
      <c r="Q230" s="149"/>
      <c r="R230" s="149"/>
      <c r="S230" s="149"/>
    </row>
    <row r="231" spans="2:19" ht="13">
      <c r="B231" s="5"/>
      <c r="E231" s="149"/>
      <c r="F231" s="149" t="s">
        <v>763</v>
      </c>
      <c r="G231" s="149"/>
      <c r="H231" s="149"/>
      <c r="I231" s="149"/>
      <c r="J231" s="149"/>
      <c r="K231" s="149"/>
      <c r="L231" s="149"/>
      <c r="M231" s="149"/>
      <c r="N231" s="149"/>
      <c r="O231" s="149"/>
      <c r="P231" s="149"/>
      <c r="Q231" s="149"/>
      <c r="R231" s="149"/>
      <c r="S231" s="149"/>
    </row>
    <row r="232" spans="2:19" ht="13">
      <c r="B232" s="5"/>
      <c r="D232" s="149"/>
      <c r="E232" s="149" t="s">
        <v>118</v>
      </c>
      <c r="F232" s="149" t="s">
        <v>719</v>
      </c>
      <c r="G232" s="149"/>
      <c r="I232" s="149"/>
      <c r="J232" s="149"/>
      <c r="K232" s="149"/>
      <c r="L232" s="149"/>
      <c r="M232" s="149"/>
      <c r="N232" s="149"/>
      <c r="O232" s="149"/>
      <c r="P232" s="149"/>
      <c r="Q232" s="149"/>
      <c r="R232" s="149"/>
      <c r="S232" s="149"/>
    </row>
    <row r="233" spans="2:19" ht="13">
      <c r="B233" s="5"/>
      <c r="E233" s="149" t="s">
        <v>124</v>
      </c>
      <c r="F233" s="152" t="s">
        <v>1034</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338</v>
      </c>
      <c r="F235" s="149"/>
      <c r="J235" s="149"/>
      <c r="K235" s="149"/>
      <c r="M235" s="149"/>
      <c r="N235" s="149"/>
      <c r="O235" s="149"/>
      <c r="P235" s="149"/>
      <c r="Q235" s="149"/>
      <c r="R235" s="149"/>
      <c r="S235" s="149"/>
    </row>
    <row r="236" spans="2:19" ht="13">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ht="13">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ht="13">
      <c r="B247" s="149"/>
      <c r="C247" s="149"/>
      <c r="D247" s="5"/>
      <c r="E247" s="149" t="s">
        <v>124</v>
      </c>
      <c r="F247" s="149" t="s">
        <v>339</v>
      </c>
      <c r="H247" s="149"/>
      <c r="I247" s="149"/>
      <c r="M247" s="149"/>
      <c r="N247" s="149"/>
      <c r="O247" s="149"/>
      <c r="P247" s="149"/>
      <c r="Q247" s="149"/>
      <c r="R247" s="149"/>
      <c r="S247" s="149"/>
    </row>
    <row r="248" spans="2:21" ht="13">
      <c r="B248" s="149"/>
      <c r="C248" s="149"/>
      <c r="D248" s="5"/>
      <c r="E248" s="5"/>
      <c r="F248" t="s">
        <v>692</v>
      </c>
      <c r="G248" s="149" t="s">
        <v>456</v>
      </c>
      <c r="I248" s="149"/>
      <c r="M248" s="149"/>
      <c r="N248" s="149"/>
      <c r="O248" s="149"/>
      <c r="P248" s="149"/>
      <c r="Q248" s="149"/>
      <c r="R248" s="149"/>
      <c r="S248" s="149"/>
    </row>
    <row r="249" spans="2:21" ht="13">
      <c r="B249" s="149"/>
      <c r="C249" s="149"/>
      <c r="D249" s="5"/>
      <c r="E249" s="5"/>
      <c r="F249" s="149"/>
      <c r="G249" s="149" t="s">
        <v>457</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403</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1344</v>
      </c>
      <c r="G253" s="149"/>
      <c r="I253" s="184"/>
      <c r="J253" s="149"/>
      <c r="K253" s="149"/>
      <c r="L253" s="149"/>
      <c r="M253" s="149"/>
      <c r="N253" s="149"/>
      <c r="O253" s="149"/>
      <c r="P253" s="149"/>
      <c r="Q253" s="149"/>
      <c r="R253" s="149"/>
      <c r="S253" s="149"/>
      <c r="T253" s="149"/>
      <c r="U253" s="149"/>
    </row>
    <row r="254" spans="2:21" ht="13">
      <c r="B254" s="5"/>
      <c r="C254" s="5"/>
      <c r="E254" s="149" t="s">
        <v>118</v>
      </c>
      <c r="F254" s="149" t="s">
        <v>1020</v>
      </c>
      <c r="I254" s="149"/>
      <c r="J254" s="149"/>
      <c r="K254" s="149"/>
      <c r="L254" s="149"/>
      <c r="M254" s="149"/>
      <c r="N254" s="149"/>
      <c r="O254" s="149"/>
      <c r="P254" s="149"/>
      <c r="Q254" s="149"/>
      <c r="R254" s="149"/>
      <c r="S254" s="149"/>
      <c r="T254" s="149"/>
      <c r="U254" s="149"/>
    </row>
    <row r="255" spans="2:21" ht="13">
      <c r="B255" s="5"/>
      <c r="C255" s="5"/>
      <c r="E255" s="149"/>
      <c r="F255" s="328" t="s">
        <v>692</v>
      </c>
      <c r="G255" s="328" t="s">
        <v>875</v>
      </c>
      <c r="I255" s="6"/>
      <c r="K255" s="155"/>
      <c r="L255" s="155"/>
      <c r="M255" s="155"/>
      <c r="N255" s="155"/>
      <c r="O255" s="155"/>
      <c r="P255" s="1"/>
      <c r="Q255" s="149"/>
      <c r="R255" s="149"/>
      <c r="S255" s="149"/>
      <c r="T255" s="149"/>
      <c r="U255" s="149"/>
    </row>
    <row r="256" spans="2:21" ht="13">
      <c r="B256" s="5"/>
      <c r="C256" s="5"/>
      <c r="E256" s="149"/>
      <c r="F256" s="326"/>
      <c r="G256" s="328" t="s">
        <v>876</v>
      </c>
      <c r="I256" s="6"/>
      <c r="K256" s="155"/>
      <c r="L256" s="155"/>
      <c r="M256" s="155"/>
      <c r="N256" s="155"/>
      <c r="O256" s="155"/>
      <c r="P256" s="155"/>
    </row>
    <row r="257" spans="2:21" ht="13">
      <c r="B257" s="5"/>
      <c r="C257" s="5"/>
      <c r="E257" s="149"/>
      <c r="F257" s="326" t="s">
        <v>360</v>
      </c>
      <c r="G257" s="328" t="s">
        <v>1026</v>
      </c>
      <c r="I257" s="149"/>
      <c r="K257" s="149"/>
      <c r="L257" s="149"/>
      <c r="M257" s="149"/>
      <c r="N257" s="149"/>
      <c r="O257" s="149"/>
      <c r="P257" s="155"/>
      <c r="Q257" s="1"/>
      <c r="R257" s="1"/>
      <c r="S257" s="1"/>
      <c r="T257" s="1"/>
      <c r="U257" s="1"/>
    </row>
    <row r="258" spans="2:21" ht="13">
      <c r="B258" s="5"/>
      <c r="C258" s="5"/>
      <c r="E258" s="149"/>
      <c r="F258" s="326"/>
      <c r="G258" s="328" t="s">
        <v>937</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404</v>
      </c>
      <c r="G260" s="149"/>
      <c r="H260" s="149"/>
      <c r="I260" s="149"/>
      <c r="J260" s="149"/>
      <c r="K260" s="149"/>
      <c r="L260" s="149"/>
      <c r="M260" s="149"/>
      <c r="N260" s="149"/>
      <c r="O260" s="149"/>
      <c r="P260" s="149"/>
      <c r="Q260" s="149"/>
      <c r="R260" s="149"/>
      <c r="S260" s="149"/>
    </row>
    <row r="261" spans="2:21" ht="13">
      <c r="B261" s="5"/>
      <c r="C261" s="5"/>
      <c r="E261" s="149" t="s">
        <v>117</v>
      </c>
      <c r="F261" s="149" t="s">
        <v>261</v>
      </c>
      <c r="G261" s="149"/>
      <c r="I261" s="149"/>
      <c r="J261" s="149"/>
      <c r="K261" s="149"/>
      <c r="L261" s="149"/>
      <c r="M261" s="149"/>
      <c r="N261" s="149"/>
      <c r="O261" s="149"/>
      <c r="P261" s="149"/>
      <c r="Q261" s="149"/>
      <c r="R261" s="149"/>
      <c r="S261" s="149"/>
    </row>
    <row r="262" spans="2:21" ht="13">
      <c r="B262" s="5"/>
      <c r="C262" s="5"/>
      <c r="E262" s="149" t="s">
        <v>118</v>
      </c>
      <c r="F262" s="149" t="s">
        <v>866</v>
      </c>
      <c r="G262" s="149"/>
      <c r="I262" s="149"/>
      <c r="J262" s="149"/>
      <c r="K262" s="149"/>
      <c r="L262" s="149"/>
      <c r="M262" s="149"/>
      <c r="N262" s="149"/>
      <c r="O262" s="149"/>
      <c r="P262" s="149"/>
      <c r="Q262" s="149"/>
      <c r="R262" s="149"/>
      <c r="S262" s="149"/>
    </row>
    <row r="263" spans="2:21" ht="13">
      <c r="B263" s="5"/>
      <c r="C263" s="5"/>
      <c r="E263" s="149" t="s">
        <v>124</v>
      </c>
      <c r="F263" s="149" t="s">
        <v>262</v>
      </c>
      <c r="I263" s="149"/>
      <c r="J263" s="149"/>
      <c r="K263" s="149"/>
      <c r="L263" s="149"/>
      <c r="M263" s="149"/>
      <c r="N263" s="149"/>
      <c r="O263" s="149"/>
      <c r="P263" s="149"/>
      <c r="Q263" s="149"/>
      <c r="R263" s="149"/>
      <c r="S263" s="149"/>
    </row>
    <row r="264" spans="2:21" ht="13">
      <c r="B264" s="5"/>
      <c r="C264" s="5"/>
      <c r="E264" s="5"/>
      <c r="F264" s="149" t="s">
        <v>867</v>
      </c>
      <c r="I264" s="149"/>
      <c r="J264" s="149"/>
      <c r="K264" s="149"/>
      <c r="L264" s="149"/>
      <c r="M264" s="149"/>
      <c r="N264" s="149"/>
      <c r="O264" s="149"/>
      <c r="P264" s="149"/>
      <c r="Q264" s="149"/>
      <c r="R264" s="149"/>
      <c r="S264" s="149"/>
    </row>
    <row r="265" spans="2:21" ht="13">
      <c r="B265" s="5"/>
      <c r="C265" s="5"/>
      <c r="E265" s="149" t="s">
        <v>618</v>
      </c>
      <c r="F265" s="328" t="s">
        <v>877</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353</v>
      </c>
      <c r="E267" s="5" t="s">
        <v>76</v>
      </c>
      <c r="G267" s="149"/>
      <c r="H267" s="149"/>
      <c r="I267" s="149"/>
      <c r="J267" s="149"/>
      <c r="K267" s="149"/>
      <c r="L267" s="149"/>
      <c r="M267" s="149"/>
      <c r="N267" s="149"/>
      <c r="O267" s="149"/>
      <c r="P267" s="149"/>
      <c r="Q267" s="149"/>
      <c r="R267" s="149"/>
      <c r="S267" s="149"/>
    </row>
    <row r="268" spans="2:21" ht="13">
      <c r="B268" s="5"/>
      <c r="C268" s="5"/>
      <c r="E268" s="149" t="s">
        <v>1129</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611</v>
      </c>
      <c r="E270" s="5" t="s">
        <v>297</v>
      </c>
      <c r="G270" s="149"/>
    </row>
    <row r="271" spans="2:21" ht="13">
      <c r="B271" s="5"/>
      <c r="C271" s="5"/>
      <c r="E271" s="149" t="s">
        <v>263</v>
      </c>
      <c r="F271" s="149"/>
      <c r="G271" s="149"/>
      <c r="J271" s="149"/>
      <c r="K271" s="149"/>
      <c r="L271" s="149"/>
      <c r="M271" s="149"/>
      <c r="N271" s="149"/>
    </row>
    <row r="272" spans="2:21" ht="13">
      <c r="B272" s="5"/>
      <c r="C272" s="5"/>
      <c r="E272" s="149" t="s">
        <v>1027</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549</v>
      </c>
      <c r="E274" s="5" t="s">
        <v>649</v>
      </c>
      <c r="G274" s="149"/>
      <c r="H274" s="149"/>
      <c r="J274" s="149"/>
      <c r="K274" s="149"/>
      <c r="L274" s="149"/>
      <c r="M274" s="149"/>
      <c r="N274" s="149"/>
      <c r="O274" s="149"/>
      <c r="P274" s="149"/>
      <c r="Q274" s="149"/>
      <c r="R274" s="149"/>
      <c r="S274" s="149"/>
      <c r="T274" s="149"/>
      <c r="U274" s="149"/>
    </row>
    <row r="275" spans="2:21" ht="13">
      <c r="B275" s="5"/>
      <c r="D275" s="149"/>
      <c r="E275" s="149" t="s">
        <v>1121</v>
      </c>
      <c r="J275" s="149"/>
      <c r="K275" s="149"/>
      <c r="L275" s="149"/>
      <c r="M275" s="149"/>
      <c r="N275" s="149"/>
      <c r="O275" s="149"/>
      <c r="P275" s="149"/>
      <c r="Q275" s="149"/>
      <c r="R275" s="149"/>
      <c r="S275" s="149"/>
      <c r="T275" s="149"/>
      <c r="U275" s="149"/>
    </row>
    <row r="276" spans="2:21" ht="13">
      <c r="B276" s="5"/>
      <c r="D276" s="149"/>
      <c r="E276" s="149" t="s">
        <v>1021</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313</v>
      </c>
      <c r="E278" s="5" t="s">
        <v>298</v>
      </c>
      <c r="K278" s="149"/>
      <c r="L278" s="149"/>
      <c r="M278" s="149"/>
      <c r="N278" s="149"/>
      <c r="O278" s="149"/>
      <c r="P278" s="149"/>
      <c r="Q278" s="149"/>
      <c r="R278" s="149"/>
      <c r="S278" s="149"/>
      <c r="T278" s="149"/>
      <c r="U278" s="149"/>
    </row>
    <row r="279" spans="2:21" ht="13">
      <c r="B279" s="5"/>
      <c r="D279" s="5"/>
      <c r="E279" t="s">
        <v>264</v>
      </c>
      <c r="K279" s="149"/>
      <c r="L279" s="149"/>
      <c r="M279" s="149"/>
      <c r="N279" s="149"/>
      <c r="O279" s="149"/>
      <c r="P279" s="149"/>
      <c r="Q279" s="149"/>
      <c r="R279" s="149"/>
      <c r="S279" s="149"/>
    </row>
    <row r="280" spans="2:21" ht="13">
      <c r="B280" s="5"/>
      <c r="D280" s="149"/>
      <c r="E280" s="149" t="s">
        <v>1028</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452</v>
      </c>
      <c r="E282" s="5" t="s">
        <v>448</v>
      </c>
      <c r="G282" s="149"/>
      <c r="H282" s="149"/>
      <c r="I282" s="149"/>
      <c r="J282" s="149"/>
      <c r="K282" s="149"/>
      <c r="L282" s="149"/>
      <c r="M282" s="149"/>
      <c r="O282" s="149"/>
      <c r="P282" s="149"/>
      <c r="Q282" s="149"/>
      <c r="R282" s="149"/>
      <c r="S282" s="149"/>
    </row>
    <row r="283" spans="2:21" ht="13">
      <c r="B283" s="5"/>
      <c r="D283" s="5"/>
      <c r="E283" t="s">
        <v>265</v>
      </c>
      <c r="G283" s="149"/>
      <c r="H283" s="149"/>
      <c r="I283" s="149"/>
      <c r="J283" s="149"/>
      <c r="K283" s="149"/>
      <c r="L283" s="149"/>
      <c r="M283" s="149"/>
      <c r="P283" s="149"/>
      <c r="Q283" s="149"/>
      <c r="R283" s="149"/>
      <c r="S283" s="149"/>
    </row>
    <row r="284" spans="2:21" ht="13">
      <c r="B284" s="5"/>
      <c r="D284" s="5"/>
      <c r="E284" t="s">
        <v>266</v>
      </c>
      <c r="G284" s="149"/>
      <c r="H284" s="149"/>
      <c r="I284" s="149"/>
      <c r="J284" s="149"/>
      <c r="K284" s="149"/>
      <c r="L284" s="149"/>
      <c r="M284" s="149"/>
      <c r="P284" s="149"/>
      <c r="Q284" s="149"/>
      <c r="R284" s="149"/>
      <c r="S284" s="149"/>
    </row>
    <row r="285" spans="2:21" ht="13">
      <c r="B285" s="5"/>
      <c r="D285" s="5"/>
      <c r="E285" s="184" t="s">
        <v>1029</v>
      </c>
      <c r="F285" s="184"/>
      <c r="G285" s="149"/>
      <c r="H285" s="184"/>
      <c r="I285" s="184"/>
      <c r="J285" s="149"/>
      <c r="K285" s="149"/>
      <c r="L285" s="149"/>
      <c r="M285" s="149"/>
      <c r="P285" s="149"/>
      <c r="Q285" s="149"/>
      <c r="R285" s="149"/>
      <c r="S285" s="149"/>
    </row>
    <row r="286" spans="2:21" ht="13">
      <c r="B286" s="5"/>
      <c r="D286" s="5"/>
      <c r="E286" s="738" t="s">
        <v>936</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592</v>
      </c>
      <c r="E288" s="5" t="s">
        <v>593</v>
      </c>
      <c r="K288" s="149"/>
      <c r="L288" s="149"/>
      <c r="M288" s="149"/>
      <c r="N288" s="149"/>
    </row>
    <row r="289" spans="2:38" ht="13">
      <c r="B289" s="5"/>
      <c r="D289" s="149"/>
      <c r="E289" s="149" t="s">
        <v>117</v>
      </c>
      <c r="F289" s="149" t="s">
        <v>594</v>
      </c>
      <c r="G289" s="149"/>
      <c r="O289" s="149"/>
      <c r="P289" s="149"/>
      <c r="Q289" s="149"/>
      <c r="R289" s="149"/>
      <c r="S289" s="149"/>
      <c r="T289" s="149"/>
      <c r="U289" s="149"/>
      <c r="V289" s="149"/>
      <c r="W289" s="149"/>
    </row>
    <row r="290" spans="2:38" ht="13">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595</v>
      </c>
      <c r="G291" s="149"/>
      <c r="L291" s="149"/>
      <c r="M291" s="149"/>
      <c r="N291" s="149"/>
      <c r="O291" s="149"/>
      <c r="P291" s="149"/>
      <c r="Q291" s="149"/>
      <c r="R291" s="149"/>
      <c r="S291" s="149"/>
      <c r="T291" s="149"/>
      <c r="U291" s="149"/>
      <c r="V291" s="149"/>
      <c r="W291" s="149"/>
    </row>
    <row r="292" spans="2:38" ht="13">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692</v>
      </c>
      <c r="G293" s="149" t="s">
        <v>268</v>
      </c>
      <c r="K293" s="149"/>
      <c r="L293" s="149"/>
      <c r="M293" s="149"/>
      <c r="N293" s="149"/>
      <c r="O293" s="149"/>
      <c r="P293" s="149"/>
      <c r="Q293" s="149"/>
      <c r="R293" s="149"/>
      <c r="S293" s="149"/>
      <c r="T293" s="149"/>
      <c r="U293" s="149"/>
      <c r="V293" s="149"/>
      <c r="W293" s="149"/>
    </row>
    <row r="294" spans="2:38" ht="13">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ht="13">
      <c r="B295" s="5"/>
      <c r="D295" s="149"/>
      <c r="E295" s="149"/>
      <c r="F295" s="149" t="s">
        <v>361</v>
      </c>
      <c r="G295" s="149" t="s">
        <v>596</v>
      </c>
      <c r="K295" s="149"/>
      <c r="L295" s="149"/>
      <c r="M295" s="149"/>
      <c r="N295" s="149"/>
      <c r="O295" s="149"/>
      <c r="P295" s="149"/>
      <c r="Q295" s="149"/>
      <c r="R295" s="149"/>
      <c r="S295" s="149"/>
      <c r="T295" s="149"/>
      <c r="U295" s="149"/>
      <c r="V295" s="149"/>
      <c r="W295" s="149"/>
    </row>
    <row r="296" spans="2:38" ht="13">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ht="13">
      <c r="B297" s="5"/>
      <c r="D297" s="149"/>
      <c r="E297" s="149"/>
      <c r="F297" s="149" t="s">
        <v>270</v>
      </c>
      <c r="G297" s="149" t="s">
        <v>411</v>
      </c>
      <c r="K297" s="149"/>
      <c r="L297" s="149"/>
      <c r="M297" s="149"/>
      <c r="N297" s="149"/>
      <c r="O297" s="149"/>
      <c r="P297" s="149"/>
      <c r="Q297" s="149"/>
      <c r="R297" s="149"/>
      <c r="S297" s="149"/>
      <c r="T297" s="149"/>
      <c r="U297" s="149"/>
      <c r="V297" s="149"/>
      <c r="W297" s="149"/>
    </row>
    <row r="298" spans="2:38" ht="13">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618</v>
      </c>
      <c r="F299" s="149" t="s">
        <v>787</v>
      </c>
      <c r="G299" s="149"/>
      <c r="K299" s="149"/>
      <c r="L299" s="149"/>
      <c r="M299" s="149"/>
      <c r="N299" s="149"/>
      <c r="O299" s="149"/>
      <c r="P299" s="149"/>
      <c r="Q299" s="149"/>
      <c r="R299" s="149"/>
      <c r="S299" s="149"/>
      <c r="T299" s="149"/>
      <c r="U299" s="149"/>
      <c r="V299" s="149"/>
      <c r="W299" s="149"/>
    </row>
    <row r="300" spans="2:38" ht="13">
      <c r="B300" s="5"/>
      <c r="D300" s="149"/>
      <c r="E300" s="149" t="s">
        <v>825</v>
      </c>
      <c r="F300" s="149" t="s">
        <v>794</v>
      </c>
      <c r="G300" s="149"/>
      <c r="K300" s="149"/>
      <c r="L300" s="149"/>
      <c r="M300" s="149"/>
      <c r="N300" s="149"/>
      <c r="O300" s="149"/>
      <c r="P300" s="149"/>
      <c r="Q300" s="149"/>
      <c r="R300" s="149"/>
      <c r="S300" s="149"/>
      <c r="T300" s="149"/>
      <c r="U300" s="149"/>
      <c r="V300" s="149"/>
      <c r="W300" s="149"/>
    </row>
    <row r="301" spans="2:38" ht="13">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1030</v>
      </c>
      <c r="F306" s="149"/>
      <c r="K306" s="149"/>
      <c r="L306" s="149"/>
      <c r="M306" s="149"/>
      <c r="N306" s="149"/>
      <c r="O306" s="149"/>
      <c r="P306" s="149"/>
      <c r="Q306" s="149"/>
      <c r="R306" s="149"/>
      <c r="S306" s="149"/>
      <c r="T306" s="149"/>
      <c r="U306" s="149"/>
      <c r="V306" s="149"/>
      <c r="W306" s="149"/>
    </row>
    <row r="307" spans="2:23" ht="13">
      <c r="B307" s="5"/>
      <c r="D307" s="5"/>
      <c r="E307" s="149" t="s">
        <v>1028</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651</v>
      </c>
      <c r="I309" s="149"/>
      <c r="J309" s="149"/>
      <c r="K309" s="149"/>
      <c r="L309" s="149"/>
      <c r="M309" s="149"/>
      <c r="N309" s="149"/>
      <c r="O309" s="149"/>
      <c r="P309" s="149"/>
    </row>
    <row r="310" spans="2:23" ht="13">
      <c r="B310" s="5"/>
      <c r="D310" s="5" t="s">
        <v>213</v>
      </c>
      <c r="E310" s="5" t="s">
        <v>272</v>
      </c>
      <c r="G310" s="5"/>
      <c r="H310" s="5"/>
      <c r="I310" s="5"/>
      <c r="J310" s="5"/>
      <c r="K310" s="5"/>
      <c r="L310" s="5"/>
      <c r="M310" s="5"/>
      <c r="N310" s="5"/>
      <c r="O310" s="5"/>
      <c r="P310" s="5"/>
      <c r="Q310" s="5"/>
      <c r="R310" s="5"/>
    </row>
    <row r="311" spans="2:23" ht="13">
      <c r="B311" s="5"/>
      <c r="D311" s="5"/>
      <c r="E311" t="s">
        <v>273</v>
      </c>
      <c r="G311" s="149"/>
      <c r="I311" s="149"/>
      <c r="K311" s="149"/>
    </row>
    <row r="312" spans="2:23" ht="13">
      <c r="B312" s="5"/>
      <c r="D312" s="5"/>
      <c r="E312" s="149" t="s">
        <v>861</v>
      </c>
      <c r="F312" s="149"/>
      <c r="G312" s="149"/>
      <c r="I312" s="149"/>
      <c r="K312" s="149"/>
    </row>
    <row r="313" spans="2:23" ht="13">
      <c r="B313" s="5"/>
      <c r="D313" s="5"/>
      <c r="E313" s="149" t="s">
        <v>1031</v>
      </c>
      <c r="F313" s="149"/>
      <c r="G313" s="149"/>
      <c r="I313" s="149"/>
      <c r="K313" s="149"/>
    </row>
    <row r="314" spans="2:23" ht="13">
      <c r="B314" s="5"/>
      <c r="D314" s="5"/>
      <c r="E314" s="149" t="s">
        <v>862</v>
      </c>
      <c r="F314" s="149"/>
      <c r="G314" s="149"/>
      <c r="I314" s="149"/>
      <c r="K314" s="149"/>
    </row>
    <row r="315" spans="2:23" ht="13">
      <c r="B315" s="5"/>
      <c r="D315" s="5"/>
      <c r="G315" s="149"/>
      <c r="I315" s="149"/>
      <c r="K315" s="149"/>
    </row>
    <row r="316" spans="2:23" ht="13">
      <c r="B316" s="5"/>
      <c r="D316" s="5" t="s">
        <v>353</v>
      </c>
      <c r="E316" s="5" t="s">
        <v>796</v>
      </c>
      <c r="G316" s="149"/>
      <c r="H316" s="149"/>
      <c r="I316" s="149"/>
      <c r="J316" s="149"/>
      <c r="K316" s="149"/>
      <c r="P316" s="149"/>
      <c r="Q316" s="149"/>
      <c r="R316" s="149"/>
      <c r="S316" s="149"/>
    </row>
    <row r="317" spans="2:23" ht="13">
      <c r="B317" s="5"/>
      <c r="D317" s="5"/>
      <c r="E317" t="s">
        <v>274</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611</v>
      </c>
      <c r="E319" s="252" t="s">
        <v>780</v>
      </c>
      <c r="F319" s="22"/>
      <c r="G319" s="149"/>
      <c r="H319" s="149"/>
      <c r="I319" s="149"/>
      <c r="J319" s="149"/>
      <c r="K319" s="149"/>
      <c r="L319" s="149"/>
      <c r="M319" s="149"/>
      <c r="N319" s="149"/>
      <c r="O319" s="149"/>
      <c r="P319" s="149"/>
      <c r="Q319" s="149"/>
      <c r="R319" s="149"/>
      <c r="S319" s="149"/>
    </row>
    <row r="320" spans="2:23" ht="13">
      <c r="B320" s="5"/>
      <c r="E320" t="s">
        <v>777</v>
      </c>
      <c r="I320" s="149"/>
      <c r="J320" s="149"/>
      <c r="K320" s="149"/>
      <c r="L320" s="149"/>
      <c r="M320" s="149"/>
      <c r="N320" s="149"/>
      <c r="O320" s="149"/>
      <c r="P320" s="149"/>
      <c r="Q320" s="149"/>
      <c r="R320" s="149"/>
      <c r="S320" s="149"/>
    </row>
    <row r="321" spans="1:38" ht="13">
      <c r="B321" s="5"/>
      <c r="E321" t="s">
        <v>778</v>
      </c>
      <c r="I321" s="149"/>
      <c r="J321" s="149"/>
      <c r="K321" s="149"/>
      <c r="L321" s="149"/>
      <c r="M321" s="149"/>
      <c r="N321" s="149"/>
      <c r="O321" s="149"/>
      <c r="P321" s="149"/>
      <c r="Q321" s="149"/>
      <c r="R321" s="149"/>
      <c r="S321" s="149"/>
    </row>
    <row r="322" spans="1:38" ht="13">
      <c r="B322" s="5"/>
      <c r="E322" t="s">
        <v>779</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652</v>
      </c>
      <c r="I324" s="149"/>
      <c r="J324" s="149"/>
      <c r="K324" s="149"/>
      <c r="L324" s="149"/>
      <c r="M324" s="149"/>
      <c r="N324" s="149"/>
      <c r="O324" s="149"/>
      <c r="P324" s="149"/>
      <c r="Q324" s="149"/>
      <c r="R324" s="149"/>
      <c r="S324" s="149"/>
    </row>
    <row r="325" spans="1:38" ht="13">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ht="13">
      <c r="F328" s="184" t="s">
        <v>1346</v>
      </c>
      <c r="I328" s="184"/>
      <c r="J328" s="149"/>
      <c r="K328" s="149"/>
      <c r="L328" s="149"/>
      <c r="M328" s="149"/>
      <c r="N328" s="149"/>
      <c r="O328" s="149"/>
      <c r="P328" s="149"/>
      <c r="Q328" s="149"/>
      <c r="R328" s="149"/>
      <c r="S328" s="149"/>
    </row>
    <row r="329" spans="1:38" ht="13">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453</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784</v>
      </c>
      <c r="J335" s="149"/>
      <c r="K335" s="149"/>
      <c r="L335" s="149"/>
      <c r="M335" s="149"/>
      <c r="N335" s="149"/>
      <c r="O335" s="149"/>
      <c r="P335" s="149"/>
      <c r="Q335" s="149"/>
      <c r="R335" s="149"/>
      <c r="S335" s="149"/>
    </row>
    <row r="336" spans="1:38" ht="13">
      <c r="B336" s="5"/>
      <c r="E336" s="149"/>
      <c r="F336" s="149" t="s">
        <v>785</v>
      </c>
      <c r="J336" s="149"/>
      <c r="K336" s="149"/>
      <c r="L336" s="149"/>
      <c r="M336" s="149"/>
      <c r="N336" s="149"/>
      <c r="O336" s="149"/>
      <c r="P336" s="149"/>
      <c r="Q336" s="149"/>
      <c r="R336" s="149"/>
      <c r="S336" s="149"/>
    </row>
    <row r="337" spans="2:37" ht="13">
      <c r="B337" s="5"/>
      <c r="E337" s="149"/>
      <c r="F337" s="149" t="s">
        <v>786</v>
      </c>
      <c r="I337" s="149"/>
      <c r="J337" s="149"/>
      <c r="K337" s="149"/>
      <c r="L337" s="149"/>
      <c r="M337" s="149"/>
      <c r="N337" s="149"/>
      <c r="O337" s="149"/>
      <c r="P337" s="149"/>
      <c r="Q337" s="149"/>
      <c r="R337" s="149"/>
      <c r="S337" s="149"/>
    </row>
    <row r="338" spans="2:37" ht="13">
      <c r="B338" s="5"/>
      <c r="E338" s="149" t="s">
        <v>118</v>
      </c>
      <c r="F338" s="1874" t="s">
        <v>1350</v>
      </c>
      <c r="G338" s="1874"/>
      <c r="H338" s="1874"/>
      <c r="I338" s="1874"/>
      <c r="J338" s="1874"/>
      <c r="K338" s="1874"/>
      <c r="L338" s="1874"/>
      <c r="M338" s="1874"/>
      <c r="N338" s="1874"/>
      <c r="O338" s="1874"/>
      <c r="P338" s="1874"/>
      <c r="Q338" s="1874"/>
      <c r="R338" s="1874"/>
      <c r="S338" s="1874"/>
      <c r="T338" s="1874"/>
      <c r="U338" s="1874"/>
      <c r="V338" s="1874"/>
      <c r="W338" s="1874"/>
      <c r="X338" s="1874"/>
      <c r="Y338" s="1874"/>
      <c r="Z338" s="1874"/>
      <c r="AA338" s="1874"/>
      <c r="AB338" s="1874"/>
      <c r="AC338" s="1874"/>
      <c r="AD338" s="1874"/>
      <c r="AE338" s="1874"/>
      <c r="AF338" s="1874"/>
      <c r="AG338" s="1874"/>
      <c r="AH338" s="1874"/>
      <c r="AI338" s="1874"/>
      <c r="AJ338" s="1874"/>
      <c r="AK338" s="1874"/>
    </row>
    <row r="339" spans="2:37" ht="13">
      <c r="B339" s="5"/>
      <c r="E339" s="149"/>
      <c r="F339" s="1874"/>
      <c r="G339" s="1874"/>
      <c r="H339" s="1874"/>
      <c r="I339" s="1874"/>
      <c r="J339" s="1874"/>
      <c r="K339" s="1874"/>
      <c r="L339" s="1874"/>
      <c r="M339" s="1874"/>
      <c r="N339" s="1874"/>
      <c r="O339" s="1874"/>
      <c r="P339" s="1874"/>
      <c r="Q339" s="1874"/>
      <c r="R339" s="1874"/>
      <c r="S339" s="1874"/>
      <c r="T339" s="1874"/>
      <c r="U339" s="1874"/>
      <c r="V339" s="1874"/>
      <c r="W339" s="1874"/>
      <c r="X339" s="1874"/>
      <c r="Y339" s="1874"/>
      <c r="Z339" s="1874"/>
      <c r="AA339" s="1874"/>
      <c r="AB339" s="1874"/>
      <c r="AC339" s="1874"/>
      <c r="AD339" s="1874"/>
      <c r="AE339" s="1874"/>
      <c r="AF339" s="1874"/>
      <c r="AG339" s="1874"/>
      <c r="AH339" s="1874"/>
      <c r="AI339" s="1874"/>
      <c r="AJ339" s="1874"/>
      <c r="AK339" s="1874"/>
    </row>
    <row r="340" spans="2:37" ht="13">
      <c r="B340" s="5"/>
      <c r="E340" s="149"/>
      <c r="F340" s="1874"/>
      <c r="G340" s="1874"/>
      <c r="H340" s="1874"/>
      <c r="I340" s="1874"/>
      <c r="J340" s="1874"/>
      <c r="K340" s="1874"/>
      <c r="L340" s="1874"/>
      <c r="M340" s="1874"/>
      <c r="N340" s="1874"/>
      <c r="O340" s="1874"/>
      <c r="P340" s="1874"/>
      <c r="Q340" s="1874"/>
      <c r="R340" s="1874"/>
      <c r="S340" s="1874"/>
      <c r="T340" s="1874"/>
      <c r="U340" s="1874"/>
      <c r="V340" s="1874"/>
      <c r="W340" s="1874"/>
      <c r="X340" s="1874"/>
      <c r="Y340" s="1874"/>
      <c r="Z340" s="1874"/>
      <c r="AA340" s="1874"/>
      <c r="AB340" s="1874"/>
      <c r="AC340" s="1874"/>
      <c r="AD340" s="1874"/>
      <c r="AE340" s="1874"/>
      <c r="AF340" s="1874"/>
      <c r="AG340" s="1874"/>
      <c r="AH340" s="1874"/>
      <c r="AI340" s="1874"/>
      <c r="AJ340" s="1874"/>
      <c r="AK340" s="1874"/>
    </row>
    <row r="341" spans="2:37" ht="13">
      <c r="B341" s="5"/>
      <c r="F341" s="149"/>
      <c r="H341" s="149"/>
      <c r="I341" s="149"/>
      <c r="J341" s="149"/>
      <c r="K341" s="149"/>
      <c r="L341" s="149"/>
      <c r="M341" s="149"/>
      <c r="N341" s="149"/>
      <c r="O341" s="149"/>
      <c r="P341" s="149"/>
      <c r="Q341" s="149"/>
      <c r="R341" s="149"/>
      <c r="S341" s="149"/>
    </row>
    <row r="342" spans="2:37" s="718" customFormat="1" ht="13">
      <c r="B342" s="5"/>
      <c r="C342" s="183" t="s">
        <v>454</v>
      </c>
      <c r="G342" s="195" t="s">
        <v>1450</v>
      </c>
      <c r="I342" s="183"/>
      <c r="J342" s="149"/>
      <c r="K342" s="149"/>
      <c r="L342" s="149"/>
      <c r="M342" s="149"/>
      <c r="N342" s="149"/>
      <c r="O342" s="149"/>
      <c r="P342" s="149"/>
      <c r="Q342" s="149"/>
      <c r="R342" s="149"/>
      <c r="S342" s="149"/>
    </row>
    <row r="343" spans="2:37" s="718" customFormat="1" ht="13.25" customHeight="1">
      <c r="B343" s="5"/>
      <c r="E343" s="1879" t="s">
        <v>1457</v>
      </c>
      <c r="F343" s="1879"/>
      <c r="G343" s="1879"/>
      <c r="H343" s="1879"/>
      <c r="I343" s="1879"/>
      <c r="J343" s="1879"/>
      <c r="K343" s="1879"/>
      <c r="L343" s="1879"/>
      <c r="M343" s="1879"/>
      <c r="N343" s="1879"/>
      <c r="O343" s="1879"/>
      <c r="P343" s="1879"/>
      <c r="Q343" s="1879"/>
      <c r="R343" s="1879"/>
      <c r="S343" s="1879"/>
      <c r="T343" s="1879"/>
      <c r="U343" s="1879"/>
      <c r="V343" s="1879"/>
      <c r="W343" s="1879"/>
      <c r="X343" s="1879"/>
      <c r="Y343" s="1879"/>
      <c r="Z343" s="1879"/>
      <c r="AA343" s="1879"/>
      <c r="AB343" s="1879"/>
      <c r="AC343" s="1879"/>
      <c r="AD343" s="1879"/>
      <c r="AE343" s="1879"/>
      <c r="AF343" s="1879"/>
      <c r="AG343" s="1879"/>
      <c r="AH343" s="1879"/>
      <c r="AI343" s="1879"/>
      <c r="AJ343" s="1879"/>
      <c r="AK343" s="1879"/>
    </row>
    <row r="344" spans="2:37" s="718" customFormat="1" ht="13">
      <c r="B344" s="5"/>
      <c r="E344" s="1879"/>
      <c r="F344" s="1879"/>
      <c r="G344" s="1879"/>
      <c r="H344" s="1879"/>
      <c r="I344" s="1879"/>
      <c r="J344" s="1879"/>
      <c r="K344" s="1879"/>
      <c r="L344" s="1879"/>
      <c r="M344" s="1879"/>
      <c r="N344" s="1879"/>
      <c r="O344" s="1879"/>
      <c r="P344" s="1879"/>
      <c r="Q344" s="1879"/>
      <c r="R344" s="1879"/>
      <c r="S344" s="1879"/>
      <c r="T344" s="1879"/>
      <c r="U344" s="1879"/>
      <c r="V344" s="1879"/>
      <c r="W344" s="1879"/>
      <c r="X344" s="1879"/>
      <c r="Y344" s="1879"/>
      <c r="Z344" s="1879"/>
      <c r="AA344" s="1879"/>
      <c r="AB344" s="1879"/>
      <c r="AC344" s="1879"/>
      <c r="AD344" s="1879"/>
      <c r="AE344" s="1879"/>
      <c r="AF344" s="1879"/>
      <c r="AG344" s="1879"/>
      <c r="AH344" s="1879"/>
      <c r="AI344" s="1879"/>
      <c r="AJ344" s="1879"/>
      <c r="AK344" s="1879"/>
    </row>
    <row r="345" spans="2:37" s="718" customFormat="1" ht="13">
      <c r="B345" s="5"/>
      <c r="E345" s="1879"/>
      <c r="F345" s="1879"/>
      <c r="G345" s="1879"/>
      <c r="H345" s="1879"/>
      <c r="I345" s="1879"/>
      <c r="J345" s="1879"/>
      <c r="K345" s="1879"/>
      <c r="L345" s="1879"/>
      <c r="M345" s="1879"/>
      <c r="N345" s="1879"/>
      <c r="O345" s="1879"/>
      <c r="P345" s="1879"/>
      <c r="Q345" s="1879"/>
      <c r="R345" s="1879"/>
      <c r="S345" s="1879"/>
      <c r="T345" s="1879"/>
      <c r="U345" s="1879"/>
      <c r="V345" s="1879"/>
      <c r="W345" s="1879"/>
      <c r="X345" s="1879"/>
      <c r="Y345" s="1879"/>
      <c r="Z345" s="1879"/>
      <c r="AA345" s="1879"/>
      <c r="AB345" s="1879"/>
      <c r="AC345" s="1879"/>
      <c r="AD345" s="1879"/>
      <c r="AE345" s="1879"/>
      <c r="AF345" s="1879"/>
      <c r="AG345" s="1879"/>
      <c r="AH345" s="1879"/>
      <c r="AI345" s="1879"/>
      <c r="AJ345" s="1879"/>
      <c r="AK345" s="1879"/>
    </row>
    <row r="346" spans="2:37" s="718" customFormat="1" ht="13">
      <c r="B346" s="5"/>
      <c r="E346" s="1879"/>
      <c r="F346" s="1879"/>
      <c r="G346" s="1879"/>
      <c r="H346" s="1879"/>
      <c r="I346" s="1879"/>
      <c r="J346" s="1879"/>
      <c r="K346" s="1879"/>
      <c r="L346" s="1879"/>
      <c r="M346" s="1879"/>
      <c r="N346" s="1879"/>
      <c r="O346" s="1879"/>
      <c r="P346" s="1879"/>
      <c r="Q346" s="1879"/>
      <c r="R346" s="1879"/>
      <c r="S346" s="1879"/>
      <c r="T346" s="1879"/>
      <c r="U346" s="1879"/>
      <c r="V346" s="1879"/>
      <c r="W346" s="1879"/>
      <c r="X346" s="1879"/>
      <c r="Y346" s="1879"/>
      <c r="Z346" s="1879"/>
      <c r="AA346" s="1879"/>
      <c r="AB346" s="1879"/>
      <c r="AC346" s="1879"/>
      <c r="AD346" s="1879"/>
      <c r="AE346" s="1879"/>
      <c r="AF346" s="1879"/>
      <c r="AG346" s="1879"/>
      <c r="AH346" s="1879"/>
      <c r="AI346" s="1879"/>
      <c r="AJ346" s="1879"/>
      <c r="AK346" s="1879"/>
    </row>
    <row r="347" spans="2:37" s="718" customFormat="1" ht="13">
      <c r="B347" s="5"/>
      <c r="E347" s="1879"/>
      <c r="F347" s="1879"/>
      <c r="G347" s="1879"/>
      <c r="H347" s="1879"/>
      <c r="I347" s="1879"/>
      <c r="J347" s="1879"/>
      <c r="K347" s="1879"/>
      <c r="L347" s="1879"/>
      <c r="M347" s="1879"/>
      <c r="N347" s="1879"/>
      <c r="O347" s="1879"/>
      <c r="P347" s="1879"/>
      <c r="Q347" s="1879"/>
      <c r="R347" s="1879"/>
      <c r="S347" s="1879"/>
      <c r="T347" s="1879"/>
      <c r="U347" s="1879"/>
      <c r="V347" s="1879"/>
      <c r="W347" s="1879"/>
      <c r="X347" s="1879"/>
      <c r="Y347" s="1879"/>
      <c r="Z347" s="1879"/>
      <c r="AA347" s="1879"/>
      <c r="AB347" s="1879"/>
      <c r="AC347" s="1879"/>
      <c r="AD347" s="1879"/>
      <c r="AE347" s="1879"/>
      <c r="AF347" s="1879"/>
      <c r="AG347" s="1879"/>
      <c r="AH347" s="1879"/>
      <c r="AI347" s="1879"/>
      <c r="AJ347" s="1879"/>
      <c r="AK347" s="1879"/>
    </row>
    <row r="348" spans="2:37" s="718" customFormat="1" ht="13">
      <c r="B348" s="5"/>
      <c r="E348" s="6" t="s">
        <v>117</v>
      </c>
      <c r="F348" s="1874" t="s">
        <v>1459</v>
      </c>
      <c r="G348" s="1874"/>
      <c r="H348" s="1874"/>
      <c r="I348" s="1874"/>
      <c r="J348" s="1874"/>
      <c r="K348" s="1874"/>
      <c r="L348" s="1874"/>
      <c r="M348" s="1874"/>
      <c r="N348" s="1874"/>
      <c r="O348" s="1874"/>
      <c r="P348" s="1874"/>
      <c r="Q348" s="1874"/>
      <c r="R348" s="1874"/>
      <c r="S348" s="1874"/>
      <c r="T348" s="1874"/>
      <c r="U348" s="1874"/>
      <c r="V348" s="1874"/>
      <c r="W348" s="1874"/>
      <c r="X348" s="1874"/>
      <c r="Y348" s="1874"/>
      <c r="Z348" s="1874"/>
      <c r="AA348" s="1874"/>
      <c r="AB348" s="1874"/>
      <c r="AC348" s="1874"/>
      <c r="AD348" s="1874"/>
      <c r="AE348" s="1874"/>
      <c r="AF348" s="1874"/>
      <c r="AG348" s="1874"/>
      <c r="AH348" s="1874"/>
      <c r="AI348" s="1874"/>
      <c r="AJ348" s="1874"/>
      <c r="AK348" s="1874"/>
    </row>
    <row r="349" spans="2:37" s="718" customFormat="1" ht="13">
      <c r="B349" s="5"/>
      <c r="E349" s="6"/>
      <c r="F349" s="1874"/>
      <c r="G349" s="1874"/>
      <c r="H349" s="1874"/>
      <c r="I349" s="1874"/>
      <c r="J349" s="1874"/>
      <c r="K349" s="1874"/>
      <c r="L349" s="1874"/>
      <c r="M349" s="1874"/>
      <c r="N349" s="1874"/>
      <c r="O349" s="1874"/>
      <c r="P349" s="1874"/>
      <c r="Q349" s="1874"/>
      <c r="R349" s="1874"/>
      <c r="S349" s="1874"/>
      <c r="T349" s="1874"/>
      <c r="U349" s="1874"/>
      <c r="V349" s="1874"/>
      <c r="W349" s="1874"/>
      <c r="X349" s="1874"/>
      <c r="Y349" s="1874"/>
      <c r="Z349" s="1874"/>
      <c r="AA349" s="1874"/>
      <c r="AB349" s="1874"/>
      <c r="AC349" s="1874"/>
      <c r="AD349" s="1874"/>
      <c r="AE349" s="1874"/>
      <c r="AF349" s="1874"/>
      <c r="AG349" s="1874"/>
      <c r="AH349" s="1874"/>
      <c r="AI349" s="1874"/>
      <c r="AJ349" s="1874"/>
      <c r="AK349" s="1874"/>
    </row>
    <row r="350" spans="2:37" s="718" customFormat="1" ht="13">
      <c r="B350" s="5"/>
      <c r="E350" s="6"/>
      <c r="F350" s="1874"/>
      <c r="G350" s="1874"/>
      <c r="H350" s="1874"/>
      <c r="I350" s="1874"/>
      <c r="J350" s="1874"/>
      <c r="K350" s="1874"/>
      <c r="L350" s="1874"/>
      <c r="M350" s="1874"/>
      <c r="N350" s="1874"/>
      <c r="O350" s="1874"/>
      <c r="P350" s="1874"/>
      <c r="Q350" s="1874"/>
      <c r="R350" s="1874"/>
      <c r="S350" s="1874"/>
      <c r="T350" s="1874"/>
      <c r="U350" s="1874"/>
      <c r="V350" s="1874"/>
      <c r="W350" s="1874"/>
      <c r="X350" s="1874"/>
      <c r="Y350" s="1874"/>
      <c r="Z350" s="1874"/>
      <c r="AA350" s="1874"/>
      <c r="AB350" s="1874"/>
      <c r="AC350" s="1874"/>
      <c r="AD350" s="1874"/>
      <c r="AE350" s="1874"/>
      <c r="AF350" s="1874"/>
      <c r="AG350" s="1874"/>
      <c r="AH350" s="1874"/>
      <c r="AI350" s="1874"/>
      <c r="AJ350" s="1874"/>
      <c r="AK350" s="1874"/>
    </row>
    <row r="351" spans="2:37" s="718" customFormat="1" ht="13">
      <c r="B351" s="5"/>
      <c r="E351" s="6"/>
      <c r="F351" s="1874"/>
      <c r="G351" s="1874"/>
      <c r="H351" s="1874"/>
      <c r="I351" s="1874"/>
      <c r="J351" s="1874"/>
      <c r="K351" s="1874"/>
      <c r="L351" s="1874"/>
      <c r="M351" s="1874"/>
      <c r="N351" s="1874"/>
      <c r="O351" s="1874"/>
      <c r="P351" s="1874"/>
      <c r="Q351" s="1874"/>
      <c r="R351" s="1874"/>
      <c r="S351" s="1874"/>
      <c r="T351" s="1874"/>
      <c r="U351" s="1874"/>
      <c r="V351" s="1874"/>
      <c r="W351" s="1874"/>
      <c r="X351" s="1874"/>
      <c r="Y351" s="1874"/>
      <c r="Z351" s="1874"/>
      <c r="AA351" s="1874"/>
      <c r="AB351" s="1874"/>
      <c r="AC351" s="1874"/>
      <c r="AD351" s="1874"/>
      <c r="AE351" s="1874"/>
      <c r="AF351" s="1874"/>
      <c r="AG351" s="1874"/>
      <c r="AH351" s="1874"/>
      <c r="AI351" s="1874"/>
      <c r="AJ351" s="1874"/>
      <c r="AK351" s="1874"/>
    </row>
    <row r="352" spans="2:37" s="718" customFormat="1" ht="13">
      <c r="B352" s="5"/>
      <c r="E352" s="6" t="s">
        <v>118</v>
      </c>
      <c r="F352" s="1874" t="s">
        <v>1458</v>
      </c>
      <c r="G352" s="1874"/>
      <c r="H352" s="1874"/>
      <c r="I352" s="1874"/>
      <c r="J352" s="1874"/>
      <c r="K352" s="1874"/>
      <c r="L352" s="1874"/>
      <c r="M352" s="1874"/>
      <c r="N352" s="1874"/>
      <c r="O352" s="1874"/>
      <c r="P352" s="1874"/>
      <c r="Q352" s="1874"/>
      <c r="R352" s="1874"/>
      <c r="S352" s="1874"/>
      <c r="T352" s="1874"/>
      <c r="U352" s="1874"/>
      <c r="V352" s="1874"/>
      <c r="W352" s="1874"/>
      <c r="X352" s="1874"/>
      <c r="Y352" s="1874"/>
      <c r="Z352" s="1874"/>
      <c r="AA352" s="1874"/>
      <c r="AB352" s="1874"/>
      <c r="AC352" s="1874"/>
      <c r="AD352" s="1874"/>
      <c r="AE352" s="1874"/>
      <c r="AF352" s="1874"/>
      <c r="AG352" s="1874"/>
      <c r="AH352" s="1874"/>
      <c r="AI352" s="1874"/>
      <c r="AJ352" s="1874"/>
      <c r="AK352" s="1874"/>
    </row>
    <row r="353" spans="1:38" s="718" customFormat="1" ht="13">
      <c r="B353" s="5"/>
      <c r="F353" s="1874"/>
      <c r="G353" s="1874"/>
      <c r="H353" s="1874"/>
      <c r="I353" s="1874"/>
      <c r="J353" s="1874"/>
      <c r="K353" s="1874"/>
      <c r="L353" s="1874"/>
      <c r="M353" s="1874"/>
      <c r="N353" s="1874"/>
      <c r="O353" s="1874"/>
      <c r="P353" s="1874"/>
      <c r="Q353" s="1874"/>
      <c r="R353" s="1874"/>
      <c r="S353" s="1874"/>
      <c r="T353" s="1874"/>
      <c r="U353" s="1874"/>
      <c r="V353" s="1874"/>
      <c r="W353" s="1874"/>
      <c r="X353" s="1874"/>
      <c r="Y353" s="1874"/>
      <c r="Z353" s="1874"/>
      <c r="AA353" s="1874"/>
      <c r="AB353" s="1874"/>
      <c r="AC353" s="1874"/>
      <c r="AD353" s="1874"/>
      <c r="AE353" s="1874"/>
      <c r="AF353" s="1874"/>
      <c r="AG353" s="1874"/>
      <c r="AH353" s="1874"/>
      <c r="AI353" s="1874"/>
      <c r="AJ353" s="1874"/>
      <c r="AK353" s="1874"/>
    </row>
    <row r="354" spans="1:38" s="718" customFormat="1" ht="13">
      <c r="B354" s="5"/>
      <c r="F354" s="1874"/>
      <c r="G354" s="1874"/>
      <c r="H354" s="1874"/>
      <c r="I354" s="1874"/>
      <c r="J354" s="1874"/>
      <c r="K354" s="1874"/>
      <c r="L354" s="1874"/>
      <c r="M354" s="1874"/>
      <c r="N354" s="1874"/>
      <c r="O354" s="1874"/>
      <c r="P354" s="1874"/>
      <c r="Q354" s="1874"/>
      <c r="R354" s="1874"/>
      <c r="S354" s="1874"/>
      <c r="T354" s="1874"/>
      <c r="U354" s="1874"/>
      <c r="V354" s="1874"/>
      <c r="W354" s="1874"/>
      <c r="X354" s="1874"/>
      <c r="Y354" s="1874"/>
      <c r="Z354" s="1874"/>
      <c r="AA354" s="1874"/>
      <c r="AB354" s="1874"/>
      <c r="AC354" s="1874"/>
      <c r="AD354" s="1874"/>
      <c r="AE354" s="1874"/>
      <c r="AF354" s="1874"/>
      <c r="AG354" s="1874"/>
      <c r="AH354" s="1874"/>
      <c r="AI354" s="1874"/>
      <c r="AJ354" s="1874"/>
      <c r="AK354" s="1874"/>
    </row>
    <row r="355" spans="1:38" s="718" customFormat="1" ht="13">
      <c r="B355" s="5"/>
      <c r="F355" s="149"/>
      <c r="H355" s="149"/>
      <c r="I355" s="149"/>
      <c r="J355" s="149"/>
      <c r="K355" s="149"/>
      <c r="L355" s="149"/>
      <c r="M355" s="149"/>
      <c r="N355" s="149"/>
      <c r="O355" s="149"/>
      <c r="P355" s="149"/>
      <c r="Q355" s="149"/>
      <c r="R355" s="149"/>
      <c r="S355" s="149"/>
    </row>
    <row r="356" spans="1:38" ht="13">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ht="13">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5"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788</v>
      </c>
      <c r="I361" s="149"/>
      <c r="J361" s="149"/>
      <c r="K361" s="149"/>
      <c r="L361" s="149"/>
      <c r="M361" s="149"/>
      <c r="N361" s="149"/>
      <c r="O361" s="149"/>
      <c r="P361" s="149"/>
      <c r="Q361" s="149"/>
      <c r="R361" s="149"/>
      <c r="S361" s="149"/>
    </row>
    <row r="362" spans="1:38" ht="13">
      <c r="B362" s="5"/>
      <c r="F362" s="149" t="s">
        <v>789</v>
      </c>
      <c r="I362" s="149"/>
      <c r="J362" s="149"/>
      <c r="K362" s="149"/>
      <c r="L362" s="149"/>
      <c r="M362" s="149"/>
      <c r="N362" s="149"/>
      <c r="O362" s="149"/>
      <c r="P362" s="149"/>
      <c r="Q362" s="149"/>
      <c r="R362" s="149"/>
      <c r="S362" s="149"/>
    </row>
    <row r="363" spans="1:38" ht="13">
      <c r="B363" s="5"/>
      <c r="F363" s="149" t="s">
        <v>939</v>
      </c>
      <c r="G363" s="149"/>
      <c r="K363" s="149"/>
      <c r="L363" s="149"/>
      <c r="M363" s="149"/>
      <c r="N363" s="149"/>
      <c r="O363" s="149"/>
      <c r="P363" s="149"/>
      <c r="Q363" s="149"/>
      <c r="R363" s="149"/>
      <c r="S363" s="149"/>
    </row>
    <row r="364" spans="1:38" ht="13">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790</v>
      </c>
      <c r="I365" s="149"/>
      <c r="J365" s="149"/>
      <c r="K365" s="149"/>
      <c r="L365" s="149"/>
      <c r="M365" s="149"/>
      <c r="N365" s="149"/>
      <c r="O365" s="149"/>
      <c r="P365" s="149"/>
      <c r="Q365" s="149"/>
      <c r="R365" s="149"/>
      <c r="S365" s="149"/>
    </row>
    <row r="366" spans="1:38" ht="13">
      <c r="B366" s="5"/>
      <c r="F366" s="149" t="s">
        <v>791</v>
      </c>
      <c r="J366" s="149"/>
      <c r="K366" s="149"/>
      <c r="L366" s="149"/>
      <c r="M366" s="149"/>
      <c r="N366" s="149"/>
      <c r="O366" s="149"/>
      <c r="P366" s="149"/>
      <c r="Q366" s="149"/>
      <c r="R366" s="149"/>
      <c r="S366" s="149"/>
    </row>
    <row r="367" spans="1:38" s="718" customFormat="1" ht="13">
      <c r="B367" s="5"/>
      <c r="E367" s="1883" t="s">
        <v>1448</v>
      </c>
      <c r="F367" s="1883"/>
      <c r="G367" s="1883"/>
      <c r="H367" s="1883"/>
      <c r="I367" s="1883"/>
      <c r="J367" s="1883"/>
      <c r="K367" s="1883"/>
      <c r="L367" s="1883"/>
      <c r="M367" s="1883"/>
      <c r="N367" s="1883"/>
      <c r="O367" s="1883"/>
      <c r="P367" s="1883"/>
      <c r="Q367" s="1883"/>
      <c r="R367" s="1883"/>
      <c r="S367" s="1883"/>
      <c r="T367" s="1883"/>
      <c r="U367" s="1883"/>
      <c r="V367" s="1883"/>
      <c r="W367" s="1883"/>
      <c r="X367" s="1883"/>
      <c r="Y367" s="1883"/>
      <c r="Z367" s="1883"/>
      <c r="AA367" s="1883"/>
      <c r="AB367" s="1883"/>
      <c r="AC367" s="1883"/>
      <c r="AD367" s="1883"/>
      <c r="AE367" s="1883"/>
      <c r="AF367" s="1883"/>
      <c r="AG367" s="1883"/>
      <c r="AH367" s="1883"/>
      <c r="AI367" s="1883"/>
      <c r="AJ367" s="1883"/>
      <c r="AK367" s="1883"/>
      <c r="AL367" s="1883"/>
    </row>
    <row r="368" spans="1:38" s="718" customFormat="1" ht="13">
      <c r="B368" s="5"/>
      <c r="E368" s="1883"/>
      <c r="F368" s="1883"/>
      <c r="G368" s="1883"/>
      <c r="H368" s="1883"/>
      <c r="I368" s="1883"/>
      <c r="J368" s="1883"/>
      <c r="K368" s="1883"/>
      <c r="L368" s="1883"/>
      <c r="M368" s="1883"/>
      <c r="N368" s="1883"/>
      <c r="O368" s="1883"/>
      <c r="P368" s="1883"/>
      <c r="Q368" s="1883"/>
      <c r="R368" s="1883"/>
      <c r="S368" s="1883"/>
      <c r="T368" s="1883"/>
      <c r="U368" s="1883"/>
      <c r="V368" s="1883"/>
      <c r="W368" s="1883"/>
      <c r="X368" s="1883"/>
      <c r="Y368" s="1883"/>
      <c r="Z368" s="1883"/>
      <c r="AA368" s="1883"/>
      <c r="AB368" s="1883"/>
      <c r="AC368" s="1883"/>
      <c r="AD368" s="1883"/>
      <c r="AE368" s="1883"/>
      <c r="AF368" s="1883"/>
      <c r="AG368" s="1883"/>
      <c r="AH368" s="1883"/>
      <c r="AI368" s="1883"/>
      <c r="AJ368" s="1883"/>
      <c r="AK368" s="1883"/>
      <c r="AL368" s="1883"/>
    </row>
    <row r="369" spans="1:38" s="1885" customFormat="1" ht="13">
      <c r="A369"/>
      <c r="B369" s="5"/>
      <c r="C369"/>
      <c r="D369"/>
      <c r="E369" s="1884" t="s">
        <v>1499</v>
      </c>
    </row>
    <row r="370" spans="1:38" s="1885" customFormat="1" ht="13">
      <c r="A370" s="678"/>
      <c r="B370" s="183"/>
      <c r="C370" s="183"/>
      <c r="D370" s="678"/>
    </row>
    <row r="371" spans="1:38" s="718" customFormat="1" ht="13">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ht="13">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611</v>
      </c>
      <c r="E376" s="183" t="s">
        <v>290</v>
      </c>
      <c r="J376" s="182"/>
      <c r="K376" s="182"/>
      <c r="L376" s="182"/>
      <c r="M376" s="182"/>
      <c r="N376" s="182"/>
      <c r="O376" s="182"/>
      <c r="P376" s="182"/>
      <c r="Q376" s="182"/>
      <c r="R376" s="182"/>
      <c r="S376" s="182"/>
    </row>
    <row r="377" spans="1:38" s="2" customFormat="1" ht="13">
      <c r="B377" s="183"/>
      <c r="E377" s="182" t="s">
        <v>117</v>
      </c>
      <c r="F377" s="182" t="s">
        <v>259</v>
      </c>
      <c r="G377" s="182"/>
      <c r="I377" s="182"/>
      <c r="J377" s="182"/>
      <c r="K377" s="182"/>
      <c r="L377" s="182"/>
      <c r="M377" s="182"/>
      <c r="N377" s="182"/>
      <c r="O377" s="182"/>
      <c r="P377" s="182"/>
      <c r="Q377" s="182"/>
      <c r="R377" s="182"/>
      <c r="S377" s="182"/>
    </row>
    <row r="378" spans="1:38" s="2" customFormat="1" ht="13">
      <c r="B378" s="183"/>
      <c r="E378" s="182"/>
      <c r="F378" s="248" t="s">
        <v>1348</v>
      </c>
      <c r="G378" s="182"/>
      <c r="I378" s="248"/>
      <c r="J378" s="182"/>
      <c r="K378" s="182"/>
      <c r="L378" s="182"/>
      <c r="M378" s="182"/>
      <c r="N378" s="182"/>
      <c r="O378" s="182"/>
      <c r="P378" s="182"/>
      <c r="Q378" s="182"/>
      <c r="R378" s="182"/>
      <c r="S378" s="182"/>
    </row>
    <row r="379" spans="1:38" ht="13">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ht="13">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ht="13">
      <c r="A381" s="718"/>
      <c r="B381" s="5"/>
      <c r="C381" s="718"/>
      <c r="D381" s="5" t="s">
        <v>549</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ht="13">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ht="13">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ht="13">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ht="13">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ht="13">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ht="13">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ht="13">
      <c r="A388" s="678"/>
      <c r="B388" s="183"/>
      <c r="C388" s="678"/>
      <c r="D388" s="678"/>
      <c r="E388" s="679" t="s">
        <v>118</v>
      </c>
      <c r="F388" s="1876" t="s">
        <v>1510</v>
      </c>
      <c r="G388" s="1876"/>
      <c r="H388" s="1876"/>
      <c r="I388" s="1876"/>
      <c r="J388" s="1876"/>
      <c r="K388" s="1876"/>
      <c r="L388" s="1876"/>
      <c r="M388" s="1876"/>
      <c r="N388" s="1876"/>
      <c r="O388" s="1876"/>
      <c r="P388" s="1876"/>
      <c r="Q388" s="1876"/>
      <c r="R388" s="1876"/>
      <c r="S388" s="1876"/>
      <c r="T388" s="1876"/>
      <c r="U388" s="1876"/>
      <c r="V388" s="1876"/>
      <c r="W388" s="1876"/>
      <c r="X388" s="1876"/>
      <c r="Y388" s="1876"/>
      <c r="Z388" s="1876"/>
      <c r="AA388" s="1876"/>
      <c r="AB388" s="1876"/>
      <c r="AC388" s="1876"/>
      <c r="AD388" s="1876"/>
      <c r="AE388" s="1876"/>
      <c r="AF388" s="1876"/>
      <c r="AG388" s="1876"/>
      <c r="AH388" s="1876"/>
      <c r="AI388" s="1876"/>
      <c r="AJ388" s="1876"/>
      <c r="AK388" s="1876"/>
      <c r="AL388" s="678"/>
    </row>
    <row r="389" spans="1:38" s="718" customFormat="1" ht="13">
      <c r="A389" s="678"/>
      <c r="B389" s="183"/>
      <c r="C389" s="678"/>
      <c r="D389" s="678"/>
      <c r="E389" s="679"/>
      <c r="F389" s="1876"/>
      <c r="G389" s="1876"/>
      <c r="H389" s="1876"/>
      <c r="I389" s="1876"/>
      <c r="J389" s="1876"/>
      <c r="K389" s="1876"/>
      <c r="L389" s="1876"/>
      <c r="M389" s="1876"/>
      <c r="N389" s="1876"/>
      <c r="O389" s="1876"/>
      <c r="P389" s="1876"/>
      <c r="Q389" s="1876"/>
      <c r="R389" s="1876"/>
      <c r="S389" s="1876"/>
      <c r="T389" s="1876"/>
      <c r="U389" s="1876"/>
      <c r="V389" s="1876"/>
      <c r="W389" s="1876"/>
      <c r="X389" s="1876"/>
      <c r="Y389" s="1876"/>
      <c r="Z389" s="1876"/>
      <c r="AA389" s="1876"/>
      <c r="AB389" s="1876"/>
      <c r="AC389" s="1876"/>
      <c r="AD389" s="1876"/>
      <c r="AE389" s="1876"/>
      <c r="AF389" s="1876"/>
      <c r="AG389" s="1876"/>
      <c r="AH389" s="1876"/>
      <c r="AI389" s="1876"/>
      <c r="AJ389" s="1876"/>
      <c r="AK389" s="1876"/>
      <c r="AL389" s="678"/>
    </row>
    <row r="390" spans="1:38" s="718" customFormat="1" ht="13">
      <c r="A390" s="678"/>
      <c r="B390" s="183"/>
      <c r="C390" s="678"/>
      <c r="D390" s="678"/>
      <c r="E390" s="679"/>
      <c r="F390" s="1876"/>
      <c r="G390" s="1876"/>
      <c r="H390" s="1876"/>
      <c r="I390" s="1876"/>
      <c r="J390" s="1876"/>
      <c r="K390" s="1876"/>
      <c r="L390" s="1876"/>
      <c r="M390" s="1876"/>
      <c r="N390" s="1876"/>
      <c r="O390" s="1876"/>
      <c r="P390" s="1876"/>
      <c r="Q390" s="1876"/>
      <c r="R390" s="1876"/>
      <c r="S390" s="1876"/>
      <c r="T390" s="1876"/>
      <c r="U390" s="1876"/>
      <c r="V390" s="1876"/>
      <c r="W390" s="1876"/>
      <c r="X390" s="1876"/>
      <c r="Y390" s="1876"/>
      <c r="Z390" s="1876"/>
      <c r="AA390" s="1876"/>
      <c r="AB390" s="1876"/>
      <c r="AC390" s="1876"/>
      <c r="AD390" s="1876"/>
      <c r="AE390" s="1876"/>
      <c r="AF390" s="1876"/>
      <c r="AG390" s="1876"/>
      <c r="AH390" s="1876"/>
      <c r="AI390" s="1876"/>
      <c r="AJ390" s="1876"/>
      <c r="AK390" s="1876"/>
      <c r="AL390" s="678"/>
    </row>
    <row r="391" spans="1:38" s="718" customFormat="1" ht="13">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ht="13">
      <c r="A392" s="678"/>
      <c r="B392" s="183"/>
      <c r="C392" s="183"/>
      <c r="D392" s="5" t="s">
        <v>452</v>
      </c>
      <c r="E392" s="5" t="s">
        <v>1519</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5" customHeight="1">
      <c r="A393" s="678"/>
      <c r="B393" s="183"/>
      <c r="C393" s="678"/>
      <c r="D393" s="5"/>
      <c r="E393" s="6" t="s">
        <v>1518</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ht="13">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7" sqref="E7"/>
    </sheetView>
  </sheetViews>
  <sheetFormatPr defaultColWidth="9.1796875" defaultRowHeight="14"/>
  <cols>
    <col min="1" max="1" width="3.6328125" style="1336" customWidth="1"/>
    <col min="2" max="2" width="1.6328125" style="1336" customWidth="1"/>
    <col min="3" max="3" width="2.6328125" style="1336" customWidth="1"/>
    <col min="4" max="4" width="40.6328125" style="1336" customWidth="1"/>
    <col min="5" max="5" width="13.453125" style="1336" customWidth="1"/>
    <col min="6" max="6" width="2.6328125" style="1340" customWidth="1"/>
    <col min="7" max="7" width="10.6328125" style="1336" customWidth="1"/>
    <col min="8" max="8" width="2.6328125" style="1340" customWidth="1"/>
    <col min="9" max="9" width="10.6328125" style="1336" customWidth="1"/>
    <col min="10" max="10" width="1.453125" style="1336" customWidth="1"/>
    <col min="11" max="11" width="47.453125" style="1337" customWidth="1"/>
    <col min="12" max="16384" width="9.1796875" style="1336"/>
  </cols>
  <sheetData>
    <row r="1" spans="1:11" ht="30" customHeight="1">
      <c r="A1" s="3285" t="s">
        <v>1891</v>
      </c>
      <c r="B1" s="3285"/>
      <c r="C1" s="3285"/>
      <c r="D1" s="3285"/>
      <c r="E1" s="3285"/>
      <c r="F1" s="3285"/>
      <c r="G1" s="3285"/>
      <c r="H1" s="3285"/>
      <c r="I1" s="3285"/>
    </row>
    <row r="2" spans="1:11">
      <c r="A2" s="1338"/>
      <c r="B2" s="1338"/>
      <c r="E2" s="1339"/>
      <c r="I2" s="1341"/>
      <c r="K2" s="1342"/>
    </row>
    <row r="3" spans="1:11">
      <c r="A3" s="1343" t="s">
        <v>1598</v>
      </c>
      <c r="B3" s="1343"/>
      <c r="C3" s="1336" t="s">
        <v>2196</v>
      </c>
      <c r="E3" s="1844">
        <f>ROUND(Application!AM564+'Basis &amp; Credits'!AB77,0)</f>
        <v>40376336</v>
      </c>
      <c r="F3" s="1344"/>
      <c r="K3" s="1415"/>
    </row>
    <row r="4" spans="1:11" s="1345" customFormat="1" ht="15" customHeight="1">
      <c r="C4" s="1345" t="s">
        <v>1892</v>
      </c>
      <c r="E4" s="1421">
        <f>Application!AD1037</f>
        <v>0.3</v>
      </c>
      <c r="F4" s="1346"/>
      <c r="H4" s="1347"/>
      <c r="K4" s="1634"/>
    </row>
    <row r="5" spans="1:11" s="1348" customFormat="1" ht="15" customHeight="1">
      <c r="A5" s="3286"/>
      <c r="B5" s="3286"/>
      <c r="D5" s="1348" t="s">
        <v>2197</v>
      </c>
      <c r="E5" s="1349">
        <f>IF('CDLAC Points System'!C274="Yes",0.2,0)</f>
        <v>0</v>
      </c>
      <c r="F5" s="1346"/>
      <c r="H5" s="1347"/>
      <c r="K5" s="1635"/>
    </row>
    <row r="6" spans="1:11" s="1348" customFormat="1" ht="15" customHeight="1">
      <c r="A6" s="1498"/>
      <c r="B6" s="1498"/>
      <c r="D6" s="1348" t="s">
        <v>2198</v>
      </c>
      <c r="E6" s="1349">
        <f>IF(AND((Application!W464&gt;=(0.5*Application!G753)),Application!D210="Special Needs",(OR(Application!M354="Yes",Application!M355="Yes"))),0.2," ")</f>
        <v>0.2</v>
      </c>
      <c r="F6" s="1346"/>
      <c r="H6" s="1347"/>
      <c r="K6" s="1635"/>
    </row>
    <row r="7" spans="1:11">
      <c r="A7" s="1338"/>
      <c r="B7" s="1338"/>
      <c r="C7" s="1336" t="s">
        <v>2200</v>
      </c>
      <c r="E7" s="1419">
        <f>E3-(E3*(E4+(MAX(E5,E6))))</f>
        <v>20188168</v>
      </c>
      <c r="F7" s="1344"/>
      <c r="I7" s="1350"/>
      <c r="K7" s="1636"/>
    </row>
    <row r="8" spans="1:11">
      <c r="A8" s="1338"/>
      <c r="B8" s="1338"/>
      <c r="E8" s="1350"/>
      <c r="F8" s="1351"/>
      <c r="G8" s="1352"/>
      <c r="H8" s="1353"/>
      <c r="I8" s="1350"/>
    </row>
    <row r="9" spans="1:11" s="1356" customFormat="1" ht="15" customHeight="1">
      <c r="A9" s="1354"/>
      <c r="B9" s="1354"/>
      <c r="C9" s="1355"/>
      <c r="E9" s="1357" t="s">
        <v>1893</v>
      </c>
      <c r="F9" s="1358"/>
      <c r="G9" s="1359" t="s">
        <v>1894</v>
      </c>
      <c r="H9" s="1353"/>
      <c r="I9" s="1359" t="s">
        <v>1895</v>
      </c>
      <c r="K9" s="1360"/>
    </row>
    <row r="10" spans="1:11">
      <c r="A10" s="1343" t="s">
        <v>1600</v>
      </c>
      <c r="B10" s="1343"/>
      <c r="C10" s="1336" t="s">
        <v>1896</v>
      </c>
      <c r="E10" s="1361" t="s">
        <v>1897</v>
      </c>
      <c r="F10" s="1353"/>
      <c r="G10" s="1361" t="s">
        <v>1898</v>
      </c>
      <c r="H10" s="1353"/>
      <c r="I10" s="1361" t="s">
        <v>1897</v>
      </c>
    </row>
    <row r="11" spans="1:11">
      <c r="A11" s="1338"/>
      <c r="B11" s="1338"/>
      <c r="C11" s="1362" t="s">
        <v>1899</v>
      </c>
      <c r="D11" s="1362"/>
      <c r="E11" s="1416">
        <f>Application!BN635+Application!BN644+Application!CS658</f>
        <v>28</v>
      </c>
      <c r="G11" s="1363">
        <v>0.9</v>
      </c>
      <c r="H11" s="1364"/>
      <c r="I11" s="1365">
        <f>E11*G11</f>
        <v>25.2</v>
      </c>
      <c r="J11" s="1356"/>
      <c r="K11" s="1360"/>
    </row>
    <row r="12" spans="1:11">
      <c r="A12" s="1338"/>
      <c r="B12" s="1338"/>
      <c r="C12" s="1356" t="s">
        <v>1900</v>
      </c>
      <c r="D12" s="1356"/>
      <c r="E12" s="1416">
        <f>Application!BS635+Application!BS644+Application!CX658</f>
        <v>11</v>
      </c>
      <c r="G12" s="1363">
        <v>1</v>
      </c>
      <c r="H12" s="1364"/>
      <c r="I12" s="1365">
        <f>E12*G12</f>
        <v>11</v>
      </c>
      <c r="J12" s="1356"/>
    </row>
    <row r="13" spans="1:11">
      <c r="A13" s="1338"/>
      <c r="B13" s="1338"/>
      <c r="C13" s="1356" t="s">
        <v>1901</v>
      </c>
      <c r="D13" s="1356"/>
      <c r="E13" s="1416">
        <f>Application!BX635+Application!BX644+Application!DC658</f>
        <v>27</v>
      </c>
      <c r="G13" s="1363">
        <v>1.25</v>
      </c>
      <c r="H13" s="1364"/>
      <c r="I13" s="1365">
        <f>E13*G13</f>
        <v>33.75</v>
      </c>
      <c r="J13" s="1356"/>
    </row>
    <row r="14" spans="1:11">
      <c r="A14" s="1338"/>
      <c r="B14" s="1338"/>
      <c r="C14" s="1356" t="s">
        <v>1902</v>
      </c>
      <c r="D14" s="1356"/>
      <c r="E14" s="1416">
        <f>Application!CC635+Application!CC644+Application!DH658</f>
        <v>14</v>
      </c>
      <c r="G14" s="1363">
        <f>1.5+0.25*0</f>
        <v>1.5</v>
      </c>
      <c r="H14" s="1364"/>
      <c r="I14" s="1365">
        <f>IF(E14/E16&lt;=30%,E14*G14,TRUNC(0.3*E16)*G14+(E14-TRUNC(0.3*E16))*G13)</f>
        <v>21</v>
      </c>
      <c r="J14" s="1356"/>
    </row>
    <row r="15" spans="1:11">
      <c r="A15" s="1338"/>
      <c r="B15" s="1338"/>
      <c r="C15" s="1356" t="s">
        <v>1903</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c r="A16" s="1338"/>
      <c r="B16" s="1338"/>
      <c r="E16" s="1339">
        <f>SUM(E11:E15)</f>
        <v>80</v>
      </c>
      <c r="G16" s="1339"/>
      <c r="I16" s="1420">
        <f>SUM(I11:I15)</f>
        <v>90.95</v>
      </c>
    </row>
    <row r="17" spans="1:9">
      <c r="A17" s="1338"/>
      <c r="B17" s="1338"/>
      <c r="E17" s="1339"/>
      <c r="I17" s="1367"/>
    </row>
    <row r="18" spans="1:9">
      <c r="A18" s="1343" t="s">
        <v>1603</v>
      </c>
      <c r="B18" s="1343"/>
      <c r="C18" s="1368" t="s">
        <v>1904</v>
      </c>
      <c r="D18" s="1340"/>
      <c r="E18" s="1369">
        <f>E7/I16</f>
        <v>221969.96151731719</v>
      </c>
      <c r="F18" s="1370"/>
      <c r="G18" s="1371"/>
      <c r="H18" s="1372"/>
      <c r="I18" s="1367"/>
    </row>
    <row r="21" spans="1:9" ht="14.25" customHeight="1">
      <c r="A21" s="3287" t="s">
        <v>2195</v>
      </c>
      <c r="B21" s="3287"/>
      <c r="C21" s="3287"/>
      <c r="D21" s="3287"/>
      <c r="E21" s="3287"/>
      <c r="F21" s="3287"/>
      <c r="G21" s="3287"/>
      <c r="H21" s="3287"/>
      <c r="I21" s="3287"/>
    </row>
    <row r="22" spans="1:9">
      <c r="A22" s="3287"/>
      <c r="B22" s="3287"/>
      <c r="C22" s="3287"/>
      <c r="D22" s="3287"/>
      <c r="E22" s="3287"/>
      <c r="F22" s="3287"/>
      <c r="G22" s="3287"/>
      <c r="H22" s="3287"/>
      <c r="I22" s="3287"/>
    </row>
    <row r="23" spans="1:9">
      <c r="A23" s="3287"/>
      <c r="B23" s="3287"/>
      <c r="C23" s="3287"/>
      <c r="D23" s="3287"/>
      <c r="E23" s="3287"/>
      <c r="F23" s="3287"/>
      <c r="G23" s="3287"/>
      <c r="H23" s="3287"/>
      <c r="I23" s="3287"/>
    </row>
    <row r="24" spans="1:9">
      <c r="A24" s="3287"/>
      <c r="B24" s="3287"/>
      <c r="C24" s="3287"/>
      <c r="D24" s="3287"/>
      <c r="E24" s="3287"/>
      <c r="F24" s="3287"/>
      <c r="G24" s="3287"/>
      <c r="H24" s="3287"/>
      <c r="I24" s="3287"/>
    </row>
    <row r="26" spans="1:9" ht="20.25" customHeight="1">
      <c r="A26" s="1336" t="s">
        <v>2199</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1" zoomScaleNormal="100" zoomScaleSheetLayoutView="100" workbookViewId="0">
      <selection activeCell="AB78" activeCellId="1" sqref="AB57:AF57 AB78:AF78"/>
    </sheetView>
  </sheetViews>
  <sheetFormatPr defaultColWidth="0" defaultRowHeight="0" customHeight="1" zeroHeight="1"/>
  <cols>
    <col min="1" max="1" width="1.453125" style="791" customWidth="1"/>
    <col min="2" max="2" width="0.81640625" style="791" customWidth="1"/>
    <col min="3" max="18" width="2.453125" style="791" customWidth="1"/>
    <col min="19" max="19" width="4" style="791" customWidth="1"/>
    <col min="20" max="39" width="2.6328125" style="791" customWidth="1"/>
    <col min="40" max="40" width="1.453125" style="791" customWidth="1"/>
    <col min="41" max="76" width="2.453125" style="791" hidden="1"/>
    <col min="77" max="256" width="2.453125" style="618" hidden="1"/>
    <col min="257" max="257" width="1.453125" style="618" hidden="1" customWidth="1"/>
    <col min="258" max="258" width="0.81640625" style="618" hidden="1" customWidth="1"/>
    <col min="259" max="274" width="2.453125" style="618" hidden="1" customWidth="1"/>
    <col min="275" max="275" width="4" style="618" hidden="1" customWidth="1"/>
    <col min="276" max="295" width="2.453125" style="618" hidden="1" customWidth="1"/>
    <col min="296" max="296" width="1.453125" style="618" hidden="1" customWidth="1"/>
    <col min="297" max="512" width="2.453125" style="618" hidden="1"/>
    <col min="513" max="513" width="1.453125" style="618" hidden="1" customWidth="1"/>
    <col min="514" max="514" width="0.81640625" style="618" hidden="1" customWidth="1"/>
    <col min="515" max="530" width="2.453125" style="618" hidden="1" customWidth="1"/>
    <col min="531" max="531" width="4" style="618" hidden="1" customWidth="1"/>
    <col min="532" max="551" width="2.453125" style="618" hidden="1" customWidth="1"/>
    <col min="552" max="552" width="1.453125" style="618" hidden="1" customWidth="1"/>
    <col min="553" max="768" width="2.453125" style="618" hidden="1"/>
    <col min="769" max="769" width="1.453125" style="618" hidden="1" customWidth="1"/>
    <col min="770" max="770" width="0.81640625" style="618" hidden="1" customWidth="1"/>
    <col min="771" max="786" width="2.453125" style="618" hidden="1" customWidth="1"/>
    <col min="787" max="787" width="4" style="618" hidden="1" customWidth="1"/>
    <col min="788" max="807" width="2.453125" style="618" hidden="1" customWidth="1"/>
    <col min="808" max="808" width="1.453125" style="618" hidden="1" customWidth="1"/>
    <col min="809" max="1024" width="2.453125" style="618" hidden="1"/>
    <col min="1025" max="1025" width="1.453125" style="618" hidden="1" customWidth="1"/>
    <col min="1026" max="1026" width="0.81640625" style="618" hidden="1" customWidth="1"/>
    <col min="1027" max="1042" width="2.453125" style="618" hidden="1" customWidth="1"/>
    <col min="1043" max="1043" width="4" style="618" hidden="1" customWidth="1"/>
    <col min="1044" max="1063" width="2.453125" style="618" hidden="1" customWidth="1"/>
    <col min="1064" max="1064" width="1.453125" style="618" hidden="1" customWidth="1"/>
    <col min="1065" max="1280" width="2.453125" style="618" hidden="1"/>
    <col min="1281" max="1281" width="1.453125" style="618" hidden="1" customWidth="1"/>
    <col min="1282" max="1282" width="0.81640625" style="618" hidden="1" customWidth="1"/>
    <col min="1283" max="1298" width="2.453125" style="618" hidden="1" customWidth="1"/>
    <col min="1299" max="1299" width="4" style="618" hidden="1" customWidth="1"/>
    <col min="1300" max="1319" width="2.453125" style="618" hidden="1" customWidth="1"/>
    <col min="1320" max="1320" width="1.453125" style="618" hidden="1" customWidth="1"/>
    <col min="1321" max="1536" width="2.453125" style="618" hidden="1"/>
    <col min="1537" max="1537" width="1.453125" style="618" hidden="1" customWidth="1"/>
    <col min="1538" max="1538" width="0.81640625" style="618" hidden="1" customWidth="1"/>
    <col min="1539" max="1554" width="2.453125" style="618" hidden="1" customWidth="1"/>
    <col min="1555" max="1555" width="4" style="618" hidden="1" customWidth="1"/>
    <col min="1556" max="1575" width="2.453125" style="618" hidden="1" customWidth="1"/>
    <col min="1576" max="1576" width="1.453125" style="618" hidden="1" customWidth="1"/>
    <col min="1577" max="1792" width="2.453125" style="618" hidden="1"/>
    <col min="1793" max="1793" width="1.453125" style="618" hidden="1" customWidth="1"/>
    <col min="1794" max="1794" width="0.81640625" style="618" hidden="1" customWidth="1"/>
    <col min="1795" max="1810" width="2.453125" style="618" hidden="1" customWidth="1"/>
    <col min="1811" max="1811" width="4" style="618" hidden="1" customWidth="1"/>
    <col min="1812" max="1831" width="2.453125" style="618" hidden="1" customWidth="1"/>
    <col min="1832" max="1832" width="1.453125" style="618" hidden="1" customWidth="1"/>
    <col min="1833" max="2048" width="2.453125" style="618" hidden="1"/>
    <col min="2049" max="2049" width="1.453125" style="618" hidden="1" customWidth="1"/>
    <col min="2050" max="2050" width="0.81640625" style="618" hidden="1" customWidth="1"/>
    <col min="2051" max="2066" width="2.453125" style="618" hidden="1" customWidth="1"/>
    <col min="2067" max="2067" width="4" style="618" hidden="1" customWidth="1"/>
    <col min="2068" max="2087" width="2.453125" style="618" hidden="1" customWidth="1"/>
    <col min="2088" max="2088" width="1.453125" style="618" hidden="1" customWidth="1"/>
    <col min="2089" max="2304" width="2.453125" style="618" hidden="1"/>
    <col min="2305" max="2305" width="1.453125" style="618" hidden="1" customWidth="1"/>
    <col min="2306" max="2306" width="0.81640625" style="618" hidden="1" customWidth="1"/>
    <col min="2307" max="2322" width="2.453125" style="618" hidden="1" customWidth="1"/>
    <col min="2323" max="2323" width="4" style="618" hidden="1" customWidth="1"/>
    <col min="2324" max="2343" width="2.453125" style="618" hidden="1" customWidth="1"/>
    <col min="2344" max="2344" width="1.453125" style="618" hidden="1" customWidth="1"/>
    <col min="2345" max="2560" width="2.453125" style="618" hidden="1"/>
    <col min="2561" max="2561" width="1.453125" style="618" hidden="1" customWidth="1"/>
    <col min="2562" max="2562" width="0.81640625" style="618" hidden="1" customWidth="1"/>
    <col min="2563" max="2578" width="2.453125" style="618" hidden="1" customWidth="1"/>
    <col min="2579" max="2579" width="4" style="618" hidden="1" customWidth="1"/>
    <col min="2580" max="2599" width="2.453125" style="618" hidden="1" customWidth="1"/>
    <col min="2600" max="2600" width="1.453125" style="618" hidden="1" customWidth="1"/>
    <col min="2601" max="2816" width="2.453125" style="618" hidden="1"/>
    <col min="2817" max="2817" width="1.453125" style="618" hidden="1" customWidth="1"/>
    <col min="2818" max="2818" width="0.81640625" style="618" hidden="1" customWidth="1"/>
    <col min="2819" max="2834" width="2.453125" style="618" hidden="1" customWidth="1"/>
    <col min="2835" max="2835" width="4" style="618" hidden="1" customWidth="1"/>
    <col min="2836" max="2855" width="2.453125" style="618" hidden="1" customWidth="1"/>
    <col min="2856" max="2856" width="1.453125" style="618" hidden="1" customWidth="1"/>
    <col min="2857" max="3072" width="2.453125" style="618" hidden="1"/>
    <col min="3073" max="3073" width="1.453125" style="618" hidden="1" customWidth="1"/>
    <col min="3074" max="3074" width="0.81640625" style="618" hidden="1" customWidth="1"/>
    <col min="3075" max="3090" width="2.453125" style="618" hidden="1" customWidth="1"/>
    <col min="3091" max="3091" width="4" style="618" hidden="1" customWidth="1"/>
    <col min="3092" max="3111" width="2.453125" style="618" hidden="1" customWidth="1"/>
    <col min="3112" max="3112" width="1.453125" style="618" hidden="1" customWidth="1"/>
    <col min="3113" max="3328" width="2.453125" style="618" hidden="1"/>
    <col min="3329" max="3329" width="1.453125" style="618" hidden="1" customWidth="1"/>
    <col min="3330" max="3330" width="0.81640625" style="618" hidden="1" customWidth="1"/>
    <col min="3331" max="3346" width="2.453125" style="618" hidden="1" customWidth="1"/>
    <col min="3347" max="3347" width="4" style="618" hidden="1" customWidth="1"/>
    <col min="3348" max="3367" width="2.453125" style="618" hidden="1" customWidth="1"/>
    <col min="3368" max="3368" width="1.453125" style="618" hidden="1" customWidth="1"/>
    <col min="3369" max="3584" width="2.453125" style="618" hidden="1"/>
    <col min="3585" max="3585" width="1.453125" style="618" hidden="1" customWidth="1"/>
    <col min="3586" max="3586" width="0.81640625" style="618" hidden="1" customWidth="1"/>
    <col min="3587" max="3602" width="2.453125" style="618" hidden="1" customWidth="1"/>
    <col min="3603" max="3603" width="4" style="618" hidden="1" customWidth="1"/>
    <col min="3604" max="3623" width="2.453125" style="618" hidden="1" customWidth="1"/>
    <col min="3624" max="3624" width="1.453125" style="618" hidden="1" customWidth="1"/>
    <col min="3625" max="3840" width="2.453125" style="618" hidden="1"/>
    <col min="3841" max="3841" width="1.453125" style="618" hidden="1" customWidth="1"/>
    <col min="3842" max="3842" width="0.81640625" style="618" hidden="1" customWidth="1"/>
    <col min="3843" max="3858" width="2.453125" style="618" hidden="1" customWidth="1"/>
    <col min="3859" max="3859" width="4" style="618" hidden="1" customWidth="1"/>
    <col min="3860" max="3879" width="2.453125" style="618" hidden="1" customWidth="1"/>
    <col min="3880" max="3880" width="1.453125" style="618" hidden="1" customWidth="1"/>
    <col min="3881" max="4096" width="2.453125" style="618" hidden="1"/>
    <col min="4097" max="4097" width="1.453125" style="618" hidden="1" customWidth="1"/>
    <col min="4098" max="4098" width="0.81640625" style="618" hidden="1" customWidth="1"/>
    <col min="4099" max="4114" width="2.453125" style="618" hidden="1" customWidth="1"/>
    <col min="4115" max="4115" width="4" style="618" hidden="1" customWidth="1"/>
    <col min="4116" max="4135" width="2.453125" style="618" hidden="1" customWidth="1"/>
    <col min="4136" max="4136" width="1.453125" style="618" hidden="1" customWidth="1"/>
    <col min="4137" max="4352" width="2.453125" style="618" hidden="1"/>
    <col min="4353" max="4353" width="1.453125" style="618" hidden="1" customWidth="1"/>
    <col min="4354" max="4354" width="0.81640625" style="618" hidden="1" customWidth="1"/>
    <col min="4355" max="4370" width="2.453125" style="618" hidden="1" customWidth="1"/>
    <col min="4371" max="4371" width="4" style="618" hidden="1" customWidth="1"/>
    <col min="4372" max="4391" width="2.453125" style="618" hidden="1" customWidth="1"/>
    <col min="4392" max="4392" width="1.453125" style="618" hidden="1" customWidth="1"/>
    <col min="4393" max="4608" width="2.453125" style="618" hidden="1"/>
    <col min="4609" max="4609" width="1.453125" style="618" hidden="1" customWidth="1"/>
    <col min="4610" max="4610" width="0.81640625" style="618" hidden="1" customWidth="1"/>
    <col min="4611" max="4626" width="2.453125" style="618" hidden="1" customWidth="1"/>
    <col min="4627" max="4627" width="4" style="618" hidden="1" customWidth="1"/>
    <col min="4628" max="4647" width="2.453125" style="618" hidden="1" customWidth="1"/>
    <col min="4648" max="4648" width="1.453125" style="618" hidden="1" customWidth="1"/>
    <col min="4649" max="4864" width="2.453125" style="618" hidden="1"/>
    <col min="4865" max="4865" width="1.453125" style="618" hidden="1" customWidth="1"/>
    <col min="4866" max="4866" width="0.81640625" style="618" hidden="1" customWidth="1"/>
    <col min="4867" max="4882" width="2.453125" style="618" hidden="1" customWidth="1"/>
    <col min="4883" max="4883" width="4" style="618" hidden="1" customWidth="1"/>
    <col min="4884" max="4903" width="2.453125" style="618" hidden="1" customWidth="1"/>
    <col min="4904" max="4904" width="1.453125" style="618" hidden="1" customWidth="1"/>
    <col min="4905" max="5120" width="2.453125" style="618" hidden="1"/>
    <col min="5121" max="5121" width="1.453125" style="618" hidden="1" customWidth="1"/>
    <col min="5122" max="5122" width="0.81640625" style="618" hidden="1" customWidth="1"/>
    <col min="5123" max="5138" width="2.453125" style="618" hidden="1" customWidth="1"/>
    <col min="5139" max="5139" width="4" style="618" hidden="1" customWidth="1"/>
    <col min="5140" max="5159" width="2.453125" style="618" hidden="1" customWidth="1"/>
    <col min="5160" max="5160" width="1.453125" style="618" hidden="1" customWidth="1"/>
    <col min="5161" max="5376" width="2.453125" style="618" hidden="1"/>
    <col min="5377" max="5377" width="1.453125" style="618" hidden="1" customWidth="1"/>
    <col min="5378" max="5378" width="0.81640625" style="618" hidden="1" customWidth="1"/>
    <col min="5379" max="5394" width="2.453125" style="618" hidden="1" customWidth="1"/>
    <col min="5395" max="5395" width="4" style="618" hidden="1" customWidth="1"/>
    <col min="5396" max="5415" width="2.453125" style="618" hidden="1" customWidth="1"/>
    <col min="5416" max="5416" width="1.453125" style="618" hidden="1" customWidth="1"/>
    <col min="5417" max="5632" width="2.453125" style="618" hidden="1"/>
    <col min="5633" max="5633" width="1.453125" style="618" hidden="1" customWidth="1"/>
    <col min="5634" max="5634" width="0.81640625" style="618" hidden="1" customWidth="1"/>
    <col min="5635" max="5650" width="2.453125" style="618" hidden="1" customWidth="1"/>
    <col min="5651" max="5651" width="4" style="618" hidden="1" customWidth="1"/>
    <col min="5652" max="5671" width="2.453125" style="618" hidden="1" customWidth="1"/>
    <col min="5672" max="5672" width="1.453125" style="618" hidden="1" customWidth="1"/>
    <col min="5673" max="5888" width="2.453125" style="618" hidden="1"/>
    <col min="5889" max="5889" width="1.453125" style="618" hidden="1" customWidth="1"/>
    <col min="5890" max="5890" width="0.81640625" style="618" hidden="1" customWidth="1"/>
    <col min="5891" max="5906" width="2.453125" style="618" hidden="1" customWidth="1"/>
    <col min="5907" max="5907" width="4" style="618" hidden="1" customWidth="1"/>
    <col min="5908" max="5927" width="2.453125" style="618" hidden="1" customWidth="1"/>
    <col min="5928" max="5928" width="1.453125" style="618" hidden="1" customWidth="1"/>
    <col min="5929" max="6144" width="2.453125" style="618" hidden="1"/>
    <col min="6145" max="6145" width="1.453125" style="618" hidden="1" customWidth="1"/>
    <col min="6146" max="6146" width="0.81640625" style="618" hidden="1" customWidth="1"/>
    <col min="6147" max="6162" width="2.453125" style="618" hidden="1" customWidth="1"/>
    <col min="6163" max="6163" width="4" style="618" hidden="1" customWidth="1"/>
    <col min="6164" max="6183" width="2.453125" style="618" hidden="1" customWidth="1"/>
    <col min="6184" max="6184" width="1.453125" style="618" hidden="1" customWidth="1"/>
    <col min="6185" max="6400" width="2.453125" style="618" hidden="1"/>
    <col min="6401" max="6401" width="1.453125" style="618" hidden="1" customWidth="1"/>
    <col min="6402" max="6402" width="0.81640625" style="618" hidden="1" customWidth="1"/>
    <col min="6403" max="6418" width="2.453125" style="618" hidden="1" customWidth="1"/>
    <col min="6419" max="6419" width="4" style="618" hidden="1" customWidth="1"/>
    <col min="6420" max="6439" width="2.453125" style="618" hidden="1" customWidth="1"/>
    <col min="6440" max="6440" width="1.453125" style="618" hidden="1" customWidth="1"/>
    <col min="6441" max="6656" width="2.453125" style="618" hidden="1"/>
    <col min="6657" max="6657" width="1.453125" style="618" hidden="1" customWidth="1"/>
    <col min="6658" max="6658" width="0.81640625" style="618" hidden="1" customWidth="1"/>
    <col min="6659" max="6674" width="2.453125" style="618" hidden="1" customWidth="1"/>
    <col min="6675" max="6675" width="4" style="618" hidden="1" customWidth="1"/>
    <col min="6676" max="6695" width="2.453125" style="618" hidden="1" customWidth="1"/>
    <col min="6696" max="6696" width="1.453125" style="618" hidden="1" customWidth="1"/>
    <col min="6697" max="6912" width="2.453125" style="618" hidden="1"/>
    <col min="6913" max="6913" width="1.453125" style="618" hidden="1" customWidth="1"/>
    <col min="6914" max="6914" width="0.81640625" style="618" hidden="1" customWidth="1"/>
    <col min="6915" max="6930" width="2.453125" style="618" hidden="1" customWidth="1"/>
    <col min="6931" max="6931" width="4" style="618" hidden="1" customWidth="1"/>
    <col min="6932" max="6951" width="2.453125" style="618" hidden="1" customWidth="1"/>
    <col min="6952" max="6952" width="1.453125" style="618" hidden="1" customWidth="1"/>
    <col min="6953" max="7168" width="2.453125" style="618" hidden="1"/>
    <col min="7169" max="7169" width="1.453125" style="618" hidden="1" customWidth="1"/>
    <col min="7170" max="7170" width="0.81640625" style="618" hidden="1" customWidth="1"/>
    <col min="7171" max="7186" width="2.453125" style="618" hidden="1" customWidth="1"/>
    <col min="7187" max="7187" width="4" style="618" hidden="1" customWidth="1"/>
    <col min="7188" max="7207" width="2.453125" style="618" hidden="1" customWidth="1"/>
    <col min="7208" max="7208" width="1.453125" style="618" hidden="1" customWidth="1"/>
    <col min="7209" max="7424" width="2.453125" style="618" hidden="1"/>
    <col min="7425" max="7425" width="1.453125" style="618" hidden="1" customWidth="1"/>
    <col min="7426" max="7426" width="0.81640625" style="618" hidden="1" customWidth="1"/>
    <col min="7427" max="7442" width="2.453125" style="618" hidden="1" customWidth="1"/>
    <col min="7443" max="7443" width="4" style="618" hidden="1" customWidth="1"/>
    <col min="7444" max="7463" width="2.453125" style="618" hidden="1" customWidth="1"/>
    <col min="7464" max="7464" width="1.453125" style="618" hidden="1" customWidth="1"/>
    <col min="7465" max="7680" width="2.453125" style="618" hidden="1"/>
    <col min="7681" max="7681" width="1.453125" style="618" hidden="1" customWidth="1"/>
    <col min="7682" max="7682" width="0.81640625" style="618" hidden="1" customWidth="1"/>
    <col min="7683" max="7698" width="2.453125" style="618" hidden="1" customWidth="1"/>
    <col min="7699" max="7699" width="4" style="618" hidden="1" customWidth="1"/>
    <col min="7700" max="7719" width="2.453125" style="618" hidden="1" customWidth="1"/>
    <col min="7720" max="7720" width="1.453125" style="618" hidden="1" customWidth="1"/>
    <col min="7721" max="7936" width="2.453125" style="618" hidden="1"/>
    <col min="7937" max="7937" width="1.453125" style="618" hidden="1" customWidth="1"/>
    <col min="7938" max="7938" width="0.81640625" style="618" hidden="1" customWidth="1"/>
    <col min="7939" max="7954" width="2.453125" style="618" hidden="1" customWidth="1"/>
    <col min="7955" max="7955" width="4" style="618" hidden="1" customWidth="1"/>
    <col min="7956" max="7975" width="2.453125" style="618" hidden="1" customWidth="1"/>
    <col min="7976" max="7976" width="1.453125" style="618" hidden="1" customWidth="1"/>
    <col min="7977" max="8192" width="2.453125" style="618" hidden="1"/>
    <col min="8193" max="8193" width="1.453125" style="618" hidden="1" customWidth="1"/>
    <col min="8194" max="8194" width="0.81640625" style="618" hidden="1" customWidth="1"/>
    <col min="8195" max="8210" width="2.453125" style="618" hidden="1" customWidth="1"/>
    <col min="8211" max="8211" width="4" style="618" hidden="1" customWidth="1"/>
    <col min="8212" max="8231" width="2.453125" style="618" hidden="1" customWidth="1"/>
    <col min="8232" max="8232" width="1.453125" style="618" hidden="1" customWidth="1"/>
    <col min="8233" max="8448" width="2.453125" style="618" hidden="1"/>
    <col min="8449" max="8449" width="1.453125" style="618" hidden="1" customWidth="1"/>
    <col min="8450" max="8450" width="0.81640625" style="618" hidden="1" customWidth="1"/>
    <col min="8451" max="8466" width="2.453125" style="618" hidden="1" customWidth="1"/>
    <col min="8467" max="8467" width="4" style="618" hidden="1" customWidth="1"/>
    <col min="8468" max="8487" width="2.453125" style="618" hidden="1" customWidth="1"/>
    <col min="8488" max="8488" width="1.453125" style="618" hidden="1" customWidth="1"/>
    <col min="8489" max="8704" width="2.453125" style="618" hidden="1"/>
    <col min="8705" max="8705" width="1.453125" style="618" hidden="1" customWidth="1"/>
    <col min="8706" max="8706" width="0.81640625" style="618" hidden="1" customWidth="1"/>
    <col min="8707" max="8722" width="2.453125" style="618" hidden="1" customWidth="1"/>
    <col min="8723" max="8723" width="4" style="618" hidden="1" customWidth="1"/>
    <col min="8724" max="8743" width="2.453125" style="618" hidden="1" customWidth="1"/>
    <col min="8744" max="8744" width="1.453125" style="618" hidden="1" customWidth="1"/>
    <col min="8745" max="8960" width="2.453125" style="618" hidden="1"/>
    <col min="8961" max="8961" width="1.453125" style="618" hidden="1" customWidth="1"/>
    <col min="8962" max="8962" width="0.81640625" style="618" hidden="1" customWidth="1"/>
    <col min="8963" max="8978" width="2.453125" style="618" hidden="1" customWidth="1"/>
    <col min="8979" max="8979" width="4" style="618" hidden="1" customWidth="1"/>
    <col min="8980" max="8999" width="2.453125" style="618" hidden="1" customWidth="1"/>
    <col min="9000" max="9000" width="1.453125" style="618" hidden="1" customWidth="1"/>
    <col min="9001" max="9216" width="2.453125" style="618" hidden="1"/>
    <col min="9217" max="9217" width="1.453125" style="618" hidden="1" customWidth="1"/>
    <col min="9218" max="9218" width="0.81640625" style="618" hidden="1" customWidth="1"/>
    <col min="9219" max="9234" width="2.453125" style="618" hidden="1" customWidth="1"/>
    <col min="9235" max="9235" width="4" style="618" hidden="1" customWidth="1"/>
    <col min="9236" max="9255" width="2.453125" style="618" hidden="1" customWidth="1"/>
    <col min="9256" max="9256" width="1.453125" style="618" hidden="1" customWidth="1"/>
    <col min="9257" max="9472" width="2.453125" style="618" hidden="1"/>
    <col min="9473" max="9473" width="1.453125" style="618" hidden="1" customWidth="1"/>
    <col min="9474" max="9474" width="0.81640625" style="618" hidden="1" customWidth="1"/>
    <col min="9475" max="9490" width="2.453125" style="618" hidden="1" customWidth="1"/>
    <col min="9491" max="9491" width="4" style="618" hidden="1" customWidth="1"/>
    <col min="9492" max="9511" width="2.453125" style="618" hidden="1" customWidth="1"/>
    <col min="9512" max="9512" width="1.453125" style="618" hidden="1" customWidth="1"/>
    <col min="9513" max="9728" width="2.453125" style="618" hidden="1"/>
    <col min="9729" max="9729" width="1.453125" style="618" hidden="1" customWidth="1"/>
    <col min="9730" max="9730" width="0.81640625" style="618" hidden="1" customWidth="1"/>
    <col min="9731" max="9746" width="2.453125" style="618" hidden="1" customWidth="1"/>
    <col min="9747" max="9747" width="4" style="618" hidden="1" customWidth="1"/>
    <col min="9748" max="9767" width="2.453125" style="618" hidden="1" customWidth="1"/>
    <col min="9768" max="9768" width="1.453125" style="618" hidden="1" customWidth="1"/>
    <col min="9769" max="9984" width="2.453125" style="618" hidden="1"/>
    <col min="9985" max="9985" width="1.453125" style="618" hidden="1" customWidth="1"/>
    <col min="9986" max="9986" width="0.81640625" style="618" hidden="1" customWidth="1"/>
    <col min="9987" max="10002" width="2.453125" style="618" hidden="1" customWidth="1"/>
    <col min="10003" max="10003" width="4" style="618" hidden="1" customWidth="1"/>
    <col min="10004" max="10023" width="2.453125" style="618" hidden="1" customWidth="1"/>
    <col min="10024" max="10024" width="1.453125" style="618" hidden="1" customWidth="1"/>
    <col min="10025" max="10240" width="2.453125" style="618" hidden="1"/>
    <col min="10241" max="10241" width="1.453125" style="618" hidden="1" customWidth="1"/>
    <col min="10242" max="10242" width="0.81640625" style="618" hidden="1" customWidth="1"/>
    <col min="10243" max="10258" width="2.453125" style="618" hidden="1" customWidth="1"/>
    <col min="10259" max="10259" width="4" style="618" hidden="1" customWidth="1"/>
    <col min="10260" max="10279" width="2.453125" style="618" hidden="1" customWidth="1"/>
    <col min="10280" max="10280" width="1.453125" style="618" hidden="1" customWidth="1"/>
    <col min="10281" max="10496" width="2.453125" style="618" hidden="1"/>
    <col min="10497" max="10497" width="1.453125" style="618" hidden="1" customWidth="1"/>
    <col min="10498" max="10498" width="0.81640625" style="618" hidden="1" customWidth="1"/>
    <col min="10499" max="10514" width="2.453125" style="618" hidden="1" customWidth="1"/>
    <col min="10515" max="10515" width="4" style="618" hidden="1" customWidth="1"/>
    <col min="10516" max="10535" width="2.453125" style="618" hidden="1" customWidth="1"/>
    <col min="10536" max="10536" width="1.453125" style="618" hidden="1" customWidth="1"/>
    <col min="10537" max="10752" width="2.453125" style="618" hidden="1"/>
    <col min="10753" max="10753" width="1.453125" style="618" hidden="1" customWidth="1"/>
    <col min="10754" max="10754" width="0.81640625" style="618" hidden="1" customWidth="1"/>
    <col min="10755" max="10770" width="2.453125" style="618" hidden="1" customWidth="1"/>
    <col min="10771" max="10771" width="4" style="618" hidden="1" customWidth="1"/>
    <col min="10772" max="10791" width="2.453125" style="618" hidden="1" customWidth="1"/>
    <col min="10792" max="10792" width="1.453125" style="618" hidden="1" customWidth="1"/>
    <col min="10793" max="11008" width="2.453125" style="618" hidden="1"/>
    <col min="11009" max="11009" width="1.453125" style="618" hidden="1" customWidth="1"/>
    <col min="11010" max="11010" width="0.81640625" style="618" hidden="1" customWidth="1"/>
    <col min="11011" max="11026" width="2.453125" style="618" hidden="1" customWidth="1"/>
    <col min="11027" max="11027" width="4" style="618" hidden="1" customWidth="1"/>
    <col min="11028" max="11047" width="2.453125" style="618" hidden="1" customWidth="1"/>
    <col min="11048" max="11048" width="1.453125" style="618" hidden="1" customWidth="1"/>
    <col min="11049" max="11264" width="2.453125" style="618" hidden="1"/>
    <col min="11265" max="11265" width="1.453125" style="618" hidden="1" customWidth="1"/>
    <col min="11266" max="11266" width="0.81640625" style="618" hidden="1" customWidth="1"/>
    <col min="11267" max="11282" width="2.453125" style="618" hidden="1" customWidth="1"/>
    <col min="11283" max="11283" width="4" style="618" hidden="1" customWidth="1"/>
    <col min="11284" max="11303" width="2.453125" style="618" hidden="1" customWidth="1"/>
    <col min="11304" max="11304" width="1.453125" style="618" hidden="1" customWidth="1"/>
    <col min="11305" max="11520" width="2.453125" style="618" hidden="1"/>
    <col min="11521" max="11521" width="1.453125" style="618" hidden="1" customWidth="1"/>
    <col min="11522" max="11522" width="0.81640625" style="618" hidden="1" customWidth="1"/>
    <col min="11523" max="11538" width="2.453125" style="618" hidden="1" customWidth="1"/>
    <col min="11539" max="11539" width="4" style="618" hidden="1" customWidth="1"/>
    <col min="11540" max="11559" width="2.453125" style="618" hidden="1" customWidth="1"/>
    <col min="11560" max="11560" width="1.453125" style="618" hidden="1" customWidth="1"/>
    <col min="11561" max="11776" width="2.453125" style="618" hidden="1"/>
    <col min="11777" max="11777" width="1.453125" style="618" hidden="1" customWidth="1"/>
    <col min="11778" max="11778" width="0.81640625" style="618" hidden="1" customWidth="1"/>
    <col min="11779" max="11794" width="2.453125" style="618" hidden="1" customWidth="1"/>
    <col min="11795" max="11795" width="4" style="618" hidden="1" customWidth="1"/>
    <col min="11796" max="11815" width="2.453125" style="618" hidden="1" customWidth="1"/>
    <col min="11816" max="11816" width="1.453125" style="618" hidden="1" customWidth="1"/>
    <col min="11817" max="12032" width="2.453125" style="618" hidden="1"/>
    <col min="12033" max="12033" width="1.453125" style="618" hidden="1" customWidth="1"/>
    <col min="12034" max="12034" width="0.81640625" style="618" hidden="1" customWidth="1"/>
    <col min="12035" max="12050" width="2.453125" style="618" hidden="1" customWidth="1"/>
    <col min="12051" max="12051" width="4" style="618" hidden="1" customWidth="1"/>
    <col min="12052" max="12071" width="2.453125" style="618" hidden="1" customWidth="1"/>
    <col min="12072" max="12072" width="1.453125" style="618" hidden="1" customWidth="1"/>
    <col min="12073" max="12288" width="2.453125" style="618" hidden="1"/>
    <col min="12289" max="12289" width="1.453125" style="618" hidden="1" customWidth="1"/>
    <col min="12290" max="12290" width="0.81640625" style="618" hidden="1" customWidth="1"/>
    <col min="12291" max="12306" width="2.453125" style="618" hidden="1" customWidth="1"/>
    <col min="12307" max="12307" width="4" style="618" hidden="1" customWidth="1"/>
    <col min="12308" max="12327" width="2.453125" style="618" hidden="1" customWidth="1"/>
    <col min="12328" max="12328" width="1.453125" style="618" hidden="1" customWidth="1"/>
    <col min="12329" max="12544" width="2.453125" style="618" hidden="1"/>
    <col min="12545" max="12545" width="1.453125" style="618" hidden="1" customWidth="1"/>
    <col min="12546" max="12546" width="0.81640625" style="618" hidden="1" customWidth="1"/>
    <col min="12547" max="12562" width="2.453125" style="618" hidden="1" customWidth="1"/>
    <col min="12563" max="12563" width="4" style="618" hidden="1" customWidth="1"/>
    <col min="12564" max="12583" width="2.453125" style="618" hidden="1" customWidth="1"/>
    <col min="12584" max="12584" width="1.453125" style="618" hidden="1" customWidth="1"/>
    <col min="12585" max="12800" width="2.453125" style="618" hidden="1"/>
    <col min="12801" max="12801" width="1.453125" style="618" hidden="1" customWidth="1"/>
    <col min="12802" max="12802" width="0.81640625" style="618" hidden="1" customWidth="1"/>
    <col min="12803" max="12818" width="2.453125" style="618" hidden="1" customWidth="1"/>
    <col min="12819" max="12819" width="4" style="618" hidden="1" customWidth="1"/>
    <col min="12820" max="12839" width="2.453125" style="618" hidden="1" customWidth="1"/>
    <col min="12840" max="12840" width="1.453125" style="618" hidden="1" customWidth="1"/>
    <col min="12841" max="13056" width="2.453125" style="618" hidden="1"/>
    <col min="13057" max="13057" width="1.453125" style="618" hidden="1" customWidth="1"/>
    <col min="13058" max="13058" width="0.81640625" style="618" hidden="1" customWidth="1"/>
    <col min="13059" max="13074" width="2.453125" style="618" hidden="1" customWidth="1"/>
    <col min="13075" max="13075" width="4" style="618" hidden="1" customWidth="1"/>
    <col min="13076" max="13095" width="2.453125" style="618" hidden="1" customWidth="1"/>
    <col min="13096" max="13096" width="1.453125" style="618" hidden="1" customWidth="1"/>
    <col min="13097" max="13312" width="2.453125" style="618" hidden="1"/>
    <col min="13313" max="13313" width="1.453125" style="618" hidden="1" customWidth="1"/>
    <col min="13314" max="13314" width="0.81640625" style="618" hidden="1" customWidth="1"/>
    <col min="13315" max="13330" width="2.453125" style="618" hidden="1" customWidth="1"/>
    <col min="13331" max="13331" width="4" style="618" hidden="1" customWidth="1"/>
    <col min="13332" max="13351" width="2.453125" style="618" hidden="1" customWidth="1"/>
    <col min="13352" max="13352" width="1.453125" style="618" hidden="1" customWidth="1"/>
    <col min="13353" max="13568" width="2.453125" style="618" hidden="1"/>
    <col min="13569" max="13569" width="1.453125" style="618" hidden="1" customWidth="1"/>
    <col min="13570" max="13570" width="0.81640625" style="618" hidden="1" customWidth="1"/>
    <col min="13571" max="13586" width="2.453125" style="618" hidden="1" customWidth="1"/>
    <col min="13587" max="13587" width="4" style="618" hidden="1" customWidth="1"/>
    <col min="13588" max="13607" width="2.453125" style="618" hidden="1" customWidth="1"/>
    <col min="13608" max="13608" width="1.453125" style="618" hidden="1" customWidth="1"/>
    <col min="13609" max="13824" width="2.453125" style="618" hidden="1"/>
    <col min="13825" max="13825" width="1.453125" style="618" hidden="1" customWidth="1"/>
    <col min="13826" max="13826" width="0.81640625" style="618" hidden="1" customWidth="1"/>
    <col min="13827" max="13842" width="2.453125" style="618" hidden="1" customWidth="1"/>
    <col min="13843" max="13843" width="4" style="618" hidden="1" customWidth="1"/>
    <col min="13844" max="13863" width="2.453125" style="618" hidden="1" customWidth="1"/>
    <col min="13864" max="13864" width="1.453125" style="618" hidden="1" customWidth="1"/>
    <col min="13865" max="14080" width="2.453125" style="618" hidden="1"/>
    <col min="14081" max="14081" width="1.453125" style="618" hidden="1" customWidth="1"/>
    <col min="14082" max="14082" width="0.81640625" style="618" hidden="1" customWidth="1"/>
    <col min="14083" max="14098" width="2.453125" style="618" hidden="1" customWidth="1"/>
    <col min="14099" max="14099" width="4" style="618" hidden="1" customWidth="1"/>
    <col min="14100" max="14119" width="2.453125" style="618" hidden="1" customWidth="1"/>
    <col min="14120" max="14120" width="1.453125" style="618" hidden="1" customWidth="1"/>
    <col min="14121" max="14336" width="2.453125" style="618" hidden="1"/>
    <col min="14337" max="14337" width="1.453125" style="618" hidden="1" customWidth="1"/>
    <col min="14338" max="14338" width="0.81640625" style="618" hidden="1" customWidth="1"/>
    <col min="14339" max="14354" width="2.453125" style="618" hidden="1" customWidth="1"/>
    <col min="14355" max="14355" width="4" style="618" hidden="1" customWidth="1"/>
    <col min="14356" max="14375" width="2.453125" style="618" hidden="1" customWidth="1"/>
    <col min="14376" max="14376" width="1.453125" style="618" hidden="1" customWidth="1"/>
    <col min="14377" max="14592" width="2.453125" style="618" hidden="1"/>
    <col min="14593" max="14593" width="1.453125" style="618" hidden="1" customWidth="1"/>
    <col min="14594" max="14594" width="0.81640625" style="618" hidden="1" customWidth="1"/>
    <col min="14595" max="14610" width="2.453125" style="618" hidden="1" customWidth="1"/>
    <col min="14611" max="14611" width="4" style="618" hidden="1" customWidth="1"/>
    <col min="14612" max="14631" width="2.453125" style="618" hidden="1" customWidth="1"/>
    <col min="14632" max="14632" width="1.453125" style="618" hidden="1" customWidth="1"/>
    <col min="14633" max="14848" width="2.453125" style="618" hidden="1"/>
    <col min="14849" max="14849" width="1.453125" style="618" hidden="1" customWidth="1"/>
    <col min="14850" max="14850" width="0.81640625" style="618" hidden="1" customWidth="1"/>
    <col min="14851" max="14866" width="2.453125" style="618" hidden="1" customWidth="1"/>
    <col min="14867" max="14867" width="4" style="618" hidden="1" customWidth="1"/>
    <col min="14868" max="14887" width="2.453125" style="618" hidden="1" customWidth="1"/>
    <col min="14888" max="14888" width="1.453125" style="618" hidden="1" customWidth="1"/>
    <col min="14889" max="15104" width="2.453125" style="618" hidden="1"/>
    <col min="15105" max="15105" width="1.453125" style="618" hidden="1" customWidth="1"/>
    <col min="15106" max="15106" width="0.81640625" style="618" hidden="1" customWidth="1"/>
    <col min="15107" max="15122" width="2.453125" style="618" hidden="1" customWidth="1"/>
    <col min="15123" max="15123" width="4" style="618" hidden="1" customWidth="1"/>
    <col min="15124" max="15143" width="2.453125" style="618" hidden="1" customWidth="1"/>
    <col min="15144" max="15144" width="1.453125" style="618" hidden="1" customWidth="1"/>
    <col min="15145" max="15360" width="2.453125" style="618" hidden="1"/>
    <col min="15361" max="15361" width="1.453125" style="618" hidden="1" customWidth="1"/>
    <col min="15362" max="15362" width="0.81640625" style="618" hidden="1" customWidth="1"/>
    <col min="15363" max="15378" width="2.453125" style="618" hidden="1" customWidth="1"/>
    <col min="15379" max="15379" width="4" style="618" hidden="1" customWidth="1"/>
    <col min="15380" max="15399" width="2.453125" style="618" hidden="1" customWidth="1"/>
    <col min="15400" max="15400" width="1.453125" style="618" hidden="1" customWidth="1"/>
    <col min="15401" max="15616" width="2.453125" style="618" hidden="1"/>
    <col min="15617" max="15617" width="1.453125" style="618" hidden="1" customWidth="1"/>
    <col min="15618" max="15618" width="0.81640625" style="618" hidden="1" customWidth="1"/>
    <col min="15619" max="15634" width="2.453125" style="618" hidden="1" customWidth="1"/>
    <col min="15635" max="15635" width="4" style="618" hidden="1" customWidth="1"/>
    <col min="15636" max="15655" width="2.453125" style="618" hidden="1" customWidth="1"/>
    <col min="15656" max="15656" width="1.453125" style="618" hidden="1" customWidth="1"/>
    <col min="15657" max="15872" width="2.453125" style="618" hidden="1"/>
    <col min="15873" max="15873" width="1.453125" style="618" hidden="1" customWidth="1"/>
    <col min="15874" max="15874" width="0.81640625" style="618" hidden="1" customWidth="1"/>
    <col min="15875" max="15890" width="2.453125" style="618" hidden="1" customWidth="1"/>
    <col min="15891" max="15891" width="4" style="618" hidden="1" customWidth="1"/>
    <col min="15892" max="15911" width="2.453125" style="618" hidden="1" customWidth="1"/>
    <col min="15912" max="15912" width="1.453125" style="618" hidden="1" customWidth="1"/>
    <col min="15913" max="16128" width="2.453125" style="618" hidden="1"/>
    <col min="16129" max="16129" width="1.453125" style="618" hidden="1" customWidth="1"/>
    <col min="16130" max="16130" width="0.81640625" style="618" hidden="1" customWidth="1"/>
    <col min="16131" max="16146" width="2.453125" style="618" hidden="1" customWidth="1"/>
    <col min="16147" max="16147" width="4" style="618" hidden="1" customWidth="1"/>
    <col min="16148" max="16167" width="2.453125" style="618" hidden="1" customWidth="1"/>
    <col min="16168" max="16168" width="1.453125" style="618" hidden="1" customWidth="1"/>
    <col min="16169" max="16384" width="2.453125" style="618" hidden="1"/>
  </cols>
  <sheetData>
    <row r="1" spans="1:98" ht="12.75" customHeight="1">
      <c r="A1" s="3330" t="s">
        <v>1532</v>
      </c>
      <c r="B1" s="3330"/>
      <c r="C1" s="3330"/>
      <c r="D1" s="3330"/>
      <c r="E1" s="3330"/>
      <c r="F1" s="3330"/>
      <c r="G1" s="3330"/>
      <c r="H1" s="3330"/>
      <c r="I1" s="3330"/>
      <c r="J1" s="3330"/>
      <c r="K1" s="3330"/>
      <c r="L1" s="3330"/>
      <c r="M1" s="3330"/>
      <c r="N1" s="3330"/>
      <c r="O1" s="3330"/>
      <c r="P1" s="3330"/>
      <c r="Q1" s="3330"/>
      <c r="R1" s="3330"/>
      <c r="S1" s="3330"/>
      <c r="T1" s="3330"/>
      <c r="U1" s="3330"/>
      <c r="V1" s="3330"/>
      <c r="W1" s="3330"/>
      <c r="X1" s="3330"/>
      <c r="Y1" s="3330"/>
      <c r="Z1" s="3330"/>
      <c r="AA1" s="3330"/>
      <c r="AB1" s="3330"/>
      <c r="AC1" s="3330"/>
      <c r="AD1" s="3330"/>
      <c r="AE1" s="3330"/>
      <c r="AF1" s="3330"/>
      <c r="AG1" s="3330"/>
      <c r="AH1" s="3330"/>
      <c r="AI1" s="3330"/>
      <c r="AJ1" s="3330"/>
      <c r="AK1" s="3330"/>
      <c r="AL1" s="3330"/>
      <c r="AM1" s="3330"/>
      <c r="AN1" s="3330"/>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 thickBot="1">
      <c r="A2" s="3331"/>
      <c r="B2" s="3331"/>
      <c r="C2" s="3331"/>
      <c r="D2" s="3331"/>
      <c r="E2" s="3331"/>
      <c r="F2" s="3331"/>
      <c r="G2" s="3331"/>
      <c r="H2" s="3331"/>
      <c r="I2" s="3331"/>
      <c r="J2" s="3331"/>
      <c r="K2" s="3331"/>
      <c r="L2" s="3331"/>
      <c r="M2" s="3331"/>
      <c r="N2" s="3331"/>
      <c r="O2" s="3331"/>
      <c r="P2" s="3331"/>
      <c r="Q2" s="3331"/>
      <c r="R2" s="3331"/>
      <c r="S2" s="3331"/>
      <c r="T2" s="3331"/>
      <c r="U2" s="3331"/>
      <c r="V2" s="3331"/>
      <c r="W2" s="3331"/>
      <c r="X2" s="3331"/>
      <c r="Y2" s="3331"/>
      <c r="Z2" s="3331"/>
      <c r="AA2" s="3331"/>
      <c r="AB2" s="3331"/>
      <c r="AC2" s="3331"/>
      <c r="AD2" s="3331"/>
      <c r="AE2" s="3331"/>
      <c r="AF2" s="3331"/>
      <c r="AG2" s="3331"/>
      <c r="AH2" s="3331"/>
      <c r="AI2" s="3331"/>
      <c r="AJ2" s="3331"/>
      <c r="AK2" s="3331"/>
      <c r="AL2" s="3331"/>
      <c r="AM2" s="3331"/>
      <c r="AN2" s="3331"/>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3">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3">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3">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5" customHeight="1">
      <c r="A7" s="618"/>
      <c r="B7" s="624"/>
      <c r="C7" s="625"/>
      <c r="D7" s="625"/>
      <c r="E7" s="625"/>
      <c r="F7" s="625"/>
      <c r="G7" s="625"/>
      <c r="H7" s="625"/>
      <c r="I7" s="625"/>
      <c r="J7" s="625"/>
      <c r="K7" s="625"/>
      <c r="L7" s="625"/>
      <c r="M7" s="625"/>
      <c r="N7" s="625"/>
      <c r="O7" s="625"/>
      <c r="P7" s="625"/>
      <c r="Q7" s="625"/>
      <c r="R7" s="625"/>
      <c r="S7" s="625"/>
      <c r="T7" s="3332" t="str">
        <f xml:space="preserve"> IF(T25=100%,'Sources and Basis Breakdown'!G2,'Sources and Basis Breakdown'!F2)</f>
        <v>30% PVC for New Const/
Rehabilitation
DDA/QCT
Building(s)</v>
      </c>
      <c r="U7" s="3332"/>
      <c r="V7" s="3332"/>
      <c r="W7" s="3332"/>
      <c r="X7" s="3332"/>
      <c r="Y7" s="3332" t="str">
        <f>IF(T25=100%," ",'Sources and Basis Breakdown'!G2)</f>
        <v>30% PVC for New Const/
Rehabilitation
NON-DDA/
NON-QCT Building(s)</v>
      </c>
      <c r="Z7" s="3332"/>
      <c r="AA7" s="3332"/>
      <c r="AB7" s="3332"/>
      <c r="AC7" s="3332"/>
      <c r="AD7" s="3332" t="str">
        <f xml:space="preserve"> IF(T25=100%, 'Sources and Basis Breakdown'!J2,'Sources and Basis Breakdown'!I2)</f>
        <v>30% PVC for Acquisition
DDA/QCT Building(s)</v>
      </c>
      <c r="AE7" s="3332"/>
      <c r="AF7" s="3332"/>
      <c r="AG7" s="3332"/>
      <c r="AH7" s="3332"/>
      <c r="AI7" s="3332" t="str">
        <f>IF(T25=100%," ",'Sources and Basis Breakdown'!J2)</f>
        <v>30% PVC for Acquisition
NON-DDA/
NON-QCT Building(s)</v>
      </c>
      <c r="AJ7" s="3332"/>
      <c r="AK7" s="3332"/>
      <c r="AL7" s="3332"/>
      <c r="AM7" s="3332"/>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332"/>
      <c r="U8" s="3332"/>
      <c r="V8" s="3332"/>
      <c r="W8" s="3332"/>
      <c r="X8" s="3332"/>
      <c r="Y8" s="3332"/>
      <c r="Z8" s="3332"/>
      <c r="AA8" s="3332"/>
      <c r="AB8" s="3332"/>
      <c r="AC8" s="3332"/>
      <c r="AD8" s="3332"/>
      <c r="AE8" s="3332"/>
      <c r="AF8" s="3332"/>
      <c r="AG8" s="3332"/>
      <c r="AH8" s="3332"/>
      <c r="AI8" s="3332"/>
      <c r="AJ8" s="3332"/>
      <c r="AK8" s="3332"/>
      <c r="AL8" s="3332"/>
      <c r="AM8" s="3332"/>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5">
      <c r="A9" s="618"/>
      <c r="B9" s="626"/>
      <c r="C9" s="627"/>
      <c r="D9" s="627"/>
      <c r="E9" s="627"/>
      <c r="F9" s="627"/>
      <c r="G9" s="627"/>
      <c r="H9" s="627"/>
      <c r="I9" s="627"/>
      <c r="J9" s="627"/>
      <c r="K9" s="627"/>
      <c r="L9" s="627"/>
      <c r="M9" s="627"/>
      <c r="N9" s="627"/>
      <c r="O9" s="627"/>
      <c r="P9" s="627"/>
      <c r="Q9" s="627"/>
      <c r="R9" s="627"/>
      <c r="S9" s="627"/>
      <c r="T9" s="3332"/>
      <c r="U9" s="3332"/>
      <c r="V9" s="3332"/>
      <c r="W9" s="3332"/>
      <c r="X9" s="3332"/>
      <c r="Y9" s="3332"/>
      <c r="Z9" s="3332"/>
      <c r="AA9" s="3332"/>
      <c r="AB9" s="3332"/>
      <c r="AC9" s="3332"/>
      <c r="AD9" s="3332"/>
      <c r="AE9" s="3332"/>
      <c r="AF9" s="3332"/>
      <c r="AG9" s="3332"/>
      <c r="AH9" s="3332"/>
      <c r="AI9" s="3332"/>
      <c r="AJ9" s="3332"/>
      <c r="AK9" s="3332"/>
      <c r="AL9" s="3332"/>
      <c r="AM9" s="3332"/>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75" customHeight="1">
      <c r="A10" s="618"/>
      <c r="B10" s="628"/>
      <c r="C10" s="629"/>
      <c r="D10" s="629"/>
      <c r="E10" s="629"/>
      <c r="F10" s="629"/>
      <c r="G10" s="629"/>
      <c r="H10" s="629"/>
      <c r="I10" s="629"/>
      <c r="J10" s="629"/>
      <c r="K10" s="629"/>
      <c r="L10" s="629"/>
      <c r="M10" s="629"/>
      <c r="N10" s="629"/>
      <c r="O10" s="629"/>
      <c r="P10" s="629"/>
      <c r="Q10" s="629"/>
      <c r="R10" s="629"/>
      <c r="S10" s="629"/>
      <c r="T10" s="3332"/>
      <c r="U10" s="3332"/>
      <c r="V10" s="3332"/>
      <c r="W10" s="3332"/>
      <c r="X10" s="3332"/>
      <c r="Y10" s="3332"/>
      <c r="Z10" s="3332"/>
      <c r="AA10" s="3332"/>
      <c r="AB10" s="3332"/>
      <c r="AC10" s="3332"/>
      <c r="AD10" s="3332"/>
      <c r="AE10" s="3332"/>
      <c r="AF10" s="3332"/>
      <c r="AG10" s="3332"/>
      <c r="AH10" s="3332"/>
      <c r="AI10" s="3332"/>
      <c r="AJ10" s="3332"/>
      <c r="AK10" s="3332"/>
      <c r="AL10" s="3332"/>
      <c r="AM10" s="3332"/>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3">
      <c r="A11" s="618"/>
      <c r="B11" s="3300" t="s">
        <v>395</v>
      </c>
      <c r="C11" s="3301"/>
      <c r="D11" s="3301"/>
      <c r="E11" s="3301"/>
      <c r="F11" s="3301"/>
      <c r="G11" s="3301"/>
      <c r="H11" s="3301"/>
      <c r="I11" s="3301"/>
      <c r="J11" s="3301"/>
      <c r="K11" s="3301"/>
      <c r="L11" s="3301"/>
      <c r="M11" s="3301"/>
      <c r="N11" s="3301"/>
      <c r="O11" s="3301"/>
      <c r="P11" s="3301"/>
      <c r="Q11" s="3301"/>
      <c r="R11" s="3301"/>
      <c r="S11" s="3302"/>
      <c r="T11" s="3333">
        <f>IF('Sources and Basis Breakdown'!F107=0,'Sources and Basis Breakdown'!E107,'Sources and Basis Breakdown'!F107)</f>
        <v>62831803</v>
      </c>
      <c r="U11" s="3334"/>
      <c r="V11" s="3334"/>
      <c r="W11" s="3334"/>
      <c r="X11" s="3334"/>
      <c r="Y11" s="3333">
        <f>IF(Y7=" ",0,IF('Sources and Basis Breakdown'!G107+'Sources and Basis Breakdown'!F107='Sources and Basis Breakdown'!E107,'Sources and Basis Breakdown'!G107,0))</f>
        <v>0</v>
      </c>
      <c r="Z11" s="3334"/>
      <c r="AA11" s="3334"/>
      <c r="AB11" s="3334"/>
      <c r="AC11" s="3334"/>
      <c r="AD11" s="3334">
        <f>IF('Sources and Basis Breakdown'!I107=0,'Sources and Basis Breakdown'!H107,'Sources and Basis Breakdown'!I107)</f>
        <v>0</v>
      </c>
      <c r="AE11" s="3334"/>
      <c r="AF11" s="3334"/>
      <c r="AG11" s="3334"/>
      <c r="AH11" s="3334"/>
      <c r="AI11" s="3334">
        <f>IF(Y7=" ",0,IF('Sources and Basis Breakdown'!I107+'Sources and Basis Breakdown'!J107='Sources and Basis Breakdown'!H107,'Sources and Basis Breakdown'!J107,0))</f>
        <v>0</v>
      </c>
      <c r="AJ11" s="3334"/>
      <c r="AK11" s="3334"/>
      <c r="AL11" s="3334"/>
      <c r="AM11" s="3334"/>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3">
      <c r="A12" s="618"/>
      <c r="B12" s="3325" t="s">
        <v>532</v>
      </c>
      <c r="C12" s="3326"/>
      <c r="D12" s="3326"/>
      <c r="E12" s="3326"/>
      <c r="F12" s="3326"/>
      <c r="G12" s="3326"/>
      <c r="H12" s="3326"/>
      <c r="I12" s="3326"/>
      <c r="J12" s="3326"/>
      <c r="K12" s="3326"/>
      <c r="L12" s="3326"/>
      <c r="M12" s="3326"/>
      <c r="N12" s="3326"/>
      <c r="O12" s="3326"/>
      <c r="P12" s="3326"/>
      <c r="Q12" s="3326"/>
      <c r="R12" s="3326"/>
      <c r="S12" s="3327"/>
      <c r="T12" s="3288"/>
      <c r="U12" s="3289"/>
      <c r="V12" s="3289"/>
      <c r="W12" s="3289"/>
      <c r="X12" s="3290"/>
      <c r="Y12" s="3288"/>
      <c r="Z12" s="3289"/>
      <c r="AA12" s="3289"/>
      <c r="AB12" s="3289"/>
      <c r="AC12" s="3290"/>
      <c r="AD12" s="3288"/>
      <c r="AE12" s="3289"/>
      <c r="AF12" s="3289"/>
      <c r="AG12" s="3289"/>
      <c r="AH12" s="3290"/>
      <c r="AI12" s="3288"/>
      <c r="AJ12" s="3289"/>
      <c r="AK12" s="3289"/>
      <c r="AL12" s="3289"/>
      <c r="AM12" s="3290"/>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5">
      <c r="A13" s="618"/>
      <c r="B13" s="670"/>
      <c r="C13" s="3328" t="s">
        <v>533</v>
      </c>
      <c r="D13" s="3328"/>
      <c r="E13" s="3328"/>
      <c r="F13" s="3328"/>
      <c r="G13" s="3328"/>
      <c r="H13" s="3328"/>
      <c r="I13" s="3328"/>
      <c r="J13" s="3328"/>
      <c r="K13" s="3328"/>
      <c r="L13" s="3328"/>
      <c r="M13" s="3328"/>
      <c r="N13" s="3328"/>
      <c r="O13" s="3328"/>
      <c r="P13" s="3328"/>
      <c r="Q13" s="3328"/>
      <c r="R13" s="3328"/>
      <c r="S13" s="3329"/>
      <c r="T13" s="3335"/>
      <c r="U13" s="3336"/>
      <c r="V13" s="3336"/>
      <c r="W13" s="3336"/>
      <c r="X13" s="3336"/>
      <c r="Y13" s="3335"/>
      <c r="Z13" s="3336"/>
      <c r="AA13" s="3336"/>
      <c r="AB13" s="3336"/>
      <c r="AC13" s="3336"/>
      <c r="AD13" s="3336"/>
      <c r="AE13" s="3336"/>
      <c r="AF13" s="3336"/>
      <c r="AG13" s="3336"/>
      <c r="AH13" s="3336"/>
      <c r="AI13" s="3336"/>
      <c r="AJ13" s="3336"/>
      <c r="AK13" s="3336"/>
      <c r="AL13" s="3336"/>
      <c r="AM13" s="3336"/>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5">
      <c r="A14" s="618"/>
      <c r="B14" s="670"/>
      <c r="C14" s="3328" t="s">
        <v>534</v>
      </c>
      <c r="D14" s="3328"/>
      <c r="E14" s="3328"/>
      <c r="F14" s="3328"/>
      <c r="G14" s="3328"/>
      <c r="H14" s="3328"/>
      <c r="I14" s="3328"/>
      <c r="J14" s="3328"/>
      <c r="K14" s="3328"/>
      <c r="L14" s="3328"/>
      <c r="M14" s="3328"/>
      <c r="N14" s="3328"/>
      <c r="O14" s="3328"/>
      <c r="P14" s="3328"/>
      <c r="Q14" s="3328"/>
      <c r="R14" s="3328"/>
      <c r="S14" s="3329"/>
      <c r="T14" s="3291"/>
      <c r="U14" s="3292"/>
      <c r="V14" s="3292"/>
      <c r="W14" s="3292"/>
      <c r="X14" s="3292"/>
      <c r="Y14" s="3291"/>
      <c r="Z14" s="3292"/>
      <c r="AA14" s="3292"/>
      <c r="AB14" s="3292"/>
      <c r="AC14" s="3292"/>
      <c r="AD14" s="3292"/>
      <c r="AE14" s="3292"/>
      <c r="AF14" s="3292"/>
      <c r="AG14" s="3292"/>
      <c r="AH14" s="3292"/>
      <c r="AI14" s="3292"/>
      <c r="AJ14" s="3292"/>
      <c r="AK14" s="3292"/>
      <c r="AL14" s="3292"/>
      <c r="AM14" s="3292"/>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5">
      <c r="A15" s="618"/>
      <c r="B15" s="670"/>
      <c r="C15" s="3328" t="s">
        <v>535</v>
      </c>
      <c r="D15" s="3328"/>
      <c r="E15" s="3328"/>
      <c r="F15" s="3328"/>
      <c r="G15" s="3328"/>
      <c r="H15" s="3328"/>
      <c r="I15" s="3328"/>
      <c r="J15" s="3328"/>
      <c r="K15" s="3328"/>
      <c r="L15" s="3328"/>
      <c r="M15" s="3328"/>
      <c r="N15" s="3328"/>
      <c r="O15" s="3328"/>
      <c r="P15" s="3328"/>
      <c r="Q15" s="3328"/>
      <c r="R15" s="3328"/>
      <c r="S15" s="3329"/>
      <c r="T15" s="3291"/>
      <c r="U15" s="3292"/>
      <c r="V15" s="3292"/>
      <c r="W15" s="3292"/>
      <c r="X15" s="3292"/>
      <c r="Y15" s="3291"/>
      <c r="Z15" s="3292"/>
      <c r="AA15" s="3292"/>
      <c r="AB15" s="3292"/>
      <c r="AC15" s="3292"/>
      <c r="AD15" s="3292"/>
      <c r="AE15" s="3292"/>
      <c r="AF15" s="3292"/>
      <c r="AG15" s="3292"/>
      <c r="AH15" s="3292"/>
      <c r="AI15" s="3292"/>
      <c r="AJ15" s="3292"/>
      <c r="AK15" s="3292"/>
      <c r="AL15" s="3292"/>
      <c r="AM15" s="3292"/>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5">
      <c r="A16" s="618"/>
      <c r="B16" s="670"/>
      <c r="C16" s="3328" t="s">
        <v>868</v>
      </c>
      <c r="D16" s="3328"/>
      <c r="E16" s="3328"/>
      <c r="F16" s="3328"/>
      <c r="G16" s="3328"/>
      <c r="H16" s="3328"/>
      <c r="I16" s="3328"/>
      <c r="J16" s="3328"/>
      <c r="K16" s="3328"/>
      <c r="L16" s="3328"/>
      <c r="M16" s="3328"/>
      <c r="N16" s="3328"/>
      <c r="O16" s="3328"/>
      <c r="P16" s="3328"/>
      <c r="Q16" s="3328"/>
      <c r="R16" s="3328"/>
      <c r="S16" s="3329"/>
      <c r="T16" s="3291"/>
      <c r="U16" s="3292"/>
      <c r="V16" s="3292"/>
      <c r="W16" s="3292"/>
      <c r="X16" s="3292"/>
      <c r="Y16" s="3291"/>
      <c r="Z16" s="3292"/>
      <c r="AA16" s="3292"/>
      <c r="AB16" s="3292"/>
      <c r="AC16" s="3292"/>
      <c r="AD16" s="3292"/>
      <c r="AE16" s="3292"/>
      <c r="AF16" s="3292"/>
      <c r="AG16" s="3292"/>
      <c r="AH16" s="3292"/>
      <c r="AI16" s="3292"/>
      <c r="AJ16" s="3292"/>
      <c r="AK16" s="3292"/>
      <c r="AL16" s="3292"/>
      <c r="AM16" s="3292"/>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5">
      <c r="A17" s="618"/>
      <c r="B17" s="670"/>
      <c r="C17" s="3328" t="s">
        <v>536</v>
      </c>
      <c r="D17" s="3328"/>
      <c r="E17" s="3328"/>
      <c r="F17" s="3328"/>
      <c r="G17" s="3328"/>
      <c r="H17" s="3328"/>
      <c r="I17" s="3328"/>
      <c r="J17" s="3328"/>
      <c r="K17" s="3328"/>
      <c r="L17" s="3328"/>
      <c r="M17" s="3328"/>
      <c r="N17" s="3328"/>
      <c r="O17" s="3328"/>
      <c r="P17" s="3328"/>
      <c r="Q17" s="3328"/>
      <c r="R17" s="3328"/>
      <c r="S17" s="3329"/>
      <c r="T17" s="3291"/>
      <c r="U17" s="3292"/>
      <c r="V17" s="3292"/>
      <c r="W17" s="3292"/>
      <c r="X17" s="3292"/>
      <c r="Y17" s="3291"/>
      <c r="Z17" s="3292"/>
      <c r="AA17" s="3292"/>
      <c r="AB17" s="3292"/>
      <c r="AC17" s="3292"/>
      <c r="AD17" s="3292"/>
      <c r="AE17" s="3292"/>
      <c r="AF17" s="3292"/>
      <c r="AG17" s="3292"/>
      <c r="AH17" s="3292"/>
      <c r="AI17" s="3292"/>
      <c r="AJ17" s="3292"/>
      <c r="AK17" s="3292"/>
      <c r="AL17" s="3292"/>
      <c r="AM17" s="3292"/>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5">
      <c r="A18" s="618"/>
      <c r="B18" s="671"/>
      <c r="C18" s="3323" t="s">
        <v>1043</v>
      </c>
      <c r="D18" s="3323"/>
      <c r="E18" s="3323"/>
      <c r="F18" s="3323"/>
      <c r="G18" s="3323"/>
      <c r="H18" s="3323"/>
      <c r="I18" s="3323"/>
      <c r="J18" s="3323"/>
      <c r="K18" s="3323"/>
      <c r="L18" s="3323"/>
      <c r="M18" s="3323"/>
      <c r="N18" s="3323"/>
      <c r="O18" s="3323"/>
      <c r="P18" s="3323"/>
      <c r="Q18" s="3323"/>
      <c r="R18" s="3323"/>
      <c r="S18" s="3324"/>
      <c r="T18" s="3291"/>
      <c r="U18" s="3292"/>
      <c r="V18" s="3292"/>
      <c r="W18" s="3292"/>
      <c r="X18" s="3292"/>
      <c r="Y18" s="3291"/>
      <c r="Z18" s="3292"/>
      <c r="AA18" s="3292"/>
      <c r="AB18" s="3292"/>
      <c r="AC18" s="3292"/>
      <c r="AD18" s="3292"/>
      <c r="AE18" s="3292"/>
      <c r="AF18" s="3292"/>
      <c r="AG18" s="3292"/>
      <c r="AH18" s="3292"/>
      <c r="AI18" s="3292"/>
      <c r="AJ18" s="3292"/>
      <c r="AK18" s="3292"/>
      <c r="AL18" s="3292"/>
      <c r="AM18" s="3292"/>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5">
      <c r="A19" s="618"/>
      <c r="B19" s="671"/>
      <c r="C19" s="3323" t="s">
        <v>1043</v>
      </c>
      <c r="D19" s="3323"/>
      <c r="E19" s="3323"/>
      <c r="F19" s="3323"/>
      <c r="G19" s="3323"/>
      <c r="H19" s="3323"/>
      <c r="I19" s="3323"/>
      <c r="J19" s="3323"/>
      <c r="K19" s="3323"/>
      <c r="L19" s="3323"/>
      <c r="M19" s="3323"/>
      <c r="N19" s="3323"/>
      <c r="O19" s="3323"/>
      <c r="P19" s="3323"/>
      <c r="Q19" s="3323"/>
      <c r="R19" s="3323"/>
      <c r="S19" s="3324"/>
      <c r="T19" s="3291"/>
      <c r="U19" s="3292"/>
      <c r="V19" s="3292"/>
      <c r="W19" s="3292"/>
      <c r="X19" s="3292"/>
      <c r="Y19" s="3291"/>
      <c r="Z19" s="3292"/>
      <c r="AA19" s="3292"/>
      <c r="AB19" s="3292"/>
      <c r="AC19" s="3292"/>
      <c r="AD19" s="3292"/>
      <c r="AE19" s="3292"/>
      <c r="AF19" s="3292"/>
      <c r="AG19" s="3292"/>
      <c r="AH19" s="3292"/>
      <c r="AI19" s="3292"/>
      <c r="AJ19" s="3292"/>
      <c r="AK19" s="3292"/>
      <c r="AL19" s="3292"/>
      <c r="AM19" s="3292"/>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3">
      <c r="A20" s="618"/>
      <c r="B20" s="3300" t="s">
        <v>537</v>
      </c>
      <c r="C20" s="3301"/>
      <c r="D20" s="3301"/>
      <c r="E20" s="3301"/>
      <c r="F20" s="3301"/>
      <c r="G20" s="3301"/>
      <c r="H20" s="3301"/>
      <c r="I20" s="3301"/>
      <c r="J20" s="3301"/>
      <c r="K20" s="3301"/>
      <c r="L20" s="3301"/>
      <c r="M20" s="3301"/>
      <c r="N20" s="3301"/>
      <c r="O20" s="3301"/>
      <c r="P20" s="3301"/>
      <c r="Q20" s="3301"/>
      <c r="R20" s="3301"/>
      <c r="S20" s="3302"/>
      <c r="T20" s="3293">
        <f>SUM(T13:X19)</f>
        <v>0</v>
      </c>
      <c r="U20" s="3294"/>
      <c r="V20" s="3294"/>
      <c r="W20" s="3294"/>
      <c r="X20" s="3294"/>
      <c r="Y20" s="3293">
        <f>SUM(Y13:AC19)</f>
        <v>0</v>
      </c>
      <c r="Z20" s="3294"/>
      <c r="AA20" s="3294"/>
      <c r="AB20" s="3294"/>
      <c r="AC20" s="3294"/>
      <c r="AD20" s="3295">
        <f>SUM(AD13:AH19)</f>
        <v>0</v>
      </c>
      <c r="AE20" s="3296"/>
      <c r="AF20" s="3296"/>
      <c r="AG20" s="3296"/>
      <c r="AH20" s="3293"/>
      <c r="AI20" s="3295">
        <f>SUM(AI13:AM19)</f>
        <v>0</v>
      </c>
      <c r="AJ20" s="3296"/>
      <c r="AK20" s="3296"/>
      <c r="AL20" s="3296"/>
      <c r="AM20" s="3293"/>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3">
      <c r="A21" s="618"/>
      <c r="B21" s="3300" t="s">
        <v>1504</v>
      </c>
      <c r="C21" s="3301"/>
      <c r="D21" s="3301"/>
      <c r="E21" s="3301"/>
      <c r="F21" s="3301"/>
      <c r="G21" s="3301"/>
      <c r="H21" s="3301"/>
      <c r="I21" s="3301"/>
      <c r="J21" s="3301"/>
      <c r="K21" s="3301"/>
      <c r="L21" s="3301"/>
      <c r="M21" s="3301"/>
      <c r="N21" s="3301"/>
      <c r="O21" s="3301"/>
      <c r="P21" s="3301"/>
      <c r="Q21" s="3301"/>
      <c r="R21" s="3301"/>
      <c r="S21" s="3302"/>
      <c r="T21" s="3291"/>
      <c r="U21" s="3292"/>
      <c r="V21" s="3292"/>
      <c r="W21" s="3292"/>
      <c r="X21" s="3292"/>
      <c r="Y21" s="3291"/>
      <c r="Z21" s="3292"/>
      <c r="AA21" s="3292"/>
      <c r="AB21" s="3292"/>
      <c r="AC21" s="3292"/>
      <c r="AD21" s="3288"/>
      <c r="AE21" s="3289"/>
      <c r="AF21" s="3289"/>
      <c r="AG21" s="3289"/>
      <c r="AH21" s="3290"/>
      <c r="AI21" s="3288"/>
      <c r="AJ21" s="3289"/>
      <c r="AK21" s="3289"/>
      <c r="AL21" s="3289"/>
      <c r="AM21" s="3290"/>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3">
      <c r="A22" s="618"/>
      <c r="B22" s="3300" t="s">
        <v>538</v>
      </c>
      <c r="C22" s="3301"/>
      <c r="D22" s="3301"/>
      <c r="E22" s="3301"/>
      <c r="F22" s="3301"/>
      <c r="G22" s="3301"/>
      <c r="H22" s="3301"/>
      <c r="I22" s="3301"/>
      <c r="J22" s="3301"/>
      <c r="K22" s="3301"/>
      <c r="L22" s="3301"/>
      <c r="M22" s="3301"/>
      <c r="N22" s="3301"/>
      <c r="O22" s="3301"/>
      <c r="P22" s="3301"/>
      <c r="Q22" s="3301"/>
      <c r="R22" s="3301"/>
      <c r="S22" s="3302"/>
      <c r="T22" s="3337">
        <f>(T20+T21)*-1</f>
        <v>0</v>
      </c>
      <c r="U22" s="3338"/>
      <c r="V22" s="3338"/>
      <c r="W22" s="3338"/>
      <c r="X22" s="3338"/>
      <c r="Y22" s="3337">
        <f>(Y20+Y21)*-1</f>
        <v>0</v>
      </c>
      <c r="Z22" s="3338"/>
      <c r="AA22" s="3338"/>
      <c r="AB22" s="3338"/>
      <c r="AC22" s="3338"/>
      <c r="AD22" s="3339">
        <f>(AD20)*-1</f>
        <v>0</v>
      </c>
      <c r="AE22" s="3340"/>
      <c r="AF22" s="3340"/>
      <c r="AG22" s="3340"/>
      <c r="AH22" s="3337"/>
      <c r="AI22" s="3339">
        <f>(AI20)*-1</f>
        <v>0</v>
      </c>
      <c r="AJ22" s="3340"/>
      <c r="AK22" s="3340"/>
      <c r="AL22" s="3340"/>
      <c r="AM22" s="3337"/>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3">
      <c r="A23" s="619"/>
      <c r="B23" s="3303" t="s">
        <v>539</v>
      </c>
      <c r="C23" s="3304"/>
      <c r="D23" s="3304"/>
      <c r="E23" s="3304"/>
      <c r="F23" s="3304"/>
      <c r="G23" s="3304"/>
      <c r="H23" s="3304"/>
      <c r="I23" s="3304"/>
      <c r="J23" s="3304"/>
      <c r="K23" s="3304"/>
      <c r="L23" s="3304"/>
      <c r="M23" s="3304"/>
      <c r="N23" s="3304"/>
      <c r="O23" s="3304"/>
      <c r="P23" s="3304"/>
      <c r="Q23" s="3304"/>
      <c r="R23" s="3304"/>
      <c r="S23" s="3305"/>
      <c r="T23" s="3293">
        <f>T11+T22</f>
        <v>62831803</v>
      </c>
      <c r="U23" s="3294"/>
      <c r="V23" s="3294"/>
      <c r="W23" s="3294"/>
      <c r="X23" s="3294"/>
      <c r="Y23" s="3293">
        <f>Y11+Y22</f>
        <v>0</v>
      </c>
      <c r="Z23" s="3294"/>
      <c r="AA23" s="3294"/>
      <c r="AB23" s="3294"/>
      <c r="AC23" s="3294"/>
      <c r="AD23" s="3293">
        <f>AD11+AD22</f>
        <v>0</v>
      </c>
      <c r="AE23" s="3294"/>
      <c r="AF23" s="3294"/>
      <c r="AG23" s="3294"/>
      <c r="AH23" s="3294"/>
      <c r="AI23" s="3293">
        <f>AI11+AI22</f>
        <v>0</v>
      </c>
      <c r="AJ23" s="3294"/>
      <c r="AK23" s="3294"/>
      <c r="AL23" s="3294"/>
      <c r="AM23" s="3294"/>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3">
      <c r="A24" s="618"/>
      <c r="B24" s="3300" t="s">
        <v>1044</v>
      </c>
      <c r="C24" s="3301"/>
      <c r="D24" s="3301"/>
      <c r="E24" s="3301"/>
      <c r="F24" s="3301"/>
      <c r="G24" s="3301"/>
      <c r="H24" s="3301"/>
      <c r="I24" s="3301"/>
      <c r="J24" s="3301"/>
      <c r="K24" s="3301"/>
      <c r="L24" s="3301"/>
      <c r="M24" s="3301"/>
      <c r="N24" s="3301"/>
      <c r="O24" s="3301"/>
      <c r="P24" s="3301"/>
      <c r="Q24" s="3301"/>
      <c r="R24" s="3301"/>
      <c r="S24" s="3302"/>
      <c r="T24" s="3295">
        <f>Application!AJ1032</f>
        <v>138223689.24000001</v>
      </c>
      <c r="U24" s="3296"/>
      <c r="V24" s="3296"/>
      <c r="W24" s="3296"/>
      <c r="X24" s="3296"/>
      <c r="Y24" s="3296"/>
      <c r="Z24" s="3296"/>
      <c r="AA24" s="3296"/>
      <c r="AB24" s="3296"/>
      <c r="AC24" s="3296"/>
      <c r="AD24" s="3296"/>
      <c r="AE24" s="3296"/>
      <c r="AF24" s="3296"/>
      <c r="AG24" s="3296"/>
      <c r="AH24" s="3296"/>
      <c r="AI24" s="3296"/>
      <c r="AJ24" s="3296"/>
      <c r="AK24" s="3296"/>
      <c r="AL24" s="3296"/>
      <c r="AM24" s="3293"/>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5">
      <c r="A25" s="618"/>
      <c r="B25" s="3307" t="s">
        <v>1505</v>
      </c>
      <c r="C25" s="3308"/>
      <c r="D25" s="3308"/>
      <c r="E25" s="3308"/>
      <c r="F25" s="3308"/>
      <c r="G25" s="3308"/>
      <c r="H25" s="3308"/>
      <c r="I25" s="3308"/>
      <c r="J25" s="3308"/>
      <c r="K25" s="3308"/>
      <c r="L25" s="3308"/>
      <c r="M25" s="3308"/>
      <c r="N25" s="3308"/>
      <c r="O25" s="3308"/>
      <c r="P25" s="3308"/>
      <c r="Q25" s="3308"/>
      <c r="R25" s="3308"/>
      <c r="S25" s="3309"/>
      <c r="T25" s="3341">
        <f>IF(OR(Application!T195="yes",Application!T194="yes"),1.3,1)</f>
        <v>1.3</v>
      </c>
      <c r="U25" s="3342"/>
      <c r="V25" s="3342"/>
      <c r="W25" s="3342"/>
      <c r="X25" s="3342"/>
      <c r="Y25" s="3341">
        <v>1</v>
      </c>
      <c r="Z25" s="3342"/>
      <c r="AA25" s="3342"/>
      <c r="AB25" s="3342"/>
      <c r="AC25" s="3342"/>
      <c r="AD25" s="3341">
        <v>1</v>
      </c>
      <c r="AE25" s="3342"/>
      <c r="AF25" s="3342"/>
      <c r="AG25" s="3342"/>
      <c r="AH25" s="3343"/>
      <c r="AI25" s="3341">
        <v>1</v>
      </c>
      <c r="AJ25" s="3342"/>
      <c r="AK25" s="3342"/>
      <c r="AL25" s="3342"/>
      <c r="AM25" s="3343"/>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3">
      <c r="A26" s="618"/>
      <c r="B26" s="3300" t="s">
        <v>540</v>
      </c>
      <c r="C26" s="3301"/>
      <c r="D26" s="3301"/>
      <c r="E26" s="3301"/>
      <c r="F26" s="3301"/>
      <c r="G26" s="3301"/>
      <c r="H26" s="3301"/>
      <c r="I26" s="3301"/>
      <c r="J26" s="3301"/>
      <c r="K26" s="3301"/>
      <c r="L26" s="3301"/>
      <c r="M26" s="3301"/>
      <c r="N26" s="3301"/>
      <c r="O26" s="3301"/>
      <c r="P26" s="3301"/>
      <c r="Q26" s="3301"/>
      <c r="R26" s="3301"/>
      <c r="S26" s="3302"/>
      <c r="T26" s="3344">
        <f>T23*T25</f>
        <v>81681343.900000006</v>
      </c>
      <c r="U26" s="3345"/>
      <c r="V26" s="3345"/>
      <c r="W26" s="3345"/>
      <c r="X26" s="3345"/>
      <c r="Y26" s="3344">
        <f>Y23*Y25</f>
        <v>0</v>
      </c>
      <c r="Z26" s="3345"/>
      <c r="AA26" s="3345"/>
      <c r="AB26" s="3345"/>
      <c r="AC26" s="3345"/>
      <c r="AD26" s="3344">
        <f>AD23*AD25</f>
        <v>0</v>
      </c>
      <c r="AE26" s="3345"/>
      <c r="AF26" s="3345"/>
      <c r="AG26" s="3345"/>
      <c r="AH26" s="3345"/>
      <c r="AI26" s="3344">
        <f>AI23*AI25</f>
        <v>0</v>
      </c>
      <c r="AJ26" s="3345"/>
      <c r="AK26" s="3345"/>
      <c r="AL26" s="3345"/>
      <c r="AM26" s="3345"/>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5">
      <c r="A27" s="630"/>
      <c r="B27" s="3310" t="s">
        <v>449</v>
      </c>
      <c r="C27" s="3311"/>
      <c r="D27" s="3311"/>
      <c r="E27" s="3311"/>
      <c r="F27" s="3311"/>
      <c r="G27" s="3311"/>
      <c r="H27" s="3311"/>
      <c r="I27" s="3311"/>
      <c r="J27" s="3311"/>
      <c r="K27" s="3311"/>
      <c r="L27" s="3311"/>
      <c r="M27" s="3311"/>
      <c r="N27" s="3311"/>
      <c r="O27" s="3311"/>
      <c r="P27" s="3311"/>
      <c r="Q27" s="3311"/>
      <c r="R27" s="3311"/>
      <c r="S27" s="3312"/>
      <c r="T27" s="3321">
        <f>Application!$AG$444</f>
        <v>1</v>
      </c>
      <c r="U27" s="3322"/>
      <c r="V27" s="3322"/>
      <c r="W27" s="3322"/>
      <c r="X27" s="3322"/>
      <c r="Y27" s="3321">
        <f>Application!$AG$444</f>
        <v>1</v>
      </c>
      <c r="Z27" s="3322"/>
      <c r="AA27" s="3322"/>
      <c r="AB27" s="3322"/>
      <c r="AC27" s="3322"/>
      <c r="AD27" s="3321">
        <f>Application!$AG$444</f>
        <v>1</v>
      </c>
      <c r="AE27" s="3322"/>
      <c r="AF27" s="3322"/>
      <c r="AG27" s="3322"/>
      <c r="AH27" s="3322"/>
      <c r="AI27" s="3321">
        <f>Application!$AG$444</f>
        <v>1</v>
      </c>
      <c r="AJ27" s="3322"/>
      <c r="AK27" s="3322"/>
      <c r="AL27" s="3322"/>
      <c r="AM27" s="3322"/>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300" t="s">
        <v>541</v>
      </c>
      <c r="C28" s="3301"/>
      <c r="D28" s="3301"/>
      <c r="E28" s="3301"/>
      <c r="F28" s="3301"/>
      <c r="G28" s="3301"/>
      <c r="H28" s="3301"/>
      <c r="I28" s="3301"/>
      <c r="J28" s="3301"/>
      <c r="K28" s="3301"/>
      <c r="L28" s="3301"/>
      <c r="M28" s="3301"/>
      <c r="N28" s="3301"/>
      <c r="O28" s="3301"/>
      <c r="P28" s="3301"/>
      <c r="Q28" s="3301"/>
      <c r="R28" s="3301"/>
      <c r="S28" s="3302"/>
      <c r="T28" s="3313">
        <f>IF(ISERROR((T26*T27)),0,(T26*T27))</f>
        <v>81681343.900000006</v>
      </c>
      <c r="U28" s="3314"/>
      <c r="V28" s="3314"/>
      <c r="W28" s="3314"/>
      <c r="X28" s="3314"/>
      <c r="Y28" s="3313">
        <f>IF(ISERROR((Y26*Y27)),0,(Y26*Y27))</f>
        <v>0</v>
      </c>
      <c r="Z28" s="3314"/>
      <c r="AA28" s="3314"/>
      <c r="AB28" s="3314"/>
      <c r="AC28" s="3314"/>
      <c r="AD28" s="3313">
        <f>IF(ISERROR((AD26*AD27)),0,(AD26*AD27))</f>
        <v>0</v>
      </c>
      <c r="AE28" s="3314"/>
      <c r="AF28" s="3314"/>
      <c r="AG28" s="3314"/>
      <c r="AH28" s="3314"/>
      <c r="AI28" s="3313">
        <f>IF(ISERROR((AI26*AI27)),0,(AI26*AI27))</f>
        <v>0</v>
      </c>
      <c r="AJ28" s="3314"/>
      <c r="AK28" s="3314"/>
      <c r="AL28" s="3314"/>
      <c r="AM28" s="3314"/>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3">
      <c r="A29" s="618"/>
      <c r="B29" s="3300" t="s">
        <v>558</v>
      </c>
      <c r="C29" s="3301"/>
      <c r="D29" s="3301"/>
      <c r="E29" s="3301"/>
      <c r="F29" s="3301"/>
      <c r="G29" s="3301"/>
      <c r="H29" s="3301"/>
      <c r="I29" s="3301"/>
      <c r="J29" s="3301"/>
      <c r="K29" s="3301"/>
      <c r="L29" s="3301"/>
      <c r="M29" s="3301"/>
      <c r="N29" s="3301"/>
      <c r="O29" s="3301"/>
      <c r="P29" s="3301"/>
      <c r="Q29" s="3301"/>
      <c r="R29" s="3301"/>
      <c r="S29" s="3302"/>
      <c r="T29" s="3295">
        <f>T28+Y28+AD28+AI28</f>
        <v>81681343.900000006</v>
      </c>
      <c r="U29" s="3296"/>
      <c r="V29" s="3296"/>
      <c r="W29" s="3296"/>
      <c r="X29" s="3296"/>
      <c r="Y29" s="3296"/>
      <c r="Z29" s="3296"/>
      <c r="AA29" s="3296"/>
      <c r="AB29" s="3296"/>
      <c r="AC29" s="3296"/>
      <c r="AD29" s="3296"/>
      <c r="AE29" s="3296"/>
      <c r="AF29" s="3296"/>
      <c r="AG29" s="3296"/>
      <c r="AH29" s="3296"/>
      <c r="AI29" s="3296"/>
      <c r="AJ29" s="3296"/>
      <c r="AK29" s="3296"/>
      <c r="AL29" s="3296"/>
      <c r="AM29" s="3293"/>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306" t="s">
        <v>1507</v>
      </c>
      <c r="C30" s="3306"/>
      <c r="D30" s="3306"/>
      <c r="E30" s="3306"/>
      <c r="F30" s="3306"/>
      <c r="G30" s="3306"/>
      <c r="H30" s="3306"/>
      <c r="I30" s="3306"/>
      <c r="J30" s="3306"/>
      <c r="K30" s="3306"/>
      <c r="L30" s="3306"/>
      <c r="M30" s="3306"/>
      <c r="N30" s="3306"/>
      <c r="O30" s="3306"/>
      <c r="P30" s="3306"/>
      <c r="Q30" s="3306"/>
      <c r="R30" s="3306"/>
      <c r="S30" s="3306"/>
      <c r="T30" s="3306"/>
      <c r="U30" s="3306"/>
      <c r="V30" s="3306"/>
      <c r="W30" s="3306"/>
      <c r="X30" s="3306"/>
      <c r="Y30" s="3306"/>
      <c r="Z30" s="3306"/>
      <c r="AA30" s="3306"/>
      <c r="AB30" s="3306"/>
      <c r="AC30" s="3306"/>
      <c r="AD30" s="3306"/>
      <c r="AE30" s="3306"/>
      <c r="AF30" s="3306"/>
      <c r="AG30" s="3306"/>
      <c r="AH30" s="3306"/>
      <c r="AI30" s="3306"/>
      <c r="AJ30" s="3306"/>
      <c r="AK30" s="3306"/>
      <c r="AL30" s="3306"/>
      <c r="AM30" s="3306"/>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306" t="s">
        <v>1506</v>
      </c>
      <c r="C31" s="3306"/>
      <c r="D31" s="3306"/>
      <c r="E31" s="3306"/>
      <c r="F31" s="3306"/>
      <c r="G31" s="3306"/>
      <c r="H31" s="3306"/>
      <c r="I31" s="3306"/>
      <c r="J31" s="3306"/>
      <c r="K31" s="3306"/>
      <c r="L31" s="3306"/>
      <c r="M31" s="3306"/>
      <c r="N31" s="3306"/>
      <c r="O31" s="3306"/>
      <c r="P31" s="3306"/>
      <c r="Q31" s="3306"/>
      <c r="R31" s="3306"/>
      <c r="S31" s="3306"/>
      <c r="T31" s="3306"/>
      <c r="U31" s="3306"/>
      <c r="V31" s="3306"/>
      <c r="W31" s="3306"/>
      <c r="X31" s="3306"/>
      <c r="Y31" s="3306"/>
      <c r="Z31" s="3306"/>
      <c r="AA31" s="3306"/>
      <c r="AB31" s="3306"/>
      <c r="AC31" s="3306"/>
      <c r="AD31" s="3306"/>
      <c r="AE31" s="3306"/>
      <c r="AF31" s="3306"/>
      <c r="AG31" s="3306"/>
      <c r="AH31" s="3306"/>
      <c r="AI31" s="3306"/>
      <c r="AJ31" s="3306"/>
      <c r="AK31" s="3306"/>
      <c r="AL31" s="3306"/>
      <c r="AM31" s="3306"/>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3">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332" t="s">
        <v>1349</v>
      </c>
      <c r="Z35" s="3332"/>
      <c r="AA35" s="3332"/>
      <c r="AB35" s="3332"/>
      <c r="AC35" s="3332"/>
      <c r="AD35" s="3358" t="s">
        <v>382</v>
      </c>
      <c r="AE35" s="3358"/>
      <c r="AF35" s="3358"/>
      <c r="AG35" s="3358"/>
      <c r="AH35" s="3358"/>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332"/>
      <c r="Z36" s="3332"/>
      <c r="AA36" s="3332"/>
      <c r="AB36" s="3332"/>
      <c r="AC36" s="3332"/>
      <c r="AD36" s="3358"/>
      <c r="AE36" s="3358"/>
      <c r="AF36" s="3358"/>
      <c r="AG36" s="3358"/>
      <c r="AH36" s="3358"/>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332"/>
      <c r="Z37" s="3332"/>
      <c r="AA37" s="3332"/>
      <c r="AB37" s="3332"/>
      <c r="AC37" s="3332"/>
      <c r="AD37" s="3358"/>
      <c r="AE37" s="3358"/>
      <c r="AF37" s="3358"/>
      <c r="AG37" s="3358"/>
      <c r="AH37" s="3358"/>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300" t="s">
        <v>541</v>
      </c>
      <c r="C38" s="3301"/>
      <c r="D38" s="3301"/>
      <c r="E38" s="3301"/>
      <c r="F38" s="3301"/>
      <c r="G38" s="3301"/>
      <c r="H38" s="3301"/>
      <c r="I38" s="3301"/>
      <c r="J38" s="3301"/>
      <c r="K38" s="3301"/>
      <c r="L38" s="3301"/>
      <c r="M38" s="3301"/>
      <c r="N38" s="3301"/>
      <c r="O38" s="3301"/>
      <c r="P38" s="3301"/>
      <c r="Q38" s="3301"/>
      <c r="R38" s="3301"/>
      <c r="S38" s="3301"/>
      <c r="T38" s="3301"/>
      <c r="U38" s="3301"/>
      <c r="V38" s="3301"/>
      <c r="W38" s="3301"/>
      <c r="X38" s="3302"/>
      <c r="Y38" s="3294">
        <f>IF(T24&gt;=(T23+Y23+AD23+AI23),T28+Y28,0)</f>
        <v>81681343.900000006</v>
      </c>
      <c r="Z38" s="3294"/>
      <c r="AA38" s="3294"/>
      <c r="AB38" s="3294"/>
      <c r="AC38" s="3294"/>
      <c r="AD38" s="3294">
        <f>IF(T24&gt;=(T23+Y23+AD23+AI23),AD28+AI28,0)</f>
        <v>0</v>
      </c>
      <c r="AE38" s="3294"/>
      <c r="AF38" s="3294"/>
      <c r="AG38" s="3294"/>
      <c r="AH38" s="3294"/>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3">
      <c r="A39" s="618"/>
      <c r="B39" s="3300" t="s">
        <v>2194</v>
      </c>
      <c r="C39" s="3301"/>
      <c r="D39" s="3301"/>
      <c r="E39" s="3301"/>
      <c r="F39" s="3301"/>
      <c r="G39" s="3301"/>
      <c r="H39" s="3301"/>
      <c r="I39" s="3301"/>
      <c r="J39" s="3301"/>
      <c r="K39" s="3301"/>
      <c r="L39" s="3301"/>
      <c r="M39" s="3301"/>
      <c r="N39" s="3301"/>
      <c r="O39" s="3301"/>
      <c r="P39" s="3301"/>
      <c r="Q39" s="3301"/>
      <c r="R39" s="3301"/>
      <c r="S39" s="3301"/>
      <c r="T39" s="3301"/>
      <c r="U39" s="3301"/>
      <c r="V39" s="3301"/>
      <c r="W39" s="3301"/>
      <c r="X39" s="3302"/>
      <c r="Y39" s="3359">
        <v>0.04</v>
      </c>
      <c r="Z39" s="3359"/>
      <c r="AA39" s="3359"/>
      <c r="AB39" s="3359"/>
      <c r="AC39" s="3359"/>
      <c r="AD39" s="3359">
        <v>0.04</v>
      </c>
      <c r="AE39" s="3359"/>
      <c r="AF39" s="3359"/>
      <c r="AG39" s="3359"/>
      <c r="AH39" s="3359"/>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300" t="s">
        <v>679</v>
      </c>
      <c r="C40" s="3301"/>
      <c r="D40" s="3301"/>
      <c r="E40" s="3301"/>
      <c r="F40" s="3301"/>
      <c r="G40" s="3301"/>
      <c r="H40" s="3301"/>
      <c r="I40" s="3301"/>
      <c r="J40" s="3301"/>
      <c r="K40" s="3301"/>
      <c r="L40" s="3301"/>
      <c r="M40" s="3301"/>
      <c r="N40" s="3301"/>
      <c r="O40" s="3301"/>
      <c r="P40" s="3301"/>
      <c r="Q40" s="3301"/>
      <c r="R40" s="3301"/>
      <c r="S40" s="3301"/>
      <c r="T40" s="3301"/>
      <c r="U40" s="3301"/>
      <c r="V40" s="3301"/>
      <c r="W40" s="3301"/>
      <c r="X40" s="3302"/>
      <c r="Y40" s="3294">
        <f>ROUND(Y38*Y39,0)</f>
        <v>3267254</v>
      </c>
      <c r="Z40" s="3294"/>
      <c r="AA40" s="3294"/>
      <c r="AB40" s="3294"/>
      <c r="AC40" s="3294"/>
      <c r="AD40" s="3293">
        <f>ROUND(AD38*AD39,0)</f>
        <v>0</v>
      </c>
      <c r="AE40" s="3294"/>
      <c r="AF40" s="3294"/>
      <c r="AG40" s="3294"/>
      <c r="AH40" s="3294"/>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3">
      <c r="A41" s="618"/>
      <c r="B41" s="3300" t="s">
        <v>680</v>
      </c>
      <c r="C41" s="3301"/>
      <c r="D41" s="3301"/>
      <c r="E41" s="3301"/>
      <c r="F41" s="3301"/>
      <c r="G41" s="3301"/>
      <c r="H41" s="3301"/>
      <c r="I41" s="3301"/>
      <c r="J41" s="3301"/>
      <c r="K41" s="3301"/>
      <c r="L41" s="3301"/>
      <c r="M41" s="3301"/>
      <c r="N41" s="3301"/>
      <c r="O41" s="3301"/>
      <c r="P41" s="3301"/>
      <c r="Q41" s="3301"/>
      <c r="R41" s="3301"/>
      <c r="S41" s="3301"/>
      <c r="T41" s="3301"/>
      <c r="U41" s="3301"/>
      <c r="V41" s="3301"/>
      <c r="W41" s="3301"/>
      <c r="X41" s="3302"/>
      <c r="Y41" s="3315">
        <f>Y40+AD40</f>
        <v>3267254</v>
      </c>
      <c r="Z41" s="3316"/>
      <c r="AA41" s="3316"/>
      <c r="AB41" s="3316"/>
      <c r="AC41" s="3316"/>
      <c r="AD41" s="3316"/>
      <c r="AE41" s="3316"/>
      <c r="AF41" s="3316"/>
      <c r="AG41" s="3316"/>
      <c r="AH41" s="3317"/>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98" t="s">
        <v>1520</v>
      </c>
      <c r="B44" s="3298"/>
      <c r="C44" s="3298"/>
      <c r="D44" s="3298"/>
      <c r="E44" s="3298"/>
      <c r="F44" s="3298"/>
      <c r="G44" s="3298"/>
      <c r="H44" s="3298"/>
      <c r="I44" s="3298"/>
      <c r="J44" s="3298"/>
      <c r="K44" s="3298"/>
      <c r="L44" s="3298"/>
      <c r="M44" s="3298"/>
      <c r="N44" s="3298"/>
      <c r="O44" s="3298"/>
      <c r="P44" s="3298"/>
      <c r="Q44" s="3298"/>
      <c r="R44" s="3298"/>
      <c r="S44" s="3298"/>
      <c r="T44" s="3298"/>
      <c r="U44" s="3298"/>
      <c r="V44" s="3298"/>
      <c r="W44" s="3298"/>
      <c r="X44" s="3298"/>
      <c r="Y44" s="3298"/>
      <c r="Z44" s="3298"/>
      <c r="AA44" s="3298"/>
      <c r="AB44" s="3298"/>
      <c r="AC44" s="3298"/>
      <c r="AD44" s="3298"/>
      <c r="AE44" s="3298"/>
      <c r="AF44" s="3298"/>
      <c r="AG44" s="3298"/>
      <c r="AH44" s="3298"/>
      <c r="AI44" s="3298"/>
      <c r="AJ44" s="3298"/>
      <c r="AK44" s="3298"/>
      <c r="AL44" s="3298"/>
      <c r="AM44" s="3298"/>
      <c r="AN44" s="3298"/>
      <c r="AO44" s="3298"/>
      <c r="AP44" s="3298"/>
      <c r="AQ44" s="3298"/>
      <c r="AR44" s="3298"/>
      <c r="AS44" s="3298"/>
      <c r="AT44" s="3298"/>
      <c r="AU44" s="3298"/>
      <c r="AV44" s="3298"/>
      <c r="AW44" s="3298"/>
      <c r="AX44" s="3298"/>
      <c r="AY44" s="3298"/>
      <c r="AZ44" s="3298"/>
      <c r="BA44" s="3298"/>
      <c r="BB44" s="3298"/>
      <c r="BC44" s="3298"/>
      <c r="BD44" s="3298"/>
      <c r="BE44" s="3298"/>
      <c r="BF44" s="3298"/>
      <c r="BG44" s="3298"/>
      <c r="BH44" s="3298"/>
      <c r="BI44" s="3298"/>
      <c r="BJ44" s="3298"/>
      <c r="BK44" s="3298"/>
      <c r="BL44" s="3298"/>
      <c r="BM44" s="3298"/>
      <c r="BN44" s="3298"/>
      <c r="BO44" s="3298"/>
      <c r="BP44" s="3298"/>
      <c r="BQ44" s="3298"/>
      <c r="BR44" s="3298"/>
      <c r="BS44" s="3298"/>
      <c r="BT44" s="3298"/>
      <c r="BU44" s="3298"/>
      <c r="BV44" s="3298"/>
      <c r="BW44" s="3298"/>
      <c r="BX44" s="3298"/>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3">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318">
        <f>'Sources and Uses Budget'!B105-'Sources and Uses Budget'!B15</f>
        <v>73514595</v>
      </c>
      <c r="AC47" s="3319"/>
      <c r="AD47" s="3319"/>
      <c r="AE47" s="3319"/>
      <c r="AF47" s="3320"/>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318">
        <f>Application!AO649-MIN('Sources and Uses Budget'!B15,Application!AG394)</f>
        <v>41638263</v>
      </c>
      <c r="AC48" s="3319"/>
      <c r="AD48" s="3319"/>
      <c r="AE48" s="3319"/>
      <c r="AF48" s="3320"/>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3">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318">
        <f>AB47-AB48</f>
        <v>31876332</v>
      </c>
      <c r="AC49" s="3319"/>
      <c r="AD49" s="3319"/>
      <c r="AE49" s="3319"/>
      <c r="AF49" s="3320"/>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3">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51">
        <v>0.91529559999999999</v>
      </c>
      <c r="AC50" s="3352"/>
      <c r="AD50" s="3352"/>
      <c r="AE50" s="3352"/>
      <c r="AF50" s="3353"/>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54" t="s">
        <v>2441</v>
      </c>
      <c r="F51" s="3354"/>
      <c r="G51" s="3354"/>
      <c r="H51" s="3354"/>
      <c r="I51" s="3354"/>
      <c r="J51" s="3354"/>
      <c r="K51" s="3354"/>
      <c r="L51" s="3354"/>
      <c r="M51" s="3354"/>
      <c r="N51" s="3354"/>
      <c r="O51" s="3354"/>
      <c r="P51" s="3354"/>
      <c r="Q51" s="3354"/>
      <c r="R51" s="3354"/>
      <c r="S51" s="3354"/>
      <c r="T51" s="3354"/>
      <c r="U51" s="3354"/>
      <c r="V51" s="3354"/>
      <c r="W51" s="3354"/>
      <c r="X51" s="3354"/>
      <c r="Y51" s="3354"/>
      <c r="Z51" s="3354"/>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54"/>
      <c r="F52" s="3354"/>
      <c r="G52" s="3354"/>
      <c r="H52" s="3354"/>
      <c r="I52" s="3354"/>
      <c r="J52" s="3354"/>
      <c r="K52" s="3354"/>
      <c r="L52" s="3354"/>
      <c r="M52" s="3354"/>
      <c r="N52" s="3354"/>
      <c r="O52" s="3354"/>
      <c r="P52" s="3354"/>
      <c r="Q52" s="3354"/>
      <c r="R52" s="3354"/>
      <c r="S52" s="3354"/>
      <c r="T52" s="3354"/>
      <c r="U52" s="3354"/>
      <c r="V52" s="3354"/>
      <c r="W52" s="3354"/>
      <c r="X52" s="3354"/>
      <c r="Y52" s="3354"/>
      <c r="Z52" s="3354"/>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318">
        <f>ROUND(IF(ISERROR((AB49/AB50)),0,(AB49/AB50)),0)</f>
        <v>34826270</v>
      </c>
      <c r="AC54" s="3319"/>
      <c r="AD54" s="3319"/>
      <c r="AE54" s="3319"/>
      <c r="AF54" s="3320"/>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318">
        <f>(AB54/10)</f>
        <v>3482627</v>
      </c>
      <c r="AC55" s="3319"/>
      <c r="AD55" s="3319"/>
      <c r="AE55" s="3319"/>
      <c r="AF55" s="3320"/>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3">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55">
        <f>(IF((Y41&lt;AB55),Y41,AB55))</f>
        <v>3267254</v>
      </c>
      <c r="AC56" s="3356"/>
      <c r="AD56" s="3356"/>
      <c r="AE56" s="3356"/>
      <c r="AF56" s="3357"/>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3">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318">
        <f>ROUND((10*AB56*AB50),0)</f>
        <v>29905032</v>
      </c>
      <c r="AC57" s="3319"/>
      <c r="AD57" s="3319"/>
      <c r="AE57" s="3319"/>
      <c r="AF57" s="3320"/>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3">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46">
        <f>AB49-AB57</f>
        <v>1971300</v>
      </c>
      <c r="AC59" s="3346"/>
      <c r="AD59" s="3346"/>
      <c r="AE59" s="3346"/>
      <c r="AF59" s="3346"/>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98" t="str">
        <f>IF(Application!AP204="yes","Farmworker State Credit", "State Credit" )</f>
        <v>State Credit</v>
      </c>
      <c r="B61" s="3298"/>
      <c r="C61" s="3298"/>
      <c r="D61" s="3298"/>
      <c r="E61" s="3298"/>
      <c r="F61" s="3298"/>
      <c r="G61" s="3298"/>
      <c r="H61" s="3298"/>
      <c r="I61" s="3298"/>
      <c r="J61" s="3298"/>
      <c r="K61" s="3298"/>
      <c r="L61" s="3298"/>
      <c r="M61" s="3298"/>
      <c r="N61" s="3298"/>
      <c r="O61" s="3298"/>
      <c r="P61" s="3298"/>
      <c r="Q61" s="3298"/>
      <c r="R61" s="3298"/>
      <c r="S61" s="3298"/>
      <c r="T61" s="3298"/>
      <c r="U61" s="3298"/>
      <c r="V61" s="3298"/>
      <c r="W61" s="3298"/>
      <c r="X61" s="3298"/>
      <c r="Y61" s="3298"/>
      <c r="Z61" s="3298"/>
      <c r="AA61" s="3298"/>
      <c r="AB61" s="3298"/>
      <c r="AC61" s="3298"/>
      <c r="AD61" s="3298"/>
      <c r="AE61" s="3298"/>
      <c r="AF61" s="3298"/>
      <c r="AG61" s="3298"/>
      <c r="AH61" s="3298"/>
      <c r="AI61" s="3298"/>
      <c r="AJ61" s="3298"/>
      <c r="AK61" s="3298"/>
      <c r="AL61" s="3298"/>
      <c r="AM61" s="3298"/>
      <c r="AN61" s="3298"/>
      <c r="AO61" s="3298"/>
      <c r="AP61" s="3298"/>
      <c r="AQ61" s="3298"/>
      <c r="AR61" s="3298"/>
      <c r="AS61" s="3298"/>
      <c r="AT61" s="3298"/>
      <c r="AU61" s="3298"/>
      <c r="AV61" s="3298"/>
      <c r="AW61" s="3298"/>
      <c r="AX61" s="3298"/>
      <c r="AY61" s="3298"/>
      <c r="AZ61" s="3298"/>
      <c r="BA61" s="3298"/>
      <c r="BB61" s="3298"/>
      <c r="BC61" s="3298"/>
      <c r="BD61" s="3298"/>
      <c r="BE61" s="3298"/>
      <c r="BF61" s="3298"/>
      <c r="BG61" s="3298"/>
      <c r="BH61" s="3298"/>
      <c r="BI61" s="3298"/>
      <c r="BJ61" s="3298"/>
      <c r="BK61" s="3298"/>
      <c r="BL61" s="3298"/>
      <c r="BM61" s="3298"/>
      <c r="BN61" s="3298"/>
      <c r="BO61" s="3298"/>
      <c r="BP61" s="3298"/>
      <c r="BQ61" s="3298"/>
      <c r="BR61" s="3298"/>
      <c r="BS61" s="3298"/>
      <c r="BT61" s="3298"/>
      <c r="BU61" s="3298"/>
      <c r="BV61" s="3298"/>
      <c r="BW61" s="3298"/>
      <c r="BX61" s="3298"/>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
      <c r="A63" s="623" t="s">
        <v>626</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347" t="s">
        <v>1071</v>
      </c>
      <c r="Z63" s="3347"/>
      <c r="AA63" s="3347"/>
      <c r="AB63" s="3347"/>
      <c r="AC63" s="3347"/>
      <c r="AD63" s="3347" t="s">
        <v>382</v>
      </c>
      <c r="AE63" s="3347"/>
      <c r="AF63" s="3347"/>
      <c r="AG63" s="3347"/>
      <c r="AH63" s="3347"/>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3">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348">
        <f>IF(Application!Z204="(select)",0,((T23*T27)+Y28))</f>
        <v>62831803</v>
      </c>
      <c r="Z64" s="3349"/>
      <c r="AA64" s="3349"/>
      <c r="AB64" s="3349"/>
      <c r="AC64" s="3350"/>
      <c r="AD64" s="3348">
        <f>IF(AND(Application!AP204="yes",Application!M357="yes"),AD28+AI28,0)</f>
        <v>0</v>
      </c>
      <c r="AE64" s="3349"/>
      <c r="AF64" s="3349"/>
      <c r="AG64" s="3349"/>
      <c r="AH64" s="3350"/>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2437</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2438</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3">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365">
        <f>IF(Application!AP204="yes",0.75,IF(Application!Z203="15% set-aside",0.13,IF(Application!Z203="15% set-aside with qualifying low value rehab",0.95,0.3)))</f>
        <v>0.3</v>
      </c>
      <c r="Z67" s="3365"/>
      <c r="AA67" s="3365"/>
      <c r="AB67" s="3365"/>
      <c r="AC67" s="3365"/>
      <c r="AD67" s="3365">
        <f>IF(Application!AP204="yes",0.75,IF(Application!Z203="15% set-aside with qualifying low value rehab", 0.95,0.13))</f>
        <v>0.13</v>
      </c>
      <c r="AE67" s="3365"/>
      <c r="AF67" s="3365"/>
      <c r="AG67" s="3365"/>
      <c r="AH67" s="3365"/>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3">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366">
        <f>ROUND(Y64*Y67,0)</f>
        <v>18849541</v>
      </c>
      <c r="Z68" s="3367"/>
      <c r="AA68" s="3367"/>
      <c r="AB68" s="3367"/>
      <c r="AC68" s="3367"/>
      <c r="AD68" s="3366" t="str">
        <f>IF(Application!D210="At-Risk",AD64*AD67,"$0")</f>
        <v>$0</v>
      </c>
      <c r="AE68" s="3367"/>
      <c r="AF68" s="3367"/>
      <c r="AG68" s="3367"/>
      <c r="AH68" s="3367"/>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3">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3">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3">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51">
        <v>0.8</v>
      </c>
      <c r="AC71" s="3352"/>
      <c r="AD71" s="3352"/>
      <c r="AE71" s="3352"/>
      <c r="AF71" s="3353"/>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68" t="s">
        <v>1492</v>
      </c>
      <c r="F72" s="3368"/>
      <c r="G72" s="3368"/>
      <c r="H72" s="3368"/>
      <c r="I72" s="3368"/>
      <c r="J72" s="3368"/>
      <c r="K72" s="3368"/>
      <c r="L72" s="3368"/>
      <c r="M72" s="3368"/>
      <c r="N72" s="3368"/>
      <c r="O72" s="3368"/>
      <c r="P72" s="3368"/>
      <c r="Q72" s="3368"/>
      <c r="R72" s="3368"/>
      <c r="S72" s="3368"/>
      <c r="T72" s="3368"/>
      <c r="U72" s="3368"/>
      <c r="V72" s="3368"/>
      <c r="W72" s="3368"/>
      <c r="X72" s="3368"/>
      <c r="Y72" s="3368"/>
      <c r="Z72" s="3368"/>
      <c r="AA72" s="3368"/>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68"/>
      <c r="F73" s="3368"/>
      <c r="G73" s="3368"/>
      <c r="H73" s="3368"/>
      <c r="I73" s="3368"/>
      <c r="J73" s="3368"/>
      <c r="K73" s="3368"/>
      <c r="L73" s="3368"/>
      <c r="M73" s="3368"/>
      <c r="N73" s="3368"/>
      <c r="O73" s="3368"/>
      <c r="P73" s="3368"/>
      <c r="Q73" s="3368"/>
      <c r="R73" s="3368"/>
      <c r="S73" s="3368"/>
      <c r="T73" s="3368"/>
      <c r="U73" s="3368"/>
      <c r="V73" s="3368"/>
      <c r="W73" s="3368"/>
      <c r="X73" s="3368"/>
      <c r="Y73" s="3368"/>
      <c r="Z73" s="3368"/>
      <c r="AA73" s="3368"/>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68"/>
      <c r="F74" s="3368"/>
      <c r="G74" s="3368"/>
      <c r="H74" s="3368"/>
      <c r="I74" s="3368"/>
      <c r="J74" s="3368"/>
      <c r="K74" s="3368"/>
      <c r="L74" s="3368"/>
      <c r="M74" s="3368"/>
      <c r="N74" s="3368"/>
      <c r="O74" s="3368"/>
      <c r="P74" s="3368"/>
      <c r="Q74" s="3368"/>
      <c r="R74" s="3368"/>
      <c r="S74" s="3368"/>
      <c r="T74" s="3368"/>
      <c r="U74" s="3368"/>
      <c r="V74" s="3368"/>
      <c r="W74" s="3368"/>
      <c r="X74" s="3368"/>
      <c r="Y74" s="3368"/>
      <c r="Z74" s="3368"/>
      <c r="AA74" s="3368"/>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60">
        <f>ROUND(IF(ISERROR((AB59/AB71)),0,(AB59/AB71)),0)</f>
        <v>2464125</v>
      </c>
      <c r="AC76" s="3360"/>
      <c r="AD76" s="3360"/>
      <c r="AE76" s="3360"/>
      <c r="AF76" s="3360"/>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61">
        <f>IF((Y68+AD68&lt;AB76),Y68+AD68,AB76)</f>
        <v>2464125</v>
      </c>
      <c r="AC77" s="3362"/>
      <c r="AD77" s="3362"/>
      <c r="AE77" s="3362"/>
      <c r="AF77" s="3363"/>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64">
        <f>AB77*AB71</f>
        <v>1971300</v>
      </c>
      <c r="AC78" s="3364"/>
      <c r="AD78" s="3364"/>
      <c r="AE78" s="3364"/>
      <c r="AF78" s="3364"/>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46">
        <f>AB49-(AB57+AB78)</f>
        <v>0</v>
      </c>
      <c r="AC80" s="3346"/>
      <c r="AD80" s="3346"/>
      <c r="AE80" s="3346"/>
      <c r="AF80" s="3346"/>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98"/>
      <c r="B83" s="3298"/>
      <c r="C83" s="3298"/>
      <c r="D83" s="3298"/>
      <c r="E83" s="3298"/>
      <c r="F83" s="3298"/>
      <c r="G83" s="3298"/>
      <c r="H83" s="3298"/>
      <c r="I83" s="3298"/>
      <c r="J83" s="3298"/>
      <c r="K83" s="3298"/>
      <c r="L83" s="3298"/>
      <c r="M83" s="3298"/>
      <c r="N83" s="3298"/>
      <c r="O83" s="3298"/>
      <c r="P83" s="3298"/>
      <c r="Q83" s="3298"/>
      <c r="R83" s="3298"/>
      <c r="S83" s="3298"/>
      <c r="T83" s="3298"/>
      <c r="U83" s="3298"/>
      <c r="V83" s="3298"/>
      <c r="W83" s="3298"/>
      <c r="X83" s="3298"/>
      <c r="Y83" s="3298"/>
      <c r="Z83" s="3298"/>
      <c r="AA83" s="3298"/>
      <c r="AB83" s="3298"/>
      <c r="AC83" s="3298"/>
      <c r="AD83" s="3298"/>
      <c r="AE83" s="3298"/>
      <c r="AF83" s="3298"/>
      <c r="AG83" s="3298"/>
      <c r="AH83" s="3298"/>
      <c r="AI83" s="3298"/>
      <c r="AJ83" s="3298"/>
      <c r="AK83" s="3298"/>
      <c r="AL83" s="3298"/>
      <c r="AM83" s="3298"/>
      <c r="AN83" s="3298"/>
      <c r="AO83" s="3298"/>
      <c r="AP83" s="3298"/>
      <c r="AQ83" s="3298"/>
      <c r="AR83" s="3298"/>
      <c r="AS83" s="3298"/>
      <c r="AT83" s="3298"/>
      <c r="AU83" s="3298"/>
      <c r="AV83" s="3298"/>
      <c r="AW83" s="3298"/>
      <c r="AX83" s="3298"/>
      <c r="AY83" s="3298"/>
      <c r="AZ83" s="3298"/>
      <c r="BA83" s="3298"/>
      <c r="BB83" s="3298"/>
      <c r="BC83" s="3298"/>
      <c r="BD83" s="3298"/>
      <c r="BE83" s="3298"/>
      <c r="BF83" s="3298"/>
      <c r="BG83" s="3298"/>
      <c r="BH83" s="3298"/>
      <c r="BI83" s="3298"/>
      <c r="BJ83" s="3298"/>
      <c r="BK83" s="3298"/>
      <c r="BL83" s="3298"/>
      <c r="BM83" s="3298"/>
      <c r="BN83" s="3298"/>
      <c r="BO83" s="3298"/>
      <c r="BP83" s="3298"/>
      <c r="BQ83" s="3298"/>
      <c r="BR83" s="3298"/>
      <c r="BS83" s="3298"/>
      <c r="BT83" s="3298"/>
      <c r="BU83" s="3298"/>
      <c r="BV83" s="3298"/>
      <c r="BW83" s="3298"/>
      <c r="BX83" s="3298"/>
    </row>
    <row r="84" spans="1:98" ht="13" thickTop="1"/>
    <row r="85" spans="1:98" ht="13">
      <c r="A85" s="795"/>
      <c r="C85" s="335"/>
      <c r="Z85" s="620"/>
      <c r="AA85" s="620"/>
      <c r="AB85" s="620"/>
      <c r="AC85" s="620"/>
      <c r="AD85" s="620"/>
      <c r="AE85" s="620"/>
      <c r="AF85" s="620"/>
      <c r="AG85" s="620"/>
      <c r="AH85" s="620"/>
    </row>
    <row r="86" spans="1:98" ht="13">
      <c r="D86" s="335"/>
      <c r="Z86" s="620"/>
      <c r="AA86" s="620"/>
      <c r="AB86" s="3299"/>
      <c r="AC86" s="3299"/>
      <c r="AD86" s="3299"/>
      <c r="AE86" s="3299"/>
      <c r="AF86" s="3299"/>
      <c r="AG86" s="620"/>
      <c r="AH86" s="620"/>
    </row>
    <row r="87" spans="1:98" ht="13.5" thickBot="1">
      <c r="D87" s="335"/>
      <c r="Z87" s="620"/>
      <c r="AA87" s="620"/>
      <c r="AB87" s="3297"/>
      <c r="AC87" s="3297"/>
      <c r="AD87" s="3297"/>
      <c r="AE87" s="3297"/>
      <c r="AF87" s="3297"/>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 thickTop="1">
      <c r="Z88" s="620"/>
      <c r="AA88" s="620"/>
      <c r="AB88" s="620"/>
      <c r="AC88" s="620"/>
      <c r="AD88" s="620"/>
      <c r="AE88" s="620"/>
      <c r="AF88" s="620"/>
      <c r="AG88" s="620"/>
      <c r="AH88" s="620"/>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7"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3" zoomScaleNormal="100" zoomScaleSheetLayoutView="80" workbookViewId="0">
      <selection activeCell="F27" sqref="F27:G27"/>
    </sheetView>
  </sheetViews>
  <sheetFormatPr defaultColWidth="9" defaultRowHeight="14" zeroHeight="1"/>
  <cols>
    <col min="1" max="2" width="2.453125" style="1426" customWidth="1"/>
    <col min="3" max="3" width="3.81640625" style="1426" customWidth="1"/>
    <col min="4" max="4" width="15.453125" style="1426" customWidth="1"/>
    <col min="5" max="5" width="32.453125" style="1426" customWidth="1"/>
    <col min="6" max="8" width="15.453125" style="1426" customWidth="1"/>
    <col min="9" max="9" width="40.453125" style="1426" customWidth="1"/>
    <col min="10" max="10" width="30.453125" style="1426" customWidth="1"/>
    <col min="11" max="13" width="2.453125" style="1426" customWidth="1"/>
    <col min="14" max="14" width="29.6328125" style="1426" customWidth="1"/>
    <col min="15" max="24" width="2.453125" style="1426" customWidth="1"/>
    <col min="25" max="33" width="9" style="1426" customWidth="1"/>
    <col min="34" max="16384" width="9" style="1426"/>
  </cols>
  <sheetData>
    <row r="1" spans="1:33">
      <c r="A1" s="3371" t="s">
        <v>1949</v>
      </c>
      <c r="B1" s="3371"/>
      <c r="C1" s="3371"/>
      <c r="D1" s="3371"/>
      <c r="E1" s="3371"/>
      <c r="F1" s="3371"/>
      <c r="G1" s="3371"/>
      <c r="H1" s="3371"/>
      <c r="I1" s="3371"/>
      <c r="J1" s="3371"/>
      <c r="K1" s="3371"/>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c r="A2" s="3371"/>
      <c r="B2" s="3371"/>
      <c r="C2" s="3371"/>
      <c r="D2" s="3371"/>
      <c r="E2" s="3371"/>
      <c r="F2" s="3371"/>
      <c r="G2" s="3371"/>
      <c r="H2" s="3371"/>
      <c r="I2" s="3371"/>
      <c r="J2" s="3371"/>
      <c r="K2" s="3371"/>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72" t="s">
        <v>1950</v>
      </c>
      <c r="D4" s="3372"/>
      <c r="E4" s="3372"/>
      <c r="F4" s="3372"/>
      <c r="G4" s="3372"/>
      <c r="H4" s="3372"/>
      <c r="I4" s="3372"/>
      <c r="J4" s="3372"/>
    </row>
    <row r="5" spans="1:33">
      <c r="C5" s="3372"/>
      <c r="D5" s="3372"/>
      <c r="E5" s="3372"/>
      <c r="F5" s="3372"/>
      <c r="G5" s="3372"/>
      <c r="H5" s="3372"/>
      <c r="I5" s="3372"/>
      <c r="J5" s="3372"/>
    </row>
    <row r="6" spans="1:33">
      <c r="C6" s="1428"/>
      <c r="D6" s="1428"/>
      <c r="E6" s="1428"/>
      <c r="F6" s="1428"/>
      <c r="G6" s="1428"/>
      <c r="H6" s="1428"/>
      <c r="I6" s="1428"/>
      <c r="J6" s="1428"/>
    </row>
    <row r="7" spans="1:33">
      <c r="C7" s="1429" t="s">
        <v>1951</v>
      </c>
      <c r="D7" s="1428"/>
      <c r="E7" s="3373" t="str">
        <f>Application!H16</f>
        <v xml:space="preserve"> 21 N 21st Street, LP &amp; First Community Housing</v>
      </c>
      <c r="F7" s="3373"/>
      <c r="G7" s="3373"/>
      <c r="H7" s="1428"/>
      <c r="I7" s="1429" t="s">
        <v>1952</v>
      </c>
      <c r="J7" s="1430">
        <f>Application!AG437+Application!AG439</f>
        <v>79</v>
      </c>
    </row>
    <row r="8" spans="1:33">
      <c r="C8" s="1429" t="s">
        <v>1953</v>
      </c>
      <c r="D8" s="1428"/>
      <c r="E8" s="3373" t="str">
        <f>Application!H18</f>
        <v>Roosevelt Park Apartments</v>
      </c>
      <c r="F8" s="3373"/>
      <c r="G8" s="3373"/>
      <c r="H8" s="1428"/>
      <c r="I8" s="1429" t="s">
        <v>1954</v>
      </c>
      <c r="J8" s="1431">
        <f>Application!CS663</f>
        <v>133</v>
      </c>
    </row>
    <row r="9" spans="1:33" ht="14.25" customHeight="1">
      <c r="C9" s="1429" t="s">
        <v>1955</v>
      </c>
      <c r="D9" s="1428"/>
      <c r="E9" s="3374" t="str">
        <f>Application!D210</f>
        <v>Special Needs</v>
      </c>
      <c r="F9" s="3374"/>
      <c r="G9" s="3374"/>
      <c r="H9" s="1428"/>
      <c r="I9" s="1429" t="s">
        <v>1956</v>
      </c>
      <c r="J9" s="1432">
        <v>72</v>
      </c>
      <c r="N9" s="1433"/>
    </row>
    <row r="10" spans="1:33" ht="27" customHeight="1">
      <c r="C10" s="3372" t="s">
        <v>1957</v>
      </c>
      <c r="D10" s="3372"/>
      <c r="E10" s="3375" t="str">
        <f>Application!D213</f>
        <v>Large Family</v>
      </c>
      <c r="F10" s="3375"/>
      <c r="G10" s="3375"/>
      <c r="H10" s="1428"/>
      <c r="I10" s="1434" t="s">
        <v>1958</v>
      </c>
      <c r="J10" s="1435">
        <f>IF(J9&gt;0,J8-J9,J8)</f>
        <v>61</v>
      </c>
      <c r="N10" s="1433"/>
    </row>
    <row r="11" spans="1:33">
      <c r="C11" s="1436"/>
      <c r="N11" s="1433"/>
    </row>
    <row r="12" spans="1:33" ht="15" customHeight="1">
      <c r="C12" s="3376" t="s">
        <v>1959</v>
      </c>
      <c r="D12" s="3377"/>
      <c r="E12" s="3378"/>
      <c r="F12" s="3369" t="s">
        <v>1960</v>
      </c>
      <c r="G12" s="3369" t="s">
        <v>1961</v>
      </c>
      <c r="H12" s="3382" t="s">
        <v>2176</v>
      </c>
      <c r="I12" s="3369" t="s">
        <v>2175</v>
      </c>
      <c r="J12" s="3369" t="s">
        <v>1962</v>
      </c>
      <c r="N12" s="1433"/>
    </row>
    <row r="13" spans="1:33" ht="68.25" customHeight="1">
      <c r="C13" s="3379"/>
      <c r="D13" s="3380"/>
      <c r="E13" s="3381"/>
      <c r="F13" s="3370"/>
      <c r="G13" s="3370"/>
      <c r="H13" s="3383"/>
      <c r="I13" s="3370"/>
      <c r="J13" s="3370"/>
    </row>
    <row r="14" spans="1:33" ht="15" customHeight="1">
      <c r="C14" s="1437" t="s">
        <v>1963</v>
      </c>
      <c r="D14" s="1438"/>
      <c r="E14" s="1438"/>
      <c r="F14" s="1439"/>
      <c r="G14" s="1439"/>
      <c r="H14" s="1440"/>
      <c r="I14" s="1440"/>
      <c r="J14" s="1440"/>
    </row>
    <row r="15" spans="1:33">
      <c r="C15" s="1441" t="s">
        <v>1964</v>
      </c>
      <c r="D15" s="1426" t="s">
        <v>1965</v>
      </c>
      <c r="F15" s="1442" t="s">
        <v>2633</v>
      </c>
      <c r="G15" s="1445">
        <f>43000*0.16*2</f>
        <v>13760</v>
      </c>
      <c r="H15" s="1444" t="s">
        <v>2635</v>
      </c>
      <c r="I15" s="1444"/>
      <c r="J15" s="1444" t="s">
        <v>2630</v>
      </c>
    </row>
    <row r="16" spans="1:33">
      <c r="C16" s="1441" t="s">
        <v>1966</v>
      </c>
      <c r="D16" s="1426" t="s">
        <v>1967</v>
      </c>
      <c r="F16" s="1442"/>
      <c r="G16" s="1445"/>
      <c r="H16" s="1444"/>
      <c r="I16" s="1444"/>
      <c r="J16" s="1444"/>
    </row>
    <row r="17" spans="3:10">
      <c r="C17" s="1441" t="s">
        <v>1849</v>
      </c>
      <c r="D17" s="1426" t="s">
        <v>1968</v>
      </c>
      <c r="F17" s="1442" t="s">
        <v>2634</v>
      </c>
      <c r="G17" s="1445">
        <v>2000</v>
      </c>
      <c r="H17" s="1444" t="s">
        <v>2635</v>
      </c>
      <c r="I17" s="1444"/>
      <c r="J17" s="1444" t="s">
        <v>2629</v>
      </c>
    </row>
    <row r="18" spans="3:10">
      <c r="C18" s="1441" t="s">
        <v>1969</v>
      </c>
      <c r="D18" s="1427" t="s">
        <v>1970</v>
      </c>
      <c r="E18" s="1427"/>
      <c r="F18" s="1442"/>
      <c r="G18" s="1445"/>
      <c r="H18" s="1444"/>
      <c r="I18" s="1444"/>
      <c r="J18" s="1444"/>
    </row>
    <row r="19" spans="3:10">
      <c r="C19" s="1441" t="s">
        <v>1971</v>
      </c>
      <c r="D19" s="1427" t="s">
        <v>1972</v>
      </c>
      <c r="E19" s="1427"/>
      <c r="F19" s="1442"/>
      <c r="G19" s="1445"/>
      <c r="H19" s="1444"/>
      <c r="I19" s="1444"/>
      <c r="J19" s="1444"/>
    </row>
    <row r="20" spans="3:10">
      <c r="C20" s="1441" t="s">
        <v>1973</v>
      </c>
      <c r="D20" s="1427" t="s">
        <v>1974</v>
      </c>
      <c r="E20" s="1446"/>
      <c r="F20" s="1447"/>
      <c r="G20" s="1445"/>
      <c r="H20" s="1444"/>
      <c r="I20" s="1444"/>
      <c r="J20" s="1444"/>
    </row>
    <row r="21" spans="3:10">
      <c r="C21" s="1448"/>
      <c r="D21" s="1449"/>
      <c r="E21" s="1450"/>
      <c r="F21" s="1447"/>
      <c r="G21" s="1445"/>
      <c r="H21" s="1444"/>
      <c r="I21" s="1444"/>
      <c r="J21" s="1444"/>
    </row>
    <row r="22" spans="3:10">
      <c r="C22" s="1451" t="s">
        <v>1975</v>
      </c>
      <c r="D22" s="1452"/>
      <c r="E22" s="1452"/>
      <c r="F22" s="1453"/>
      <c r="G22" s="1454"/>
      <c r="H22" s="1455"/>
      <c r="I22" s="1455"/>
      <c r="J22" s="1455"/>
    </row>
    <row r="23" spans="3:10">
      <c r="C23" s="1441" t="s">
        <v>1976</v>
      </c>
      <c r="D23" s="1427" t="s">
        <v>1977</v>
      </c>
      <c r="E23" s="1427"/>
      <c r="F23" s="1442"/>
      <c r="G23" s="1445"/>
      <c r="H23" s="1444"/>
      <c r="I23" s="1444"/>
      <c r="J23" s="1444"/>
    </row>
    <row r="24" spans="3:10">
      <c r="C24" s="1441" t="s">
        <v>1978</v>
      </c>
      <c r="D24" s="1427" t="s">
        <v>1979</v>
      </c>
      <c r="E24" s="1427"/>
      <c r="F24" s="1442" t="s">
        <v>2632</v>
      </c>
      <c r="G24" s="1443">
        <f>43000*0.34*2</f>
        <v>29240.000000000004</v>
      </c>
      <c r="H24" s="1444" t="s">
        <v>2635</v>
      </c>
      <c r="I24" s="1444"/>
      <c r="J24" s="1444" t="s">
        <v>2630</v>
      </c>
    </row>
    <row r="25" spans="3:10">
      <c r="C25" s="1441" t="s">
        <v>1980</v>
      </c>
      <c r="D25" s="1426" t="s">
        <v>1968</v>
      </c>
      <c r="E25" s="1427"/>
      <c r="F25" s="1442" t="s">
        <v>2634</v>
      </c>
      <c r="G25" s="1445">
        <v>2000</v>
      </c>
      <c r="H25" s="1444" t="s">
        <v>2635</v>
      </c>
      <c r="I25" s="1444"/>
      <c r="J25" s="1444" t="s">
        <v>2629</v>
      </c>
    </row>
    <row r="26" spans="3:10">
      <c r="C26" s="1441" t="s">
        <v>1981</v>
      </c>
      <c r="D26" s="1427" t="s">
        <v>1982</v>
      </c>
      <c r="E26" s="1427"/>
      <c r="F26" s="1442"/>
      <c r="G26" s="1445"/>
      <c r="H26" s="1444"/>
      <c r="I26" s="1444"/>
      <c r="J26" s="1444"/>
    </row>
    <row r="27" spans="3:10">
      <c r="C27" s="1441" t="s">
        <v>1983</v>
      </c>
      <c r="D27" s="1427" t="s">
        <v>1972</v>
      </c>
      <c r="E27" s="1427"/>
      <c r="F27" s="1442"/>
      <c r="G27" s="1443"/>
      <c r="H27" s="1444"/>
      <c r="I27" s="1444"/>
      <c r="J27" s="1444"/>
    </row>
    <row r="28" spans="3:10">
      <c r="C28" s="1441" t="s">
        <v>1984</v>
      </c>
      <c r="D28" s="1427" t="s">
        <v>1974</v>
      </c>
      <c r="E28" s="1427"/>
      <c r="F28" s="1442"/>
      <c r="G28" s="1445"/>
      <c r="H28" s="1444"/>
      <c r="I28" s="1444"/>
      <c r="J28" s="1444"/>
    </row>
    <row r="29" spans="3:10">
      <c r="C29" s="1456"/>
      <c r="D29" s="1436"/>
      <c r="E29" s="1436"/>
      <c r="F29" s="1442"/>
      <c r="G29" s="1445"/>
      <c r="H29" s="1444"/>
      <c r="I29" s="1444"/>
      <c r="J29" s="1444"/>
    </row>
    <row r="30" spans="3:10">
      <c r="C30" s="1457" t="s">
        <v>1985</v>
      </c>
      <c r="D30" s="1452"/>
      <c r="E30" s="1452"/>
      <c r="F30" s="1458"/>
      <c r="G30" s="1459"/>
      <c r="H30" s="1460"/>
      <c r="I30" s="1460"/>
      <c r="J30" s="1460"/>
    </row>
    <row r="31" spans="3:10">
      <c r="C31" s="1441"/>
      <c r="D31" s="1461" t="s">
        <v>2631</v>
      </c>
      <c r="E31" s="1461"/>
      <c r="F31" s="1442"/>
      <c r="G31" s="1445">
        <v>2000</v>
      </c>
      <c r="H31" s="1444" t="s">
        <v>2635</v>
      </c>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c r="C35" s="1464" t="s">
        <v>972</v>
      </c>
      <c r="D35" s="1465"/>
      <c r="E35" s="1465"/>
      <c r="F35" s="1466"/>
      <c r="G35" s="1467">
        <f>SUM(G15:G33)</f>
        <v>49000</v>
      </c>
      <c r="H35" s="1468"/>
      <c r="I35" s="1468"/>
      <c r="J35" s="1468"/>
    </row>
    <row r="36" spans="3:10"/>
    <row r="37" spans="3:10" ht="16.5">
      <c r="C37" s="1469" t="s">
        <v>1986</v>
      </c>
    </row>
    <row r="38" spans="3:10" s="1471" customFormat="1" ht="17.25" customHeight="1">
      <c r="C38" s="1470" t="s">
        <v>1987</v>
      </c>
    </row>
    <row r="39" spans="3:10" s="1471" customFormat="1" ht="14.5">
      <c r="C39" s="1471" t="s">
        <v>1988</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3" zoomScaleNormal="100" zoomScaleSheetLayoutView="100" workbookViewId="0">
      <selection activeCell="G4" sqref="G4"/>
    </sheetView>
  </sheetViews>
  <sheetFormatPr defaultColWidth="0" defaultRowHeight="12.5" zeroHeight="1"/>
  <cols>
    <col min="1" max="1" width="3.6328125" customWidth="1"/>
    <col min="2" max="2" width="27.6328125" customWidth="1"/>
    <col min="3" max="3" width="9.1796875" style="348"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341" t="s">
        <v>941</v>
      </c>
      <c r="B1" s="341"/>
    </row>
    <row r="2" spans="1:34"/>
    <row r="3" spans="1:34" ht="15.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
      <c r="A4" s="355" t="s">
        <v>904</v>
      </c>
      <c r="C4" s="375">
        <v>1.0249999999999999</v>
      </c>
      <c r="E4" s="355">
        <f>Application!Y799</f>
        <v>1020396</v>
      </c>
      <c r="G4" s="355">
        <f>E4*$C$4</f>
        <v>1045905.8999999999</v>
      </c>
      <c r="I4" s="355">
        <f>G4*$C$4</f>
        <v>1072053.5474999999</v>
      </c>
      <c r="K4" s="355">
        <f>I4*$C$4</f>
        <v>1098854.8861874999</v>
      </c>
      <c r="M4" s="355">
        <f>K4*$C$4</f>
        <v>1126326.2583421872</v>
      </c>
      <c r="O4" s="355">
        <f>M4*$C$4</f>
        <v>1154484.4148007417</v>
      </c>
      <c r="Q4" s="355">
        <f>O4*$C$4</f>
        <v>1183346.5251707602</v>
      </c>
      <c r="S4" s="355">
        <f>Q4*$C$4</f>
        <v>1212930.1883000291</v>
      </c>
      <c r="U4" s="355">
        <f>S4*$C$4</f>
        <v>1243253.4430075297</v>
      </c>
      <c r="W4" s="355">
        <f>U4*$C$4</f>
        <v>1274334.7790827178</v>
      </c>
      <c r="Y4" s="355">
        <f>W4*$C$4</f>
        <v>1306193.1485597857</v>
      </c>
      <c r="AA4" s="355">
        <f>Y4*$C$4</f>
        <v>1338847.9772737802</v>
      </c>
      <c r="AC4" s="355">
        <f>AA4*$C$4</f>
        <v>1372319.1767056244</v>
      </c>
      <c r="AE4" s="355">
        <f>AC4*$C$4</f>
        <v>1406627.1561232649</v>
      </c>
      <c r="AG4" s="355">
        <f>AE4*$C$4</f>
        <v>1441792.8350263464</v>
      </c>
    </row>
    <row r="5" spans="1:34" s="340" customFormat="1" ht="14">
      <c r="B5" s="340" t="s">
        <v>905</v>
      </c>
      <c r="C5" s="376">
        <f>IF(Application!$D$210="Special Needs",0.1,0.05)*0+8.15%</f>
        <v>8.1500000000000003E-2</v>
      </c>
      <c r="E5" s="357">
        <f>-E4*$C$5</f>
        <v>-83162.274000000005</v>
      </c>
      <c r="F5" s="357"/>
      <c r="G5" s="357">
        <f>-G4*$C$5</f>
        <v>-85241.330849999998</v>
      </c>
      <c r="H5" s="357"/>
      <c r="I5" s="357">
        <f>-I4*$C$5</f>
        <v>-87372.364121249993</v>
      </c>
      <c r="J5" s="357"/>
      <c r="K5" s="357">
        <f>-K4*$C$5</f>
        <v>-89556.673224281243</v>
      </c>
      <c r="L5" s="357"/>
      <c r="M5" s="357">
        <f>-M4*$C$5</f>
        <v>-91795.590054888249</v>
      </c>
      <c r="N5" s="357"/>
      <c r="O5" s="357">
        <f>-O4*$C$5</f>
        <v>-94090.479806260453</v>
      </c>
      <c r="P5" s="357"/>
      <c r="Q5" s="357">
        <f>-Q4*$C$5</f>
        <v>-96442.741801416967</v>
      </c>
      <c r="R5" s="357"/>
      <c r="S5" s="357">
        <f>-S4*$C$5</f>
        <v>-98853.810346452374</v>
      </c>
      <c r="T5" s="357"/>
      <c r="U5" s="357">
        <f>-U4*$C$5</f>
        <v>-101325.15560511367</v>
      </c>
      <c r="V5" s="357"/>
      <c r="W5" s="357">
        <f>-W4*$C$5</f>
        <v>-103858.2844952415</v>
      </c>
      <c r="X5" s="357"/>
      <c r="Y5" s="357">
        <f>-Y4*$C$5</f>
        <v>-106454.74160762253</v>
      </c>
      <c r="Z5" s="357"/>
      <c r="AA5" s="357">
        <f>-AA4*$C$5</f>
        <v>-109116.11014781309</v>
      </c>
      <c r="AB5" s="357"/>
      <c r="AC5" s="357">
        <f>-AC4*$C$5</f>
        <v>-111844.01290150839</v>
      </c>
      <c r="AD5" s="357"/>
      <c r="AE5" s="357">
        <f>-AE4*$C$5</f>
        <v>-114640.1132240461</v>
      </c>
      <c r="AF5" s="357"/>
      <c r="AG5" s="357">
        <f>-AG4*$C$5</f>
        <v>-117506.11605464724</v>
      </c>
    </row>
    <row r="6" spans="1:34" s="340" customFormat="1" ht="14">
      <c r="A6" s="340" t="s">
        <v>903</v>
      </c>
      <c r="C6" s="375">
        <v>1.0249999999999999</v>
      </c>
      <c r="E6" s="358">
        <f>Application!Z807</f>
        <v>484992</v>
      </c>
      <c r="F6" s="358"/>
      <c r="G6" s="358">
        <f>E6*$C$6</f>
        <v>497116.79999999993</v>
      </c>
      <c r="H6" s="358"/>
      <c r="I6" s="358">
        <f>G6*$C$6</f>
        <v>509544.71999999986</v>
      </c>
      <c r="J6" s="358"/>
      <c r="K6" s="358">
        <f>I6*$C$6</f>
        <v>522283.33799999981</v>
      </c>
      <c r="L6" s="358"/>
      <c r="M6" s="358">
        <f>K6*$C$6</f>
        <v>535340.42144999979</v>
      </c>
      <c r="N6" s="358"/>
      <c r="O6" s="358">
        <f>M6*$C$6</f>
        <v>548723.93198624975</v>
      </c>
      <c r="P6" s="358"/>
      <c r="Q6" s="358">
        <f>O6*$C$6</f>
        <v>562442.03028590593</v>
      </c>
      <c r="R6" s="358"/>
      <c r="S6" s="358">
        <f>Q6*$C$6</f>
        <v>576503.08104305353</v>
      </c>
      <c r="T6" s="358"/>
      <c r="U6" s="358">
        <f>S6*$C$6</f>
        <v>590915.6580691298</v>
      </c>
      <c r="V6" s="358"/>
      <c r="W6" s="358">
        <f>U6*$C$6</f>
        <v>605688.54952085798</v>
      </c>
      <c r="X6" s="358"/>
      <c r="Y6" s="358">
        <f>W6*$C$6</f>
        <v>620830.76325887942</v>
      </c>
      <c r="Z6" s="358"/>
      <c r="AA6" s="358">
        <f>Y6*$C$6</f>
        <v>636351.53234035138</v>
      </c>
      <c r="AB6" s="358"/>
      <c r="AC6" s="358">
        <f>AA6*$C$6</f>
        <v>652260.32064886007</v>
      </c>
      <c r="AD6" s="358"/>
      <c r="AE6" s="358">
        <f>AC6*$C$6</f>
        <v>668566.82866508153</v>
      </c>
      <c r="AF6" s="358"/>
      <c r="AG6" s="358">
        <f>AE6*$C$6</f>
        <v>685280.99938170856</v>
      </c>
    </row>
    <row r="7" spans="1:34" s="340" customFormat="1" ht="14">
      <c r="B7" s="340" t="s">
        <v>905</v>
      </c>
      <c r="C7" s="376">
        <f>IF(Application!$D$210="Special Needs",0.1,0.05)*0+8.15%</f>
        <v>8.1500000000000003E-2</v>
      </c>
      <c r="E7" s="357">
        <f>-E6*$C$7</f>
        <v>-39526.847999999998</v>
      </c>
      <c r="F7" s="357"/>
      <c r="G7" s="357">
        <f>-G6*$C$7</f>
        <v>-40515.019199999995</v>
      </c>
      <c r="H7" s="357"/>
      <c r="I7" s="357">
        <f>-I6*$C$7</f>
        <v>-41527.89467999999</v>
      </c>
      <c r="J7" s="357"/>
      <c r="K7" s="357">
        <f>-K6*$C$7</f>
        <v>-42566.092046999984</v>
      </c>
      <c r="L7" s="357"/>
      <c r="M7" s="357">
        <f>-M6*$C$7</f>
        <v>-43630.244348174987</v>
      </c>
      <c r="N7" s="357"/>
      <c r="O7" s="357">
        <f>-O6*$C$7</f>
        <v>-44721.000456879359</v>
      </c>
      <c r="P7" s="357"/>
      <c r="Q7" s="357">
        <f>-Q6*$C$7</f>
        <v>-45839.025468301334</v>
      </c>
      <c r="R7" s="357"/>
      <c r="S7" s="357">
        <f>-S6*$C$7</f>
        <v>-46985.001105008865</v>
      </c>
      <c r="T7" s="357"/>
      <c r="U7" s="357">
        <f>-U6*$C$7</f>
        <v>-48159.626132634083</v>
      </c>
      <c r="V7" s="357"/>
      <c r="W7" s="357">
        <f>-W6*$C$7</f>
        <v>-49363.616785949926</v>
      </c>
      <c r="X7" s="357"/>
      <c r="Y7" s="357">
        <f>-Y6*$C$7</f>
        <v>-50597.707205598672</v>
      </c>
      <c r="Z7" s="357"/>
      <c r="AA7" s="357">
        <f>-AA6*$C$7</f>
        <v>-51862.64988573864</v>
      </c>
      <c r="AB7" s="357"/>
      <c r="AC7" s="357">
        <f>-AC6*$C$7</f>
        <v>-53159.216132882095</v>
      </c>
      <c r="AD7" s="357"/>
      <c r="AE7" s="357">
        <f>-AE6*$C$7</f>
        <v>-54488.196536204145</v>
      </c>
      <c r="AF7" s="357"/>
      <c r="AG7" s="357">
        <f>-AG6*$C$7</f>
        <v>-55850.40144960925</v>
      </c>
    </row>
    <row r="8" spans="1:34" s="340" customFormat="1" ht="14">
      <c r="A8" s="340" t="s">
        <v>298</v>
      </c>
      <c r="C8" s="375">
        <v>1.0249999999999999</v>
      </c>
      <c r="E8" s="358">
        <f>Application!Z815</f>
        <v>10000</v>
      </c>
      <c r="F8" s="358"/>
      <c r="G8" s="358">
        <f>E8*$C$8</f>
        <v>10250</v>
      </c>
      <c r="H8" s="358"/>
      <c r="I8" s="358">
        <f>G8*$C$8</f>
        <v>10506.249999999998</v>
      </c>
      <c r="J8" s="358"/>
      <c r="K8" s="358">
        <f>I8*$C$8</f>
        <v>10768.906249999996</v>
      </c>
      <c r="L8" s="358"/>
      <c r="M8" s="358">
        <f>K8*$C$8</f>
        <v>11038.128906249995</v>
      </c>
      <c r="N8" s="358"/>
      <c r="O8" s="358">
        <f>M8*$C$8</f>
        <v>11314.082128906244</v>
      </c>
      <c r="P8" s="358"/>
      <c r="Q8" s="358">
        <f>O8*$C$8</f>
        <v>11596.9341821289</v>
      </c>
      <c r="R8" s="358"/>
      <c r="S8" s="358">
        <f>Q8*$C$8</f>
        <v>11886.857536682121</v>
      </c>
      <c r="T8" s="358"/>
      <c r="U8" s="358">
        <f>S8*$C$8</f>
        <v>12184.028975099172</v>
      </c>
      <c r="V8" s="358"/>
      <c r="W8" s="358">
        <f>U8*$C$8</f>
        <v>12488.629699476651</v>
      </c>
      <c r="X8" s="358"/>
      <c r="Y8" s="358">
        <f>W8*$C$8</f>
        <v>12800.845441963565</v>
      </c>
      <c r="Z8" s="358"/>
      <c r="AA8" s="358">
        <f>Y8*$C$8</f>
        <v>13120.866578012654</v>
      </c>
      <c r="AB8" s="358"/>
      <c r="AC8" s="358">
        <f>AA8*$C$8</f>
        <v>13448.888242462968</v>
      </c>
      <c r="AD8" s="358"/>
      <c r="AE8" s="358">
        <f>AC8*$C$8</f>
        <v>13785.110448524541</v>
      </c>
      <c r="AF8" s="358"/>
      <c r="AG8" s="358">
        <f>AE8*$C$8</f>
        <v>14129.738209737654</v>
      </c>
    </row>
    <row r="9" spans="1:34" s="340" customFormat="1" ht="14">
      <c r="B9" s="340" t="s">
        <v>905</v>
      </c>
      <c r="C9" s="376">
        <f>IF(Application!$D$210="Special Needs",0.1,0.05)*0+8.15%</f>
        <v>8.1500000000000003E-2</v>
      </c>
      <c r="E9" s="374">
        <f>-E8*$C$9</f>
        <v>-815</v>
      </c>
      <c r="F9" s="357"/>
      <c r="G9" s="374">
        <f>-G8*$C$9</f>
        <v>-835.375</v>
      </c>
      <c r="H9" s="357"/>
      <c r="I9" s="374">
        <f>-I8*$C$9</f>
        <v>-856.25937499999986</v>
      </c>
      <c r="J9" s="357"/>
      <c r="K9" s="374">
        <f>-K8*$C$9</f>
        <v>-877.66585937499974</v>
      </c>
      <c r="L9" s="357"/>
      <c r="M9" s="374">
        <f>-M8*$C$9</f>
        <v>-899.60750585937456</v>
      </c>
      <c r="N9" s="357"/>
      <c r="O9" s="374">
        <f>-O8*$C$9</f>
        <v>-922.09769350585896</v>
      </c>
      <c r="P9" s="357"/>
      <c r="Q9" s="374">
        <f>-Q8*$C$9</f>
        <v>-945.15013584350538</v>
      </c>
      <c r="R9" s="357"/>
      <c r="S9" s="374">
        <f>-S8*$C$9</f>
        <v>-968.7788892395929</v>
      </c>
      <c r="T9" s="357"/>
      <c r="U9" s="374">
        <f>-U8*$C$9</f>
        <v>-992.99836147058261</v>
      </c>
      <c r="V9" s="357"/>
      <c r="W9" s="374">
        <f>-W8*$C$9</f>
        <v>-1017.823320507347</v>
      </c>
      <c r="X9" s="357"/>
      <c r="Y9" s="374">
        <f>-Y8*$C$9</f>
        <v>-1043.2689035200306</v>
      </c>
      <c r="Z9" s="357"/>
      <c r="AA9" s="374">
        <f>-AA8*$C$9</f>
        <v>-1069.3506261080313</v>
      </c>
      <c r="AB9" s="357"/>
      <c r="AC9" s="374">
        <f>-AC8*$C$9</f>
        <v>-1096.0843917607319</v>
      </c>
      <c r="AD9" s="357"/>
      <c r="AE9" s="374">
        <f>-AE8*$C$9</f>
        <v>-1123.4865015547502</v>
      </c>
      <c r="AF9" s="357"/>
      <c r="AG9" s="374">
        <f>-AG8*$C$9</f>
        <v>-1151.5736640936188</v>
      </c>
    </row>
    <row r="10" spans="1:34" s="359" customFormat="1" ht="14">
      <c r="A10" s="359" t="s">
        <v>926</v>
      </c>
      <c r="C10" s="350"/>
      <c r="E10" s="359">
        <f>SUM(E4:E9)</f>
        <v>1391883.878</v>
      </c>
      <c r="G10" s="359">
        <f>SUM(G4:G9)</f>
        <v>1426680.9749499997</v>
      </c>
      <c r="I10" s="359">
        <f>SUM(I4:I9)</f>
        <v>1462347.9993237499</v>
      </c>
      <c r="K10" s="359">
        <f>SUM(K4:K9)</f>
        <v>1498906.6993068433</v>
      </c>
      <c r="M10" s="359">
        <f>SUM(M4:M9)</f>
        <v>1536379.3667895144</v>
      </c>
      <c r="O10" s="359">
        <f>SUM(O4:O9)</f>
        <v>1574788.8509592519</v>
      </c>
      <c r="Q10" s="359">
        <f>SUM(Q4:Q9)</f>
        <v>1614158.5722332334</v>
      </c>
      <c r="S10" s="359">
        <f>SUM(S4:S9)</f>
        <v>1654512.536539064</v>
      </c>
      <c r="U10" s="359">
        <f>SUM(U4:U9)</f>
        <v>1695875.3499525404</v>
      </c>
      <c r="W10" s="359">
        <f>SUM(W4:W9)</f>
        <v>1738272.2337013539</v>
      </c>
      <c r="Y10" s="359">
        <f>SUM(Y4:Y9)</f>
        <v>1781729.0395438876</v>
      </c>
      <c r="AA10" s="359">
        <f>SUM(AA4:AA9)</f>
        <v>1826272.2655324845</v>
      </c>
      <c r="AC10" s="359">
        <f>SUM(AC4:AC9)</f>
        <v>1871929.0721707961</v>
      </c>
      <c r="AE10" s="359">
        <f>SUM(AE4:AE9)</f>
        <v>1918727.298975066</v>
      </c>
      <c r="AG10" s="359">
        <f>SUM(AG4:AG9)</f>
        <v>1966695.4814494427</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
      <c r="A14" s="355" t="s">
        <v>908</v>
      </c>
      <c r="C14" s="370"/>
      <c r="E14" s="355">
        <f>Application!W845</f>
        <v>170165</v>
      </c>
      <c r="G14" s="355">
        <f>E14*$C$13</f>
        <v>176120.77499999999</v>
      </c>
      <c r="I14" s="355">
        <f>G14*$C$13</f>
        <v>182285.00212499997</v>
      </c>
      <c r="K14" s="355">
        <f>I14*$C$13</f>
        <v>188664.97719937496</v>
      </c>
      <c r="M14" s="355">
        <f>K14*$C$13</f>
        <v>195268.25140135307</v>
      </c>
      <c r="O14" s="355">
        <f>M14*$C$13</f>
        <v>202102.6402004004</v>
      </c>
      <c r="Q14" s="355">
        <f>O14*$C$13</f>
        <v>209176.23260741439</v>
      </c>
      <c r="S14" s="355">
        <f>Q14*$C$13</f>
        <v>216497.40074867388</v>
      </c>
      <c r="U14" s="355">
        <f>S14*$C$13</f>
        <v>224074.80977487745</v>
      </c>
      <c r="W14" s="355">
        <f>U14*$C$13</f>
        <v>231917.42811699814</v>
      </c>
      <c r="Y14" s="355">
        <f>W14*$C$13</f>
        <v>240034.53810109306</v>
      </c>
      <c r="AA14" s="355">
        <f>Y14*$C$13</f>
        <v>248435.74693463129</v>
      </c>
      <c r="AC14" s="355">
        <f>AA14*$C$13</f>
        <v>257130.99807734336</v>
      </c>
      <c r="AE14" s="355">
        <f>AC14*$C$13</f>
        <v>266130.58301005035</v>
      </c>
      <c r="AG14" s="355">
        <f>AE14*$C$13</f>
        <v>275445.15341540211</v>
      </c>
    </row>
    <row r="15" spans="1:34" s="340" customFormat="1" ht="14">
      <c r="A15" s="340" t="s">
        <v>356</v>
      </c>
      <c r="C15" s="369"/>
      <c r="E15" s="358">
        <f>Application!W847</f>
        <v>48000</v>
      </c>
      <c r="F15" s="358"/>
      <c r="G15" s="358">
        <f t="shared" ref="G15:AG20" si="0">E15*$C$13</f>
        <v>49679.999999999993</v>
      </c>
      <c r="H15" s="358"/>
      <c r="I15" s="358">
        <f t="shared" si="0"/>
        <v>51418.799999999988</v>
      </c>
      <c r="J15" s="358"/>
      <c r="K15" s="358">
        <f t="shared" si="0"/>
        <v>53218.457999999984</v>
      </c>
      <c r="L15" s="358"/>
      <c r="M15" s="358">
        <f t="shared" si="0"/>
        <v>55081.10402999998</v>
      </c>
      <c r="N15" s="358"/>
      <c r="O15" s="358">
        <f t="shared" si="0"/>
        <v>57008.942671049976</v>
      </c>
      <c r="P15" s="358"/>
      <c r="Q15" s="358">
        <f t="shared" si="0"/>
        <v>59004.255664536722</v>
      </c>
      <c r="R15" s="358"/>
      <c r="S15" s="358">
        <f t="shared" si="0"/>
        <v>61069.404612795501</v>
      </c>
      <c r="T15" s="358"/>
      <c r="U15" s="358">
        <f t="shared" si="0"/>
        <v>63206.833774243336</v>
      </c>
      <c r="V15" s="358"/>
      <c r="W15" s="358">
        <f t="shared" si="0"/>
        <v>65419.07295634185</v>
      </c>
      <c r="X15" s="358"/>
      <c r="Y15" s="358">
        <f t="shared" si="0"/>
        <v>67708.740509813812</v>
      </c>
      <c r="Z15" s="358"/>
      <c r="AA15" s="358">
        <f t="shared" si="0"/>
        <v>70078.546427657289</v>
      </c>
      <c r="AB15" s="358"/>
      <c r="AC15" s="358">
        <f t="shared" si="0"/>
        <v>72531.295552625292</v>
      </c>
      <c r="AD15" s="358"/>
      <c r="AE15" s="358">
        <f t="shared" si="0"/>
        <v>75069.890896967176</v>
      </c>
      <c r="AF15" s="358"/>
      <c r="AG15" s="358">
        <f t="shared" si="0"/>
        <v>77697.337078361015</v>
      </c>
    </row>
    <row r="16" spans="1:34" s="340" customFormat="1" ht="14">
      <c r="A16" s="340" t="s">
        <v>596</v>
      </c>
      <c r="C16" s="369"/>
      <c r="E16" s="358">
        <f>Application!W853</f>
        <v>159000</v>
      </c>
      <c r="F16" s="358"/>
      <c r="G16" s="358">
        <f t="shared" si="0"/>
        <v>164565</v>
      </c>
      <c r="H16" s="358"/>
      <c r="I16" s="358">
        <f t="shared" si="0"/>
        <v>170324.77499999999</v>
      </c>
      <c r="J16" s="358"/>
      <c r="K16" s="358">
        <f t="shared" si="0"/>
        <v>176286.14212499998</v>
      </c>
      <c r="L16" s="358"/>
      <c r="M16" s="358">
        <f t="shared" si="0"/>
        <v>182456.15709937498</v>
      </c>
      <c r="N16" s="358"/>
      <c r="O16" s="358">
        <f t="shared" si="0"/>
        <v>188842.1225978531</v>
      </c>
      <c r="P16" s="358"/>
      <c r="Q16" s="358">
        <f t="shared" si="0"/>
        <v>195451.59688877795</v>
      </c>
      <c r="R16" s="358"/>
      <c r="S16" s="358">
        <f t="shared" si="0"/>
        <v>202292.40277988516</v>
      </c>
      <c r="T16" s="358"/>
      <c r="U16" s="358">
        <f t="shared" si="0"/>
        <v>209372.63687718112</v>
      </c>
      <c r="V16" s="358"/>
      <c r="W16" s="358">
        <f t="shared" si="0"/>
        <v>216700.67916788245</v>
      </c>
      <c r="X16" s="358"/>
      <c r="Y16" s="358">
        <f t="shared" si="0"/>
        <v>224285.20293875833</v>
      </c>
      <c r="Z16" s="358"/>
      <c r="AA16" s="358">
        <f t="shared" si="0"/>
        <v>232135.18504161487</v>
      </c>
      <c r="AB16" s="358"/>
      <c r="AC16" s="358">
        <f t="shared" si="0"/>
        <v>240259.91651807138</v>
      </c>
      <c r="AD16" s="358"/>
      <c r="AE16" s="358">
        <f t="shared" si="0"/>
        <v>248669.01359620385</v>
      </c>
      <c r="AF16" s="358"/>
      <c r="AG16" s="358">
        <f t="shared" si="0"/>
        <v>257372.42907207095</v>
      </c>
    </row>
    <row r="17" spans="1:33" s="340" customFormat="1" ht="14">
      <c r="A17" s="340" t="s">
        <v>909</v>
      </c>
      <c r="C17" s="369"/>
      <c r="E17" s="358">
        <f>Application!W860</f>
        <v>160000</v>
      </c>
      <c r="F17" s="358"/>
      <c r="G17" s="358">
        <f t="shared" si="0"/>
        <v>165600</v>
      </c>
      <c r="H17" s="358"/>
      <c r="I17" s="358">
        <f t="shared" si="0"/>
        <v>171396</v>
      </c>
      <c r="J17" s="358"/>
      <c r="K17" s="358">
        <f t="shared" si="0"/>
        <v>177394.86</v>
      </c>
      <c r="L17" s="358"/>
      <c r="M17" s="358">
        <f t="shared" si="0"/>
        <v>183603.68009999997</v>
      </c>
      <c r="N17" s="358"/>
      <c r="O17" s="358">
        <f t="shared" si="0"/>
        <v>190029.80890349994</v>
      </c>
      <c r="P17" s="358"/>
      <c r="Q17" s="358">
        <f t="shared" si="0"/>
        <v>196680.85221512243</v>
      </c>
      <c r="R17" s="358"/>
      <c r="S17" s="358">
        <f t="shared" si="0"/>
        <v>203564.68204265169</v>
      </c>
      <c r="T17" s="358"/>
      <c r="U17" s="358">
        <f t="shared" si="0"/>
        <v>210689.44591414448</v>
      </c>
      <c r="V17" s="358"/>
      <c r="W17" s="358">
        <f t="shared" si="0"/>
        <v>218063.57652113953</v>
      </c>
      <c r="X17" s="358"/>
      <c r="Y17" s="358">
        <f t="shared" si="0"/>
        <v>225695.8016993794</v>
      </c>
      <c r="Z17" s="358"/>
      <c r="AA17" s="358">
        <f t="shared" si="0"/>
        <v>233595.15475885765</v>
      </c>
      <c r="AB17" s="358"/>
      <c r="AC17" s="358">
        <f t="shared" si="0"/>
        <v>241770.98517541765</v>
      </c>
      <c r="AD17" s="358"/>
      <c r="AE17" s="358">
        <f t="shared" si="0"/>
        <v>250232.96965655725</v>
      </c>
      <c r="AF17" s="358"/>
      <c r="AG17" s="358">
        <f t="shared" si="0"/>
        <v>258991.12359453674</v>
      </c>
    </row>
    <row r="18" spans="1:33" s="340" customFormat="1" ht="14">
      <c r="A18" s="340" t="s">
        <v>160</v>
      </c>
      <c r="C18" s="369"/>
      <c r="E18" s="358">
        <f>Application!W861</f>
        <v>50250</v>
      </c>
      <c r="F18" s="358"/>
      <c r="G18" s="358">
        <f t="shared" si="0"/>
        <v>52008.749999999993</v>
      </c>
      <c r="H18" s="358"/>
      <c r="I18" s="358">
        <f t="shared" si="0"/>
        <v>53829.056249999987</v>
      </c>
      <c r="J18" s="358"/>
      <c r="K18" s="358">
        <f t="shared" si="0"/>
        <v>55713.073218749982</v>
      </c>
      <c r="L18" s="358"/>
      <c r="M18" s="358">
        <f t="shared" si="0"/>
        <v>57663.030781406225</v>
      </c>
      <c r="N18" s="358"/>
      <c r="O18" s="358">
        <f t="shared" si="0"/>
        <v>59681.236858755437</v>
      </c>
      <c r="P18" s="358"/>
      <c r="Q18" s="358">
        <f t="shared" si="0"/>
        <v>61770.080148811874</v>
      </c>
      <c r="R18" s="358"/>
      <c r="S18" s="358">
        <f t="shared" si="0"/>
        <v>63932.032954020287</v>
      </c>
      <c r="T18" s="358"/>
      <c r="U18" s="358">
        <f t="shared" si="0"/>
        <v>66169.654107410999</v>
      </c>
      <c r="V18" s="358"/>
      <c r="W18" s="358">
        <f t="shared" si="0"/>
        <v>68485.592001170386</v>
      </c>
      <c r="X18" s="358"/>
      <c r="Y18" s="358">
        <f t="shared" si="0"/>
        <v>70882.587721211341</v>
      </c>
      <c r="Z18" s="358"/>
      <c r="AA18" s="358">
        <f t="shared" si="0"/>
        <v>73363.478291453735</v>
      </c>
      <c r="AB18" s="358"/>
      <c r="AC18" s="358">
        <f t="shared" si="0"/>
        <v>75931.200031654604</v>
      </c>
      <c r="AD18" s="358"/>
      <c r="AE18" s="358">
        <f t="shared" si="0"/>
        <v>78588.792032762503</v>
      </c>
      <c r="AF18" s="358"/>
      <c r="AG18" s="358">
        <f t="shared" si="0"/>
        <v>81339.39975390918</v>
      </c>
    </row>
    <row r="19" spans="1:33" s="340" customFormat="1" ht="14">
      <c r="A19" s="340" t="s">
        <v>411</v>
      </c>
      <c r="C19" s="369"/>
      <c r="E19" s="358">
        <f>Application!W870</f>
        <v>123000</v>
      </c>
      <c r="F19" s="358"/>
      <c r="G19" s="358">
        <f t="shared" si="0"/>
        <v>127304.99999999999</v>
      </c>
      <c r="H19" s="358"/>
      <c r="I19" s="358">
        <f t="shared" si="0"/>
        <v>131760.67499999999</v>
      </c>
      <c r="J19" s="358"/>
      <c r="K19" s="358">
        <f t="shared" si="0"/>
        <v>136372.29862499997</v>
      </c>
      <c r="L19" s="358"/>
      <c r="M19" s="358">
        <f t="shared" si="0"/>
        <v>141145.32907687494</v>
      </c>
      <c r="N19" s="358"/>
      <c r="O19" s="358">
        <f t="shared" si="0"/>
        <v>146085.41559456557</v>
      </c>
      <c r="P19" s="358"/>
      <c r="Q19" s="358">
        <f t="shared" si="0"/>
        <v>151198.40514037534</v>
      </c>
      <c r="R19" s="358"/>
      <c r="S19" s="358">
        <f t="shared" si="0"/>
        <v>156490.34932028846</v>
      </c>
      <c r="T19" s="358"/>
      <c r="U19" s="358">
        <f t="shared" si="0"/>
        <v>161967.51154649854</v>
      </c>
      <c r="V19" s="358"/>
      <c r="W19" s="358">
        <f t="shared" si="0"/>
        <v>167636.37445062597</v>
      </c>
      <c r="X19" s="358"/>
      <c r="Y19" s="358">
        <f t="shared" si="0"/>
        <v>173503.64755639786</v>
      </c>
      <c r="Z19" s="358"/>
      <c r="AA19" s="358">
        <f t="shared" si="0"/>
        <v>179576.27522087176</v>
      </c>
      <c r="AB19" s="358"/>
      <c r="AC19" s="358">
        <f t="shared" si="0"/>
        <v>185861.44485360227</v>
      </c>
      <c r="AD19" s="358"/>
      <c r="AE19" s="358">
        <f t="shared" si="0"/>
        <v>192366.59542347834</v>
      </c>
      <c r="AF19" s="358"/>
      <c r="AG19" s="358">
        <f t="shared" si="0"/>
        <v>199099.42626330006</v>
      </c>
    </row>
    <row r="20" spans="1:33" s="340" customFormat="1" ht="14">
      <c r="A20" s="362" t="s">
        <v>2608</v>
      </c>
      <c r="B20" s="362"/>
      <c r="C20" s="369"/>
      <c r="E20" s="368">
        <f>Application!W877</f>
        <v>6250</v>
      </c>
      <c r="F20" s="358"/>
      <c r="G20" s="368">
        <f t="shared" si="0"/>
        <v>6468.7499999999991</v>
      </c>
      <c r="H20" s="358"/>
      <c r="I20" s="368">
        <f t="shared" si="0"/>
        <v>6695.1562499999982</v>
      </c>
      <c r="J20" s="358"/>
      <c r="K20" s="368">
        <f t="shared" si="0"/>
        <v>6929.4867187499976</v>
      </c>
      <c r="L20" s="358"/>
      <c r="M20" s="368">
        <f t="shared" si="0"/>
        <v>7172.0187539062472</v>
      </c>
      <c r="N20" s="358"/>
      <c r="O20" s="368">
        <f t="shared" si="0"/>
        <v>7423.0394102929649</v>
      </c>
      <c r="P20" s="358"/>
      <c r="Q20" s="368">
        <f t="shared" si="0"/>
        <v>7682.8457896532182</v>
      </c>
      <c r="R20" s="358"/>
      <c r="S20" s="368">
        <f t="shared" si="0"/>
        <v>7951.74539229108</v>
      </c>
      <c r="T20" s="358"/>
      <c r="U20" s="368">
        <f t="shared" si="0"/>
        <v>8230.0564810212672</v>
      </c>
      <c r="V20" s="358"/>
      <c r="W20" s="368">
        <f t="shared" si="0"/>
        <v>8518.1084578570117</v>
      </c>
      <c r="X20" s="358"/>
      <c r="Y20" s="368">
        <f t="shared" si="0"/>
        <v>8816.2422538820065</v>
      </c>
      <c r="Z20" s="358"/>
      <c r="AA20" s="368">
        <f t="shared" si="0"/>
        <v>9124.8107327678754</v>
      </c>
      <c r="AB20" s="358"/>
      <c r="AC20" s="368">
        <f t="shared" si="0"/>
        <v>9444.1791084147499</v>
      </c>
      <c r="AD20" s="358"/>
      <c r="AE20" s="368">
        <f t="shared" si="0"/>
        <v>9774.7253772092645</v>
      </c>
      <c r="AF20" s="358"/>
      <c r="AG20" s="368">
        <f t="shared" si="0"/>
        <v>10116.840765411587</v>
      </c>
    </row>
    <row r="21" spans="1:33" s="359" customFormat="1" ht="14">
      <c r="A21" s="359" t="s">
        <v>910</v>
      </c>
      <c r="C21" s="369"/>
      <c r="E21" s="359">
        <f>SUM(E14:E20)</f>
        <v>716665</v>
      </c>
      <c r="G21" s="359">
        <f>SUM(G14:G20)</f>
        <v>741748.27500000002</v>
      </c>
      <c r="I21" s="359">
        <f>SUM(I14:I20)</f>
        <v>767709.46462500002</v>
      </c>
      <c r="K21" s="359">
        <f>SUM(K14:K20)</f>
        <v>794579.29588687478</v>
      </c>
      <c r="M21" s="359">
        <f>SUM(M14:M20)</f>
        <v>822389.57124291547</v>
      </c>
      <c r="O21" s="359">
        <f>SUM(O14:O20)</f>
        <v>851173.20623641741</v>
      </c>
      <c r="Q21" s="359">
        <f>SUM(Q14:Q20)</f>
        <v>880964.26845469198</v>
      </c>
      <c r="S21" s="359">
        <f>SUM(S14:S20)</f>
        <v>911798.017850606</v>
      </c>
      <c r="U21" s="359">
        <f>SUM(U14:U20)</f>
        <v>943710.94847537717</v>
      </c>
      <c r="W21" s="359">
        <f>SUM(W14:W20)</f>
        <v>976740.83167201548</v>
      </c>
      <c r="Y21" s="359">
        <f>SUM(Y14:Y20)</f>
        <v>1010926.7607805358</v>
      </c>
      <c r="AA21" s="359">
        <f>SUM(AA14:AA20)</f>
        <v>1046309.1974078546</v>
      </c>
      <c r="AC21" s="359">
        <f>SUM(AC14:AC20)</f>
        <v>1082930.0193171292</v>
      </c>
      <c r="AE21" s="359">
        <f>SUM(AE14:AE20)</f>
        <v>1120832.5699932287</v>
      </c>
      <c r="AG21" s="359">
        <f>SUM(AG14:AG20)</f>
        <v>1160061.7099429916</v>
      </c>
    </row>
    <row r="22" spans="1:33" s="340" customFormat="1" ht="14">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
      <c r="A23" s="340" t="s">
        <v>2174</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
      <c r="A26" s="340" t="s">
        <v>912</v>
      </c>
      <c r="C26" s="377">
        <v>1.0349999999999999</v>
      </c>
      <c r="E26" s="358">
        <f>Application!AC886</f>
        <v>49000</v>
      </c>
      <c r="F26" s="358"/>
      <c r="G26" s="358">
        <f>E26*$C$26</f>
        <v>50714.999999999993</v>
      </c>
      <c r="H26" s="358"/>
      <c r="I26" s="358">
        <f>G26*$C$26</f>
        <v>52490.024999999987</v>
      </c>
      <c r="J26" s="358"/>
      <c r="K26" s="358">
        <f>I26*$C$26</f>
        <v>54327.175874999979</v>
      </c>
      <c r="L26" s="358"/>
      <c r="M26" s="358">
        <f>K26*$C$26</f>
        <v>56228.627030624972</v>
      </c>
      <c r="N26" s="358"/>
      <c r="O26" s="358">
        <f>M26*$C$26</f>
        <v>58196.62897669684</v>
      </c>
      <c r="P26" s="358"/>
      <c r="Q26" s="358">
        <f>O26*$C$26</f>
        <v>60233.510990881223</v>
      </c>
      <c r="R26" s="358"/>
      <c r="S26" s="358">
        <f>Q26*$C$26</f>
        <v>62341.683875562063</v>
      </c>
      <c r="T26" s="358"/>
      <c r="U26" s="358">
        <f>S26*$C$26</f>
        <v>64523.64281120673</v>
      </c>
      <c r="V26" s="358"/>
      <c r="W26" s="358">
        <f>U26*$C$26</f>
        <v>66781.970309598953</v>
      </c>
      <c r="X26" s="358"/>
      <c r="Y26" s="358">
        <f>W26*$C$26</f>
        <v>69119.33927043491</v>
      </c>
      <c r="Z26" s="358"/>
      <c r="AA26" s="358">
        <f>Y26*$C$26</f>
        <v>71538.516144900132</v>
      </c>
      <c r="AB26" s="358"/>
      <c r="AC26" s="358">
        <f>AA26*$C$26</f>
        <v>74042.364209971623</v>
      </c>
      <c r="AD26" s="358"/>
      <c r="AE26" s="358">
        <f>AC26*$C$26</f>
        <v>76633.846957320624</v>
      </c>
      <c r="AF26" s="358"/>
      <c r="AG26" s="358">
        <f>AE26*$C$26</f>
        <v>79316.031600826842</v>
      </c>
    </row>
    <row r="27" spans="1:33" s="340" customFormat="1" ht="14">
      <c r="A27" s="340" t="s">
        <v>913</v>
      </c>
      <c r="C27" s="377"/>
      <c r="E27" s="358">
        <f>Application!AC887</f>
        <v>40000</v>
      </c>
      <c r="F27" s="358"/>
      <c r="G27" s="358">
        <f>$E$27</f>
        <v>40000</v>
      </c>
      <c r="H27" s="358"/>
      <c r="I27" s="358">
        <f>$E$27</f>
        <v>40000</v>
      </c>
      <c r="J27" s="358"/>
      <c r="K27" s="358">
        <f>$E$27</f>
        <v>40000</v>
      </c>
      <c r="L27" s="358"/>
      <c r="M27" s="358">
        <f>$E$27</f>
        <v>40000</v>
      </c>
      <c r="N27" s="358"/>
      <c r="O27" s="358">
        <f>$E$27</f>
        <v>40000</v>
      </c>
      <c r="P27" s="358"/>
      <c r="Q27" s="358">
        <f>$E$27</f>
        <v>40000</v>
      </c>
      <c r="R27" s="358"/>
      <c r="S27" s="358">
        <f>$E$27</f>
        <v>40000</v>
      </c>
      <c r="T27" s="358"/>
      <c r="U27" s="358">
        <f>$E$27</f>
        <v>40000</v>
      </c>
      <c r="V27" s="358"/>
      <c r="W27" s="358">
        <f>$E$27</f>
        <v>40000</v>
      </c>
      <c r="X27" s="358"/>
      <c r="Y27" s="358">
        <f>$E$27</f>
        <v>40000</v>
      </c>
      <c r="Z27" s="358"/>
      <c r="AA27" s="358">
        <f>$E$27</f>
        <v>40000</v>
      </c>
      <c r="AB27" s="358"/>
      <c r="AC27" s="358">
        <f>$E$27</f>
        <v>40000</v>
      </c>
      <c r="AD27" s="358"/>
      <c r="AE27" s="358">
        <f>$E$27</f>
        <v>40000</v>
      </c>
      <c r="AF27" s="358"/>
      <c r="AG27" s="358">
        <f>$E$27</f>
        <v>40000</v>
      </c>
    </row>
    <row r="28" spans="1:33" s="340" customFormat="1" ht="14">
      <c r="A28" s="340" t="s">
        <v>2172</v>
      </c>
      <c r="C28" s="375">
        <v>1</v>
      </c>
      <c r="E28" s="358">
        <f>Application!AC888</f>
        <v>11603</v>
      </c>
      <c r="F28" s="358"/>
      <c r="G28" s="358">
        <f>E28*$C$28</f>
        <v>11603</v>
      </c>
      <c r="H28" s="358"/>
      <c r="I28" s="358">
        <f>G28*$C$28</f>
        <v>11603</v>
      </c>
      <c r="J28" s="358"/>
      <c r="K28" s="358">
        <f>I28*$C$28</f>
        <v>11603</v>
      </c>
      <c r="L28" s="358"/>
      <c r="M28" s="358">
        <f>K28*$C$28</f>
        <v>11603</v>
      </c>
      <c r="N28" s="358"/>
      <c r="O28" s="358">
        <f>M28*$C$28</f>
        <v>11603</v>
      </c>
      <c r="P28" s="358"/>
      <c r="Q28" s="358">
        <f>O28*$C$28</f>
        <v>11603</v>
      </c>
      <c r="R28" s="358"/>
      <c r="S28" s="358">
        <f>Q28*$C$28</f>
        <v>11603</v>
      </c>
      <c r="T28" s="358"/>
      <c r="U28" s="358">
        <f>S28*$C$28</f>
        <v>11603</v>
      </c>
      <c r="V28" s="358"/>
      <c r="W28" s="358">
        <f>U28*$C$28</f>
        <v>11603</v>
      </c>
      <c r="X28" s="358"/>
      <c r="Y28" s="358">
        <f>W28*$C$28</f>
        <v>11603</v>
      </c>
      <c r="Z28" s="358"/>
      <c r="AA28" s="358">
        <f>Y28*$C$28</f>
        <v>11603</v>
      </c>
      <c r="AB28" s="358"/>
      <c r="AC28" s="358">
        <f>AA28*$C$28</f>
        <v>11603</v>
      </c>
      <c r="AD28" s="358"/>
      <c r="AE28" s="358">
        <f>AC28*$C$28</f>
        <v>11603</v>
      </c>
      <c r="AF28" s="358"/>
      <c r="AG28" s="358">
        <f>AE28*$C$28</f>
        <v>11603</v>
      </c>
    </row>
    <row r="29" spans="1:33" s="340" customFormat="1" ht="14">
      <c r="A29" s="340" t="s">
        <v>911</v>
      </c>
      <c r="C29" s="375">
        <v>1.02</v>
      </c>
      <c r="E29" s="358">
        <f>Application!AC889</f>
        <v>4000</v>
      </c>
      <c r="F29" s="358"/>
      <c r="G29" s="358">
        <f>E29*$C$29</f>
        <v>4080</v>
      </c>
      <c r="H29" s="358"/>
      <c r="I29" s="358">
        <f>G29*$C$29</f>
        <v>4161.6000000000004</v>
      </c>
      <c r="J29" s="358"/>
      <c r="K29" s="358">
        <f>I29*$C$29</f>
        <v>4244.8320000000003</v>
      </c>
      <c r="L29" s="358"/>
      <c r="M29" s="358">
        <f>K29*$C$29</f>
        <v>4329.7286400000003</v>
      </c>
      <c r="N29" s="358"/>
      <c r="O29" s="358">
        <f>M29*$C$29</f>
        <v>4416.3232128</v>
      </c>
      <c r="P29" s="358"/>
      <c r="Q29" s="358">
        <f>O29*$C$29</f>
        <v>4504.6496770559997</v>
      </c>
      <c r="R29" s="358"/>
      <c r="S29" s="358">
        <f>Q29*$C$29</f>
        <v>4594.7426705971202</v>
      </c>
      <c r="T29" s="358"/>
      <c r="U29" s="358">
        <f>S29*$C$29</f>
        <v>4686.6375240090629</v>
      </c>
      <c r="V29" s="358"/>
      <c r="W29" s="358">
        <f>U29*$C$29</f>
        <v>4780.3702744892444</v>
      </c>
      <c r="X29" s="358"/>
      <c r="Y29" s="358">
        <f>W29*$C$29</f>
        <v>4875.9776799790297</v>
      </c>
      <c r="Z29" s="358"/>
      <c r="AA29" s="358">
        <f>Y29*$C$29</f>
        <v>4973.4972335786106</v>
      </c>
      <c r="AB29" s="358"/>
      <c r="AC29" s="358">
        <f>AA29*$C$29</f>
        <v>5072.9671782501828</v>
      </c>
      <c r="AD29" s="358"/>
      <c r="AE29" s="358">
        <f>AC29*$C$29</f>
        <v>5174.4265218151868</v>
      </c>
      <c r="AF29" s="358"/>
      <c r="AG29" s="358">
        <f>AE29*$C$29</f>
        <v>5277.915052251491</v>
      </c>
    </row>
    <row r="30" spans="1:33" s="340" customFormat="1" ht="14">
      <c r="A30" s="340" t="s">
        <v>2173</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
      <c r="A34" s="359" t="s">
        <v>183</v>
      </c>
      <c r="C34" s="360"/>
      <c r="E34" s="359">
        <f>SUM(E21:E32)</f>
        <v>821268</v>
      </c>
      <c r="G34" s="359">
        <f>SUM(G21:G32)</f>
        <v>848146.27500000002</v>
      </c>
      <c r="I34" s="359">
        <f>SUM(I21:I32)</f>
        <v>875964.08962500002</v>
      </c>
      <c r="K34" s="359">
        <f>SUM(K21:K32)</f>
        <v>904754.30376187479</v>
      </c>
      <c r="M34" s="359">
        <f>SUM(M21:M32)</f>
        <v>934550.92691354046</v>
      </c>
      <c r="O34" s="359">
        <f>SUM(O21:O32)</f>
        <v>965389.15842591424</v>
      </c>
      <c r="Q34" s="359">
        <f>SUM(Q21:Q32)</f>
        <v>997305.42912262923</v>
      </c>
      <c r="S34" s="359">
        <f>SUM(S21:S32)</f>
        <v>1030337.4443967652</v>
      </c>
      <c r="U34" s="359">
        <f>SUM(U21:U32)</f>
        <v>1064524.2288105928</v>
      </c>
      <c r="W34" s="359">
        <f>SUM(W21:W32)</f>
        <v>1099906.1722561037</v>
      </c>
      <c r="Y34" s="359">
        <f>SUM(Y21:Y32)</f>
        <v>1136525.0777309497</v>
      </c>
      <c r="AA34" s="359">
        <f>SUM(AA21:AA32)</f>
        <v>1174424.2107863335</v>
      </c>
      <c r="AC34" s="359">
        <f>SUM(AC21:AC32)</f>
        <v>1213648.350705351</v>
      </c>
      <c r="AE34" s="359">
        <f>SUM(AE21:AE32)</f>
        <v>1254243.8434723644</v>
      </c>
      <c r="AG34" s="359">
        <f>SUM(AG21:AG32)</f>
        <v>1296258.6565960699</v>
      </c>
    </row>
    <row r="35" spans="1:33" s="340" customFormat="1" ht="14">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
      <c r="A36" s="359" t="s">
        <v>914</v>
      </c>
      <c r="C36" s="360"/>
      <c r="E36" s="359">
        <f>E10-E34</f>
        <v>570615.87800000003</v>
      </c>
      <c r="G36" s="359">
        <f>G10-G34</f>
        <v>578534.69994999969</v>
      </c>
      <c r="I36" s="359">
        <f>I10-I34</f>
        <v>586383.90969874989</v>
      </c>
      <c r="K36" s="359">
        <f>K10-K34</f>
        <v>594152.39554496855</v>
      </c>
      <c r="M36" s="359">
        <f>M10-M34</f>
        <v>601828.43987597397</v>
      </c>
      <c r="O36" s="359">
        <f>O10-O34</f>
        <v>609399.69253333763</v>
      </c>
      <c r="Q36" s="359">
        <f>Q10-Q34</f>
        <v>616853.14311060414</v>
      </c>
      <c r="S36" s="359">
        <f>S10-S34</f>
        <v>624175.09214229882</v>
      </c>
      <c r="U36" s="359">
        <f>U10-U34</f>
        <v>631351.12114194757</v>
      </c>
      <c r="W36" s="359">
        <f>W10-W34</f>
        <v>638366.06144525018</v>
      </c>
      <c r="Y36" s="359">
        <f>Y10-Y34</f>
        <v>645203.96181293787</v>
      </c>
      <c r="AA36" s="359">
        <f>AA10-AA34</f>
        <v>651848.05474615097</v>
      </c>
      <c r="AC36" s="359">
        <f>AC10-AC34</f>
        <v>658280.72146544512</v>
      </c>
      <c r="AE36" s="359">
        <f>AE10-AE34</f>
        <v>664483.45550270169</v>
      </c>
      <c r="AG36" s="359">
        <f>AG10-AG34</f>
        <v>670436.82485337276</v>
      </c>
    </row>
    <row r="37" spans="1:33" s="340" customFormat="1" ht="14">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
      <c r="A39" s="361" t="str">
        <f>Application!C637</f>
        <v>Citibank, N.A. Permanent Loan</v>
      </c>
      <c r="B39" s="362"/>
      <c r="C39" s="356"/>
      <c r="E39" s="358">
        <f>Application!AF637</f>
        <v>439552</v>
      </c>
      <c r="F39" s="358"/>
      <c r="G39" s="358">
        <f>$E$39</f>
        <v>439552</v>
      </c>
      <c r="H39" s="358"/>
      <c r="I39" s="358">
        <f>$E$39</f>
        <v>439552</v>
      </c>
      <c r="J39" s="358"/>
      <c r="K39" s="358">
        <f>$E$39</f>
        <v>439552</v>
      </c>
      <c r="L39" s="358"/>
      <c r="M39" s="358">
        <f>$E$39</f>
        <v>439552</v>
      </c>
      <c r="N39" s="358"/>
      <c r="O39" s="358">
        <f>$E$39</f>
        <v>439552</v>
      </c>
      <c r="P39" s="358"/>
      <c r="Q39" s="358">
        <f>$E$39</f>
        <v>439552</v>
      </c>
      <c r="R39" s="358"/>
      <c r="S39" s="358">
        <f>$E$39</f>
        <v>439552</v>
      </c>
      <c r="T39" s="358"/>
      <c r="U39" s="358">
        <f>$E$39</f>
        <v>439552</v>
      </c>
      <c r="V39" s="358"/>
      <c r="W39" s="358">
        <f>$E$39</f>
        <v>439552</v>
      </c>
      <c r="X39" s="358"/>
      <c r="Y39" s="358">
        <f>$E$39</f>
        <v>439552</v>
      </c>
      <c r="Z39" s="358"/>
      <c r="AA39" s="358">
        <f>$E$39</f>
        <v>439552</v>
      </c>
      <c r="AB39" s="358"/>
      <c r="AC39" s="358">
        <f>$E$39</f>
        <v>439552</v>
      </c>
      <c r="AD39" s="358"/>
      <c r="AE39" s="358">
        <f>$E$39</f>
        <v>439552</v>
      </c>
      <c r="AF39" s="358"/>
      <c r="AG39" s="358">
        <f>$E$39</f>
        <v>439552</v>
      </c>
    </row>
    <row r="40" spans="1:33" s="340" customFormat="1" ht="14">
      <c r="A40" s="361" t="s">
        <v>2606</v>
      </c>
      <c r="B40" s="362"/>
      <c r="C40" s="356"/>
      <c r="E40" s="358">
        <f>Application!AF642</f>
        <v>36219</v>
      </c>
      <c r="F40" s="358"/>
      <c r="G40" s="358">
        <f>$E$40</f>
        <v>36219</v>
      </c>
      <c r="H40" s="358"/>
      <c r="I40" s="358">
        <f>$E$40</f>
        <v>36219</v>
      </c>
      <c r="J40" s="358"/>
      <c r="K40" s="358">
        <f>$E$40</f>
        <v>36219</v>
      </c>
      <c r="L40" s="358"/>
      <c r="M40" s="358">
        <f>$E$40</f>
        <v>36219</v>
      </c>
      <c r="N40" s="358"/>
      <c r="O40" s="358">
        <f>$E$40</f>
        <v>36219</v>
      </c>
      <c r="P40" s="358"/>
      <c r="Q40" s="358">
        <f>$E$40</f>
        <v>36219</v>
      </c>
      <c r="R40" s="358"/>
      <c r="S40" s="358">
        <f>$E$40</f>
        <v>36219</v>
      </c>
      <c r="T40" s="358"/>
      <c r="U40" s="358">
        <f>$E$40</f>
        <v>36219</v>
      </c>
      <c r="V40" s="358"/>
      <c r="W40" s="358">
        <f>$E$40</f>
        <v>36219</v>
      </c>
      <c r="X40" s="358"/>
      <c r="Y40" s="358">
        <f>$E$40</f>
        <v>36219</v>
      </c>
      <c r="Z40" s="358"/>
      <c r="AA40" s="358">
        <f>$E$40</f>
        <v>36219</v>
      </c>
      <c r="AB40" s="358"/>
      <c r="AC40" s="358">
        <f>$E$40</f>
        <v>36219</v>
      </c>
      <c r="AD40" s="358"/>
      <c r="AE40" s="358">
        <f>$E$40</f>
        <v>36219</v>
      </c>
      <c r="AF40" s="358"/>
      <c r="AG40" s="358">
        <f>$E$40</f>
        <v>36219</v>
      </c>
    </row>
    <row r="41" spans="1:33" s="340" customFormat="1" ht="14">
      <c r="A41" s="361" t="s">
        <v>2607</v>
      </c>
      <c r="B41" s="362"/>
      <c r="C41" s="356"/>
      <c r="E41" s="368">
        <f>Application!AO637*0.25%</f>
        <v>19787.5</v>
      </c>
      <c r="F41" s="358"/>
      <c r="G41" s="368">
        <f>$E$41</f>
        <v>19787.5</v>
      </c>
      <c r="H41" s="358"/>
      <c r="I41" s="368">
        <f>$E$41</f>
        <v>19787.5</v>
      </c>
      <c r="J41" s="358"/>
      <c r="K41" s="368">
        <f>$E$41</f>
        <v>19787.5</v>
      </c>
      <c r="L41" s="358"/>
      <c r="M41" s="368">
        <f>$E$41</f>
        <v>19787.5</v>
      </c>
      <c r="N41" s="358"/>
      <c r="O41" s="368">
        <f>$E$41</f>
        <v>19787.5</v>
      </c>
      <c r="P41" s="358"/>
      <c r="Q41" s="368">
        <f>$E$41</f>
        <v>19787.5</v>
      </c>
      <c r="R41" s="358"/>
      <c r="S41" s="368">
        <f>$E$41</f>
        <v>19787.5</v>
      </c>
      <c r="T41" s="358"/>
      <c r="U41" s="368">
        <f>$E$41</f>
        <v>19787.5</v>
      </c>
      <c r="V41" s="358"/>
      <c r="W41" s="368">
        <f>$E$41</f>
        <v>19787.5</v>
      </c>
      <c r="X41" s="358"/>
      <c r="Y41" s="368">
        <f>$E$41</f>
        <v>19787.5</v>
      </c>
      <c r="Z41" s="358"/>
      <c r="AA41" s="368">
        <f>$E$41</f>
        <v>19787.5</v>
      </c>
      <c r="AB41" s="358"/>
      <c r="AC41" s="368">
        <f>$E$41</f>
        <v>19787.5</v>
      </c>
      <c r="AD41" s="358"/>
      <c r="AE41" s="368">
        <f>$E$41</f>
        <v>19787.5</v>
      </c>
      <c r="AF41" s="358"/>
      <c r="AG41" s="368">
        <f>$E$41</f>
        <v>19787.5</v>
      </c>
    </row>
    <row r="42" spans="1:33" s="359" customFormat="1" ht="14">
      <c r="A42" s="359" t="s">
        <v>915</v>
      </c>
      <c r="C42" s="360"/>
      <c r="E42" s="359">
        <f>SUM(E39:E41)</f>
        <v>495558.5</v>
      </c>
      <c r="G42" s="359">
        <f>SUM(G39:G41)</f>
        <v>495558.5</v>
      </c>
      <c r="I42" s="359">
        <f>SUM(I39:I41)</f>
        <v>495558.5</v>
      </c>
      <c r="K42" s="359">
        <f>SUM(K39:K41)</f>
        <v>495558.5</v>
      </c>
      <c r="M42" s="359">
        <f>SUM(M39:M41)</f>
        <v>495558.5</v>
      </c>
      <c r="O42" s="359">
        <f>SUM(O39:O41)</f>
        <v>495558.5</v>
      </c>
      <c r="Q42" s="359">
        <f>SUM(Q39:Q41)</f>
        <v>495558.5</v>
      </c>
      <c r="S42" s="359">
        <f>SUM(S39:S41)</f>
        <v>495558.5</v>
      </c>
      <c r="U42" s="359">
        <f>SUM(U39:U41)</f>
        <v>495558.5</v>
      </c>
      <c r="W42" s="359">
        <f>SUM(W39:W41)</f>
        <v>495558.5</v>
      </c>
      <c r="Y42" s="359">
        <f>SUM(Y39:Y41)</f>
        <v>495558.5</v>
      </c>
      <c r="AA42" s="359">
        <f>SUM(AA39:AA41)</f>
        <v>495558.5</v>
      </c>
      <c r="AC42" s="359">
        <f>SUM(AC39:AC41)</f>
        <v>495558.5</v>
      </c>
      <c r="AE42" s="359">
        <f>SUM(AE39:AE41)</f>
        <v>495558.5</v>
      </c>
      <c r="AG42" s="359">
        <f>SUM(AG39:AG41)</f>
        <v>495558.5</v>
      </c>
    </row>
    <row r="43" spans="1:33" s="340" customFormat="1" ht="14">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
      <c r="A44" s="359" t="s">
        <v>916</v>
      </c>
      <c r="C44" s="360"/>
      <c r="E44" s="359">
        <f>E36-E42</f>
        <v>75057.378000000026</v>
      </c>
      <c r="G44" s="359">
        <f>G36-G42</f>
        <v>82976.199949999689</v>
      </c>
      <c r="I44" s="359">
        <f>I36-I42</f>
        <v>90825.409698749892</v>
      </c>
      <c r="K44" s="359">
        <f>K36-K42</f>
        <v>98593.895544968545</v>
      </c>
      <c r="M44" s="359">
        <f>M36-M42</f>
        <v>106269.93987597397</v>
      </c>
      <c r="O44" s="359">
        <f>O36-O42</f>
        <v>113841.19253333763</v>
      </c>
      <c r="Q44" s="359">
        <f>Q36-Q42</f>
        <v>121294.64311060414</v>
      </c>
      <c r="S44" s="359">
        <f>S36-S42</f>
        <v>128616.59214229882</v>
      </c>
      <c r="U44" s="359">
        <f>U36-U42</f>
        <v>135792.62114194757</v>
      </c>
      <c r="W44" s="359">
        <f>W36-W42</f>
        <v>142807.56144525018</v>
      </c>
      <c r="Y44" s="359">
        <f>Y36-Y42</f>
        <v>149645.46181293787</v>
      </c>
      <c r="AA44" s="359">
        <f>AA36-AA42</f>
        <v>156289.55474615097</v>
      </c>
      <c r="AC44" s="359">
        <f>AC36-AC42</f>
        <v>162722.22146544512</v>
      </c>
      <c r="AE44" s="359">
        <f>AE36-AE42</f>
        <v>168924.95550270169</v>
      </c>
      <c r="AG44" s="359">
        <f>AG36-AG42</f>
        <v>174878.32485337276</v>
      </c>
    </row>
    <row r="45" spans="1:33" s="340" customFormat="1" ht="14">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
      <c r="A46" s="363" t="s">
        <v>918</v>
      </c>
      <c r="C46" s="356"/>
      <c r="E46" s="363">
        <f>E44/(E4+E6+E8)</f>
        <v>4.9530138815933628E-2</v>
      </c>
      <c r="G46" s="363">
        <f>G44/(G4+G6+G8)</f>
        <v>5.3420239697768268E-2</v>
      </c>
      <c r="I46" s="363">
        <f>I44/(I4+I6+I8)</f>
        <v>5.7047391487443547E-2</v>
      </c>
      <c r="K46" s="363">
        <f>K44/(K4+K6+K8)</f>
        <v>6.0416364207279617E-2</v>
      </c>
      <c r="M46" s="363">
        <f>M44/(M4+M6+M8)</f>
        <v>6.3531795522644915E-2</v>
      </c>
      <c r="O46" s="363">
        <f>O44/(O4+O6+O8)</f>
        <v>6.6398193813842418E-2</v>
      </c>
      <c r="Q46" s="363">
        <f>Q44/(Q4+Q6+Q8)</f>
        <v>6.9019941171549373E-2</v>
      </c>
      <c r="S46" s="363">
        <f>S44/(S4+S6+S8)</f>
        <v>7.140129631765546E-2</v>
      </c>
      <c r="U46" s="363">
        <f>U44/(U4+U6+U8)</f>
        <v>7.3546397453308904E-2</v>
      </c>
      <c r="W46" s="363">
        <f>W44/(W4+W6+W8)</f>
        <v>7.5459265035926412E-2</v>
      </c>
      <c r="Y46" s="363">
        <f>Y44/(Y4+Y6+Y8)</f>
        <v>7.7143804486887471E-2</v>
      </c>
      <c r="AA46" s="363">
        <f>AA44/(AA4+AA6+AA8)</f>
        <v>7.8603808831584243E-2</v>
      </c>
      <c r="AC46" s="363">
        <f>AC44/(AC4+AC6+AC8)</f>
        <v>7.9842961273467766E-2</v>
      </c>
      <c r="AE46" s="363">
        <f>AE44/(AE4+AE6+AE8)</f>
        <v>8.0864837703676085E-2</v>
      </c>
      <c r="AG46" s="363">
        <f>AG44/(AG4+AG6+AG8)</f>
        <v>8.1672909147807005E-2</v>
      </c>
    </row>
    <row r="47" spans="1:33" s="363" customFormat="1" ht="14">
      <c r="A47" s="363" t="s">
        <v>919</v>
      </c>
      <c r="C47" s="356"/>
      <c r="E47" s="363">
        <f>E44/E42</f>
        <v>0.15146017675007092</v>
      </c>
      <c r="G47" s="363">
        <f>G44/G42</f>
        <v>0.16743976735339963</v>
      </c>
      <c r="I47" s="363">
        <f>I44/I42</f>
        <v>0.18327888573952397</v>
      </c>
      <c r="K47" s="363">
        <f>K44/K42</f>
        <v>0.19895510932608065</v>
      </c>
      <c r="M47" s="363">
        <f>M44/M42</f>
        <v>0.21444479284680612</v>
      </c>
      <c r="O47" s="363">
        <f>O44/O42</f>
        <v>0.22972301460541517</v>
      </c>
      <c r="Q47" s="363">
        <f>Q44/Q42</f>
        <v>0.24476352057447132</v>
      </c>
      <c r="S47" s="363">
        <f>S44/S42</f>
        <v>0.25953866625695821</v>
      </c>
      <c r="U47" s="363">
        <f>U44/U42</f>
        <v>0.27401935622524398</v>
      </c>
      <c r="W47" s="363">
        <f>W44/W42</f>
        <v>0.28817498124893465</v>
      </c>
      <c r="Y47" s="363">
        <f>Y44/Y42</f>
        <v>0.30197335291986288</v>
      </c>
      <c r="AA47" s="363">
        <f>AA44/AA42</f>
        <v>0.31538063567903885</v>
      </c>
      <c r="AC47" s="363">
        <f>AC44/AC42</f>
        <v>0.32836127614690319</v>
      </c>
      <c r="AE47" s="363">
        <f>AE44/AE42</f>
        <v>0.34087792965452451</v>
      </c>
      <c r="AG47" s="363">
        <f>AG44/AG42</f>
        <v>0.35289138386965968</v>
      </c>
    </row>
    <row r="48" spans="1:33" s="364" customFormat="1" ht="14">
      <c r="A48" s="364" t="s">
        <v>917</v>
      </c>
      <c r="C48" s="365"/>
      <c r="E48" s="364">
        <f>E36/E42</f>
        <v>1.151460176750071</v>
      </c>
      <c r="G48" s="364">
        <f>G36/G42</f>
        <v>1.1674397673533996</v>
      </c>
      <c r="I48" s="364">
        <f>I36/I42</f>
        <v>1.183278885739524</v>
      </c>
      <c r="K48" s="364">
        <f>K36/K42</f>
        <v>1.1989551093260806</v>
      </c>
      <c r="M48" s="364">
        <f>M36/M42</f>
        <v>1.2144447928468061</v>
      </c>
      <c r="O48" s="364">
        <f>O36/O42</f>
        <v>1.2297230146054152</v>
      </c>
      <c r="Q48" s="364">
        <f>Q36/Q42</f>
        <v>1.2447635205744714</v>
      </c>
      <c r="S48" s="364">
        <f>S36/S42</f>
        <v>1.2595386662569581</v>
      </c>
      <c r="U48" s="364">
        <f>U36/U42</f>
        <v>1.274019356225244</v>
      </c>
      <c r="W48" s="364">
        <f>W36/W42</f>
        <v>1.2881749812489347</v>
      </c>
      <c r="Y48" s="364">
        <f>Y36/Y42</f>
        <v>1.3019733529198629</v>
      </c>
      <c r="AA48" s="364">
        <f>AA36/AA42</f>
        <v>1.3153806356790387</v>
      </c>
      <c r="AC48" s="364">
        <f>AC36/AC42</f>
        <v>1.3283612761469032</v>
      </c>
      <c r="AE48" s="364">
        <f>AE36/AE42</f>
        <v>1.3408779296545246</v>
      </c>
      <c r="AG48" s="364">
        <f>AG36/AG42</f>
        <v>1.3528913838696597</v>
      </c>
    </row>
    <row r="49" spans="1:35" s="340" customFormat="1" ht="14">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86" t="s">
        <v>1387</v>
      </c>
      <c r="B51" s="3386"/>
      <c r="C51" s="3386"/>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c r="E52" s="1682"/>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922</v>
      </c>
      <c r="C53" s="1676"/>
      <c r="E53" s="1683"/>
      <c r="F53" s="1678"/>
      <c r="G53" s="1678">
        <f t="shared" ref="G53:AG56" si="1">E53*$C$52</f>
        <v>0</v>
      </c>
      <c r="H53" s="1678"/>
      <c r="I53" s="1678">
        <f t="shared" si="1"/>
        <v>0</v>
      </c>
      <c r="J53" s="1678"/>
      <c r="K53" s="1678">
        <f t="shared" si="1"/>
        <v>0</v>
      </c>
      <c r="L53" s="1678"/>
      <c r="M53" s="1678">
        <f t="shared" si="1"/>
        <v>0</v>
      </c>
      <c r="N53" s="1678"/>
      <c r="O53" s="1678">
        <f t="shared" si="1"/>
        <v>0</v>
      </c>
      <c r="P53" s="1678"/>
      <c r="Q53" s="1678">
        <f t="shared" si="1"/>
        <v>0</v>
      </c>
      <c r="R53" s="1678"/>
      <c r="S53" s="1678">
        <f t="shared" si="1"/>
        <v>0</v>
      </c>
      <c r="T53" s="1678"/>
      <c r="U53" s="1678">
        <f t="shared" si="1"/>
        <v>0</v>
      </c>
      <c r="V53" s="1678"/>
      <c r="W53" s="1678">
        <f t="shared" si="1"/>
        <v>0</v>
      </c>
      <c r="X53" s="1678"/>
      <c r="Y53" s="1678">
        <f t="shared" si="1"/>
        <v>0</v>
      </c>
      <c r="Z53" s="1678"/>
      <c r="AA53" s="1678">
        <f t="shared" si="1"/>
        <v>0</v>
      </c>
      <c r="AB53" s="1678"/>
      <c r="AC53" s="1678">
        <f t="shared" si="1"/>
        <v>0</v>
      </c>
      <c r="AD53" s="1678"/>
      <c r="AE53" s="1678">
        <f t="shared" si="1"/>
        <v>0</v>
      </c>
      <c r="AF53" s="1678"/>
      <c r="AG53" s="1678">
        <f t="shared" si="1"/>
        <v>0</v>
      </c>
      <c r="AH53" s="1678"/>
      <c r="AI53" s="1678"/>
    </row>
    <row r="54" spans="1:35" s="6" customFormat="1">
      <c r="A54" s="6" t="s">
        <v>923</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920</v>
      </c>
      <c r="C57" s="1679"/>
      <c r="E57" s="1678">
        <f>SUM(E52:E56)</f>
        <v>0</v>
      </c>
      <c r="F57" s="1678"/>
      <c r="G57" s="1678">
        <f>SUM(G52:G56)</f>
        <v>0</v>
      </c>
      <c r="H57" s="1678"/>
      <c r="I57" s="1678">
        <f>SUM(I52:I56)</f>
        <v>0</v>
      </c>
      <c r="J57" s="1678"/>
      <c r="K57" s="1678">
        <f>SUM(K52:K56)</f>
        <v>0</v>
      </c>
      <c r="L57" s="1678"/>
      <c r="M57" s="1678">
        <f>SUM(M52:M56)</f>
        <v>0</v>
      </c>
      <c r="N57" s="1678"/>
      <c r="O57" s="1678">
        <f>SUM(O52:O56)</f>
        <v>0</v>
      </c>
      <c r="P57" s="1678"/>
      <c r="Q57" s="1678">
        <f>SUM(Q52:Q56)</f>
        <v>0</v>
      </c>
      <c r="R57" s="1678"/>
      <c r="S57" s="1678">
        <f>SUM(S52:S56)</f>
        <v>0</v>
      </c>
      <c r="T57" s="1678"/>
      <c r="U57" s="1678">
        <f>SUM(U52:U56)</f>
        <v>0</v>
      </c>
      <c r="V57" s="1678"/>
      <c r="W57" s="1678">
        <f>SUM(W52:W56)</f>
        <v>0</v>
      </c>
      <c r="X57" s="1678"/>
      <c r="Y57" s="1678">
        <f>SUM(Y52:Y56)</f>
        <v>0</v>
      </c>
      <c r="Z57" s="1678"/>
      <c r="AA57" s="1678">
        <f>SUM(AA52:AA56)</f>
        <v>0</v>
      </c>
      <c r="AB57" s="1678"/>
      <c r="AC57" s="1678">
        <f>SUM(AC52:AC56)</f>
        <v>0</v>
      </c>
      <c r="AD57" s="1678"/>
      <c r="AE57" s="1678">
        <f>SUM(AE52:AE56)</f>
        <v>0</v>
      </c>
      <c r="AF57" s="1678"/>
      <c r="AG57" s="1678">
        <f>SUM(AG52:AG56)</f>
        <v>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75057.378000000026</v>
      </c>
      <c r="G59" s="1680">
        <f>G44-G57</f>
        <v>82976.199949999689</v>
      </c>
      <c r="I59" s="1680">
        <f>I44-I57</f>
        <v>90825.409698749892</v>
      </c>
      <c r="K59" s="1680">
        <f>K44-K57</f>
        <v>98593.895544968545</v>
      </c>
      <c r="M59" s="1680">
        <f>M44-M57</f>
        <v>106269.93987597397</v>
      </c>
      <c r="O59" s="1680">
        <f>O44-O57</f>
        <v>113841.19253333763</v>
      </c>
      <c r="Q59" s="1680">
        <f>Q44-Q57</f>
        <v>121294.64311060414</v>
      </c>
      <c r="S59" s="1680">
        <f>S44-S57</f>
        <v>128616.59214229882</v>
      </c>
      <c r="U59" s="1680">
        <f>U44-U57</f>
        <v>135792.62114194757</v>
      </c>
      <c r="W59" s="1680">
        <f>W44-W57</f>
        <v>142807.56144525018</v>
      </c>
      <c r="Y59" s="1680">
        <f>Y44-Y57</f>
        <v>149645.46181293787</v>
      </c>
      <c r="AA59" s="1680">
        <f>AA44-AA57</f>
        <v>156289.55474615097</v>
      </c>
      <c r="AC59" s="1680">
        <f>AC44-AC57</f>
        <v>162722.22146544512</v>
      </c>
      <c r="AE59" s="1680">
        <f>AE44-AE57</f>
        <v>168924.95550270169</v>
      </c>
      <c r="AG59" s="1680">
        <f>AG44-AG57</f>
        <v>174878.32485337276</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0.33329999999999999</v>
      </c>
      <c r="E61" s="1682">
        <f>E59*$C$61</f>
        <v>25016.624087400007</v>
      </c>
      <c r="G61" s="1688">
        <f>G59*$C$61</f>
        <v>27655.967443334896</v>
      </c>
      <c r="H61" s="1688"/>
      <c r="I61" s="1688">
        <f>I59*$C$61</f>
        <v>30272.10905259334</v>
      </c>
      <c r="J61" s="1688"/>
      <c r="K61" s="1688">
        <f>K59*$C$61</f>
        <v>32861.345385138018</v>
      </c>
      <c r="L61" s="1688"/>
      <c r="M61" s="1688">
        <f>M59*$C$61</f>
        <v>35419.770960662121</v>
      </c>
      <c r="N61" s="1688"/>
      <c r="O61" s="1688">
        <f>O59*$C$61</f>
        <v>37943.269471361433</v>
      </c>
      <c r="P61" s="1688"/>
      <c r="Q61" s="1688">
        <f>Q59*$C$61</f>
        <v>40427.504548764358</v>
      </c>
      <c r="R61" s="1688"/>
      <c r="S61" s="1688">
        <f>S59*$C$61</f>
        <v>42867.910161028194</v>
      </c>
      <c r="T61" s="1688"/>
      <c r="U61" s="1688">
        <f>U59*$C$61</f>
        <v>45259.680626611123</v>
      </c>
      <c r="V61" s="1688"/>
      <c r="W61" s="1688">
        <f>W59*$C$61</f>
        <v>47597.760229701882</v>
      </c>
      <c r="Y61" s="1688">
        <f>Y59*$C$61</f>
        <v>49876.832422252191</v>
      </c>
      <c r="AA61" s="1688">
        <f>AA59*$C$61</f>
        <v>52091.308596892115</v>
      </c>
      <c r="AC61" s="1688">
        <f>AC59*$C$61</f>
        <v>54235.316414432855</v>
      </c>
      <c r="AE61" s="1688">
        <f>AE59*$C$61</f>
        <v>56302.687669050472</v>
      </c>
      <c r="AG61" s="1688">
        <f>AG59*$C$61</f>
        <v>58286.945673629139</v>
      </c>
    </row>
    <row r="62" spans="1:35" s="1688" customFormat="1">
      <c r="A62" s="3386" t="s">
        <v>2609</v>
      </c>
      <c r="B62" s="3386"/>
      <c r="C62" s="3386"/>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f>1-C61</f>
        <v>0.66670000000000007</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872">
        <f>Application!AO638/(Application!AO638+Application!AO639+Application!AO642)</f>
        <v>0.37254442266531901</v>
      </c>
      <c r="E65" s="1682">
        <f>$E59*$C$64*$C$65</f>
        <v>18642.403776106876</v>
      </c>
      <c r="G65" s="1678">
        <f>G59*$C$64*$C$65</f>
        <v>20609.24408090665</v>
      </c>
      <c r="H65" s="1678"/>
      <c r="I65" s="1678">
        <f t="shared" ref="I65:AG65" si="2">I59*$C$64*$C$65</f>
        <v>22558.794429701884</v>
      </c>
      <c r="J65" s="1678"/>
      <c r="K65" s="1678">
        <f t="shared" si="2"/>
        <v>24488.294949613191</v>
      </c>
      <c r="L65" s="1678"/>
      <c r="M65" s="1678">
        <f t="shared" si="2"/>
        <v>26394.835274295183</v>
      </c>
      <c r="N65" s="1678"/>
      <c r="O65" s="1678">
        <f t="shared" si="2"/>
        <v>28275.347928620729</v>
      </c>
      <c r="P65" s="1678"/>
      <c r="Q65" s="1678">
        <f t="shared" si="2"/>
        <v>30126.601448116962</v>
      </c>
      <c r="R65" s="1678"/>
      <c r="S65" s="1678">
        <f t="shared" si="2"/>
        <v>31945.193223024507</v>
      </c>
      <c r="T65" s="1678"/>
      <c r="U65" s="1678">
        <f t="shared" si="2"/>
        <v>33727.542056479688</v>
      </c>
      <c r="V65" s="1678"/>
      <c r="W65" s="1678">
        <f t="shared" si="2"/>
        <v>35469.880425926232</v>
      </c>
      <c r="X65" s="1678"/>
      <c r="Y65" s="1678">
        <f t="shared" si="2"/>
        <v>37168.246436463174</v>
      </c>
      <c r="Z65" s="1678"/>
      <c r="AA65" s="1678">
        <f t="shared" si="2"/>
        <v>38818.475454414445</v>
      </c>
      <c r="AB65" s="1678"/>
      <c r="AC65" s="1678">
        <f>AC59*$C$64*$C$65</f>
        <v>40416.191408976651</v>
      </c>
      <c r="AD65" s="1678"/>
      <c r="AE65" s="1678">
        <f t="shared" si="2"/>
        <v>41956.79774934653</v>
      </c>
      <c r="AF65" s="1678"/>
      <c r="AG65" s="1678">
        <f t="shared" si="2"/>
        <v>43435.468044270885</v>
      </c>
    </row>
    <row r="66" spans="1:33" s="1678" customFormat="1">
      <c r="A66" s="1683"/>
      <c r="B66" s="1683"/>
      <c r="C66" s="1873">
        <f>Application!AO639/(Application!AO638+Application!AO639+Application!AO642)</f>
        <v>0.3430245237467302</v>
      </c>
      <c r="E66" s="1682">
        <f>$E59*$C$64*$C$66</f>
        <v>17165.205778796946</v>
      </c>
      <c r="G66" s="1678">
        <f>G59*$C$64*$C$66</f>
        <v>18976.196409157074</v>
      </c>
      <c r="I66" s="1678">
        <f t="shared" ref="I66:AG66" si="3">I59*$C$64*$C$66</f>
        <v>20771.267115440423</v>
      </c>
      <c r="K66" s="1678">
        <f t="shared" si="3"/>
        <v>22547.876713233927</v>
      </c>
      <c r="M66" s="1678">
        <f t="shared" si="3"/>
        <v>24303.345449550237</v>
      </c>
      <c r="O66" s="1678">
        <f t="shared" si="3"/>
        <v>26034.848911700359</v>
      </c>
      <c r="Q66" s="1678">
        <f t="shared" si="3"/>
        <v>27739.411691935937</v>
      </c>
      <c r="S66" s="1678">
        <f t="shared" si="3"/>
        <v>29413.900798535182</v>
      </c>
      <c r="U66" s="1678">
        <f t="shared" si="3"/>
        <v>31055.018803664341</v>
      </c>
      <c r="W66" s="1678">
        <f t="shared" si="3"/>
        <v>32659.296717984311</v>
      </c>
      <c r="Y66" s="1678">
        <f t="shared" si="3"/>
        <v>34223.086581603988</v>
      </c>
      <c r="AA66" s="1678">
        <f t="shared" si="3"/>
        <v>35742.553760594084</v>
      </c>
      <c r="AC66" s="1678">
        <f t="shared" si="3"/>
        <v>37213.668937880226</v>
      </c>
      <c r="AE66" s="1678">
        <f t="shared" si="3"/>
        <v>38632.199786914905</v>
      </c>
      <c r="AG66" s="1678">
        <f t="shared" si="3"/>
        <v>39993.702316105991</v>
      </c>
    </row>
    <row r="67" spans="1:33" s="1678" customFormat="1">
      <c r="A67" s="1683"/>
      <c r="B67" s="1683"/>
      <c r="C67" s="1873">
        <f>Application!AO642/(Application!AO638+Application!AO639+Application!AO642)</f>
        <v>0.28443105358795079</v>
      </c>
      <c r="E67" s="1682">
        <f>$E59*$C$64*$C$67</f>
        <v>14233.144357696194</v>
      </c>
      <c r="G67" s="1678">
        <f>G59*$C$64*$C$67</f>
        <v>15734.792016601072</v>
      </c>
      <c r="I67" s="1678">
        <f t="shared" ref="I67:AG67" si="4">I59*$C$64*$C$67</f>
        <v>17223.239101014253</v>
      </c>
      <c r="K67" s="1678">
        <f t="shared" si="4"/>
        <v>18696.378496983423</v>
      </c>
      <c r="M67" s="1678">
        <f t="shared" si="4"/>
        <v>20151.988191466429</v>
      </c>
      <c r="O67" s="1678">
        <f t="shared" si="4"/>
        <v>21587.726221655121</v>
      </c>
      <c r="Q67" s="1678">
        <f t="shared" si="4"/>
        <v>23001.125421786895</v>
      </c>
      <c r="S67" s="1678">
        <f t="shared" si="4"/>
        <v>24389.587959710934</v>
      </c>
      <c r="U67" s="1678">
        <f t="shared" si="4"/>
        <v>25750.379655192424</v>
      </c>
      <c r="W67" s="1678">
        <f t="shared" si="4"/>
        <v>27080.624071637762</v>
      </c>
      <c r="Y67" s="1678">
        <f t="shared" si="4"/>
        <v>28377.296372618523</v>
      </c>
      <c r="AA67" s="1678">
        <f t="shared" si="4"/>
        <v>29637.216934250333</v>
      </c>
      <c r="AC67" s="1678">
        <f t="shared" si="4"/>
        <v>30857.044704155403</v>
      </c>
      <c r="AE67" s="1678">
        <f t="shared" si="4"/>
        <v>32033.270297389801</v>
      </c>
      <c r="AG67" s="1678">
        <f t="shared" si="4"/>
        <v>33162.208819366751</v>
      </c>
    </row>
    <row r="68" spans="1:33" s="1678" customFormat="1">
      <c r="A68" s="1683"/>
      <c r="B68" s="1683"/>
      <c r="C68" s="1689"/>
      <c r="E68" s="1685"/>
      <c r="G68" s="1686">
        <f t="shared" ref="G68:AG68" si="5">E68*$C$65</f>
        <v>0</v>
      </c>
      <c r="I68" s="1686">
        <f t="shared" si="5"/>
        <v>0</v>
      </c>
      <c r="K68" s="1686">
        <f t="shared" si="5"/>
        <v>0</v>
      </c>
      <c r="M68" s="1686">
        <f t="shared" si="5"/>
        <v>0</v>
      </c>
      <c r="O68" s="1686">
        <f t="shared" si="5"/>
        <v>0</v>
      </c>
      <c r="Q68" s="1686">
        <f t="shared" si="5"/>
        <v>0</v>
      </c>
      <c r="S68" s="1686">
        <f t="shared" si="5"/>
        <v>0</v>
      </c>
      <c r="U68" s="1686">
        <f t="shared" si="5"/>
        <v>0</v>
      </c>
      <c r="W68" s="1686">
        <f t="shared" si="5"/>
        <v>0</v>
      </c>
      <c r="Y68" s="1686">
        <f t="shared" si="5"/>
        <v>0</v>
      </c>
      <c r="AA68" s="1686">
        <f t="shared" si="5"/>
        <v>0</v>
      </c>
      <c r="AC68" s="1686">
        <f t="shared" si="5"/>
        <v>0</v>
      </c>
      <c r="AE68" s="1686">
        <f t="shared" si="5"/>
        <v>0</v>
      </c>
      <c r="AG68" s="1686">
        <f t="shared" si="5"/>
        <v>0</v>
      </c>
    </row>
    <row r="69" spans="1:33" s="1690" customFormat="1">
      <c r="A69" s="1680" t="s">
        <v>920</v>
      </c>
      <c r="C69" s="1689"/>
      <c r="E69" s="1690">
        <f>SUM(E65:E68)</f>
        <v>50040.753912600019</v>
      </c>
      <c r="G69" s="1690">
        <f>SUM(G65:G68)</f>
        <v>55320.232506664797</v>
      </c>
      <c r="I69" s="1690">
        <f>SUM(I65:I68)</f>
        <v>60553.30064615656</v>
      </c>
      <c r="K69" s="1690">
        <f>SUM(K65:K68)</f>
        <v>65732.550159830542</v>
      </c>
      <c r="M69" s="1690">
        <f>SUM(M65:M68)</f>
        <v>70850.16891531185</v>
      </c>
      <c r="O69" s="1690">
        <f>SUM(O65:O68)</f>
        <v>75897.923061976209</v>
      </c>
      <c r="Q69" s="1690">
        <f>SUM(Q65:Q68)</f>
        <v>80867.138561839791</v>
      </c>
      <c r="S69" s="1690">
        <f>SUM(S65:S68)</f>
        <v>85748.681981270624</v>
      </c>
      <c r="U69" s="1690">
        <f>SUM(U65:U68)</f>
        <v>90532.940515336464</v>
      </c>
      <c r="W69" s="1690">
        <f>SUM(W65:W68)</f>
        <v>95209.801215548316</v>
      </c>
      <c r="Y69" s="1690">
        <f>SUM(Y65:Y68)</f>
        <v>99768.629390685688</v>
      </c>
      <c r="AA69" s="1690">
        <f>SUM(AA65:AA68)</f>
        <v>104198.24614925886</v>
      </c>
      <c r="AC69" s="1690">
        <f>SUM(AC65:AC68)</f>
        <v>108486.90505101228</v>
      </c>
      <c r="AE69" s="1690">
        <f>SUM(AE65:AE68)</f>
        <v>112622.26783365123</v>
      </c>
      <c r="AG69" s="1690">
        <f>SUM(AG65:AG68)</f>
        <v>116591.37917974364</v>
      </c>
    </row>
    <row r="70" spans="1:33" s="1690" customFormat="1">
      <c r="A70" s="1680"/>
      <c r="C70" s="1689"/>
    </row>
    <row r="71" spans="1:33" s="1690" customFormat="1">
      <c r="A71" s="1680" t="s">
        <v>2237</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ht="13">
      <c r="A72" s="917"/>
      <c r="C72" s="1691"/>
    </row>
    <row r="73" spans="1:33" s="352" customFormat="1" ht="13">
      <c r="A73" s="917"/>
      <c r="C73" s="353"/>
    </row>
    <row r="74" spans="1:33" s="352" customFormat="1">
      <c r="A74" s="1678" t="s">
        <v>2236</v>
      </c>
      <c r="C74" s="353"/>
    </row>
    <row r="75" spans="1:33" s="352" customFormat="1">
      <c r="C75" s="353"/>
    </row>
    <row r="76" spans="1:33" s="371" customFormat="1" ht="30" customHeight="1">
      <c r="A76" s="3384" t="s">
        <v>2235</v>
      </c>
      <c r="B76" s="3385"/>
      <c r="C76" s="3385"/>
      <c r="D76" s="3385"/>
      <c r="E76" s="3385"/>
      <c r="F76" s="3385"/>
      <c r="G76" s="3385"/>
      <c r="H76" s="3385"/>
      <c r="I76" s="3385"/>
      <c r="J76" s="3385"/>
      <c r="K76" s="3385"/>
      <c r="L76" s="3385"/>
      <c r="M76" s="3385"/>
      <c r="N76" s="3385"/>
      <c r="O76" s="3385"/>
      <c r="P76" s="3385"/>
      <c r="Q76" s="3385"/>
      <c r="R76" s="3385"/>
      <c r="S76" s="3385"/>
      <c r="T76" s="3385"/>
      <c r="U76" s="3385"/>
      <c r="V76" s="3385"/>
      <c r="W76" s="3385"/>
      <c r="X76" s="3385"/>
      <c r="Y76" s="3385"/>
      <c r="Z76" s="3385"/>
      <c r="AA76" s="3385"/>
      <c r="AB76" s="3385"/>
      <c r="AC76" s="3385"/>
      <c r="AD76" s="3385"/>
      <c r="AE76" s="3385"/>
      <c r="AF76" s="3385"/>
      <c r="AG76" s="3385"/>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19" zoomScaleNormal="100" zoomScaleSheetLayoutView="100" workbookViewId="0">
      <selection activeCell="B8" sqref="B8"/>
    </sheetView>
  </sheetViews>
  <sheetFormatPr defaultColWidth="0" defaultRowHeight="14" zeroHeight="1"/>
  <cols>
    <col min="1" max="3" width="15.6328125" style="473" customWidth="1"/>
    <col min="4" max="4" width="3.6328125" style="473" customWidth="1"/>
    <col min="5" max="6" width="15.6328125" style="473" customWidth="1"/>
    <col min="7" max="7" width="3.6328125" style="473" customWidth="1"/>
    <col min="8" max="9" width="15.6328125" style="473" customWidth="1"/>
    <col min="10" max="16" width="15.6328125" style="473" hidden="1" customWidth="1"/>
    <col min="17" max="16383" width="9.1796875" style="473" hidden="1"/>
    <col min="16384" max="16384" width="0.36328125" style="473" customWidth="1"/>
  </cols>
  <sheetData>
    <row r="1" spans="1:11">
      <c r="A1" s="3387" t="s">
        <v>983</v>
      </c>
      <c r="B1" s="3387"/>
      <c r="C1" s="3387"/>
      <c r="D1" s="3387"/>
      <c r="E1" s="3387"/>
      <c r="F1" s="3387"/>
      <c r="G1" s="3387"/>
      <c r="H1" s="3387"/>
      <c r="I1" s="3387"/>
      <c r="J1" s="326"/>
      <c r="K1" s="326"/>
    </row>
    <row r="2" spans="1:11">
      <c r="A2" s="656"/>
      <c r="B2" s="656"/>
      <c r="C2" s="656"/>
      <c r="D2" s="656"/>
      <c r="E2" s="656"/>
      <c r="F2" s="656"/>
      <c r="G2" s="656"/>
      <c r="H2" s="656"/>
      <c r="I2" s="656"/>
    </row>
    <row r="3" spans="1:11" ht="84">
      <c r="A3" s="657" t="s">
        <v>984</v>
      </c>
      <c r="B3" s="657" t="s">
        <v>985</v>
      </c>
      <c r="C3" s="475" t="s">
        <v>986</v>
      </c>
      <c r="D3" s="384"/>
      <c r="E3" s="475" t="s">
        <v>987</v>
      </c>
      <c r="F3" s="657" t="s">
        <v>988</v>
      </c>
      <c r="G3" s="658"/>
      <c r="H3" s="657" t="s">
        <v>989</v>
      </c>
      <c r="I3" s="657" t="s">
        <v>990</v>
      </c>
      <c r="J3" s="326"/>
      <c r="K3" s="474"/>
    </row>
    <row r="4" spans="1:11">
      <c r="A4" s="659" t="str">
        <f>Application!B728</f>
        <v>SRO/Studio</v>
      </c>
      <c r="B4" s="668">
        <f>Application!G728</f>
        <v>14</v>
      </c>
      <c r="C4" s="659">
        <f>Application!O728</f>
        <v>708</v>
      </c>
      <c r="D4" s="660"/>
      <c r="E4" s="477"/>
      <c r="F4" s="661">
        <f>E4*B4</f>
        <v>0</v>
      </c>
      <c r="G4" s="662"/>
      <c r="H4" s="659" t="str">
        <f>IF(E4=0," ",(E4-C4))</f>
        <v xml:space="preserve"> </v>
      </c>
      <c r="I4" s="661" t="str">
        <f>IF(E4=0," ",(H4*B4))</f>
        <v xml:space="preserve"> </v>
      </c>
      <c r="J4" s="326"/>
      <c r="K4" s="474"/>
    </row>
    <row r="5" spans="1:11">
      <c r="A5" s="659" t="str">
        <f>Application!B729</f>
        <v>1 Bedroom</v>
      </c>
      <c r="B5" s="668">
        <f>Application!G729</f>
        <v>7</v>
      </c>
      <c r="C5" s="659">
        <f>Application!O729</f>
        <v>808</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2 Bedrooms</v>
      </c>
      <c r="B6" s="668">
        <f>Application!G730</f>
        <v>17</v>
      </c>
      <c r="C6" s="659">
        <f>Application!O730</f>
        <v>899</v>
      </c>
      <c r="D6" s="660"/>
      <c r="E6" s="477"/>
      <c r="F6" s="661">
        <f t="shared" si="0"/>
        <v>0</v>
      </c>
      <c r="G6" s="662"/>
      <c r="H6" s="659" t="str">
        <f t="shared" si="1"/>
        <v xml:space="preserve"> </v>
      </c>
      <c r="I6" s="661" t="str">
        <f t="shared" si="2"/>
        <v xml:space="preserve"> </v>
      </c>
      <c r="J6" s="326"/>
      <c r="K6" s="474"/>
    </row>
    <row r="7" spans="1:11">
      <c r="A7" s="659" t="str">
        <f>Application!B731</f>
        <v>3 Bedrooms</v>
      </c>
      <c r="B7" s="668">
        <f>Application!G731</f>
        <v>2</v>
      </c>
      <c r="C7" s="659">
        <f>Application!O731</f>
        <v>990</v>
      </c>
      <c r="D7" s="660"/>
      <c r="E7" s="477"/>
      <c r="F7" s="661">
        <f t="shared" si="0"/>
        <v>0</v>
      </c>
      <c r="G7" s="662"/>
      <c r="H7" s="659" t="str">
        <f t="shared" si="1"/>
        <v xml:space="preserve"> </v>
      </c>
      <c r="I7" s="661" t="str">
        <f t="shared" si="2"/>
        <v xml:space="preserve"> </v>
      </c>
      <c r="J7" s="326"/>
      <c r="K7" s="474"/>
    </row>
    <row r="8" spans="1:11">
      <c r="A8" s="659" t="str">
        <f>Application!B732</f>
        <v>2 Bedrooms</v>
      </c>
      <c r="B8" s="668">
        <f>Application!G732</f>
        <v>4</v>
      </c>
      <c r="C8" s="659">
        <f>Application!O732</f>
        <v>899</v>
      </c>
      <c r="D8" s="660"/>
      <c r="E8" s="477">
        <f>2710-57</f>
        <v>2653</v>
      </c>
      <c r="F8" s="661">
        <f t="shared" si="0"/>
        <v>10612</v>
      </c>
      <c r="G8" s="662"/>
      <c r="H8" s="659">
        <f t="shared" si="1"/>
        <v>1754</v>
      </c>
      <c r="I8" s="661">
        <f t="shared" si="2"/>
        <v>7016</v>
      </c>
      <c r="J8" s="326"/>
      <c r="K8" s="474"/>
    </row>
    <row r="9" spans="1:11">
      <c r="A9" s="659" t="str">
        <f>Application!B733</f>
        <v>3 Bedrooms</v>
      </c>
      <c r="B9" s="668">
        <f>Application!G733</f>
        <v>6</v>
      </c>
      <c r="C9" s="659">
        <f>Application!O733</f>
        <v>990</v>
      </c>
      <c r="D9" s="660"/>
      <c r="E9" s="477">
        <f>3827-72</f>
        <v>3755</v>
      </c>
      <c r="F9" s="661">
        <f t="shared" si="0"/>
        <v>22530</v>
      </c>
      <c r="G9" s="662"/>
      <c r="H9" s="659">
        <f t="shared" si="1"/>
        <v>2765</v>
      </c>
      <c r="I9" s="661">
        <f t="shared" si="2"/>
        <v>16590</v>
      </c>
      <c r="J9" s="326"/>
      <c r="K9" s="474"/>
    </row>
    <row r="10" spans="1:11">
      <c r="A10" s="659" t="str">
        <f>Application!B734</f>
        <v>2 Bedrooms</v>
      </c>
      <c r="B10" s="668">
        <f>Application!G734</f>
        <v>4</v>
      </c>
      <c r="C10" s="659">
        <f>Application!O734</f>
        <v>1536</v>
      </c>
      <c r="D10" s="660"/>
      <c r="E10" s="477">
        <f>2710-57</f>
        <v>2653</v>
      </c>
      <c r="F10" s="661">
        <f t="shared" si="0"/>
        <v>10612</v>
      </c>
      <c r="G10" s="662"/>
      <c r="H10" s="659">
        <f t="shared" si="1"/>
        <v>1117</v>
      </c>
      <c r="I10" s="661">
        <f t="shared" si="2"/>
        <v>4468</v>
      </c>
      <c r="J10" s="326"/>
      <c r="K10" s="474"/>
    </row>
    <row r="11" spans="1:11">
      <c r="A11" s="659" t="str">
        <f>Application!B735</f>
        <v>3 Bedrooms</v>
      </c>
      <c r="B11" s="668">
        <f>Application!G735</f>
        <v>6</v>
      </c>
      <c r="C11" s="659">
        <f>Application!O735</f>
        <v>1698</v>
      </c>
      <c r="D11" s="660"/>
      <c r="E11" s="477">
        <f>3827-72</f>
        <v>3755</v>
      </c>
      <c r="F11" s="661">
        <f t="shared" si="0"/>
        <v>22530</v>
      </c>
      <c r="G11" s="662"/>
      <c r="H11" s="659">
        <f t="shared" si="1"/>
        <v>2057</v>
      </c>
      <c r="I11" s="661">
        <f t="shared" si="2"/>
        <v>12342</v>
      </c>
      <c r="J11" s="326"/>
      <c r="K11" s="474"/>
    </row>
    <row r="12" spans="1:11">
      <c r="A12" s="659" t="str">
        <f>Application!B736</f>
        <v>SRO/Studio</v>
      </c>
      <c r="B12" s="668">
        <f>Application!G736</f>
        <v>14</v>
      </c>
      <c r="C12" s="659">
        <f>Application!O736</f>
        <v>1347</v>
      </c>
      <c r="D12" s="660"/>
      <c r="E12" s="477"/>
      <c r="F12" s="661">
        <f t="shared" si="0"/>
        <v>0</v>
      </c>
      <c r="G12" s="662"/>
      <c r="H12" s="659" t="str">
        <f t="shared" si="1"/>
        <v xml:space="preserve"> </v>
      </c>
      <c r="I12" s="661" t="str">
        <f t="shared" si="2"/>
        <v xml:space="preserve"> </v>
      </c>
      <c r="J12" s="326"/>
      <c r="K12" s="474"/>
    </row>
    <row r="13" spans="1:11">
      <c r="A13" s="659" t="str">
        <f>Application!B737</f>
        <v>1 Bedroom</v>
      </c>
      <c r="B13" s="668">
        <f>Application!G737</f>
        <v>4</v>
      </c>
      <c r="C13" s="659">
        <f>Application!O737</f>
        <v>1439</v>
      </c>
      <c r="D13" s="660"/>
      <c r="E13" s="477"/>
      <c r="F13" s="661">
        <f t="shared" si="0"/>
        <v>0</v>
      </c>
      <c r="G13" s="662"/>
      <c r="H13" s="659" t="str">
        <f t="shared" si="1"/>
        <v xml:space="preserve"> </v>
      </c>
      <c r="I13" s="661" t="str">
        <f t="shared" si="2"/>
        <v xml:space="preserve"> </v>
      </c>
      <c r="J13" s="326"/>
      <c r="K13" s="474"/>
    </row>
    <row r="14" spans="1:11">
      <c r="A14" s="659" t="str">
        <f>Application!B738</f>
        <v>2 Bedrooms</v>
      </c>
      <c r="B14" s="668">
        <f>Application!G738</f>
        <v>1</v>
      </c>
      <c r="C14" s="659">
        <f>Application!O738</f>
        <v>1720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c r="A30" s="663" t="s">
        <v>991</v>
      </c>
      <c r="B30" s="664"/>
      <c r="C30" s="665">
        <f>Application!T753</f>
        <v>85033</v>
      </c>
      <c r="D30" s="660"/>
      <c r="E30" s="660"/>
      <c r="F30" s="665">
        <f>SUM(F4:F28)*12</f>
        <v>795408</v>
      </c>
      <c r="G30" s="666"/>
      <c r="H30" s="664"/>
      <c r="I30" s="665">
        <f>SUM(I4:I28)*12</f>
        <v>484992</v>
      </c>
      <c r="J30" s="326"/>
      <c r="K30" s="476"/>
    </row>
    <row r="31" spans="1:11">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2"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6328125" customWidth="1"/>
    <col min="2" max="16384" width="8.81640625" hidden="1"/>
  </cols>
  <sheetData>
    <row r="1" spans="1:1" ht="46.5">
      <c r="A1" s="489" t="s">
        <v>1053</v>
      </c>
    </row>
    <row r="2" spans="1:1" ht="15.5">
      <c r="A2" s="490"/>
    </row>
    <row r="3" spans="1:1" ht="15.5">
      <c r="A3" s="491" t="s">
        <v>1048</v>
      </c>
    </row>
    <row r="4" spans="1:1" ht="15.5">
      <c r="A4" s="491" t="s">
        <v>1049</v>
      </c>
    </row>
    <row r="5" spans="1:1" ht="15.5">
      <c r="A5" s="491" t="s">
        <v>1050</v>
      </c>
    </row>
    <row r="6" spans="1:1" ht="15.5">
      <c r="A6" s="491" t="s">
        <v>1052</v>
      </c>
    </row>
    <row r="7" spans="1:1" ht="15.5">
      <c r="A7" s="491" t="s">
        <v>1051</v>
      </c>
    </row>
    <row r="8" spans="1:1" ht="15.5">
      <c r="A8" s="539" t="s">
        <v>1140</v>
      </c>
    </row>
    <row r="9" spans="1:1" ht="15.5">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6328125" style="326" customWidth="1"/>
    <col min="2" max="4" width="14.6328125" style="326" customWidth="1"/>
    <col min="5" max="5" width="50.6328125" style="326" customWidth="1"/>
    <col min="6" max="6" width="9.1796875" style="326" customWidth="1"/>
    <col min="7" max="253" width="0" style="501" hidden="1" customWidth="1"/>
    <col min="254" max="16384" width="9.1796875" style="501" hidden="1"/>
  </cols>
  <sheetData>
    <row r="1" spans="1:253" s="433" customFormat="1" ht="18" customHeight="1">
      <c r="A1" s="867" t="s">
        <v>1435</v>
      </c>
      <c r="D1" s="438"/>
    </row>
    <row r="2" spans="1:253" s="433" customFormat="1" ht="13">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ht="13">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0</v>
      </c>
      <c r="C5" s="422">
        <f>'Sources and Uses Budget'!$C4</f>
        <v>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53536</v>
      </c>
      <c r="C6" s="422">
        <f>'Sources and Uses Budget'!$C5</f>
        <v>53536</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27094</v>
      </c>
      <c r="C7" s="422">
        <f>'Sources and Uses Budget'!$C6</f>
        <v>27094</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80630</v>
      </c>
      <c r="C9" s="426">
        <f>SUM(C5:C8)</f>
        <v>80630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681639</v>
      </c>
      <c r="C11" s="422">
        <f>'Sources and Uses Budget'!$C10</f>
        <v>681639</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681639</v>
      </c>
      <c r="C12" s="426">
        <f>SUM(C10:C11)</f>
        <v>681639</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762269</v>
      </c>
      <c r="C13" s="426">
        <f>SUM(C9+C12)</f>
        <v>762269</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191463</v>
      </c>
      <c r="C14" s="422">
        <f>'Sources and Uses Budget'!$C13</f>
        <v>191463</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3">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ht="13">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2008</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ht="13">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ht="13">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ht="13">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431703</v>
      </c>
      <c r="C30" s="422">
        <f>'Sources and Uses Budget'!$C29</f>
        <v>431703</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42589005</v>
      </c>
      <c r="C31" s="422">
        <f>'Sources and Uses Budget'!$C30</f>
        <v>42589005</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2139778</v>
      </c>
      <c r="C32" s="422">
        <f>'Sources and Uses Budget'!$C31</f>
        <v>2139778</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507861.89999999997</v>
      </c>
      <c r="C33" s="422">
        <f>'Sources and Uses Budget'!$C32</f>
        <v>507861.89999999997</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1185011.0999999999</v>
      </c>
      <c r="C34" s="422">
        <f>'Sources and Uses Budget'!$C33</f>
        <v>1185011.0999999999</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787935</v>
      </c>
      <c r="C36" s="422">
        <f>'Sources and Uses Budget'!$C35</f>
        <v>787935</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2008</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ht="13">
      <c r="A39" s="427" t="s">
        <v>148</v>
      </c>
      <c r="B39" s="426">
        <f>SUM(B30:B38)</f>
        <v>47641294</v>
      </c>
      <c r="C39" s="426">
        <f>SUM(C30:C38)</f>
        <v>47641294</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ht="13">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1986888</v>
      </c>
      <c r="C41" s="422">
        <f>'Sources and Uses Budget'!$C40</f>
        <v>1986888</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ht="13">
      <c r="A43" s="427" t="s">
        <v>152</v>
      </c>
      <c r="B43" s="426">
        <f>SUM(B41:B42)</f>
        <v>1986888</v>
      </c>
      <c r="C43" s="426">
        <f>SUM(C41:C42)</f>
        <v>1986888</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ht="13">
      <c r="A44" s="427" t="s">
        <v>153</v>
      </c>
      <c r="B44" s="422">
        <f>'Sources and Uses Budget'!$C43</f>
        <v>958222</v>
      </c>
      <c r="C44" s="422">
        <f>'Sources and Uses Budget'!$C43</f>
        <v>958222</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2966987</v>
      </c>
      <c r="C46" s="422">
        <f>'Sources and Uses Budget'!$C45</f>
        <v>2966987</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390170</v>
      </c>
      <c r="C47" s="422">
        <f>'Sources and Uses Budget'!$C46</f>
        <v>390170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38835</v>
      </c>
      <c r="C48" s="422">
        <f>'Sources and Uses Budget'!$C47</f>
        <v>38835</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529164</v>
      </c>
      <c r="C50" s="422">
        <f>'Sources and Uses Budget'!$C49</f>
        <v>529164</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90313</v>
      </c>
      <c r="C51" s="422">
        <f>'Sources and Uses Budget'!$C50</f>
        <v>90313</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256489</v>
      </c>
      <c r="C52" s="422">
        <f>'Sources and Uses Budget'!$C51</f>
        <v>256489</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722505</v>
      </c>
      <c r="C53" s="422">
        <f>'Sources and Uses Budget'!$C52</f>
        <v>722505</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(Specify)</v>
      </c>
      <c r="B54" s="422">
        <f>'Sources and Uses Budget'!$C53</f>
        <v>0</v>
      </c>
      <c r="C54" s="422">
        <f>'Sources and Uses Budget'!$C53</f>
        <v>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ht="13">
      <c r="A55" s="427" t="s">
        <v>162</v>
      </c>
      <c r="B55" s="429">
        <f>SUM(B46:B54)</f>
        <v>4994463</v>
      </c>
      <c r="C55" s="429">
        <f>SUM(C46:C54)</f>
        <v>4994463</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ht="13">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176381</v>
      </c>
      <c r="C57" s="422">
        <f>'Sources and Uses Budget'!$C56</f>
        <v>176381</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9031</v>
      </c>
      <c r="C58" s="422">
        <f>'Sources and Uses Budget'!$C57</f>
        <v>9031</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27095</v>
      </c>
      <c r="C59" s="422">
        <f>'Sources and Uses Budget'!$C58</f>
        <v>27095</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(Specify)</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5" customHeight="1">
      <c r="A63" s="427" t="s">
        <v>311</v>
      </c>
      <c r="B63" s="426">
        <f>SUM(B57:B62)</f>
        <v>212507</v>
      </c>
      <c r="C63" s="426">
        <f>SUM(C57:C62)</f>
        <v>212507</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ht="13">
      <c r="A64" s="430" t="s">
        <v>312</v>
      </c>
      <c r="B64" s="426">
        <f>SUM(B9+B12+B14+B15+B17+B26+B28+B39+B43+B44+B55+B63)</f>
        <v>56747106</v>
      </c>
      <c r="C64" s="426">
        <f>SUM(C9+C12+C14+C15+C17+C26+C28+C39+C43+C44+C55+C63)</f>
        <v>56747106</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2012</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72250</v>
      </c>
      <c r="C66" s="422">
        <f>'Sources and Uses Budget'!$C65</f>
        <v>72250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3">
      <c r="A67" s="441" t="s">
        <v>2009</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3">
      <c r="A68" s="441" t="s">
        <v>2010</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2016</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GP/Sponsor Legal</v>
      </c>
      <c r="B70" s="422">
        <f>'Sources and Uses Budget'!$C69</f>
        <v>94829</v>
      </c>
      <c r="C70" s="422">
        <f>'Sources and Uses Budget'!$C69</f>
        <v>94829</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2013</v>
      </c>
      <c r="B71" s="426">
        <f>SUM(B66:B70)</f>
        <v>167079</v>
      </c>
      <c r="C71" s="426">
        <f>SUM(C66:C70)</f>
        <v>167079</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ht="13">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363501</v>
      </c>
      <c r="C74" s="422">
        <f>'Sources and Uses Budget'!$C73</f>
        <v>363501</v>
      </c>
      <c r="D74" s="426">
        <f t="shared" si="0"/>
        <v>0</v>
      </c>
      <c r="E74" s="424"/>
      <c r="F74" s="423"/>
      <c r="G74" s="554"/>
    </row>
    <row r="75" spans="1:253" s="548" customFormat="1">
      <c r="A75" s="509" t="s">
        <v>1089</v>
      </c>
      <c r="B75" s="422">
        <f>'Sources and Uses Budget'!$C74</f>
        <v>0</v>
      </c>
      <c r="C75" s="422">
        <f>'Sources and Uses Budget'!$C74</f>
        <v>0</v>
      </c>
      <c r="D75" s="426">
        <f t="shared" si="0"/>
        <v>0</v>
      </c>
      <c r="E75" s="424"/>
      <c r="F75" s="423"/>
      <c r="G75" s="554"/>
    </row>
    <row r="76" spans="1:253" s="548" customFormat="1">
      <c r="A76" s="425" t="s">
        <v>642</v>
      </c>
      <c r="B76" s="422">
        <f>'Sources and Uses Budget'!$C75</f>
        <v>337775</v>
      </c>
      <c r="C76" s="422">
        <f>'Sources and Uses Budget'!$C75</f>
        <v>337775</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ht="13">
      <c r="A78" s="427" t="s">
        <v>643</v>
      </c>
      <c r="B78" s="426">
        <f>SUM(B73:B77)</f>
        <v>701276</v>
      </c>
      <c r="C78" s="426">
        <f>SUM(C73:C77)</f>
        <v>701276</v>
      </c>
      <c r="D78" s="426">
        <f t="shared" ref="D78:D106" si="1">C78-B78</f>
        <v>0</v>
      </c>
      <c r="E78" s="424"/>
      <c r="F78" s="423"/>
      <c r="G78" s="554"/>
    </row>
    <row r="79" spans="1:253" s="548" customFormat="1" ht="13">
      <c r="A79" s="420" t="s">
        <v>1427</v>
      </c>
      <c r="B79" s="420"/>
      <c r="C79" s="420"/>
      <c r="D79" s="420"/>
      <c r="E79" s="440"/>
      <c r="F79" s="420"/>
      <c r="G79" s="554"/>
    </row>
    <row r="80" spans="1:253" s="548" customFormat="1">
      <c r="A80" s="863" t="s">
        <v>1429</v>
      </c>
      <c r="B80" s="422">
        <f>'Sources and Uses Budget'!$C79</f>
        <v>2341755</v>
      </c>
      <c r="C80" s="422">
        <f>'Sources and Uses Budget'!$C79</f>
        <v>2341755</v>
      </c>
      <c r="D80" s="426">
        <f t="shared" si="1"/>
        <v>0</v>
      </c>
      <c r="E80" s="424"/>
      <c r="F80" s="423"/>
      <c r="G80" s="554"/>
    </row>
    <row r="81" spans="1:7" s="548" customFormat="1">
      <c r="A81" s="863" t="s">
        <v>61</v>
      </c>
      <c r="B81" s="422">
        <f>'Sources and Uses Budget'!$C80</f>
        <v>361252</v>
      </c>
      <c r="C81" s="422">
        <f>'Sources and Uses Budget'!$C80</f>
        <v>361252</v>
      </c>
      <c r="D81" s="426">
        <f>C81-B81</f>
        <v>0</v>
      </c>
      <c r="E81" s="424"/>
      <c r="F81" s="423"/>
      <c r="G81" s="554"/>
    </row>
    <row r="82" spans="1:7" s="548" customFormat="1" ht="13">
      <c r="A82" s="427" t="s">
        <v>1426</v>
      </c>
      <c r="B82" s="426">
        <f>SUM(B80:B81)</f>
        <v>2703007</v>
      </c>
      <c r="C82" s="426">
        <f>SUM(C80:C81)</f>
        <v>2703007</v>
      </c>
      <c r="D82" s="426">
        <f t="shared" si="1"/>
        <v>0</v>
      </c>
      <c r="E82" s="424"/>
      <c r="F82" s="423"/>
      <c r="G82" s="554"/>
    </row>
    <row r="83" spans="1:7" s="548" customFormat="1" ht="13">
      <c r="A83" s="420" t="s">
        <v>827</v>
      </c>
      <c r="B83" s="420"/>
      <c r="C83" s="420"/>
      <c r="D83" s="420"/>
      <c r="E83" s="440"/>
      <c r="F83" s="420"/>
      <c r="G83" s="554"/>
    </row>
    <row r="84" spans="1:7" s="548" customFormat="1" ht="13.75" customHeight="1">
      <c r="A84" s="425" t="s">
        <v>828</v>
      </c>
      <c r="B84" s="422">
        <f>'Sources and Uses Budget'!$C83</f>
        <v>66473</v>
      </c>
      <c r="C84" s="422">
        <f>'Sources and Uses Budget'!$C83</f>
        <v>66473</v>
      </c>
      <c r="D84" s="426">
        <f t="shared" si="1"/>
        <v>0</v>
      </c>
      <c r="E84" s="424"/>
      <c r="F84" s="423"/>
      <c r="G84" s="554"/>
    </row>
    <row r="85" spans="1:7" s="548" customFormat="1">
      <c r="A85" s="425" t="s">
        <v>829</v>
      </c>
      <c r="B85" s="422">
        <f>'Sources and Uses Budget'!$C84</f>
        <v>113795</v>
      </c>
      <c r="C85" s="422">
        <f>'Sources and Uses Budget'!$C84</f>
        <v>113795</v>
      </c>
      <c r="D85" s="426">
        <f t="shared" si="1"/>
        <v>0</v>
      </c>
      <c r="E85" s="424"/>
      <c r="F85" s="423"/>
      <c r="G85" s="554"/>
    </row>
    <row r="86" spans="1:7" s="548" customFormat="1">
      <c r="A86" s="425" t="s">
        <v>830</v>
      </c>
      <c r="B86" s="422">
        <f>'Sources and Uses Budget'!$C85</f>
        <v>1027656</v>
      </c>
      <c r="C86" s="422">
        <f>'Sources and Uses Budget'!$C85</f>
        <v>1027656</v>
      </c>
      <c r="D86" s="426">
        <f t="shared" si="1"/>
        <v>0</v>
      </c>
      <c r="E86" s="424"/>
      <c r="F86" s="423"/>
      <c r="G86" s="554"/>
    </row>
    <row r="87" spans="1:7" s="548" customFormat="1">
      <c r="A87" s="425" t="s">
        <v>831</v>
      </c>
      <c r="B87" s="422">
        <f>'Sources and Uses Budget'!$C86</f>
        <v>812818</v>
      </c>
      <c r="C87" s="422">
        <f>'Sources and Uses Budget'!$C86</f>
        <v>812818</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150000</v>
      </c>
      <c r="C89" s="422">
        <f>'Sources and Uses Budget'!$C88</f>
        <v>150000</v>
      </c>
      <c r="D89" s="426">
        <f t="shared" si="1"/>
        <v>0</v>
      </c>
      <c r="E89" s="424"/>
      <c r="F89" s="423"/>
      <c r="G89" s="554"/>
    </row>
    <row r="90" spans="1:7" s="548" customFormat="1">
      <c r="A90" s="425" t="s">
        <v>834</v>
      </c>
      <c r="B90" s="422">
        <f>'Sources and Uses Budget'!$C89</f>
        <v>200000</v>
      </c>
      <c r="C90" s="422">
        <f>'Sources and Uses Budget'!$C89</f>
        <v>200000</v>
      </c>
      <c r="D90" s="426">
        <f t="shared" si="1"/>
        <v>0</v>
      </c>
      <c r="E90" s="424"/>
      <c r="F90" s="423"/>
      <c r="G90" s="554"/>
    </row>
    <row r="91" spans="1:7" s="548" customFormat="1">
      <c r="A91" s="425" t="s">
        <v>835</v>
      </c>
      <c r="B91" s="422">
        <f>'Sources and Uses Budget'!$C90</f>
        <v>8000</v>
      </c>
      <c r="C91" s="422">
        <f>'Sources and Uses Budget'!$C90</f>
        <v>8000</v>
      </c>
      <c r="D91" s="426">
        <f t="shared" si="1"/>
        <v>0</v>
      </c>
      <c r="E91" s="424"/>
      <c r="F91" s="423"/>
      <c r="G91" s="554"/>
    </row>
    <row r="92" spans="1:7" s="548" customFormat="1">
      <c r="A92" s="431" t="s">
        <v>392</v>
      </c>
      <c r="B92" s="422">
        <f>'Sources and Uses Budget'!$C91</f>
        <v>0</v>
      </c>
      <c r="C92" s="422">
        <f>'Sources and Uses Budget'!$C91</f>
        <v>0</v>
      </c>
      <c r="D92" s="426">
        <f t="shared" si="1"/>
        <v>0</v>
      </c>
      <c r="E92" s="424"/>
      <c r="F92" s="423"/>
      <c r="G92" s="554"/>
    </row>
    <row r="93" spans="1:7" s="548" customFormat="1">
      <c r="A93" s="862" t="s">
        <v>1428</v>
      </c>
      <c r="B93" s="422">
        <f>'Sources and Uses Budget'!$C92</f>
        <v>9031</v>
      </c>
      <c r="C93" s="422">
        <f>'Sources and Uses Budget'!$C92</f>
        <v>9031</v>
      </c>
      <c r="D93" s="426">
        <f t="shared" si="1"/>
        <v>0</v>
      </c>
      <c r="E93" s="424"/>
      <c r="F93" s="423"/>
      <c r="G93" s="554"/>
    </row>
    <row r="94" spans="1:7" s="548" customFormat="1">
      <c r="A94" s="428" t="s">
        <v>35</v>
      </c>
      <c r="B94" s="422">
        <f>'Sources and Uses Budget'!$C93</f>
        <v>0</v>
      </c>
      <c r="C94" s="422">
        <f>'Sources and Uses Budget'!$C93</f>
        <v>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ht="13">
      <c r="A97" s="427" t="s">
        <v>836</v>
      </c>
      <c r="B97" s="426">
        <f>SUM(B84:B96)</f>
        <v>2387773</v>
      </c>
      <c r="C97" s="426">
        <f>SUM(C84:C96)</f>
        <v>2387773</v>
      </c>
      <c r="D97" s="426">
        <f t="shared" si="1"/>
        <v>0</v>
      </c>
      <c r="E97" s="424"/>
      <c r="F97" s="423"/>
      <c r="G97" s="554"/>
    </row>
    <row r="98" spans="1:7" s="548" customFormat="1" ht="13">
      <c r="A98" s="427" t="s">
        <v>837</v>
      </c>
      <c r="B98" s="426">
        <f>SUM(B64+B71+B78+B82+B97)</f>
        <v>62706241</v>
      </c>
      <c r="C98" s="426">
        <f>SUM(C64+C71+C78+C82+C97)</f>
        <v>62706241</v>
      </c>
      <c r="D98" s="426">
        <f t="shared" si="1"/>
        <v>0</v>
      </c>
      <c r="E98" s="424"/>
      <c r="F98" s="423"/>
      <c r="G98" s="554"/>
    </row>
    <row r="99" spans="1:7" s="548" customFormat="1" ht="13">
      <c r="A99" s="420" t="s">
        <v>838</v>
      </c>
      <c r="B99" s="420"/>
      <c r="C99" s="420"/>
      <c r="D99" s="420"/>
      <c r="E99" s="440"/>
      <c r="F99" s="420"/>
      <c r="G99" s="554"/>
    </row>
    <row r="100" spans="1:7" s="547" customFormat="1">
      <c r="A100" s="215" t="s">
        <v>839</v>
      </c>
      <c r="B100" s="422">
        <f>'Sources and Uses Budget'!$C99</f>
        <v>3985916</v>
      </c>
      <c r="C100" s="422">
        <f>'Sources and Uses Budget'!$C99</f>
        <v>3985916</v>
      </c>
      <c r="D100" s="426">
        <f t="shared" si="1"/>
        <v>0</v>
      </c>
      <c r="E100" s="424"/>
      <c r="F100" s="423"/>
      <c r="G100" s="552"/>
    </row>
    <row r="101" spans="1:7" s="547" customFormat="1">
      <c r="A101" s="441" t="s">
        <v>2014</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2015</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ht="13">
      <c r="A105" s="427" t="s">
        <v>841</v>
      </c>
      <c r="B105" s="426">
        <f>SUM(B100:B104)</f>
        <v>3985916</v>
      </c>
      <c r="C105" s="426">
        <f>SUM(C100:C104)</f>
        <v>3985916</v>
      </c>
      <c r="D105" s="426">
        <f t="shared" si="1"/>
        <v>0</v>
      </c>
      <c r="E105" s="424"/>
      <c r="F105" s="423"/>
      <c r="G105" s="552"/>
    </row>
    <row r="106" spans="1:7" s="547" customFormat="1" ht="13">
      <c r="A106" s="427" t="s">
        <v>842</v>
      </c>
      <c r="B106" s="429">
        <f>SUM(B98+B105)</f>
        <v>66692157</v>
      </c>
      <c r="C106" s="429">
        <f>SUM(C98+C105)</f>
        <v>66692157</v>
      </c>
      <c r="D106" s="426">
        <f t="shared" si="1"/>
        <v>0</v>
      </c>
      <c r="E106" s="424"/>
      <c r="F106" s="423"/>
      <c r="G106" s="552"/>
    </row>
    <row r="107" spans="1:7" s="547" customFormat="1" ht="13">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t="13"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6328125" style="132" customWidth="1"/>
    <col min="2" max="2" width="13.6328125" style="677" customWidth="1"/>
    <col min="3" max="3" width="2.6328125" style="132" customWidth="1"/>
    <col min="4" max="5" width="3.6328125" style="7" customWidth="1"/>
    <col min="6" max="6" width="65.6328125" style="7" customWidth="1"/>
    <col min="7" max="7" width="1.6328125" style="7" customWidth="1"/>
    <col min="8" max="8" width="3.6328125" style="12" hidden="1" customWidth="1"/>
    <col min="9" max="9" width="14" style="12" hidden="1" customWidth="1"/>
    <col min="10" max="16384" width="8.81640625" style="12" hidden="1"/>
  </cols>
  <sheetData>
    <row r="1" spans="1:9"/>
    <row r="2" spans="1:9" ht="13">
      <c r="A2" s="1924" t="s">
        <v>1161</v>
      </c>
      <c r="B2" s="1924"/>
      <c r="C2" s="1925"/>
      <c r="D2" s="1925"/>
      <c r="E2" s="1925"/>
      <c r="F2" s="1925"/>
      <c r="G2" s="1925"/>
    </row>
    <row r="3" spans="1:9" s="256" customFormat="1" ht="13">
      <c r="A3" s="1924" t="s">
        <v>1091</v>
      </c>
      <c r="B3" s="1924"/>
      <c r="C3" s="1925"/>
      <c r="D3" s="1925"/>
      <c r="E3" s="1925"/>
      <c r="F3" s="1925"/>
      <c r="G3" s="1925"/>
      <c r="I3" s="678" t="s">
        <v>318</v>
      </c>
    </row>
    <row r="4" spans="1:9">
      <c r="I4" s="679" t="s">
        <v>1162</v>
      </c>
    </row>
    <row r="5" spans="1:9" s="39" customFormat="1" ht="13">
      <c r="A5" s="1928" t="s">
        <v>1092</v>
      </c>
      <c r="B5" s="1928"/>
      <c r="C5" s="1929"/>
      <c r="D5" s="1929"/>
      <c r="E5" s="1929"/>
      <c r="F5" s="1929"/>
      <c r="G5" s="1929"/>
      <c r="I5" s="679" t="s">
        <v>1163</v>
      </c>
    </row>
    <row r="6" spans="1:9" s="39" customFormat="1" ht="13">
      <c r="A6" s="1928" t="s">
        <v>884</v>
      </c>
      <c r="B6" s="1928"/>
      <c r="C6" s="1929"/>
      <c r="D6" s="1929"/>
      <c r="E6" s="1929"/>
      <c r="F6" s="1929"/>
      <c r="G6" s="1929"/>
      <c r="I6" s="678" t="s">
        <v>628</v>
      </c>
    </row>
    <row r="7" spans="1:9" ht="12" customHeight="1"/>
    <row r="8" spans="1:9" s="39" customFormat="1" ht="13">
      <c r="A8" s="1926" t="s">
        <v>1258</v>
      </c>
      <c r="B8" s="1926"/>
      <c r="C8" s="1927"/>
      <c r="D8" s="1927"/>
      <c r="E8" s="1927"/>
      <c r="F8" s="1927"/>
      <c r="G8" s="1927"/>
    </row>
    <row r="9" spans="1:9" s="39" customFormat="1" ht="13">
      <c r="A9" s="1926" t="s">
        <v>1259</v>
      </c>
      <c r="B9" s="1926"/>
      <c r="C9" s="1927"/>
      <c r="D9" s="1927"/>
      <c r="E9" s="1927"/>
      <c r="F9" s="1927"/>
      <c r="G9" s="1927"/>
    </row>
    <row r="10" spans="1:9" ht="13">
      <c r="A10" s="258"/>
      <c r="B10" s="258"/>
      <c r="C10" s="255"/>
      <c r="D10" s="255"/>
      <c r="E10" s="255"/>
      <c r="F10" s="255"/>
    </row>
    <row r="11" spans="1:9" ht="13">
      <c r="A11" s="1930" t="s">
        <v>1261</v>
      </c>
      <c r="B11" s="1930"/>
      <c r="C11" s="1930"/>
      <c r="D11" s="1930"/>
      <c r="E11" s="1930"/>
      <c r="F11" s="1930"/>
      <c r="G11" s="1930"/>
    </row>
    <row r="12" spans="1:9" ht="13">
      <c r="A12" s="255"/>
      <c r="B12" s="674"/>
      <c r="E12" s="50"/>
    </row>
    <row r="13" spans="1:9" ht="13.25" customHeight="1">
      <c r="C13" s="255"/>
      <c r="D13" s="1902" t="s">
        <v>1260</v>
      </c>
      <c r="E13" s="1902"/>
      <c r="F13" s="1902"/>
    </row>
    <row r="14" spans="1:9" ht="13">
      <c r="C14" s="255"/>
      <c r="D14" s="1902"/>
      <c r="E14" s="1902"/>
      <c r="F14" s="1902"/>
    </row>
    <row r="15" spans="1:9" ht="13">
      <c r="A15" s="260"/>
      <c r="B15" s="260"/>
      <c r="C15" s="260"/>
      <c r="D15" s="1899" t="s">
        <v>1243</v>
      </c>
      <c r="E15" s="1899"/>
      <c r="F15" s="1899"/>
    </row>
    <row r="16" spans="1:9" ht="13">
      <c r="A16" s="260"/>
      <c r="B16" s="260"/>
      <c r="C16" s="260"/>
      <c r="D16" s="328"/>
    </row>
    <row r="17" spans="1:7" ht="13">
      <c r="A17" s="261"/>
      <c r="B17" s="680" t="s">
        <v>318</v>
      </c>
      <c r="C17" s="314"/>
      <c r="D17" s="1874" t="s">
        <v>1244</v>
      </c>
      <c r="E17" s="1874"/>
      <c r="F17" s="1874"/>
    </row>
    <row r="18" spans="1:7" ht="13">
      <c r="A18" s="260"/>
      <c r="B18" s="260"/>
      <c r="C18" s="314"/>
      <c r="D18" s="1874"/>
      <c r="E18" s="1874"/>
      <c r="F18" s="1874"/>
    </row>
    <row r="19" spans="1:7" ht="13">
      <c r="A19" s="260"/>
      <c r="B19" s="260"/>
      <c r="C19" s="314"/>
      <c r="D19" s="1874"/>
      <c r="E19" s="1874"/>
      <c r="F19" s="1874"/>
    </row>
    <row r="20" spans="1:7" ht="13">
      <c r="A20" s="260"/>
      <c r="B20" s="260"/>
      <c r="C20" s="260"/>
    </row>
    <row r="21" spans="1:7" ht="13">
      <c r="A21" s="261"/>
      <c r="B21" s="680" t="s">
        <v>318</v>
      </c>
      <c r="D21" s="1903" t="s">
        <v>1245</v>
      </c>
      <c r="E21" s="1903"/>
      <c r="F21" s="1903"/>
    </row>
    <row r="22" spans="1:7" ht="13">
      <c r="A22" s="261"/>
      <c r="B22" s="261"/>
      <c r="D22" s="135"/>
    </row>
    <row r="23" spans="1:7" ht="13">
      <c r="A23" s="261"/>
      <c r="B23" s="680" t="s">
        <v>318</v>
      </c>
      <c r="D23" s="1874" t="s">
        <v>1246</v>
      </c>
      <c r="E23" s="1874"/>
      <c r="F23" s="1874"/>
    </row>
    <row r="24" spans="1:7" ht="13">
      <c r="A24" s="261"/>
      <c r="B24" s="261"/>
      <c r="D24" s="1874"/>
      <c r="E24" s="1874"/>
      <c r="F24" s="1874"/>
    </row>
    <row r="25" spans="1:7"/>
    <row r="26" spans="1:7" ht="13">
      <c r="A26" s="261"/>
      <c r="B26" s="680" t="s">
        <v>318</v>
      </c>
      <c r="D26" s="1897" t="s">
        <v>1247</v>
      </c>
      <c r="E26" s="1897"/>
      <c r="F26" s="1897"/>
    </row>
    <row r="27" spans="1:7">
      <c r="D27" s="1897"/>
      <c r="E27" s="1897"/>
      <c r="F27" s="1897"/>
    </row>
    <row r="28" spans="1:7">
      <c r="D28" s="1897"/>
      <c r="E28" s="1897"/>
      <c r="F28" s="1897"/>
    </row>
    <row r="29" spans="1:7">
      <c r="A29" s="559"/>
      <c r="C29" s="559"/>
      <c r="D29" s="1897"/>
      <c r="E29" s="1897"/>
      <c r="F29" s="1897"/>
    </row>
    <row r="30" spans="1:7">
      <c r="A30" s="559"/>
      <c r="C30" s="559"/>
      <c r="D30" s="1897"/>
      <c r="E30" s="1897"/>
      <c r="F30" s="1897"/>
    </row>
    <row r="31" spans="1:7" s="39" customFormat="1">
      <c r="A31" s="273"/>
      <c r="B31" s="273"/>
      <c r="C31" s="273"/>
      <c r="D31" s="444"/>
      <c r="E31" s="130"/>
      <c r="F31" s="130"/>
      <c r="G31" s="130"/>
    </row>
    <row r="32" spans="1:7" s="39" customFormat="1">
      <c r="A32" s="273"/>
      <c r="B32" s="680" t="s">
        <v>318</v>
      </c>
      <c r="C32" s="273"/>
      <c r="D32" s="1876" t="s">
        <v>1248</v>
      </c>
      <c r="E32" s="1876"/>
      <c r="F32" s="1876"/>
      <c r="G32" s="130"/>
    </row>
    <row r="33" spans="1:7" s="39" customFormat="1">
      <c r="A33" s="273"/>
      <c r="B33" s="273"/>
      <c r="C33" s="273"/>
      <c r="D33" s="1876"/>
      <c r="E33" s="1876"/>
      <c r="F33" s="1876"/>
      <c r="G33" s="130"/>
    </row>
    <row r="34" spans="1:7" ht="13">
      <c r="A34" s="261"/>
      <c r="B34" s="261"/>
      <c r="D34" s="405"/>
    </row>
    <row r="35" spans="1:7" ht="14.5" customHeight="1">
      <c r="A35" s="261"/>
      <c r="B35" s="680" t="s">
        <v>318</v>
      </c>
      <c r="C35" s="555"/>
      <c r="D35" s="1876" t="s">
        <v>1249</v>
      </c>
      <c r="E35" s="1876"/>
      <c r="F35" s="1876"/>
    </row>
    <row r="36" spans="1:7" ht="13">
      <c r="A36" s="261"/>
      <c r="B36" s="261"/>
      <c r="C36" s="555"/>
      <c r="D36" s="1876"/>
      <c r="E36" s="1876"/>
      <c r="F36" s="1876"/>
    </row>
    <row r="37" spans="1:7" ht="13">
      <c r="A37" s="261"/>
      <c r="B37" s="261"/>
      <c r="C37" s="555"/>
      <c r="D37" s="1876"/>
      <c r="E37" s="1876"/>
      <c r="F37" s="1876"/>
    </row>
    <row r="38" spans="1:7" ht="13">
      <c r="A38" s="261"/>
      <c r="B38" s="261"/>
      <c r="C38" s="555"/>
      <c r="D38" s="12"/>
    </row>
    <row r="39" spans="1:7" s="683" customFormat="1" ht="13">
      <c r="A39" s="261"/>
      <c r="B39" s="680" t="s">
        <v>318</v>
      </c>
      <c r="C39" s="700"/>
      <c r="D39" s="1876" t="s">
        <v>1250</v>
      </c>
      <c r="E39" s="1876"/>
      <c r="F39" s="1876"/>
      <c r="G39" s="7"/>
    </row>
    <row r="40" spans="1:7" s="683" customFormat="1" ht="13">
      <c r="A40" s="261"/>
      <c r="B40" s="261"/>
      <c r="C40" s="700"/>
      <c r="D40" s="1876"/>
      <c r="E40" s="1876"/>
      <c r="F40" s="1876"/>
      <c r="G40" s="7"/>
    </row>
    <row r="41" spans="1:7" s="683" customFormat="1" ht="13">
      <c r="A41" s="261"/>
      <c r="B41" s="261"/>
      <c r="C41" s="700"/>
      <c r="D41" s="1876"/>
      <c r="E41" s="1876"/>
      <c r="F41" s="1876"/>
      <c r="G41" s="7"/>
    </row>
    <row r="42" spans="1:7" s="683" customFormat="1" ht="13">
      <c r="A42" s="261"/>
      <c r="B42" s="261"/>
      <c r="C42" s="700"/>
      <c r="D42" s="1876"/>
      <c r="E42" s="1876"/>
      <c r="F42" s="1876"/>
      <c r="G42" s="7"/>
    </row>
    <row r="43" spans="1:7" s="683" customFormat="1" ht="13">
      <c r="A43" s="261"/>
      <c r="B43" s="261"/>
      <c r="C43" s="700"/>
      <c r="D43" s="1876"/>
      <c r="E43" s="1876"/>
      <c r="F43" s="1876"/>
      <c r="G43" s="7"/>
    </row>
    <row r="44" spans="1:7" s="683" customFormat="1" ht="13">
      <c r="A44" s="261"/>
      <c r="B44" s="261"/>
      <c r="C44" s="700"/>
      <c r="D44" s="699"/>
      <c r="E44" s="699"/>
      <c r="F44" s="699"/>
      <c r="G44" s="7"/>
    </row>
    <row r="45" spans="1:7" ht="13">
      <c r="A45" s="261"/>
      <c r="B45" s="680" t="s">
        <v>318</v>
      </c>
      <c r="C45" s="555"/>
      <c r="D45" s="1876" t="s">
        <v>1251</v>
      </c>
      <c r="E45" s="1876"/>
      <c r="F45" s="1876"/>
    </row>
    <row r="46" spans="1:7" ht="13">
      <c r="A46" s="261"/>
      <c r="B46" s="261"/>
      <c r="C46" s="555"/>
      <c r="D46" s="1876"/>
      <c r="E46" s="1876"/>
      <c r="F46" s="1876"/>
    </row>
    <row r="47" spans="1:7" ht="13">
      <c r="A47" s="261"/>
      <c r="B47" s="261"/>
      <c r="C47" s="555"/>
      <c r="D47" s="1876"/>
      <c r="E47" s="1876"/>
      <c r="F47" s="1876"/>
    </row>
    <row r="48" spans="1:7" ht="23.25" customHeight="1">
      <c r="A48" s="261"/>
      <c r="B48" s="261"/>
      <c r="C48" s="555"/>
      <c r="D48" s="1876"/>
      <c r="E48" s="1876"/>
      <c r="F48" s="1876"/>
    </row>
    <row r="49" spans="1:7" ht="13">
      <c r="A49" s="261"/>
      <c r="B49" s="261"/>
      <c r="D49" s="151"/>
    </row>
    <row r="50" spans="1:7" ht="14.5" customHeight="1">
      <c r="A50" s="261"/>
      <c r="B50" s="680" t="s">
        <v>318</v>
      </c>
      <c r="D50" s="1876" t="s">
        <v>1252</v>
      </c>
      <c r="E50" s="1876"/>
      <c r="F50" s="1876"/>
    </row>
    <row r="51" spans="1:7" ht="13">
      <c r="A51" s="261"/>
      <c r="B51" s="261"/>
      <c r="D51" s="1876"/>
      <c r="E51" s="1876"/>
      <c r="F51" s="1876"/>
    </row>
    <row r="52" spans="1:7" ht="13">
      <c r="A52" s="261"/>
      <c r="B52" s="261"/>
      <c r="D52" s="1876"/>
      <c r="E52" s="1876"/>
      <c r="F52" s="1876"/>
    </row>
    <row r="53" spans="1:7" s="2" customFormat="1" ht="13">
      <c r="A53" s="261"/>
      <c r="B53" s="261"/>
      <c r="C53" s="557"/>
      <c r="D53" s="239"/>
      <c r="E53" s="22"/>
      <c r="F53" s="22"/>
      <c r="G53" s="22"/>
    </row>
    <row r="54" spans="1:7" s="2" customFormat="1" ht="13">
      <c r="A54" s="404"/>
      <c r="B54" s="680" t="s">
        <v>318</v>
      </c>
      <c r="C54" s="558"/>
      <c r="D54" s="1876" t="s">
        <v>1253</v>
      </c>
      <c r="E54" s="1876"/>
      <c r="F54" s="1876"/>
      <c r="G54" s="22"/>
    </row>
    <row r="55" spans="1:7" s="2" customFormat="1" ht="13">
      <c r="A55" s="404"/>
      <c r="B55" s="404"/>
      <c r="C55" s="558"/>
      <c r="D55" s="1876"/>
      <c r="E55" s="1876"/>
      <c r="F55" s="1876"/>
      <c r="G55" s="22"/>
    </row>
    <row r="56" spans="1:7" s="39" customFormat="1">
      <c r="A56" s="273"/>
      <c r="B56" s="273"/>
      <c r="C56" s="273"/>
      <c r="D56" s="444"/>
      <c r="E56" s="130"/>
      <c r="F56" s="130"/>
      <c r="G56" s="130"/>
    </row>
    <row r="57" spans="1:7" ht="13">
      <c r="A57" s="261"/>
      <c r="B57" s="680" t="s">
        <v>318</v>
      </c>
      <c r="D57" s="1876" t="s">
        <v>1254</v>
      </c>
      <c r="E57" s="1876"/>
      <c r="F57" s="1876"/>
    </row>
    <row r="58" spans="1:7">
      <c r="D58" s="1876"/>
      <c r="E58" s="1876"/>
      <c r="F58" s="1876"/>
    </row>
    <row r="59" spans="1:7">
      <c r="D59" s="1876"/>
      <c r="E59" s="1876"/>
      <c r="F59" s="1876"/>
    </row>
    <row r="60" spans="1:7" s="683" customFormat="1">
      <c r="A60" s="700"/>
      <c r="B60" s="700"/>
      <c r="C60" s="700"/>
      <c r="D60" s="679"/>
      <c r="E60" s="7"/>
      <c r="F60" s="7"/>
      <c r="G60" s="7"/>
    </row>
    <row r="61" spans="1:7" ht="13">
      <c r="A61" s="261"/>
      <c r="B61" s="680" t="s">
        <v>318</v>
      </c>
      <c r="D61" s="1876" t="s">
        <v>1255</v>
      </c>
      <c r="E61" s="1876"/>
      <c r="F61" s="1876"/>
    </row>
    <row r="62" spans="1:7">
      <c r="D62" s="1876"/>
      <c r="E62" s="1876"/>
      <c r="F62" s="1876"/>
    </row>
    <row r="63" spans="1:7"/>
    <row r="64" spans="1:7" ht="13">
      <c r="A64" s="261"/>
      <c r="B64" s="680" t="s">
        <v>318</v>
      </c>
      <c r="D64" s="1876" t="s">
        <v>1256</v>
      </c>
      <c r="E64" s="1876"/>
      <c r="F64" s="1876"/>
    </row>
    <row r="65" spans="1:7">
      <c r="D65" s="1876"/>
      <c r="E65" s="1876"/>
      <c r="F65" s="1876"/>
    </row>
    <row r="66" spans="1:7">
      <c r="A66" s="556"/>
      <c r="C66" s="556"/>
      <c r="D66" s="1876"/>
      <c r="E66" s="1876"/>
      <c r="F66" s="1876"/>
    </row>
    <row r="67" spans="1:7">
      <c r="D67" s="12"/>
    </row>
    <row r="68" spans="1:7" ht="13">
      <c r="A68" s="261"/>
      <c r="B68" s="680" t="s">
        <v>318</v>
      </c>
      <c r="D68" s="1874" t="s">
        <v>1257</v>
      </c>
      <c r="E68" s="1874"/>
      <c r="F68" s="1874"/>
    </row>
    <row r="69" spans="1:7">
      <c r="D69" s="1874"/>
      <c r="E69" s="1874"/>
      <c r="F69" s="1874"/>
    </row>
    <row r="70" spans="1:7" ht="13">
      <c r="A70" s="261"/>
      <c r="B70" s="261"/>
      <c r="D70" s="135"/>
    </row>
    <row r="71" spans="1:7" ht="13">
      <c r="A71" s="1900" t="s">
        <v>1164</v>
      </c>
      <c r="B71" s="1900"/>
      <c r="C71" s="1900"/>
      <c r="D71" s="1900"/>
      <c r="E71" s="1900"/>
      <c r="F71" s="1900"/>
      <c r="G71" s="1900"/>
    </row>
    <row r="72" spans="1:7"/>
    <row r="73" spans="1:7" ht="13">
      <c r="C73" s="262"/>
      <c r="D73" s="1916" t="s">
        <v>1262</v>
      </c>
      <c r="E73" s="1916"/>
      <c r="F73" s="1916"/>
    </row>
    <row r="74" spans="1:7">
      <c r="A74" s="135"/>
      <c r="B74" s="135"/>
      <c r="D74" s="1874" t="s">
        <v>1289</v>
      </c>
      <c r="E74" s="1874"/>
      <c r="F74" s="1874"/>
    </row>
    <row r="75" spans="1:7">
      <c r="A75" s="135"/>
      <c r="B75" s="135"/>
    </row>
    <row r="76" spans="1:7" ht="13">
      <c r="A76" s="261"/>
      <c r="B76" s="680" t="s">
        <v>318</v>
      </c>
      <c r="D76" s="1874" t="s">
        <v>1263</v>
      </c>
      <c r="E76" s="1874"/>
      <c r="F76" s="1874"/>
    </row>
    <row r="77" spans="1:7" ht="13">
      <c r="A77" s="261"/>
      <c r="B77" s="261"/>
      <c r="D77" s="1874"/>
      <c r="E77" s="1874"/>
      <c r="F77" s="1874"/>
    </row>
    <row r="78" spans="1:7" ht="13">
      <c r="A78" s="261"/>
      <c r="B78" s="261"/>
      <c r="D78" s="1874"/>
      <c r="E78" s="1874"/>
      <c r="F78" s="1874"/>
    </row>
    <row r="79" spans="1:7" ht="13">
      <c r="A79" s="261"/>
      <c r="B79" s="261"/>
      <c r="D79" s="1874"/>
      <c r="E79" s="1874"/>
      <c r="F79" s="1874"/>
    </row>
    <row r="80" spans="1:7" ht="13">
      <c r="A80" s="261"/>
      <c r="B80" s="261"/>
      <c r="D80" s="1874"/>
      <c r="E80" s="1874"/>
      <c r="F80" s="1874"/>
    </row>
    <row r="81" spans="1:7" ht="13">
      <c r="A81" s="261"/>
      <c r="B81" s="261"/>
      <c r="D81" s="1874"/>
      <c r="E81" s="1874"/>
      <c r="F81" s="1874"/>
    </row>
    <row r="82" spans="1:7" s="707" customFormat="1" ht="13">
      <c r="A82" s="708"/>
      <c r="B82" s="708"/>
      <c r="C82" s="706"/>
      <c r="D82" s="710"/>
      <c r="E82" s="710"/>
      <c r="F82" s="710"/>
      <c r="G82" s="7"/>
    </row>
    <row r="83" spans="1:7" s="707" customFormat="1" ht="14.5" customHeight="1">
      <c r="A83" s="708"/>
      <c r="B83" s="713" t="s">
        <v>318</v>
      </c>
      <c r="C83" s="706"/>
      <c r="D83" s="1931" t="s">
        <v>1362</v>
      </c>
      <c r="E83" s="1931"/>
      <c r="F83" s="1931"/>
      <c r="G83" s="7"/>
    </row>
    <row r="84" spans="1:7" s="707" customFormat="1" ht="13">
      <c r="A84" s="708"/>
      <c r="B84" s="708"/>
      <c r="C84" s="706"/>
      <c r="D84" s="1931"/>
      <c r="E84" s="1931"/>
      <c r="F84" s="1931"/>
      <c r="G84" s="7"/>
    </row>
    <row r="85" spans="1:7" s="707" customFormat="1" ht="13">
      <c r="A85" s="708"/>
      <c r="B85" s="708"/>
      <c r="C85" s="706"/>
      <c r="D85" s="1931"/>
      <c r="E85" s="1931"/>
      <c r="F85" s="1931"/>
      <c r="G85" s="7"/>
    </row>
    <row r="86" spans="1:7" s="707" customFormat="1" ht="13">
      <c r="A86" s="708"/>
      <c r="B86" s="708"/>
      <c r="C86" s="706"/>
      <c r="D86" s="1931"/>
      <c r="E86" s="1931"/>
      <c r="F86" s="1931"/>
      <c r="G86" s="7"/>
    </row>
    <row r="87" spans="1:7" s="707" customFormat="1" ht="13">
      <c r="A87" s="708"/>
      <c r="B87" s="708"/>
      <c r="C87" s="706"/>
      <c r="D87" s="1931"/>
      <c r="E87" s="1931"/>
      <c r="F87" s="1931"/>
      <c r="G87" s="7"/>
    </row>
    <row r="88" spans="1:7" s="720" customFormat="1" ht="13">
      <c r="A88" s="715"/>
      <c r="B88" s="715"/>
      <c r="C88" s="746"/>
      <c r="D88" s="1931"/>
      <c r="E88" s="1931"/>
      <c r="F88" s="1931"/>
      <c r="G88" s="7"/>
    </row>
    <row r="89" spans="1:7" s="720" customFormat="1" ht="13">
      <c r="A89" s="715"/>
      <c r="B89" s="715"/>
      <c r="C89" s="746"/>
      <c r="D89" s="1931"/>
      <c r="E89" s="1931"/>
      <c r="F89" s="1931"/>
      <c r="G89" s="7"/>
    </row>
    <row r="90" spans="1:7" s="720" customFormat="1" ht="13">
      <c r="A90" s="715"/>
      <c r="B90" s="715"/>
      <c r="C90" s="746"/>
      <c r="D90" s="1931"/>
      <c r="E90" s="1931"/>
      <c r="F90" s="1931"/>
      <c r="G90" s="7"/>
    </row>
    <row r="91" spans="1:7" ht="13">
      <c r="A91" s="261"/>
      <c r="B91" s="261"/>
      <c r="D91" s="1931"/>
      <c r="E91" s="1931"/>
      <c r="F91" s="1931"/>
    </row>
    <row r="92" spans="1:7" ht="13">
      <c r="A92" s="261"/>
      <c r="B92" s="261"/>
      <c r="D92" s="1931"/>
      <c r="E92" s="1931"/>
      <c r="F92" s="1931"/>
    </row>
    <row r="93" spans="1:7" ht="13">
      <c r="A93" s="261"/>
      <c r="B93" s="261"/>
      <c r="D93" s="1931"/>
      <c r="E93" s="1931"/>
      <c r="F93" s="1931"/>
    </row>
    <row r="94" spans="1:7" ht="13">
      <c r="A94" s="261"/>
      <c r="B94" s="261"/>
      <c r="D94" s="1931"/>
      <c r="E94" s="1931"/>
      <c r="F94" s="1931"/>
    </row>
    <row r="95" spans="1:7" ht="13">
      <c r="A95" s="261"/>
      <c r="B95" s="261"/>
      <c r="D95" s="1931"/>
      <c r="E95" s="1931"/>
      <c r="F95" s="1931"/>
    </row>
    <row r="96" spans="1:7" ht="13">
      <c r="A96" s="261"/>
      <c r="B96" s="261"/>
      <c r="D96" s="1931"/>
      <c r="E96" s="1931"/>
      <c r="F96" s="1931"/>
    </row>
    <row r="97" spans="1:11" s="711" customFormat="1" ht="13">
      <c r="A97" s="712"/>
      <c r="B97" s="716" t="s">
        <v>318</v>
      </c>
      <c r="C97" s="706"/>
      <c r="D97" s="1874" t="s">
        <v>1264</v>
      </c>
      <c r="E97" s="1874"/>
      <c r="F97" s="1874"/>
      <c r="G97" s="7"/>
    </row>
    <row r="98" spans="1:11" s="711" customFormat="1" ht="13">
      <c r="A98" s="712"/>
      <c r="B98" s="712"/>
      <c r="C98" s="706"/>
      <c r="D98" s="1874"/>
      <c r="E98" s="1874"/>
      <c r="F98" s="1874"/>
      <c r="G98" s="7"/>
    </row>
    <row r="99" spans="1:11" s="711" customFormat="1" ht="13">
      <c r="A99" s="712"/>
      <c r="B99" s="712"/>
      <c r="C99" s="706"/>
      <c r="D99" s="1874"/>
      <c r="E99" s="1874"/>
      <c r="F99" s="1874"/>
      <c r="G99" s="7"/>
    </row>
    <row r="100" spans="1:11" s="711" customFormat="1" ht="13">
      <c r="A100" s="712"/>
      <c r="B100" s="712"/>
      <c r="C100" s="706"/>
      <c r="D100" s="1874"/>
      <c r="E100" s="1874"/>
      <c r="F100" s="1874"/>
      <c r="G100" s="7"/>
    </row>
    <row r="101" spans="1:11" s="711" customFormat="1" ht="13">
      <c r="A101" s="712"/>
      <c r="B101" s="712"/>
      <c r="C101" s="706"/>
      <c r="D101" s="1874"/>
      <c r="E101" s="1874"/>
      <c r="F101" s="1874"/>
      <c r="G101" s="7"/>
    </row>
    <row r="102" spans="1:11" s="711" customFormat="1" ht="13">
      <c r="A102" s="712"/>
      <c r="B102" s="712"/>
      <c r="C102" s="706"/>
      <c r="D102" s="1874"/>
      <c r="E102" s="1874"/>
      <c r="F102" s="1874"/>
      <c r="G102" s="7"/>
    </row>
    <row r="103" spans="1:11" s="711" customFormat="1" ht="13">
      <c r="A103" s="712"/>
      <c r="B103" s="712"/>
      <c r="C103" s="706"/>
      <c r="D103" s="1874"/>
      <c r="E103" s="1874"/>
      <c r="F103" s="1874"/>
      <c r="G103" s="7"/>
    </row>
    <row r="104" spans="1:11" s="711" customFormat="1" ht="13">
      <c r="A104" s="712"/>
      <c r="B104" s="712"/>
      <c r="C104" s="706"/>
      <c r="D104" s="1874"/>
      <c r="E104" s="1874"/>
      <c r="F104" s="1874"/>
      <c r="G104" s="7"/>
    </row>
    <row r="105" spans="1:11" s="714" customFormat="1" ht="13">
      <c r="A105" s="715"/>
      <c r="B105" s="715"/>
      <c r="C105" s="706"/>
      <c r="D105" s="717"/>
      <c r="E105" s="717"/>
      <c r="F105" s="717"/>
      <c r="G105" s="7"/>
    </row>
    <row r="106" spans="1:11" ht="13">
      <c r="A106" s="404"/>
      <c r="B106" s="709" t="s">
        <v>318</v>
      </c>
      <c r="C106" s="470"/>
      <c r="D106" s="1932" t="s">
        <v>1265</v>
      </c>
      <c r="E106" s="1932"/>
      <c r="F106" s="1932"/>
      <c r="G106" s="471"/>
      <c r="H106" s="469"/>
      <c r="I106" s="469"/>
      <c r="J106" s="469"/>
      <c r="K106" s="469"/>
    </row>
    <row r="107" spans="1:11" ht="13">
      <c r="A107" s="261"/>
      <c r="B107" s="261"/>
      <c r="C107" s="316"/>
      <c r="D107" s="1932"/>
      <c r="E107" s="1932"/>
      <c r="F107" s="1932"/>
      <c r="G107" s="471"/>
      <c r="H107" s="469"/>
      <c r="I107" s="469"/>
      <c r="J107" s="469"/>
      <c r="K107" s="469"/>
    </row>
    <row r="108" spans="1:11" ht="13">
      <c r="A108" s="261"/>
      <c r="B108" s="261"/>
      <c r="C108" s="316"/>
      <c r="D108" s="1932"/>
      <c r="E108" s="1932"/>
      <c r="F108" s="1932"/>
      <c r="G108" s="471"/>
      <c r="H108" s="469"/>
      <c r="I108" s="469"/>
      <c r="J108" s="469"/>
      <c r="K108" s="469"/>
    </row>
    <row r="109" spans="1:11" ht="13">
      <c r="A109" s="261"/>
      <c r="B109" s="261"/>
      <c r="C109" s="316"/>
      <c r="D109" s="1932"/>
      <c r="E109" s="1932"/>
      <c r="F109" s="1932"/>
      <c r="G109" s="471"/>
      <c r="H109" s="469"/>
      <c r="I109" s="469"/>
      <c r="J109" s="469"/>
      <c r="K109" s="469"/>
    </row>
    <row r="110" spans="1:11" ht="13">
      <c r="A110" s="261"/>
      <c r="B110" s="261"/>
      <c r="C110" s="316"/>
      <c r="D110" s="1932"/>
      <c r="E110" s="1932"/>
      <c r="F110" s="1932"/>
      <c r="G110" s="471"/>
      <c r="H110" s="469"/>
      <c r="I110" s="469"/>
      <c r="J110" s="469"/>
      <c r="K110" s="469"/>
    </row>
    <row r="111" spans="1:11">
      <c r="C111"/>
      <c r="D111" s="1932"/>
      <c r="E111" s="1932"/>
      <c r="F111" s="1932"/>
      <c r="G111"/>
      <c r="H111"/>
      <c r="I111"/>
      <c r="J111"/>
      <c r="K111"/>
    </row>
    <row r="112" spans="1:11">
      <c r="C112"/>
      <c r="D112" s="1932"/>
      <c r="E112" s="1932"/>
      <c r="F112" s="1932"/>
      <c r="G112"/>
      <c r="H112"/>
      <c r="I112"/>
      <c r="J112"/>
      <c r="K112"/>
    </row>
    <row r="113" spans="1:11">
      <c r="C113"/>
      <c r="D113" s="478"/>
      <c r="E113"/>
      <c r="F113"/>
      <c r="G113"/>
      <c r="H113"/>
      <c r="I113"/>
      <c r="J113"/>
      <c r="K113"/>
    </row>
    <row r="114" spans="1:11" ht="13">
      <c r="A114" s="261"/>
      <c r="B114" s="680" t="s">
        <v>318</v>
      </c>
      <c r="C114"/>
      <c r="D114" s="1933" t="s">
        <v>1266</v>
      </c>
      <c r="E114" s="1933"/>
      <c r="F114" s="1933"/>
      <c r="G114"/>
      <c r="H114"/>
      <c r="I114"/>
      <c r="J114"/>
      <c r="K114"/>
    </row>
    <row r="115" spans="1:11" ht="13">
      <c r="A115" s="261"/>
      <c r="B115" s="261"/>
      <c r="C115"/>
      <c r="D115" s="1933"/>
      <c r="E115" s="1933"/>
      <c r="F115" s="1933"/>
      <c r="G115"/>
      <c r="H115"/>
      <c r="I115"/>
      <c r="J115"/>
      <c r="K115"/>
    </row>
    <row r="116" spans="1:11"/>
    <row r="117" spans="1:11" ht="13">
      <c r="A117" s="261"/>
      <c r="B117" s="680" t="s">
        <v>318</v>
      </c>
      <c r="C117" s="10"/>
      <c r="D117" s="1874" t="s">
        <v>1267</v>
      </c>
      <c r="E117" s="1874"/>
      <c r="F117" s="1874"/>
    </row>
    <row r="118" spans="1:11">
      <c r="C118" s="10"/>
      <c r="D118" s="1874"/>
      <c r="E118" s="1874"/>
      <c r="F118" s="1874"/>
    </row>
    <row r="119" spans="1:11">
      <c r="C119" s="10"/>
      <c r="D119" s="1874"/>
      <c r="E119" s="1874"/>
      <c r="F119" s="1874"/>
    </row>
    <row r="120" spans="1:11">
      <c r="C120" s="10"/>
      <c r="D120" s="1874"/>
      <c r="E120" s="1874"/>
      <c r="F120" s="1874"/>
    </row>
    <row r="121" spans="1:11">
      <c r="C121" s="10"/>
      <c r="D121" s="1874"/>
      <c r="E121" s="1874"/>
      <c r="F121" s="1874"/>
    </row>
    <row r="122" spans="1:11">
      <c r="C122" s="10"/>
      <c r="D122" s="149"/>
      <c r="E122" s="149"/>
      <c r="F122" s="149"/>
    </row>
    <row r="123" spans="1:11" customFormat="1" ht="13">
      <c r="A123" s="261"/>
      <c r="B123" s="680" t="s">
        <v>318</v>
      </c>
      <c r="C123" s="10"/>
      <c r="D123" s="1876" t="s">
        <v>1268</v>
      </c>
      <c r="E123" s="1876"/>
      <c r="F123" s="1876"/>
      <c r="G123" s="149"/>
    </row>
    <row r="124" spans="1:11" s="297" customFormat="1" ht="13.75" customHeight="1">
      <c r="A124" s="294"/>
      <c r="B124" s="294"/>
      <c r="C124" s="295"/>
      <c r="D124" s="1876"/>
      <c r="E124" s="1876"/>
      <c r="F124" s="1876"/>
      <c r="G124" s="296"/>
    </row>
    <row r="125" spans="1:11" customFormat="1" ht="13.75" customHeight="1">
      <c r="A125" s="132"/>
      <c r="B125" s="677"/>
      <c r="C125" s="10"/>
      <c r="D125" s="1876"/>
      <c r="E125" s="1876"/>
      <c r="F125" s="1876"/>
      <c r="G125" s="149"/>
    </row>
    <row r="126" spans="1:11" customFormat="1" ht="13.75" customHeight="1">
      <c r="A126" s="132"/>
      <c r="B126" s="677"/>
      <c r="C126" s="10"/>
      <c r="D126" s="1876"/>
      <c r="E126" s="1876"/>
      <c r="F126" s="1876"/>
      <c r="G126" s="149"/>
    </row>
    <row r="127" spans="1:11" customFormat="1" ht="13.75" customHeight="1">
      <c r="A127" s="132"/>
      <c r="B127" s="677"/>
      <c r="C127" s="10"/>
      <c r="D127" s="1876"/>
      <c r="E127" s="1876"/>
      <c r="F127" s="1876"/>
      <c r="G127" s="149"/>
    </row>
    <row r="128" spans="1:11" customFormat="1" ht="13.75" customHeight="1">
      <c r="A128" s="379"/>
      <c r="B128" s="379"/>
      <c r="C128" s="10"/>
      <c r="D128" s="1876"/>
      <c r="E128" s="1876"/>
      <c r="F128" s="1876"/>
      <c r="G128" s="149"/>
    </row>
    <row r="129" spans="1:7" s="2" customFormat="1" ht="13.75" customHeight="1">
      <c r="A129" s="273"/>
      <c r="B129" s="273"/>
      <c r="C129" s="443"/>
      <c r="D129" s="1876"/>
      <c r="E129" s="1876"/>
      <c r="F129" s="1876"/>
      <c r="G129" s="182"/>
    </row>
    <row r="130" spans="1:7" s="2" customFormat="1" ht="13.75" customHeight="1">
      <c r="A130" s="273"/>
      <c r="B130" s="273"/>
      <c r="C130" s="443"/>
      <c r="D130" s="1876"/>
      <c r="E130" s="1876"/>
      <c r="F130" s="1876"/>
      <c r="G130" s="182"/>
    </row>
    <row r="131" spans="1:7" customFormat="1" ht="13.75" customHeight="1">
      <c r="A131" s="132"/>
      <c r="B131" s="677"/>
      <c r="C131" s="10"/>
      <c r="D131" s="1876"/>
      <c r="E131" s="1876"/>
      <c r="F131" s="1876"/>
      <c r="G131" s="149"/>
    </row>
    <row r="132" spans="1:7" customFormat="1" ht="13.75" customHeight="1">
      <c r="A132" s="132"/>
      <c r="B132" s="677"/>
      <c r="C132" s="10"/>
      <c r="D132" s="1876"/>
      <c r="E132" s="1876"/>
      <c r="F132" s="1876"/>
      <c r="G132" s="149"/>
    </row>
    <row r="133" spans="1:7" customFormat="1" ht="13.75" customHeight="1">
      <c r="A133" s="132"/>
      <c r="B133" s="677"/>
      <c r="C133" s="10"/>
      <c r="D133" s="1876"/>
      <c r="E133" s="1876"/>
      <c r="F133" s="1876"/>
      <c r="G133" s="149"/>
    </row>
    <row r="134" spans="1:7" customFormat="1" ht="13.75" customHeight="1">
      <c r="A134" s="132"/>
      <c r="B134" s="677"/>
      <c r="C134" s="10"/>
      <c r="D134" s="1876"/>
      <c r="E134" s="1876"/>
      <c r="F134" s="1876"/>
      <c r="G134" s="149"/>
    </row>
    <row r="135" spans="1:7" customFormat="1" ht="13.75" customHeight="1">
      <c r="A135" s="132"/>
      <c r="B135" s="677"/>
      <c r="C135" s="10"/>
      <c r="D135" s="328"/>
      <c r="E135" s="151"/>
      <c r="F135" s="151"/>
      <c r="G135" s="149"/>
    </row>
    <row r="136" spans="1:7" s="718" customFormat="1" ht="13.75" customHeight="1">
      <c r="A136" s="706"/>
      <c r="B136" s="719" t="s">
        <v>318</v>
      </c>
      <c r="C136" s="10"/>
      <c r="D136" s="1874" t="s">
        <v>1376</v>
      </c>
      <c r="E136" s="1874"/>
      <c r="F136" s="1874"/>
      <c r="G136" s="149"/>
    </row>
    <row r="137" spans="1:7" s="718" customFormat="1" ht="13.75" customHeight="1">
      <c r="A137" s="706"/>
      <c r="B137" s="706"/>
      <c r="C137" s="10"/>
      <c r="D137" s="1874"/>
      <c r="E137" s="1874"/>
      <c r="F137" s="1874"/>
      <c r="G137" s="149"/>
    </row>
    <row r="138" spans="1:7" s="718" customFormat="1" ht="13.75" customHeight="1">
      <c r="A138" s="706"/>
      <c r="B138" s="706"/>
      <c r="C138" s="10"/>
      <c r="D138" s="1874"/>
      <c r="E138" s="1874"/>
      <c r="F138" s="1874"/>
      <c r="G138" s="149"/>
    </row>
    <row r="139" spans="1:7" s="718" customFormat="1" ht="13.75" customHeight="1">
      <c r="A139" s="706"/>
      <c r="B139" s="706"/>
      <c r="C139" s="10"/>
      <c r="D139" s="1874"/>
      <c r="E139" s="1874"/>
      <c r="F139" s="1874"/>
      <c r="G139" s="149"/>
    </row>
    <row r="140" spans="1:7" s="718" customFormat="1" ht="13.75" customHeight="1">
      <c r="A140" s="706"/>
      <c r="B140" s="706"/>
      <c r="C140" s="10"/>
      <c r="D140" s="1874"/>
      <c r="E140" s="1874"/>
      <c r="F140" s="1874"/>
      <c r="G140" s="149"/>
    </row>
    <row r="141" spans="1:7" s="718" customFormat="1" ht="13.75" customHeight="1">
      <c r="A141" s="706"/>
      <c r="B141" s="706"/>
      <c r="C141" s="10"/>
      <c r="D141" s="1874"/>
      <c r="E141" s="1874"/>
      <c r="F141" s="1874"/>
      <c r="G141" s="149"/>
    </row>
    <row r="142" spans="1:7" s="718" customFormat="1" ht="13.75" customHeight="1">
      <c r="A142" s="706"/>
      <c r="B142" s="706"/>
      <c r="C142" s="10"/>
      <c r="D142" s="1874"/>
      <c r="E142" s="1874"/>
      <c r="F142" s="1874"/>
      <c r="G142" s="149"/>
    </row>
    <row r="143" spans="1:7" s="718" customFormat="1" ht="13.75" customHeight="1">
      <c r="A143" s="706"/>
      <c r="B143" s="706"/>
      <c r="C143" s="10"/>
      <c r="D143" s="1874"/>
      <c r="E143" s="1874"/>
      <c r="F143" s="1874"/>
      <c r="G143" s="149"/>
    </row>
    <row r="144" spans="1:7" s="718" customFormat="1" ht="13.75" customHeight="1">
      <c r="A144" s="706"/>
      <c r="B144" s="706"/>
      <c r="C144" s="10"/>
      <c r="D144" s="1874"/>
      <c r="E144" s="1874"/>
      <c r="F144" s="1874"/>
      <c r="G144" s="149"/>
    </row>
    <row r="145" spans="1:7" s="718" customFormat="1" ht="13.75" customHeight="1">
      <c r="A145" s="706"/>
      <c r="B145" s="706"/>
      <c r="C145" s="10"/>
      <c r="D145" s="1874"/>
      <c r="E145" s="1874"/>
      <c r="F145" s="1874"/>
      <c r="G145" s="149"/>
    </row>
    <row r="146" spans="1:7" s="718" customFormat="1" ht="13.75" customHeight="1">
      <c r="A146" s="748"/>
      <c r="B146" s="748"/>
      <c r="C146" s="10"/>
      <c r="D146" s="1874"/>
      <c r="E146" s="1874"/>
      <c r="F146" s="1874"/>
      <c r="G146" s="149"/>
    </row>
    <row r="147" spans="1:7" s="718" customFormat="1" ht="13.75" customHeight="1">
      <c r="A147" s="748"/>
      <c r="B147" s="748"/>
      <c r="C147" s="10"/>
      <c r="D147" s="1874"/>
      <c r="E147" s="1874"/>
      <c r="F147" s="1874"/>
      <c r="G147" s="149"/>
    </row>
    <row r="148" spans="1:7" s="718" customFormat="1" ht="13.75" customHeight="1">
      <c r="A148" s="706"/>
      <c r="B148" s="706"/>
      <c r="C148" s="10"/>
      <c r="D148" s="1874"/>
      <c r="E148" s="1874"/>
      <c r="F148" s="1874"/>
      <c r="G148" s="149"/>
    </row>
    <row r="149" spans="1:7" s="718" customFormat="1" ht="13.75" customHeight="1">
      <c r="A149" s="706"/>
      <c r="B149" s="706"/>
      <c r="C149" s="10"/>
      <c r="D149" s="1874"/>
      <c r="E149" s="1874"/>
      <c r="F149" s="1874"/>
      <c r="G149" s="149"/>
    </row>
    <row r="150" spans="1:7" s="718" customFormat="1" ht="13.75" customHeight="1">
      <c r="A150" s="706"/>
      <c r="B150" s="706"/>
      <c r="C150" s="10"/>
      <c r="D150" s="1874"/>
      <c r="E150" s="1874"/>
      <c r="F150" s="1874"/>
      <c r="G150" s="149"/>
    </row>
    <row r="151" spans="1:7" s="718" customFormat="1" ht="13.75" customHeight="1">
      <c r="A151" s="706"/>
      <c r="B151" s="706"/>
      <c r="C151" s="10"/>
      <c r="D151" s="1874"/>
      <c r="E151" s="1874"/>
      <c r="F151" s="1874"/>
      <c r="G151" s="149"/>
    </row>
    <row r="152" spans="1:7" s="718" customFormat="1" ht="13.75" customHeight="1">
      <c r="A152" s="706"/>
      <c r="B152" s="706"/>
      <c r="C152" s="10"/>
      <c r="D152" s="1874"/>
      <c r="E152" s="1874"/>
      <c r="F152" s="1874"/>
      <c r="G152" s="149"/>
    </row>
    <row r="153" spans="1:7" s="718" customFormat="1" ht="13.75" customHeight="1">
      <c r="A153" s="706"/>
      <c r="B153" s="706"/>
      <c r="C153" s="10"/>
      <c r="D153" s="1874"/>
      <c r="E153" s="1874"/>
      <c r="F153" s="1874"/>
      <c r="G153" s="149"/>
    </row>
    <row r="154" spans="1:7" s="718" customFormat="1" ht="13.75" customHeight="1">
      <c r="A154" s="706"/>
      <c r="B154" s="706"/>
      <c r="C154" s="10"/>
      <c r="D154" s="1874"/>
      <c r="E154" s="1874"/>
      <c r="F154" s="1874"/>
      <c r="G154" s="149"/>
    </row>
    <row r="155" spans="1:7" s="718" customFormat="1" ht="13.75" customHeight="1">
      <c r="A155" s="706"/>
      <c r="B155" s="706"/>
      <c r="C155" s="10"/>
      <c r="D155" s="328"/>
      <c r="E155" s="151"/>
      <c r="F155" s="151"/>
      <c r="G155" s="149"/>
    </row>
    <row r="156" spans="1:7" customFormat="1" ht="13.75" customHeight="1">
      <c r="A156" s="379"/>
      <c r="B156" s="680" t="s">
        <v>318</v>
      </c>
      <c r="C156" s="326"/>
      <c r="D156" s="1934" t="s">
        <v>1269</v>
      </c>
      <c r="E156" s="1934"/>
      <c r="F156" s="1934"/>
      <c r="G156" s="445"/>
    </row>
    <row r="157" spans="1:7" customFormat="1" ht="13.75" customHeight="1">
      <c r="A157" s="379"/>
      <c r="B157" s="379"/>
      <c r="C157" s="326"/>
      <c r="D157" s="1934"/>
      <c r="E157" s="1934"/>
      <c r="F157" s="1934"/>
      <c r="G157" s="445"/>
    </row>
    <row r="158" spans="1:7" customFormat="1" ht="13.75" customHeight="1">
      <c r="A158" s="379"/>
      <c r="B158" s="379"/>
      <c r="C158" s="326"/>
      <c r="D158" s="328"/>
      <c r="E158" s="326"/>
      <c r="F158" s="326"/>
      <c r="G158" s="445"/>
    </row>
    <row r="159" spans="1:7" customFormat="1" ht="13.75" customHeight="1">
      <c r="A159" s="379"/>
      <c r="B159" s="680" t="s">
        <v>318</v>
      </c>
      <c r="C159" s="326"/>
      <c r="D159" s="1877" t="s">
        <v>1270</v>
      </c>
      <c r="E159" s="1877"/>
      <c r="F159" s="1877"/>
      <c r="G159" s="445"/>
    </row>
    <row r="160" spans="1:7" customFormat="1" ht="13.75" customHeight="1">
      <c r="A160" s="379"/>
      <c r="B160" s="379"/>
      <c r="C160" s="326"/>
      <c r="D160" s="1877"/>
      <c r="E160" s="1877"/>
      <c r="F160" s="1877"/>
      <c r="G160" s="445"/>
    </row>
    <row r="161" spans="1:7" customFormat="1" ht="13.75" customHeight="1">
      <c r="A161" s="379"/>
      <c r="B161" s="379"/>
      <c r="C161" s="326"/>
      <c r="D161" s="1877"/>
      <c r="E161" s="1877"/>
      <c r="F161" s="1877"/>
      <c r="G161" s="445"/>
    </row>
    <row r="162" spans="1:7" customFormat="1" ht="13.75" customHeight="1">
      <c r="A162" s="379"/>
      <c r="B162" s="379"/>
      <c r="C162" s="326"/>
      <c r="D162" s="1877"/>
      <c r="E162" s="1877"/>
      <c r="F162" s="1877"/>
      <c r="G162" s="445"/>
    </row>
    <row r="163" spans="1:7" customFormat="1" ht="13.75" customHeight="1">
      <c r="A163" s="132"/>
      <c r="B163" s="677"/>
      <c r="C163" s="10"/>
      <c r="D163" s="151"/>
      <c r="E163" s="151"/>
      <c r="F163" s="151"/>
      <c r="G163" s="149"/>
    </row>
    <row r="164" spans="1:7" customFormat="1" ht="13.75" customHeight="1">
      <c r="A164" s="132"/>
      <c r="B164" s="680" t="s">
        <v>318</v>
      </c>
      <c r="C164" s="10"/>
      <c r="D164" s="1922" t="s">
        <v>1271</v>
      </c>
      <c r="E164" s="1922"/>
      <c r="F164" s="1922"/>
      <c r="G164" s="149"/>
    </row>
    <row r="165" spans="1:7" customFormat="1" ht="13.75" customHeight="1">
      <c r="A165" s="132"/>
      <c r="B165" s="677"/>
      <c r="C165" s="10"/>
      <c r="D165" s="1922"/>
      <c r="E165" s="1922"/>
      <c r="F165" s="1922"/>
      <c r="G165" s="149"/>
    </row>
    <row r="166" spans="1:7" customFormat="1" ht="13.75" customHeight="1">
      <c r="A166" s="132"/>
      <c r="B166" s="677"/>
      <c r="C166" s="10"/>
      <c r="D166" s="1922"/>
      <c r="E166" s="1922"/>
      <c r="F166" s="1922"/>
      <c r="G166" s="149"/>
    </row>
    <row r="167" spans="1:7" customFormat="1" ht="13.75" customHeight="1">
      <c r="A167" s="23"/>
      <c r="B167" s="676"/>
      <c r="C167" s="10"/>
      <c r="D167" s="7"/>
      <c r="E167" s="151"/>
      <c r="F167" s="151"/>
      <c r="G167" s="149"/>
    </row>
    <row r="168" spans="1:7" ht="13">
      <c r="A168" s="1900" t="s">
        <v>1165</v>
      </c>
      <c r="B168" s="1900"/>
      <c r="C168" s="1900"/>
      <c r="D168" s="1900"/>
      <c r="E168" s="1900"/>
      <c r="F168" s="1900"/>
      <c r="G168" s="1900"/>
    </row>
    <row r="169" spans="1:7" ht="12" customHeight="1">
      <c r="D169" s="135"/>
      <c r="E169" s="135"/>
      <c r="F169" s="135"/>
    </row>
    <row r="170" spans="1:7">
      <c r="B170" s="1896" t="s">
        <v>472</v>
      </c>
      <c r="C170" s="1896"/>
      <c r="D170" s="1896"/>
      <c r="E170" s="1896"/>
      <c r="F170" s="1896"/>
    </row>
    <row r="171" spans="1:7" ht="12" customHeight="1">
      <c r="A171" s="255"/>
      <c r="B171" s="674"/>
      <c r="C171" s="255"/>
    </row>
    <row r="172" spans="1:7" ht="13">
      <c r="A172" s="1900" t="s">
        <v>1166</v>
      </c>
      <c r="B172" s="1900"/>
      <c r="C172" s="1900"/>
      <c r="D172" s="1900"/>
      <c r="E172" s="1900"/>
      <c r="F172" s="1900"/>
      <c r="G172" s="1900"/>
    </row>
    <row r="173" spans="1:7" ht="12" customHeight="1">
      <c r="A173" s="264"/>
      <c r="B173" s="264"/>
      <c r="C173" s="265"/>
      <c r="D173" s="57"/>
      <c r="E173" s="49"/>
      <c r="F173" s="57"/>
      <c r="G173" s="57"/>
    </row>
    <row r="174" spans="1:7" ht="13.25" customHeight="1">
      <c r="A174" s="264"/>
      <c r="B174" s="264"/>
      <c r="C174" s="265"/>
      <c r="D174" s="1936" t="s">
        <v>1274</v>
      </c>
      <c r="E174" s="1936"/>
      <c r="F174" s="1936"/>
      <c r="G174" s="57"/>
    </row>
    <row r="175" spans="1:7" ht="13">
      <c r="A175" s="264"/>
      <c r="B175" s="264"/>
      <c r="C175" s="265"/>
      <c r="D175" s="1936"/>
      <c r="E175" s="1936"/>
      <c r="F175" s="1936"/>
      <c r="G175" s="57"/>
    </row>
    <row r="176" spans="1:7" s="720" customFormat="1" ht="13">
      <c r="A176" s="722"/>
      <c r="B176" s="722"/>
      <c r="C176" s="265"/>
      <c r="D176" s="1937" t="s">
        <v>1275</v>
      </c>
      <c r="E176" s="1937"/>
      <c r="F176" s="1937"/>
      <c r="G176" s="57"/>
    </row>
    <row r="177" spans="1:7" ht="12" customHeight="1">
      <c r="A177" s="264"/>
      <c r="B177" s="264"/>
      <c r="C177" s="265"/>
      <c r="D177" s="57"/>
      <c r="E177" s="49"/>
      <c r="F177" s="57"/>
      <c r="G177" s="57"/>
    </row>
    <row r="178" spans="1:7" ht="13">
      <c r="A178" s="261"/>
      <c r="B178" s="680" t="s">
        <v>318</v>
      </c>
      <c r="C178" s="265"/>
      <c r="D178" s="1935" t="s">
        <v>1273</v>
      </c>
      <c r="E178" s="1935"/>
      <c r="F178" s="1935"/>
      <c r="G178" s="57"/>
    </row>
    <row r="179" spans="1:7" ht="13">
      <c r="A179" s="261"/>
      <c r="B179" s="261"/>
      <c r="C179" s="265"/>
      <c r="D179" s="1935"/>
      <c r="E179" s="1935"/>
      <c r="F179" s="1935"/>
      <c r="G179" s="57"/>
    </row>
    <row r="180" spans="1:7" ht="13">
      <c r="A180" s="261"/>
      <c r="B180" s="261"/>
      <c r="C180" s="265"/>
      <c r="D180" s="1935"/>
      <c r="E180" s="1935"/>
      <c r="F180" s="1935"/>
      <c r="G180" s="57"/>
    </row>
    <row r="181" spans="1:7">
      <c r="A181" s="265"/>
      <c r="B181" s="265"/>
      <c r="C181" s="265"/>
      <c r="D181" s="1935"/>
      <c r="E181" s="1935"/>
      <c r="F181" s="1935"/>
    </row>
    <row r="182" spans="1:7">
      <c r="A182" s="265"/>
      <c r="B182" s="265"/>
      <c r="C182" s="265"/>
      <c r="D182" s="405"/>
      <c r="E182" s="57"/>
      <c r="F182" s="57"/>
    </row>
    <row r="183" spans="1:7">
      <c r="A183" s="265"/>
      <c r="B183" s="265"/>
      <c r="C183" s="265"/>
      <c r="D183" s="1939" t="s">
        <v>1182</v>
      </c>
      <c r="E183" s="1939"/>
      <c r="F183" s="1939"/>
    </row>
    <row r="184" spans="1:7">
      <c r="A184" s="265"/>
      <c r="B184" s="265"/>
      <c r="C184" s="265"/>
      <c r="D184" s="1939"/>
      <c r="E184" s="1939"/>
      <c r="F184" s="1939"/>
    </row>
    <row r="185" spans="1:7" s="683" customFormat="1">
      <c r="A185" s="265"/>
      <c r="B185" s="265"/>
      <c r="C185" s="265"/>
      <c r="D185" s="697"/>
      <c r="E185" s="697"/>
      <c r="F185" s="697"/>
      <c r="G185" s="7"/>
    </row>
    <row r="186" spans="1:7" s="678" customFormat="1" ht="13">
      <c r="A186" s="261"/>
      <c r="B186" s="680" t="s">
        <v>318</v>
      </c>
      <c r="C186" s="558"/>
      <c r="D186" s="1874" t="s">
        <v>1272</v>
      </c>
      <c r="E186" s="1874"/>
      <c r="F186" s="1874"/>
      <c r="G186" s="679"/>
    </row>
    <row r="187" spans="1:7" s="678" customFormat="1" ht="14.5" customHeight="1">
      <c r="A187" s="261"/>
      <c r="C187" s="558"/>
      <c r="D187" s="1874"/>
      <c r="E187" s="1874"/>
      <c r="F187" s="1874"/>
      <c r="G187" s="679"/>
    </row>
    <row r="188" spans="1:7" s="678" customFormat="1" ht="13">
      <c r="A188" s="261"/>
      <c r="B188" s="698"/>
      <c r="C188" s="558"/>
      <c r="D188" s="1874"/>
      <c r="E188" s="1874"/>
      <c r="F188" s="1874"/>
      <c r="G188" s="679"/>
    </row>
    <row r="189" spans="1:7" s="678" customFormat="1" ht="13">
      <c r="A189" s="261"/>
      <c r="B189" s="698"/>
      <c r="C189" s="558"/>
      <c r="D189" s="1874"/>
      <c r="E189" s="1874"/>
      <c r="F189" s="1874"/>
      <c r="G189" s="679"/>
    </row>
    <row r="190" spans="1:7" s="683" customFormat="1">
      <c r="A190" s="265"/>
      <c r="B190" s="265"/>
      <c r="C190" s="265"/>
      <c r="D190" s="697"/>
      <c r="E190" s="697"/>
      <c r="F190" s="697"/>
      <c r="G190" s="7"/>
    </row>
    <row r="191" spans="1:7" ht="13">
      <c r="A191" s="1900" t="s">
        <v>1167</v>
      </c>
      <c r="B191" s="1900"/>
      <c r="C191" s="1900"/>
      <c r="D191" s="1900"/>
      <c r="E191" s="1900"/>
      <c r="F191" s="1900"/>
      <c r="G191" s="1900"/>
    </row>
    <row r="192" spans="1:7" ht="12" customHeight="1">
      <c r="D192" s="135"/>
      <c r="E192" s="135"/>
      <c r="F192" s="135"/>
    </row>
    <row r="193" spans="1:6" ht="13">
      <c r="C193" s="262"/>
      <c r="D193" s="1938" t="s">
        <v>214</v>
      </c>
      <c r="E193" s="1938"/>
      <c r="F193" s="1938"/>
    </row>
    <row r="194" spans="1:6" ht="13">
      <c r="A194" s="255"/>
      <c r="B194" s="674"/>
      <c r="C194" s="255"/>
      <c r="D194" s="1906" t="s">
        <v>1296</v>
      </c>
      <c r="E194" s="1907"/>
      <c r="F194" s="1907"/>
    </row>
    <row r="195" spans="1:6" ht="12" customHeight="1">
      <c r="A195" s="23"/>
      <c r="B195" s="676"/>
      <c r="C195" s="23"/>
    </row>
    <row r="196" spans="1:6" ht="13.25" customHeight="1">
      <c r="A196" s="23"/>
      <c r="C196" s="23"/>
      <c r="D196" s="1898" t="s">
        <v>581</v>
      </c>
      <c r="E196" s="1898"/>
      <c r="F196" s="1898"/>
    </row>
    <row r="197" spans="1:6" ht="13">
      <c r="A197" s="261"/>
      <c r="B197" s="680" t="s">
        <v>318</v>
      </c>
      <c r="D197" s="1874" t="s">
        <v>1290</v>
      </c>
      <c r="E197" s="1874"/>
      <c r="F197" s="1874"/>
    </row>
    <row r="198" spans="1:6" ht="13">
      <c r="A198" s="261"/>
      <c r="B198" s="261"/>
      <c r="D198" s="1874"/>
      <c r="E198" s="1874"/>
      <c r="F198" s="1874"/>
    </row>
    <row r="199" spans="1:6"/>
    <row r="200" spans="1:6" ht="13">
      <c r="A200" s="261"/>
      <c r="B200" s="680" t="s">
        <v>318</v>
      </c>
      <c r="D200" s="1874" t="s">
        <v>1291</v>
      </c>
      <c r="E200" s="1874"/>
      <c r="F200" s="1874"/>
    </row>
    <row r="201" spans="1:6" ht="13">
      <c r="A201" s="261"/>
      <c r="B201" s="261"/>
      <c r="D201" s="1874"/>
      <c r="E201" s="1874"/>
      <c r="F201" s="1874"/>
    </row>
    <row r="202" spans="1:6" ht="13">
      <c r="A202" s="261"/>
      <c r="B202" s="261"/>
      <c r="D202" s="1874"/>
      <c r="E202" s="1874"/>
      <c r="F202" s="1874"/>
    </row>
    <row r="203" spans="1:6" ht="5.25" customHeight="1">
      <c r="A203" s="261"/>
      <c r="B203" s="261"/>
      <c r="D203" s="151"/>
      <c r="E203" s="135"/>
      <c r="F203" s="135"/>
    </row>
    <row r="204" spans="1:6" ht="13">
      <c r="A204" s="261"/>
      <c r="B204" s="261"/>
      <c r="D204" s="1874" t="s">
        <v>1292</v>
      </c>
      <c r="E204" s="1874"/>
      <c r="F204" s="1874"/>
    </row>
    <row r="205" spans="1:6" ht="13">
      <c r="A205" s="261"/>
      <c r="B205" s="261"/>
      <c r="D205" s="1874"/>
      <c r="E205" s="1874"/>
      <c r="F205" s="1874"/>
    </row>
    <row r="206" spans="1:6" ht="13">
      <c r="A206" s="261"/>
      <c r="B206" s="261"/>
      <c r="D206" s="1874"/>
      <c r="E206" s="1874"/>
      <c r="F206" s="1874"/>
    </row>
    <row r="207" spans="1:6" ht="13">
      <c r="A207" s="261"/>
      <c r="B207" s="261"/>
      <c r="D207" s="1874"/>
      <c r="E207" s="1874"/>
      <c r="F207" s="1874"/>
    </row>
    <row r="208" spans="1:6" ht="13">
      <c r="A208" s="261"/>
      <c r="B208" s="261"/>
      <c r="D208" s="1874"/>
      <c r="E208" s="1874"/>
      <c r="F208" s="1874"/>
    </row>
    <row r="209" spans="1:7" ht="13">
      <c r="A209" s="261"/>
      <c r="B209" s="261"/>
      <c r="D209" s="135"/>
      <c r="E209" s="135"/>
      <c r="F209" s="135"/>
    </row>
    <row r="210" spans="1:7" ht="13">
      <c r="A210" s="261"/>
      <c r="B210" s="680" t="s">
        <v>318</v>
      </c>
      <c r="D210" s="1895" t="s">
        <v>1293</v>
      </c>
      <c r="E210" s="1895"/>
      <c r="F210" s="1895"/>
    </row>
    <row r="211" spans="1:7" ht="13">
      <c r="A211" s="261"/>
      <c r="B211" s="261"/>
      <c r="D211" s="1895"/>
      <c r="E211" s="1895"/>
      <c r="F211" s="1895"/>
    </row>
    <row r="212" spans="1:7" ht="13">
      <c r="A212" s="261"/>
      <c r="B212" s="261"/>
      <c r="D212" s="1896" t="s">
        <v>967</v>
      </c>
      <c r="E212" s="1896"/>
      <c r="F212" s="1896"/>
    </row>
    <row r="213" spans="1:7" ht="13">
      <c r="A213" s="261"/>
      <c r="B213" s="261"/>
      <c r="D213" s="135"/>
      <c r="E213" s="135"/>
      <c r="F213" s="135"/>
    </row>
    <row r="214" spans="1:7" ht="14.5" customHeight="1">
      <c r="A214" s="261"/>
      <c r="B214" s="680" t="s">
        <v>318</v>
      </c>
      <c r="D214" s="1895" t="s">
        <v>1295</v>
      </c>
      <c r="E214" s="1895"/>
      <c r="F214" s="1895"/>
    </row>
    <row r="215" spans="1:7" ht="13">
      <c r="A215" s="261"/>
      <c r="B215" s="261"/>
      <c r="D215" s="1895"/>
      <c r="E215" s="1895"/>
      <c r="F215" s="1895"/>
    </row>
    <row r="216" spans="1:7" ht="13">
      <c r="A216" s="261"/>
      <c r="B216" s="261"/>
      <c r="D216" s="1895"/>
      <c r="E216" s="1895"/>
      <c r="F216" s="1895"/>
    </row>
    <row r="217" spans="1:7" ht="13">
      <c r="A217" s="261"/>
      <c r="B217" s="261"/>
      <c r="D217" s="1895"/>
      <c r="E217" s="1895"/>
      <c r="F217" s="1895"/>
    </row>
    <row r="218" spans="1:7" ht="13">
      <c r="A218" s="261"/>
      <c r="B218" s="261"/>
      <c r="D218" s="1895"/>
      <c r="E218" s="1895"/>
      <c r="F218" s="1895"/>
    </row>
    <row r="219" spans="1:7">
      <c r="D219" s="135"/>
      <c r="E219" s="135"/>
      <c r="F219" s="135"/>
    </row>
    <row r="220" spans="1:7" ht="13">
      <c r="A220" s="261"/>
      <c r="B220" s="680" t="s">
        <v>318</v>
      </c>
      <c r="D220" s="1874" t="s">
        <v>1294</v>
      </c>
      <c r="E220" s="1874"/>
      <c r="F220" s="1874"/>
    </row>
    <row r="221" spans="1:7" ht="13">
      <c r="A221" s="261"/>
      <c r="B221" s="261"/>
      <c r="D221" s="1874"/>
      <c r="E221" s="1874"/>
      <c r="F221" s="1874"/>
    </row>
    <row r="222" spans="1:7">
      <c r="D222" s="29"/>
    </row>
    <row r="223" spans="1:7" ht="13">
      <c r="A223" s="1900" t="s">
        <v>1168</v>
      </c>
      <c r="B223" s="1900"/>
      <c r="C223" s="1900"/>
      <c r="D223" s="1900"/>
      <c r="E223" s="1900"/>
      <c r="F223" s="1900"/>
      <c r="G223" s="1900"/>
    </row>
    <row r="224" spans="1:7">
      <c r="D224" s="29"/>
    </row>
    <row r="225" spans="1:6" ht="13">
      <c r="C225" s="262"/>
      <c r="D225" s="1898" t="s">
        <v>1297</v>
      </c>
      <c r="E225" s="1898"/>
      <c r="F225" s="1898"/>
    </row>
    <row r="226" spans="1:6" ht="13">
      <c r="A226" s="255"/>
      <c r="B226" s="674"/>
      <c r="C226" s="255"/>
      <c r="D226" s="135"/>
      <c r="E226" s="135"/>
      <c r="F226" s="135"/>
    </row>
    <row r="227" spans="1:6" ht="13">
      <c r="A227" s="260"/>
      <c r="B227" s="260"/>
      <c r="C227" s="260"/>
      <c r="D227" s="1898" t="s">
        <v>277</v>
      </c>
      <c r="E227" s="1898"/>
      <c r="F227" s="1898"/>
    </row>
    <row r="228" spans="1:6" ht="13">
      <c r="A228" s="261"/>
      <c r="B228" s="680" t="s">
        <v>318</v>
      </c>
      <c r="D228" s="1948" t="s">
        <v>1298</v>
      </c>
      <c r="E228" s="1948"/>
      <c r="F228" s="1948"/>
    </row>
    <row r="229" spans="1:6" ht="13">
      <c r="A229" s="261"/>
      <c r="B229" s="261"/>
      <c r="D229" s="1948"/>
      <c r="E229" s="1948"/>
      <c r="F229" s="1948"/>
    </row>
    <row r="230" spans="1:6">
      <c r="D230" s="135"/>
      <c r="E230" s="135"/>
      <c r="F230" s="135"/>
    </row>
    <row r="231" spans="1:6" ht="14.5" customHeight="1">
      <c r="A231" s="261"/>
      <c r="B231" s="680" t="s">
        <v>318</v>
      </c>
      <c r="D231" s="1895" t="s">
        <v>1299</v>
      </c>
      <c r="E231" s="1895"/>
      <c r="F231" s="1895"/>
    </row>
    <row r="232" spans="1:6">
      <c r="D232" s="1895"/>
      <c r="E232" s="1895"/>
      <c r="F232" s="1895"/>
    </row>
    <row r="233" spans="1:6" ht="13">
      <c r="D233" s="1907" t="s">
        <v>958</v>
      </c>
      <c r="E233" s="1907"/>
      <c r="F233" s="1907"/>
    </row>
    <row r="234" spans="1:6">
      <c r="D234" s="135"/>
      <c r="E234" s="135"/>
      <c r="F234" s="135"/>
    </row>
    <row r="235" spans="1:6" ht="14.5" customHeight="1">
      <c r="A235" s="261"/>
      <c r="B235" s="680" t="s">
        <v>318</v>
      </c>
      <c r="D235" s="1895" t="s">
        <v>1301</v>
      </c>
      <c r="E235" s="1895"/>
      <c r="F235" s="1895"/>
    </row>
    <row r="236" spans="1:6">
      <c r="D236" s="1895"/>
      <c r="E236" s="1895"/>
      <c r="F236" s="1895"/>
    </row>
    <row r="237" spans="1:6">
      <c r="D237" s="1895"/>
      <c r="E237" s="1895"/>
      <c r="F237" s="1895"/>
    </row>
    <row r="238" spans="1:6">
      <c r="D238" s="1895"/>
      <c r="E238" s="1895"/>
      <c r="F238" s="1895"/>
    </row>
    <row r="239" spans="1:6">
      <c r="D239" s="1895"/>
      <c r="E239" s="1895"/>
      <c r="F239" s="1895"/>
    </row>
    <row r="240" spans="1:6">
      <c r="D240" s="135"/>
      <c r="E240" s="135"/>
      <c r="F240" s="135"/>
    </row>
    <row r="241" spans="1:7" ht="13">
      <c r="A241" s="261"/>
      <c r="B241" s="680" t="s">
        <v>318</v>
      </c>
      <c r="D241" s="1874" t="s">
        <v>1300</v>
      </c>
      <c r="E241" s="1874"/>
      <c r="F241" s="1874"/>
    </row>
    <row r="242" spans="1:7">
      <c r="D242" s="1874"/>
      <c r="E242" s="1874"/>
      <c r="F242" s="1874"/>
    </row>
    <row r="243" spans="1:7">
      <c r="D243" s="1874"/>
      <c r="E243" s="1874"/>
      <c r="F243" s="1874"/>
    </row>
    <row r="244" spans="1:7">
      <c r="D244" s="263"/>
      <c r="E244" s="135"/>
      <c r="F244" s="135"/>
    </row>
    <row r="245" spans="1:7" ht="13">
      <c r="A245" s="1900" t="s">
        <v>1169</v>
      </c>
      <c r="B245" s="1900"/>
      <c r="C245" s="1900"/>
      <c r="D245" s="1900"/>
      <c r="E245" s="1900"/>
      <c r="F245" s="1900"/>
      <c r="G245" s="1900"/>
    </row>
    <row r="246" spans="1:7">
      <c r="D246" s="263"/>
      <c r="E246" s="135"/>
      <c r="F246" s="135"/>
    </row>
    <row r="247" spans="1:7" ht="13">
      <c r="C247" s="255"/>
      <c r="D247" s="1916" t="s">
        <v>1302</v>
      </c>
      <c r="E247" s="1916"/>
      <c r="F247" s="1916"/>
    </row>
    <row r="248" spans="1:7" ht="13">
      <c r="C248" s="255"/>
      <c r="D248" s="1916"/>
      <c r="E248" s="1916"/>
      <c r="F248" s="1916"/>
    </row>
    <row r="249" spans="1:7" ht="13">
      <c r="A249" s="260"/>
      <c r="B249" s="260"/>
      <c r="C249" s="260"/>
      <c r="D249" s="5"/>
      <c r="E249" s="6"/>
      <c r="F249" s="6"/>
    </row>
    <row r="250" spans="1:7" ht="13">
      <c r="C250" s="260"/>
      <c r="D250" s="1898" t="s">
        <v>215</v>
      </c>
      <c r="E250" s="1898"/>
      <c r="F250" s="1898"/>
    </row>
    <row r="251" spans="1:7" ht="15.75" customHeight="1">
      <c r="A251" s="261"/>
      <c r="B251" s="261"/>
      <c r="D251" s="1904" t="s">
        <v>1303</v>
      </c>
      <c r="E251" s="1904"/>
      <c r="F251" s="1904"/>
    </row>
    <row r="252" spans="1:7">
      <c r="E252" s="135"/>
      <c r="F252" s="135"/>
    </row>
    <row r="253" spans="1:7" ht="13">
      <c r="A253" s="261"/>
      <c r="B253" s="680" t="s">
        <v>318</v>
      </c>
      <c r="D253" s="1874" t="s">
        <v>1304</v>
      </c>
      <c r="E253" s="1874"/>
      <c r="F253" s="1874"/>
    </row>
    <row r="254" spans="1:7" ht="13">
      <c r="A254" s="261"/>
      <c r="B254" s="261"/>
      <c r="D254" s="1874"/>
      <c r="E254" s="1874"/>
      <c r="F254" s="1874"/>
    </row>
    <row r="255" spans="1:7">
      <c r="D255" s="135"/>
      <c r="E255" s="135"/>
      <c r="F255" s="135"/>
    </row>
    <row r="256" spans="1:7" ht="13">
      <c r="A256" s="261"/>
      <c r="B256" s="680" t="s">
        <v>318</v>
      </c>
      <c r="D256" s="1895" t="s">
        <v>1305</v>
      </c>
      <c r="E256" s="1895"/>
      <c r="F256" s="1895"/>
    </row>
    <row r="257" spans="1:7" ht="13">
      <c r="A257" s="261"/>
      <c r="B257" s="261"/>
      <c r="D257" s="1895"/>
      <c r="E257" s="1895"/>
      <c r="F257" s="1895"/>
    </row>
    <row r="258" spans="1:7" ht="13">
      <c r="A258" s="261"/>
      <c r="B258" s="261"/>
      <c r="D258" s="1895"/>
      <c r="E258" s="1895"/>
      <c r="F258" s="1895"/>
    </row>
    <row r="259" spans="1:7">
      <c r="D259" s="135"/>
      <c r="E259" s="135"/>
      <c r="F259" s="135"/>
    </row>
    <row r="260" spans="1:7" ht="13">
      <c r="A260" s="261"/>
      <c r="B260" s="680" t="s">
        <v>318</v>
      </c>
      <c r="D260" s="1874" t="s">
        <v>1306</v>
      </c>
      <c r="E260" s="1874"/>
      <c r="F260" s="1874"/>
    </row>
    <row r="261" spans="1:7" ht="13">
      <c r="A261" s="261"/>
      <c r="B261" s="261"/>
      <c r="D261" s="1874"/>
      <c r="E261" s="1874"/>
      <c r="F261" s="1874"/>
    </row>
    <row r="262" spans="1:7" ht="13">
      <c r="A262" s="23"/>
      <c r="B262" s="676"/>
      <c r="E262" s="135"/>
      <c r="F262" s="135"/>
    </row>
    <row r="263" spans="1:7" ht="13">
      <c r="A263" s="1900" t="s">
        <v>1170</v>
      </c>
      <c r="B263" s="1900"/>
      <c r="C263" s="1900"/>
      <c r="D263" s="1900"/>
      <c r="E263" s="1900"/>
      <c r="F263" s="1900"/>
      <c r="G263" s="1900"/>
    </row>
    <row r="264" spans="1:7" ht="13">
      <c r="A264" s="23"/>
      <c r="B264" s="676"/>
      <c r="D264" s="135"/>
      <c r="E264" s="135"/>
      <c r="F264" s="135"/>
    </row>
    <row r="265" spans="1:7" ht="13">
      <c r="C265" s="23"/>
      <c r="D265" s="1898" t="s">
        <v>721</v>
      </c>
      <c r="E265" s="1898"/>
      <c r="F265" s="1898"/>
    </row>
    <row r="266" spans="1:7" ht="13">
      <c r="C266" s="23"/>
      <c r="D266" s="1899" t="s">
        <v>1307</v>
      </c>
      <c r="E266" s="1899"/>
      <c r="F266" s="1899"/>
    </row>
    <row r="267" spans="1:7" ht="13">
      <c r="C267" s="23"/>
      <c r="D267" s="259"/>
    </row>
    <row r="268" spans="1:7">
      <c r="A268" s="273"/>
      <c r="B268" s="680" t="s">
        <v>318</v>
      </c>
      <c r="D268" s="1899" t="s">
        <v>1308</v>
      </c>
      <c r="E268" s="1899"/>
      <c r="F268" s="1899"/>
    </row>
    <row r="269" spans="1:7" s="39" customFormat="1" ht="13">
      <c r="A269" s="404"/>
      <c r="B269" s="404"/>
      <c r="C269" s="273"/>
      <c r="D269" s="498"/>
      <c r="E269" s="499"/>
      <c r="F269" s="499"/>
      <c r="G269" s="130"/>
    </row>
    <row r="270" spans="1:7" s="39" customFormat="1" ht="13.25" customHeight="1">
      <c r="A270" s="273"/>
      <c r="B270" s="680" t="s">
        <v>318</v>
      </c>
      <c r="C270" s="273"/>
      <c r="D270" s="1949" t="s">
        <v>1309</v>
      </c>
      <c r="E270" s="1949"/>
      <c r="F270" s="1949"/>
      <c r="G270" s="130"/>
    </row>
    <row r="271" spans="1:7" s="39" customFormat="1" ht="13">
      <c r="A271" s="404"/>
      <c r="B271" s="404"/>
      <c r="C271" s="273"/>
      <c r="D271" s="1949"/>
      <c r="E271" s="1949"/>
      <c r="F271" s="1949"/>
      <c r="G271" s="130"/>
    </row>
    <row r="272" spans="1:7" s="39" customFormat="1" ht="13">
      <c r="A272" s="404"/>
      <c r="B272" s="404"/>
      <c r="C272" s="273"/>
      <c r="D272" s="1949"/>
      <c r="E272" s="1949"/>
      <c r="F272" s="1949"/>
      <c r="G272" s="130"/>
    </row>
    <row r="273" spans="1:7" s="39" customFormat="1" ht="13">
      <c r="A273" s="404"/>
      <c r="B273" s="404"/>
      <c r="C273" s="273"/>
      <c r="D273" s="1949"/>
      <c r="E273" s="1949"/>
      <c r="F273" s="1949"/>
      <c r="G273" s="130"/>
    </row>
    <row r="274" spans="1:7" s="39" customFormat="1" ht="13">
      <c r="A274" s="404"/>
      <c r="B274" s="404"/>
      <c r="C274" s="273"/>
      <c r="D274" s="1949"/>
      <c r="E274" s="1949"/>
      <c r="F274" s="1949"/>
      <c r="G274" s="130"/>
    </row>
    <row r="275" spans="1:7" s="39" customFormat="1" ht="13">
      <c r="A275" s="404"/>
      <c r="B275" s="404"/>
      <c r="C275" s="273"/>
      <c r="D275" s="498"/>
      <c r="E275" s="499"/>
      <c r="F275" s="499"/>
      <c r="G275" s="130"/>
    </row>
    <row r="276" spans="1:7" s="39" customFormat="1" ht="13.25" customHeight="1">
      <c r="A276" s="273"/>
      <c r="B276" s="680" t="s">
        <v>318</v>
      </c>
      <c r="C276" s="273"/>
      <c r="D276" s="1949" t="s">
        <v>1310</v>
      </c>
      <c r="E276" s="1949"/>
      <c r="F276" s="1949"/>
      <c r="G276" s="130"/>
    </row>
    <row r="277" spans="1:7" s="39" customFormat="1">
      <c r="A277" s="273"/>
      <c r="B277" s="273"/>
      <c r="C277" s="273"/>
      <c r="D277" s="1949"/>
      <c r="E277" s="1949"/>
      <c r="F277" s="1949"/>
      <c r="G277" s="130"/>
    </row>
    <row r="278" spans="1:7" s="39" customFormat="1" ht="13">
      <c r="A278" s="404"/>
      <c r="B278" s="404"/>
      <c r="C278" s="273"/>
      <c r="D278" s="498"/>
      <c r="E278" s="499"/>
      <c r="F278" s="499"/>
      <c r="G278" s="130"/>
    </row>
    <row r="279" spans="1:7">
      <c r="A279" s="273"/>
      <c r="B279" s="680" t="s">
        <v>318</v>
      </c>
      <c r="D279" s="1899" t="s">
        <v>1311</v>
      </c>
      <c r="E279" s="1899"/>
      <c r="F279" s="1899"/>
    </row>
    <row r="280" spans="1:7">
      <c r="E280" s="135"/>
      <c r="F280" s="135"/>
    </row>
    <row r="281" spans="1:7" ht="13">
      <c r="A281" s="261"/>
      <c r="B281" s="680" t="s">
        <v>318</v>
      </c>
      <c r="D281" s="1895" t="s">
        <v>1312</v>
      </c>
      <c r="E281" s="1895"/>
      <c r="F281" s="1895"/>
    </row>
    <row r="282" spans="1:7" ht="13">
      <c r="A282" s="261"/>
      <c r="B282" s="261"/>
      <c r="D282" s="1895"/>
      <c r="E282" s="1895"/>
      <c r="F282" s="1895"/>
    </row>
    <row r="283" spans="1:7" s="720" customFormat="1" ht="13">
      <c r="A283" s="715"/>
      <c r="B283" s="715"/>
      <c r="C283" s="732"/>
      <c r="D283" s="1895"/>
      <c r="E283" s="1895"/>
      <c r="F283" s="1895"/>
      <c r="G283" s="7"/>
    </row>
    <row r="284" spans="1:7" s="720" customFormat="1" ht="13">
      <c r="A284" s="715"/>
      <c r="B284" s="715"/>
      <c r="C284" s="732"/>
      <c r="D284" s="1895"/>
      <c r="E284" s="1895"/>
      <c r="F284" s="1895"/>
      <c r="G284" s="7"/>
    </row>
    <row r="285" spans="1:7" s="720" customFormat="1" ht="13">
      <c r="A285" s="715"/>
      <c r="B285" s="715"/>
      <c r="C285" s="732"/>
      <c r="D285" s="1895"/>
      <c r="E285" s="1895"/>
      <c r="F285" s="1895"/>
      <c r="G285" s="7"/>
    </row>
    <row r="286" spans="1:7" s="720" customFormat="1" ht="13">
      <c r="A286" s="715"/>
      <c r="B286" s="715"/>
      <c r="C286" s="732"/>
      <c r="D286" s="1895"/>
      <c r="E286" s="1895"/>
      <c r="F286" s="1895"/>
      <c r="G286" s="7"/>
    </row>
    <row r="287" spans="1:7" s="720" customFormat="1" ht="13">
      <c r="A287" s="715"/>
      <c r="B287" s="715"/>
      <c r="C287" s="732"/>
      <c r="D287" s="1895"/>
      <c r="E287" s="1895"/>
      <c r="F287" s="1895"/>
      <c r="G287" s="7"/>
    </row>
    <row r="288" spans="1:7" s="720" customFormat="1" ht="13">
      <c r="A288" s="715"/>
      <c r="B288" s="715"/>
      <c r="C288" s="732"/>
      <c r="D288" s="1895"/>
      <c r="E288" s="1895"/>
      <c r="F288" s="1895"/>
      <c r="G288" s="7"/>
    </row>
    <row r="289" spans="1:7" s="720" customFormat="1" ht="13">
      <c r="A289" s="715"/>
      <c r="B289" s="715"/>
      <c r="C289" s="732"/>
      <c r="D289" s="1895"/>
      <c r="E289" s="1895"/>
      <c r="F289" s="1895"/>
      <c r="G289" s="7"/>
    </row>
    <row r="290" spans="1:7" s="720" customFormat="1" ht="13">
      <c r="A290" s="715"/>
      <c r="B290" s="715"/>
      <c r="C290" s="732"/>
      <c r="D290" s="1895"/>
      <c r="E290" s="1895"/>
      <c r="F290" s="1895"/>
      <c r="G290" s="7"/>
    </row>
    <row r="291" spans="1:7" s="720" customFormat="1" ht="13">
      <c r="A291" s="715"/>
      <c r="B291" s="715"/>
      <c r="C291" s="732"/>
      <c r="D291" s="1895"/>
      <c r="E291" s="1895"/>
      <c r="F291" s="1895"/>
      <c r="G291" s="7"/>
    </row>
    <row r="292" spans="1:7" s="720" customFormat="1" ht="13">
      <c r="A292" s="715"/>
      <c r="B292" s="715"/>
      <c r="C292" s="732"/>
      <c r="D292" s="1895"/>
      <c r="E292" s="1895"/>
      <c r="F292" s="1895"/>
      <c r="G292" s="7"/>
    </row>
    <row r="293" spans="1:7" ht="13">
      <c r="A293" s="261"/>
      <c r="B293" s="261"/>
      <c r="D293" s="1895"/>
      <c r="E293" s="1895"/>
      <c r="F293" s="1895"/>
    </row>
    <row r="294" spans="1:7" ht="13">
      <c r="A294" s="261"/>
      <c r="B294" s="261"/>
      <c r="D294" s="1895"/>
      <c r="E294" s="1895"/>
      <c r="F294" s="1895"/>
    </row>
    <row r="295" spans="1:7" ht="13">
      <c r="A295" s="261"/>
      <c r="B295" s="261"/>
      <c r="D295" s="1895"/>
      <c r="E295" s="1895"/>
      <c r="F295" s="1895"/>
    </row>
    <row r="296" spans="1:7">
      <c r="D296" s="135"/>
      <c r="E296" s="135"/>
      <c r="F296" s="135"/>
    </row>
    <row r="297" spans="1:7" ht="13">
      <c r="A297" s="261"/>
      <c r="B297" s="680" t="s">
        <v>318</v>
      </c>
      <c r="D297" s="1895" t="s">
        <v>1313</v>
      </c>
      <c r="E297" s="1895"/>
      <c r="F297" s="1895"/>
    </row>
    <row r="298" spans="1:7">
      <c r="D298" s="1895"/>
      <c r="E298" s="1895"/>
      <c r="F298" s="1895"/>
    </row>
    <row r="299" spans="1:7">
      <c r="D299" s="1895"/>
      <c r="E299" s="1895"/>
      <c r="F299" s="1895"/>
    </row>
    <row r="300" spans="1:7">
      <c r="D300" s="1895"/>
      <c r="E300" s="1895"/>
      <c r="F300" s="1895"/>
    </row>
    <row r="301" spans="1:7">
      <c r="D301" s="1895"/>
      <c r="E301" s="1895"/>
      <c r="F301" s="1895"/>
    </row>
    <row r="302" spans="1:7">
      <c r="D302" s="1895"/>
      <c r="E302" s="1895"/>
      <c r="F302" s="1895"/>
    </row>
    <row r="303" spans="1:7">
      <c r="D303" s="1895"/>
      <c r="E303" s="1895"/>
      <c r="F303" s="1895"/>
    </row>
    <row r="304" spans="1:7">
      <c r="D304" s="1895"/>
      <c r="E304" s="1895"/>
      <c r="F304" s="1895"/>
    </row>
    <row r="305" spans="1:7">
      <c r="D305" s="1895"/>
      <c r="E305" s="1895"/>
      <c r="F305" s="1895"/>
    </row>
    <row r="306" spans="1:7">
      <c r="D306" s="135"/>
      <c r="E306" s="135"/>
      <c r="F306" s="135"/>
    </row>
    <row r="307" spans="1:7" ht="13">
      <c r="A307" s="261"/>
      <c r="B307" s="680" t="s">
        <v>318</v>
      </c>
      <c r="D307" s="1874" t="s">
        <v>1314</v>
      </c>
      <c r="E307" s="1874"/>
      <c r="F307" s="1874"/>
    </row>
    <row r="308" spans="1:7">
      <c r="D308" s="1874"/>
      <c r="E308" s="1874"/>
      <c r="F308" s="1874"/>
      <c r="G308" s="12"/>
    </row>
    <row r="309" spans="1:7">
      <c r="D309" s="1874"/>
      <c r="E309" s="1874"/>
      <c r="F309" s="1874"/>
      <c r="G309" s="12"/>
    </row>
    <row r="310" spans="1:7">
      <c r="D310" s="1874"/>
      <c r="E310" s="1874"/>
      <c r="F310" s="1874"/>
      <c r="G310" s="12"/>
    </row>
    <row r="311" spans="1:7">
      <c r="D311" s="1874"/>
      <c r="E311" s="1874"/>
      <c r="F311" s="1874"/>
      <c r="G311" s="12"/>
    </row>
    <row r="312" spans="1:7">
      <c r="D312" s="1874"/>
      <c r="E312" s="1874"/>
      <c r="F312" s="1874"/>
      <c r="G312" s="12"/>
    </row>
    <row r="313" spans="1:7" s="720" customFormat="1">
      <c r="A313" s="732"/>
      <c r="B313" s="732"/>
      <c r="C313" s="732"/>
      <c r="D313" s="729"/>
      <c r="E313" s="729"/>
      <c r="F313" s="729"/>
    </row>
    <row r="314" spans="1:7" ht="13.5" thickBot="1">
      <c r="D314" s="1945" t="s">
        <v>1063</v>
      </c>
      <c r="E314" s="1945"/>
      <c r="F314" s="1945"/>
      <c r="G314" s="12"/>
    </row>
    <row r="315" spans="1:7" s="720" customFormat="1" ht="13" thickTop="1">
      <c r="A315" s="732"/>
      <c r="B315" s="732"/>
      <c r="C315" s="732"/>
      <c r="D315" s="1946" t="s">
        <v>1315</v>
      </c>
      <c r="E315" s="1946"/>
      <c r="F315" s="1946"/>
    </row>
    <row r="316" spans="1:7">
      <c r="A316" s="326"/>
      <c r="B316" s="326"/>
      <c r="C316" s="326"/>
      <c r="D316" s="468"/>
      <c r="E316" s="468"/>
      <c r="F316" s="135"/>
      <c r="G316" s="12"/>
    </row>
    <row r="317" spans="1:7" ht="13">
      <c r="A317" s="261"/>
      <c r="B317" s="680" t="s">
        <v>318</v>
      </c>
      <c r="C317" s="326"/>
      <c r="D317" s="1947" t="s">
        <v>1316</v>
      </c>
      <c r="E317" s="1947"/>
      <c r="F317" s="1947"/>
      <c r="G317" s="12"/>
    </row>
    <row r="318" spans="1:7">
      <c r="A318" s="326"/>
      <c r="B318" s="326"/>
      <c r="C318" s="326"/>
      <c r="D318" s="468"/>
      <c r="E318" s="468"/>
      <c r="F318" s="135"/>
      <c r="G318" s="12"/>
    </row>
    <row r="319" spans="1:7">
      <c r="A319" s="326"/>
      <c r="B319" s="680" t="s">
        <v>318</v>
      </c>
      <c r="C319" s="326"/>
      <c r="D319" s="1931" t="s">
        <v>1317</v>
      </c>
      <c r="E319" s="1931"/>
      <c r="F319" s="1931"/>
      <c r="G319" s="12"/>
    </row>
    <row r="320" spans="1:7">
      <c r="A320" s="326"/>
      <c r="B320" s="326"/>
      <c r="C320" s="326"/>
      <c r="D320" s="1931"/>
      <c r="E320" s="1931"/>
      <c r="F320" s="1931"/>
      <c r="G320" s="12"/>
    </row>
    <row r="321" spans="1:7">
      <c r="A321" s="326"/>
      <c r="B321" s="326"/>
      <c r="C321" s="326"/>
      <c r="D321" s="1931"/>
      <c r="E321" s="1931"/>
      <c r="F321" s="1931"/>
      <c r="G321" s="12"/>
    </row>
    <row r="322" spans="1:7">
      <c r="A322" s="326"/>
      <c r="B322" s="326"/>
      <c r="C322" s="326"/>
      <c r="D322" s="1931"/>
      <c r="E322" s="1931"/>
      <c r="F322" s="1931"/>
      <c r="G322" s="12"/>
    </row>
    <row r="323" spans="1:7" s="720" customFormat="1">
      <c r="A323" s="326"/>
      <c r="B323" s="326"/>
      <c r="C323" s="326"/>
      <c r="D323" s="1931"/>
      <c r="E323" s="1931"/>
      <c r="F323" s="1931"/>
    </row>
    <row r="324" spans="1:7" s="720" customFormat="1">
      <c r="A324" s="326"/>
      <c r="B324" s="326"/>
      <c r="C324" s="326"/>
      <c r="D324" s="1931"/>
      <c r="E324" s="1931"/>
      <c r="F324" s="1931"/>
    </row>
    <row r="325" spans="1:7" s="720" customFormat="1">
      <c r="A325" s="326"/>
      <c r="B325" s="326"/>
      <c r="C325" s="326"/>
      <c r="D325" s="1931"/>
      <c r="E325" s="1931"/>
      <c r="F325" s="1931"/>
    </row>
    <row r="326" spans="1:7" s="720" customFormat="1">
      <c r="A326" s="326"/>
      <c r="B326" s="326"/>
      <c r="C326" s="326"/>
      <c r="D326" s="1931"/>
      <c r="E326" s="1931"/>
      <c r="F326" s="1931"/>
    </row>
    <row r="327" spans="1:7">
      <c r="A327" s="326"/>
      <c r="B327" s="326"/>
      <c r="C327" s="326"/>
      <c r="D327" s="1931"/>
      <c r="E327" s="1931"/>
      <c r="F327" s="1931"/>
      <c r="G327" s="12"/>
    </row>
    <row r="328" spans="1:7">
      <c r="A328" s="326"/>
      <c r="B328" s="326"/>
      <c r="C328" s="326"/>
      <c r="D328" s="1931"/>
      <c r="E328" s="1931"/>
      <c r="F328" s="1931"/>
      <c r="G328" s="12"/>
    </row>
    <row r="329" spans="1:7">
      <c r="A329" s="326"/>
      <c r="B329" s="326"/>
      <c r="C329" s="326"/>
      <c r="D329" s="1931"/>
      <c r="E329" s="1931"/>
      <c r="F329" s="1931"/>
      <c r="G329" s="12"/>
    </row>
    <row r="330" spans="1:7">
      <c r="A330" s="326"/>
      <c r="B330" s="326"/>
      <c r="C330" s="326"/>
      <c r="D330" s="12"/>
      <c r="E330" s="468"/>
      <c r="F330" s="135"/>
      <c r="G330" s="12"/>
    </row>
    <row r="331" spans="1:7" ht="13">
      <c r="A331" s="261"/>
      <c r="B331" s="680" t="s">
        <v>318</v>
      </c>
      <c r="C331" s="326"/>
      <c r="D331" s="1950" t="s">
        <v>1318</v>
      </c>
      <c r="E331" s="1950"/>
      <c r="F331" s="1950"/>
      <c r="G331" s="12"/>
    </row>
    <row r="332" spans="1:7">
      <c r="A332" s="326"/>
      <c r="B332" s="326"/>
      <c r="C332" s="326"/>
      <c r="D332" s="1950"/>
      <c r="E332" s="1950"/>
      <c r="F332" s="1950"/>
      <c r="G332" s="12"/>
    </row>
    <row r="333" spans="1:7">
      <c r="A333" s="326"/>
      <c r="B333" s="326"/>
      <c r="C333" s="326"/>
      <c r="D333" s="1950"/>
      <c r="E333" s="1950"/>
      <c r="F333" s="1950"/>
      <c r="G333" s="12"/>
    </row>
    <row r="334" spans="1:7">
      <c r="A334" s="326"/>
      <c r="B334" s="326"/>
      <c r="C334" s="326"/>
      <c r="D334" s="1950"/>
      <c r="E334" s="1950"/>
      <c r="F334" s="1950"/>
      <c r="G334" s="12"/>
    </row>
    <row r="335" spans="1:7">
      <c r="A335" s="326"/>
      <c r="B335" s="326"/>
      <c r="C335" s="326"/>
      <c r="D335" s="506"/>
      <c r="E335" s="468"/>
      <c r="F335" s="135"/>
      <c r="G335" s="12"/>
    </row>
    <row r="336" spans="1:7">
      <c r="A336" s="326"/>
      <c r="B336" s="326"/>
      <c r="C336" s="326"/>
      <c r="D336" s="1950" t="s">
        <v>1319</v>
      </c>
      <c r="E336" s="1950"/>
      <c r="F336" s="1950"/>
      <c r="G336" s="12"/>
    </row>
    <row r="337" spans="1:7">
      <c r="A337" s="326"/>
      <c r="B337" s="326"/>
      <c r="C337" s="326"/>
      <c r="D337" s="1950"/>
      <c r="E337" s="1950"/>
      <c r="F337" s="1950"/>
      <c r="G337" s="12"/>
    </row>
    <row r="338" spans="1:7">
      <c r="A338" s="326"/>
      <c r="B338" s="326"/>
      <c r="C338" s="326"/>
      <c r="D338" s="1950"/>
      <c r="E338" s="1950"/>
      <c r="F338" s="1950"/>
      <c r="G338" s="12"/>
    </row>
    <row r="339" spans="1:7">
      <c r="A339" s="326"/>
      <c r="B339" s="326"/>
      <c r="C339" s="326"/>
      <c r="D339" s="1950"/>
      <c r="E339" s="1950"/>
      <c r="F339" s="1950"/>
      <c r="G339" s="12"/>
    </row>
    <row r="340" spans="1:7" ht="18" customHeight="1">
      <c r="A340" s="326"/>
      <c r="B340" s="326"/>
      <c r="C340" s="326"/>
      <c r="D340" s="1950"/>
      <c r="E340" s="1950"/>
      <c r="F340" s="1950"/>
      <c r="G340" s="12"/>
    </row>
    <row r="341" spans="1:7">
      <c r="A341" s="326"/>
      <c r="B341" s="326"/>
      <c r="C341" s="326"/>
      <c r="D341" s="1950"/>
      <c r="E341" s="1950"/>
      <c r="F341" s="1950"/>
      <c r="G341" s="12"/>
    </row>
    <row r="342" spans="1:7">
      <c r="A342" s="326"/>
      <c r="B342" s="326"/>
      <c r="C342" s="326"/>
      <c r="D342" s="1950"/>
      <c r="E342" s="1950"/>
      <c r="F342" s="1950"/>
      <c r="G342" s="12"/>
    </row>
    <row r="343" spans="1:7">
      <c r="A343" s="326"/>
      <c r="B343" s="326"/>
      <c r="C343" s="326"/>
      <c r="D343" s="1950"/>
      <c r="E343" s="1950"/>
      <c r="F343" s="1950"/>
      <c r="G343" s="12"/>
    </row>
    <row r="344" spans="1:7" ht="8.25" customHeight="1">
      <c r="A344" s="326"/>
      <c r="B344" s="326"/>
      <c r="C344" s="326"/>
      <c r="D344" s="1950"/>
      <c r="E344" s="1950"/>
      <c r="F344" s="1950"/>
      <c r="G344" s="12"/>
    </row>
    <row r="345" spans="1:7" ht="13.25" customHeight="1">
      <c r="A345" s="326"/>
      <c r="B345" s="326"/>
      <c r="C345" s="326"/>
      <c r="D345" s="1943" t="s">
        <v>1320</v>
      </c>
      <c r="E345" s="1943"/>
      <c r="F345" s="1943"/>
      <c r="G345" s="12"/>
    </row>
    <row r="346" spans="1:7">
      <c r="A346" s="326"/>
      <c r="B346" s="326"/>
      <c r="C346" s="326"/>
      <c r="D346" s="1943"/>
      <c r="E346" s="1943"/>
      <c r="F346" s="1943"/>
      <c r="G346" s="12"/>
    </row>
    <row r="347" spans="1:7">
      <c r="A347" s="326"/>
      <c r="B347" s="326"/>
      <c r="C347" s="326"/>
      <c r="D347" s="1943"/>
      <c r="E347" s="1943"/>
      <c r="F347" s="1943"/>
      <c r="G347" s="12"/>
    </row>
    <row r="348" spans="1:7" s="720" customFormat="1">
      <c r="A348" s="326"/>
      <c r="B348" s="326"/>
      <c r="C348" s="326"/>
      <c r="D348" s="1943"/>
      <c r="E348" s="1943"/>
      <c r="F348" s="1943"/>
    </row>
    <row r="349" spans="1:7" s="720" customFormat="1">
      <c r="A349" s="326"/>
      <c r="B349" s="326"/>
      <c r="C349" s="326"/>
      <c r="D349" s="1943"/>
      <c r="E349" s="1943"/>
      <c r="F349" s="1943"/>
    </row>
    <row r="350" spans="1:7" s="720" customFormat="1">
      <c r="A350" s="326"/>
      <c r="B350" s="326"/>
      <c r="C350" s="326"/>
      <c r="D350" s="1943"/>
      <c r="E350" s="1943"/>
      <c r="F350" s="1943"/>
    </row>
    <row r="351" spans="1:7" s="720" customFormat="1">
      <c r="A351" s="326"/>
      <c r="B351" s="326"/>
      <c r="C351" s="326"/>
      <c r="D351" s="1943"/>
      <c r="E351" s="1943"/>
      <c r="F351" s="1943"/>
    </row>
    <row r="352" spans="1:7" s="720" customFormat="1">
      <c r="A352" s="326"/>
      <c r="B352" s="326"/>
      <c r="C352" s="326"/>
      <c r="D352" s="1943"/>
      <c r="E352" s="1943"/>
      <c r="F352" s="1943"/>
    </row>
    <row r="353" spans="1:7">
      <c r="A353" s="326"/>
      <c r="B353" s="326"/>
      <c r="C353" s="326"/>
      <c r="D353" s="1943"/>
      <c r="E353" s="1943"/>
      <c r="F353" s="1943"/>
      <c r="G353" s="12"/>
    </row>
    <row r="354" spans="1:7">
      <c r="A354" s="326"/>
      <c r="B354" s="326"/>
      <c r="C354" s="326"/>
      <c r="D354" s="1943"/>
      <c r="E354" s="1943"/>
      <c r="F354" s="1943"/>
      <c r="G354" s="12"/>
    </row>
    <row r="355" spans="1:7">
      <c r="A355" s="326"/>
      <c r="B355" s="326"/>
      <c r="C355" s="326"/>
      <c r="D355" s="1943"/>
      <c r="E355" s="1943"/>
      <c r="F355" s="1943"/>
      <c r="G355" s="12"/>
    </row>
    <row r="356" spans="1:7">
      <c r="A356" s="326"/>
      <c r="B356" s="326"/>
      <c r="C356" s="326"/>
      <c r="D356" s="1943"/>
      <c r="E356" s="1943"/>
      <c r="F356" s="1943"/>
      <c r="G356" s="12"/>
    </row>
    <row r="357" spans="1:7">
      <c r="A357" s="326"/>
      <c r="B357" s="326"/>
      <c r="C357" s="508"/>
      <c r="D357" s="1943"/>
      <c r="E357" s="1943"/>
      <c r="F357" s="1943"/>
      <c r="G357" s="12"/>
    </row>
    <row r="358" spans="1:7">
      <c r="A358" s="326"/>
      <c r="B358" s="326"/>
      <c r="C358" s="508"/>
      <c r="D358" s="1943"/>
      <c r="E358" s="1943"/>
      <c r="F358" s="1943"/>
      <c r="G358" s="12"/>
    </row>
    <row r="359" spans="1:7">
      <c r="A359" s="326"/>
      <c r="B359" s="326"/>
      <c r="C359" s="326"/>
      <c r="D359" s="1943"/>
      <c r="E359" s="1943"/>
      <c r="F359" s="1943"/>
      <c r="G359" s="12"/>
    </row>
    <row r="360" spans="1:7">
      <c r="A360" s="326"/>
      <c r="B360" s="326"/>
      <c r="C360" s="508"/>
      <c r="D360" s="1943"/>
      <c r="E360" s="1943"/>
      <c r="F360" s="1943"/>
      <c r="G360" s="12"/>
    </row>
    <row r="361" spans="1:7">
      <c r="A361" s="326"/>
      <c r="B361" s="326"/>
      <c r="C361" s="508"/>
      <c r="D361" s="1943"/>
      <c r="E361" s="1943"/>
      <c r="F361" s="1943"/>
      <c r="G361" s="12"/>
    </row>
    <row r="362" spans="1:7">
      <c r="A362" s="326"/>
      <c r="B362" s="326"/>
      <c r="C362" s="508"/>
      <c r="D362" s="1943"/>
      <c r="E362" s="1943"/>
      <c r="F362" s="1943"/>
      <c r="G362" s="12"/>
    </row>
    <row r="363" spans="1:7">
      <c r="A363" s="326"/>
      <c r="B363" s="326"/>
      <c r="C363" s="326"/>
      <c r="D363" s="506"/>
      <c r="E363" s="468"/>
      <c r="F363" s="135"/>
      <c r="G363" s="12"/>
    </row>
    <row r="364" spans="1:7">
      <c r="A364" s="326"/>
      <c r="B364" s="680" t="s">
        <v>318</v>
      </c>
      <c r="C364" s="326"/>
      <c r="D364" s="1943" t="s">
        <v>1321</v>
      </c>
      <c r="E364" s="1943"/>
      <c r="F364" s="1943"/>
      <c r="G364" s="12"/>
    </row>
    <row r="365" spans="1:7">
      <c r="A365" s="326"/>
      <c r="B365" s="326"/>
      <c r="C365" s="326"/>
      <c r="D365" s="1943"/>
      <c r="E365" s="1943"/>
      <c r="F365" s="1943"/>
      <c r="G365" s="12"/>
    </row>
    <row r="366" spans="1:7">
      <c r="A366" s="326"/>
      <c r="B366" s="326"/>
      <c r="C366" s="326"/>
      <c r="D366" s="468"/>
      <c r="E366" s="468"/>
      <c r="F366" s="135"/>
      <c r="G366" s="12"/>
    </row>
    <row r="367" spans="1:7" ht="13">
      <c r="A367" s="261"/>
      <c r="B367" s="680" t="s">
        <v>318</v>
      </c>
      <c r="C367" s="326"/>
      <c r="D367" s="1931" t="s">
        <v>1322</v>
      </c>
      <c r="E367" s="1931"/>
      <c r="F367" s="1931"/>
      <c r="G367" s="12"/>
    </row>
    <row r="368" spans="1:7" ht="13">
      <c r="A368" s="507"/>
      <c r="B368" s="507"/>
      <c r="C368" s="326"/>
      <c r="D368" s="1931"/>
      <c r="E368" s="1931"/>
      <c r="F368" s="1931"/>
      <c r="G368" s="12"/>
    </row>
    <row r="369" spans="1:7" ht="13">
      <c r="A369" s="507"/>
      <c r="B369" s="507"/>
      <c r="C369" s="326"/>
      <c r="D369" s="1931"/>
      <c r="E369" s="1931"/>
      <c r="F369" s="1931"/>
      <c r="G369" s="12"/>
    </row>
    <row r="370" spans="1:7" ht="13">
      <c r="A370" s="507"/>
      <c r="B370" s="507"/>
      <c r="C370" s="326"/>
      <c r="D370" s="1931"/>
      <c r="E370" s="1931"/>
      <c r="F370" s="1931"/>
      <c r="G370" s="12"/>
    </row>
    <row r="371" spans="1:7" ht="13">
      <c r="A371" s="507"/>
      <c r="B371" s="507"/>
      <c r="C371" s="326"/>
      <c r="D371" s="1931"/>
      <c r="E371" s="1931"/>
      <c r="F371" s="1931"/>
      <c r="G371" s="12"/>
    </row>
    <row r="372" spans="1:7">
      <c r="D372" s="135"/>
      <c r="E372" s="135"/>
      <c r="F372" s="135"/>
      <c r="G372" s="12"/>
    </row>
    <row r="373" spans="1:7" ht="13">
      <c r="A373" s="261"/>
      <c r="B373" s="680" t="s">
        <v>318</v>
      </c>
      <c r="C373" s="266"/>
      <c r="D373" s="1874" t="s">
        <v>1323</v>
      </c>
      <c r="E373" s="1874"/>
      <c r="F373" s="1874"/>
      <c r="G373" s="12"/>
    </row>
    <row r="374" spans="1:7" ht="13">
      <c r="A374" s="261"/>
      <c r="B374" s="261"/>
      <c r="D374" s="1874"/>
      <c r="E374" s="1874"/>
      <c r="F374" s="1874"/>
      <c r="G374" s="12"/>
    </row>
    <row r="375" spans="1:7">
      <c r="D375" s="1874"/>
      <c r="E375" s="1874"/>
      <c r="F375" s="1874"/>
      <c r="G375" s="12"/>
    </row>
    <row r="376" spans="1:7">
      <c r="D376" s="1874"/>
      <c r="E376" s="1874"/>
      <c r="F376" s="1874"/>
      <c r="G376" s="12"/>
    </row>
    <row r="377" spans="1:7">
      <c r="D377" s="1874"/>
      <c r="E377" s="1874"/>
      <c r="F377" s="1874"/>
      <c r="G377" s="12"/>
    </row>
    <row r="378" spans="1:7">
      <c r="D378" s="1874"/>
      <c r="E378" s="1874"/>
      <c r="F378" s="1874"/>
      <c r="G378" s="12"/>
    </row>
    <row r="379" spans="1:7">
      <c r="D379" s="1874"/>
      <c r="E379" s="1874"/>
      <c r="F379" s="1874"/>
      <c r="G379" s="12"/>
    </row>
    <row r="380" spans="1:7">
      <c r="D380" s="1874"/>
      <c r="E380" s="1874"/>
      <c r="F380" s="1874"/>
      <c r="G380" s="12"/>
    </row>
    <row r="381" spans="1:7">
      <c r="D381" s="1874"/>
      <c r="E381" s="1874"/>
      <c r="F381" s="1874"/>
      <c r="G381" s="12"/>
    </row>
    <row r="382" spans="1:7">
      <c r="D382" s="1874"/>
      <c r="E382" s="1874"/>
      <c r="F382" s="1874"/>
      <c r="G382" s="12"/>
    </row>
    <row r="383" spans="1:7">
      <c r="D383" s="1874"/>
      <c r="E383" s="1874"/>
      <c r="F383" s="1874"/>
      <c r="G383" s="12"/>
    </row>
    <row r="384" spans="1:7">
      <c r="D384" s="1874"/>
      <c r="E384" s="1874"/>
      <c r="F384" s="1874"/>
      <c r="G384" s="12"/>
    </row>
    <row r="385" spans="1:7">
      <c r="D385" s="1874"/>
      <c r="E385" s="1874"/>
      <c r="F385" s="1874"/>
      <c r="G385" s="12"/>
    </row>
    <row r="386" spans="1:7">
      <c r="A386" s="12"/>
      <c r="B386" s="12"/>
      <c r="C386" s="12"/>
      <c r="D386" s="1874"/>
      <c r="E386" s="1874"/>
      <c r="F386" s="1874"/>
      <c r="G386" s="12"/>
    </row>
    <row r="387" spans="1:7">
      <c r="A387" s="12"/>
      <c r="B387" s="12"/>
      <c r="C387" s="12"/>
      <c r="D387" s="1874"/>
      <c r="E387" s="1874"/>
      <c r="F387" s="1874"/>
      <c r="G387" s="12"/>
    </row>
    <row r="388" spans="1:7">
      <c r="A388" s="12"/>
      <c r="B388" s="12"/>
      <c r="C388" s="12"/>
      <c r="D388" s="1874"/>
      <c r="E388" s="1874"/>
      <c r="F388" s="1874"/>
      <c r="G388" s="12"/>
    </row>
    <row r="389" spans="1:7">
      <c r="A389" s="12"/>
      <c r="B389" s="12"/>
      <c r="C389" s="12"/>
      <c r="D389" s="1874"/>
      <c r="E389" s="1874"/>
      <c r="F389" s="1874"/>
      <c r="G389" s="12"/>
    </row>
    <row r="390" spans="1:7">
      <c r="A390" s="12"/>
      <c r="B390" s="12"/>
      <c r="C390" s="12"/>
      <c r="D390" s="1874"/>
      <c r="E390" s="1874"/>
      <c r="F390" s="1874"/>
      <c r="G390" s="12"/>
    </row>
    <row r="391" spans="1:7">
      <c r="A391" s="12"/>
      <c r="B391" s="12"/>
      <c r="C391" s="12"/>
      <c r="D391" s="1874"/>
      <c r="E391" s="1874"/>
      <c r="F391" s="1874"/>
      <c r="G391" s="12"/>
    </row>
    <row r="392" spans="1:7">
      <c r="A392" s="12"/>
      <c r="B392" s="12"/>
      <c r="C392" s="12"/>
      <c r="D392" s="1874"/>
      <c r="E392" s="1874"/>
      <c r="F392" s="1874"/>
      <c r="G392" s="12"/>
    </row>
    <row r="393" spans="1:7">
      <c r="A393" s="12"/>
      <c r="B393" s="12"/>
      <c r="C393" s="12"/>
      <c r="D393" s="1874"/>
      <c r="E393" s="1874"/>
      <c r="F393" s="1874"/>
      <c r="G393" s="12"/>
    </row>
    <row r="394" spans="1:7">
      <c r="A394" s="12"/>
      <c r="B394" s="12"/>
      <c r="C394" s="12"/>
      <c r="D394" s="1874"/>
      <c r="E394" s="1874"/>
      <c r="F394" s="1874"/>
      <c r="G394" s="12"/>
    </row>
    <row r="395" spans="1:7">
      <c r="A395" s="12"/>
      <c r="B395" s="12"/>
      <c r="C395" s="12"/>
      <c r="D395" s="1874"/>
      <c r="E395" s="1874"/>
      <c r="F395" s="1874"/>
      <c r="G395" s="12"/>
    </row>
    <row r="396" spans="1:7">
      <c r="A396" s="12"/>
      <c r="B396" s="12"/>
      <c r="C396" s="12"/>
      <c r="D396" s="1874"/>
      <c r="E396" s="1874"/>
      <c r="F396" s="1874"/>
      <c r="G396" s="12"/>
    </row>
    <row r="397" spans="1:7">
      <c r="A397" s="12"/>
      <c r="B397" s="12"/>
      <c r="C397" s="12"/>
      <c r="D397" s="1874"/>
      <c r="E397" s="1874"/>
      <c r="F397" s="1874"/>
      <c r="G397" s="12"/>
    </row>
    <row r="398" spans="1:7">
      <c r="A398" s="12"/>
      <c r="B398" s="12"/>
      <c r="C398" s="12"/>
      <c r="D398" s="1874"/>
      <c r="E398" s="1874"/>
      <c r="F398" s="1874"/>
      <c r="G398" s="12"/>
    </row>
    <row r="399" spans="1:7">
      <c r="A399" s="12"/>
      <c r="B399" s="12"/>
      <c r="C399" s="12"/>
      <c r="D399" s="1874"/>
      <c r="E399" s="1874"/>
      <c r="F399" s="1874"/>
      <c r="G399" s="12"/>
    </row>
    <row r="400" spans="1:7">
      <c r="A400" s="12"/>
      <c r="B400" s="12"/>
      <c r="C400" s="12"/>
      <c r="D400" s="1874"/>
      <c r="E400" s="1874"/>
      <c r="F400" s="1874"/>
      <c r="G400" s="12"/>
    </row>
    <row r="401" spans="1:7">
      <c r="A401" s="12"/>
      <c r="B401" s="12"/>
      <c r="C401" s="12"/>
      <c r="D401" s="1874"/>
      <c r="E401" s="1874"/>
      <c r="F401" s="1874"/>
      <c r="G401" s="12"/>
    </row>
    <row r="402" spans="1:7" s="32" customFormat="1">
      <c r="A402" s="132"/>
      <c r="B402" s="677"/>
      <c r="C402" s="132"/>
      <c r="D402" s="1874"/>
      <c r="E402" s="1874"/>
      <c r="F402" s="1874"/>
      <c r="G402" s="30"/>
    </row>
    <row r="403" spans="1:7" s="32" customFormat="1" ht="40.75" customHeight="1">
      <c r="A403" s="132"/>
      <c r="B403" s="677"/>
      <c r="C403" s="132"/>
      <c r="D403" s="1874"/>
      <c r="E403" s="1874"/>
      <c r="F403" s="1874"/>
      <c r="G403" s="30"/>
    </row>
    <row r="404" spans="1:7" s="32" customFormat="1">
      <c r="A404" s="132"/>
      <c r="B404" s="677"/>
      <c r="C404" s="132"/>
      <c r="D404" s="135"/>
      <c r="E404" s="135"/>
      <c r="F404" s="135"/>
      <c r="G404" s="30"/>
    </row>
    <row r="405" spans="1:7" ht="13">
      <c r="A405" s="261"/>
      <c r="B405" s="680" t="s">
        <v>318</v>
      </c>
      <c r="C405" s="266"/>
      <c r="D405" s="1899" t="s">
        <v>1324</v>
      </c>
      <c r="E405" s="1899"/>
      <c r="F405" s="1899"/>
    </row>
    <row r="406" spans="1:7">
      <c r="D406" s="1944" t="s">
        <v>1088</v>
      </c>
      <c r="E406" s="1944"/>
      <c r="F406" s="1944"/>
    </row>
    <row r="407" spans="1:7">
      <c r="D407" s="1895" t="s">
        <v>1325</v>
      </c>
      <c r="E407" s="1895"/>
      <c r="F407" s="1895"/>
    </row>
    <row r="408" spans="1:7">
      <c r="D408" s="1895"/>
      <c r="E408" s="1895"/>
      <c r="F408" s="1895"/>
    </row>
    <row r="409" spans="1:7">
      <c r="D409" s="1895"/>
      <c r="E409" s="1895"/>
      <c r="F409" s="1895"/>
    </row>
    <row r="410" spans="1:7">
      <c r="D410" s="1895"/>
      <c r="E410" s="1895"/>
      <c r="F410" s="1895"/>
    </row>
    <row r="411" spans="1:7">
      <c r="D411" s="135"/>
      <c r="E411" s="135"/>
      <c r="F411" s="135"/>
      <c r="G411" s="12"/>
    </row>
    <row r="412" spans="1:7" ht="13">
      <c r="A412" s="261"/>
      <c r="B412" s="680" t="s">
        <v>318</v>
      </c>
      <c r="C412" s="266"/>
      <c r="D412" s="1874" t="s">
        <v>1326</v>
      </c>
      <c r="E412" s="1874"/>
      <c r="F412" s="1874"/>
      <c r="G412" s="12"/>
    </row>
    <row r="413" spans="1:7">
      <c r="D413" s="1874"/>
      <c r="E413" s="1874"/>
      <c r="F413" s="1874"/>
      <c r="G413" s="12"/>
    </row>
    <row r="414" spans="1:7">
      <c r="D414" s="1874"/>
      <c r="E414" s="1874"/>
      <c r="F414" s="1874"/>
      <c r="G414" s="12"/>
    </row>
    <row r="415" spans="1:7" s="720" customFormat="1">
      <c r="A415" s="732"/>
      <c r="B415" s="732"/>
      <c r="C415" s="732"/>
      <c r="D415" s="729"/>
      <c r="E415" s="729"/>
      <c r="F415" s="729"/>
    </row>
    <row r="416" spans="1:7" ht="13">
      <c r="B416" s="680" t="s">
        <v>318</v>
      </c>
      <c r="C416" s="261"/>
      <c r="D416" s="1895" t="s">
        <v>1327</v>
      </c>
      <c r="E416" s="1895"/>
      <c r="F416" s="1895"/>
      <c r="G416" s="12"/>
    </row>
    <row r="417" spans="1:7">
      <c r="D417" s="1895"/>
      <c r="E417" s="1895"/>
      <c r="F417" s="1895"/>
      <c r="G417" s="12"/>
    </row>
    <row r="418" spans="1:7">
      <c r="D418" s="135"/>
      <c r="E418" s="135"/>
      <c r="F418" s="135"/>
      <c r="G418" s="12"/>
    </row>
    <row r="419" spans="1:7" ht="13">
      <c r="B419" s="680" t="s">
        <v>318</v>
      </c>
      <c r="C419" s="261"/>
      <c r="D419" s="1895" t="s">
        <v>1328</v>
      </c>
      <c r="E419" s="1895"/>
      <c r="F419" s="1895"/>
      <c r="G419" s="12"/>
    </row>
    <row r="420" spans="1:7">
      <c r="D420" s="1895"/>
      <c r="E420" s="1895"/>
      <c r="F420" s="1895"/>
      <c r="G420" s="12"/>
    </row>
    <row r="421" spans="1:7">
      <c r="D421" s="1895"/>
      <c r="E421" s="1895"/>
      <c r="F421" s="1895"/>
      <c r="G421" s="12"/>
    </row>
    <row r="422" spans="1:7">
      <c r="D422" s="1895"/>
      <c r="E422" s="1895"/>
      <c r="F422" s="1895"/>
      <c r="G422" s="12"/>
    </row>
    <row r="423" spans="1:7">
      <c r="B423" s="680" t="s">
        <v>318</v>
      </c>
      <c r="D423" s="1895"/>
      <c r="E423" s="1895"/>
      <c r="F423" s="1895"/>
      <c r="G423" s="12"/>
    </row>
    <row r="424" spans="1:7">
      <c r="A424" s="12"/>
      <c r="B424" s="12"/>
      <c r="C424" s="12"/>
      <c r="D424" s="1895"/>
      <c r="E424" s="1895"/>
      <c r="F424" s="1895"/>
      <c r="G424" s="12"/>
    </row>
    <row r="425" spans="1:7">
      <c r="A425" s="12"/>
      <c r="C425" s="12"/>
      <c r="D425" s="1895"/>
      <c r="E425" s="1895"/>
      <c r="F425" s="1895"/>
      <c r="G425" s="12"/>
    </row>
    <row r="426" spans="1:7">
      <c r="A426" s="12"/>
      <c r="B426" s="680" t="s">
        <v>318</v>
      </c>
      <c r="C426" s="12"/>
      <c r="D426" s="1895"/>
      <c r="E426" s="1895"/>
      <c r="F426" s="1895"/>
      <c r="G426" s="12"/>
    </row>
    <row r="427" spans="1:7">
      <c r="A427" s="12"/>
      <c r="B427" s="12"/>
      <c r="C427" s="12"/>
      <c r="D427" s="1895"/>
      <c r="E427" s="1895"/>
      <c r="F427" s="1895"/>
      <c r="G427" s="12"/>
    </row>
    <row r="428" spans="1:7">
      <c r="A428" s="12"/>
      <c r="C428" s="12"/>
      <c r="D428" s="1895"/>
      <c r="E428" s="1895"/>
      <c r="F428" s="1895"/>
      <c r="G428" s="12"/>
    </row>
    <row r="429" spans="1:7">
      <c r="A429" s="12"/>
      <c r="C429" s="12"/>
      <c r="D429" s="1895"/>
      <c r="E429" s="1895"/>
      <c r="F429" s="1895"/>
      <c r="G429" s="12"/>
    </row>
    <row r="430" spans="1:7">
      <c r="A430" s="12"/>
      <c r="B430" s="680" t="s">
        <v>318</v>
      </c>
      <c r="C430" s="12"/>
      <c r="D430" s="1895"/>
      <c r="E430" s="1895"/>
      <c r="F430" s="1895"/>
      <c r="G430" s="12"/>
    </row>
    <row r="431" spans="1:7">
      <c r="A431" s="12"/>
      <c r="B431" s="12"/>
      <c r="C431" s="12"/>
      <c r="D431" s="1895"/>
      <c r="E431" s="1895"/>
      <c r="F431" s="1895"/>
      <c r="G431" s="12"/>
    </row>
    <row r="432" spans="1:7">
      <c r="A432" s="12"/>
      <c r="B432" s="680" t="s">
        <v>318</v>
      </c>
      <c r="C432" s="12"/>
      <c r="D432" s="1895"/>
      <c r="E432" s="1895"/>
      <c r="F432" s="1895"/>
      <c r="G432" s="12"/>
    </row>
    <row r="433" spans="1:7" s="720" customFormat="1">
      <c r="D433" s="730"/>
      <c r="E433" s="730"/>
      <c r="F433" s="730"/>
    </row>
    <row r="434" spans="1:7">
      <c r="A434" s="12"/>
      <c r="B434" s="719" t="s">
        <v>318</v>
      </c>
      <c r="C434" s="12"/>
      <c r="D434" s="1895" t="s">
        <v>1329</v>
      </c>
      <c r="E434" s="1895"/>
      <c r="F434" s="1895"/>
      <c r="G434" s="12"/>
    </row>
    <row r="435" spans="1:7">
      <c r="A435" s="12"/>
      <c r="B435" s="12"/>
      <c r="C435" s="12"/>
      <c r="D435" s="1895"/>
      <c r="E435" s="1895"/>
      <c r="F435" s="1895"/>
      <c r="G435" s="12"/>
    </row>
    <row r="436" spans="1:7">
      <c r="A436" s="12"/>
      <c r="B436" s="12"/>
      <c r="C436" s="12"/>
      <c r="D436" s="1895"/>
      <c r="E436" s="1895"/>
      <c r="F436" s="1895"/>
      <c r="G436" s="12"/>
    </row>
    <row r="437" spans="1:7">
      <c r="A437" s="12"/>
      <c r="B437" s="12"/>
      <c r="C437" s="12"/>
      <c r="D437" s="1895"/>
      <c r="E437" s="1895"/>
      <c r="F437" s="1895"/>
      <c r="G437" s="12"/>
    </row>
    <row r="438" spans="1:7">
      <c r="D438" s="1895"/>
      <c r="E438" s="1895"/>
      <c r="F438" s="1895"/>
    </row>
    <row r="439" spans="1:7">
      <c r="D439" s="135"/>
      <c r="E439" s="135"/>
      <c r="F439" s="135"/>
    </row>
    <row r="440" spans="1:7">
      <c r="B440" s="680" t="s">
        <v>318</v>
      </c>
      <c r="D440" s="1906" t="s">
        <v>1330</v>
      </c>
      <c r="E440" s="1906"/>
      <c r="F440" s="1906"/>
    </row>
    <row r="441" spans="1:7">
      <c r="A441" s="135"/>
      <c r="B441" s="135"/>
    </row>
    <row r="442" spans="1:7" ht="13">
      <c r="A442" s="1900" t="s">
        <v>1171</v>
      </c>
      <c r="B442" s="1900"/>
      <c r="C442" s="1900"/>
      <c r="D442" s="1900"/>
      <c r="E442" s="1900"/>
      <c r="F442" s="1900"/>
      <c r="G442" s="1900"/>
    </row>
    <row r="443" spans="1:7">
      <c r="A443" s="135"/>
      <c r="B443" s="135"/>
    </row>
    <row r="444" spans="1:7" ht="13">
      <c r="D444" s="1951" t="s">
        <v>952</v>
      </c>
      <c r="E444" s="1951"/>
      <c r="F444" s="1951"/>
    </row>
    <row r="445" spans="1:7" s="39" customFormat="1" ht="13">
      <c r="A445" s="404"/>
      <c r="B445" s="404"/>
      <c r="C445" s="273"/>
      <c r="D445" s="1952" t="s">
        <v>1331</v>
      </c>
      <c r="E445" s="1952"/>
      <c r="F445" s="1952"/>
      <c r="G445" s="130"/>
    </row>
    <row r="446" spans="1:7" s="39" customFormat="1" ht="13">
      <c r="A446" s="404"/>
      <c r="B446" s="404"/>
      <c r="C446" s="273"/>
      <c r="D446" s="733"/>
      <c r="E446" s="6"/>
      <c r="F446" s="6"/>
      <c r="G446" s="130"/>
    </row>
    <row r="447" spans="1:7" s="39" customFormat="1" ht="13">
      <c r="A447" s="261"/>
      <c r="B447" s="680" t="s">
        <v>318</v>
      </c>
      <c r="C447" s="273"/>
      <c r="D447" s="1953" t="s">
        <v>1332</v>
      </c>
      <c r="E447" s="1953"/>
      <c r="F447" s="1953"/>
      <c r="G447" s="130"/>
    </row>
    <row r="448" spans="1:7" s="39" customFormat="1" ht="13">
      <c r="A448" s="261"/>
      <c r="B448" s="261"/>
      <c r="C448" s="273"/>
      <c r="D448" s="1953"/>
      <c r="E448" s="1953"/>
      <c r="F448" s="1953"/>
      <c r="G448" s="130"/>
    </row>
    <row r="449" spans="1:7" s="39" customFormat="1" ht="13">
      <c r="A449" s="261"/>
      <c r="B449" s="261"/>
      <c r="C449" s="273"/>
      <c r="D449" s="731"/>
      <c r="E449" s="6"/>
      <c r="F449" s="6"/>
      <c r="G449" s="130"/>
    </row>
    <row r="450" spans="1:7">
      <c r="B450" s="680" t="s">
        <v>318</v>
      </c>
      <c r="D450" s="1923" t="s">
        <v>1333</v>
      </c>
      <c r="E450" s="1923"/>
      <c r="F450" s="1923"/>
    </row>
    <row r="451" spans="1:7" ht="13">
      <c r="A451" s="261"/>
      <c r="D451" s="1923"/>
      <c r="E451" s="1923"/>
      <c r="F451" s="1923"/>
    </row>
    <row r="452" spans="1:7" ht="13">
      <c r="A452" s="261"/>
      <c r="B452" s="261"/>
      <c r="D452" s="1923"/>
      <c r="E452" s="1923"/>
      <c r="F452" s="1923"/>
    </row>
    <row r="453" spans="1:7" ht="13">
      <c r="A453" s="261"/>
      <c r="B453" s="261"/>
      <c r="D453" s="1923"/>
      <c r="E453" s="1923"/>
      <c r="F453" s="1923"/>
    </row>
    <row r="454" spans="1:7">
      <c r="D454" s="679"/>
      <c r="E454" s="679"/>
      <c r="F454" s="679"/>
      <c r="G454" s="12"/>
    </row>
    <row r="455" spans="1:7" ht="13">
      <c r="A455" s="261"/>
      <c r="B455" s="680" t="s">
        <v>318</v>
      </c>
      <c r="D455" s="1876" t="s">
        <v>1334</v>
      </c>
      <c r="E455" s="1876"/>
      <c r="F455" s="1876"/>
      <c r="G455" s="12"/>
    </row>
    <row r="456" spans="1:7" ht="13">
      <c r="A456" s="261"/>
      <c r="B456" s="261"/>
      <c r="D456" s="1876"/>
      <c r="E456" s="1876"/>
      <c r="F456" s="1876"/>
      <c r="G456" s="12"/>
    </row>
    <row r="457" spans="1:7" ht="13">
      <c r="A457" s="261"/>
      <c r="D457" s="1876"/>
      <c r="E457" s="1876"/>
      <c r="F457" s="1876"/>
      <c r="G457" s="12"/>
    </row>
    <row r="458" spans="1:7" ht="13">
      <c r="A458" s="261"/>
      <c r="B458" s="261"/>
      <c r="D458" s="679"/>
      <c r="E458" s="679"/>
      <c r="F458" s="679"/>
      <c r="G458" s="12"/>
    </row>
    <row r="459" spans="1:7" ht="13">
      <c r="A459" s="261"/>
      <c r="B459" s="719" t="s">
        <v>318</v>
      </c>
      <c r="D459" s="1899" t="s">
        <v>1335</v>
      </c>
      <c r="E459" s="1899"/>
      <c r="F459" s="1899"/>
      <c r="G459" s="12"/>
    </row>
    <row r="460" spans="1:7" ht="13">
      <c r="A460" s="261"/>
      <c r="B460" s="261"/>
      <c r="D460" s="731"/>
      <c r="E460" s="6"/>
      <c r="F460" s="6"/>
      <c r="G460" s="12"/>
    </row>
    <row r="461" spans="1:7" ht="13">
      <c r="A461" s="261"/>
      <c r="B461" s="680" t="s">
        <v>318</v>
      </c>
      <c r="D461" s="1874" t="s">
        <v>1336</v>
      </c>
      <c r="E461" s="1874"/>
      <c r="F461" s="1874"/>
      <c r="G461" s="12"/>
    </row>
    <row r="462" spans="1:7" ht="13">
      <c r="A462" s="261"/>
      <c r="D462" s="1874"/>
      <c r="E462" s="1874"/>
      <c r="F462" s="1874"/>
      <c r="G462" s="12"/>
    </row>
    <row r="463" spans="1:7" ht="13">
      <c r="A463" s="23"/>
      <c r="B463" s="676"/>
      <c r="D463" s="734"/>
      <c r="E463" s="6"/>
      <c r="F463" s="6"/>
      <c r="G463" s="12"/>
    </row>
    <row r="464" spans="1:7" ht="13">
      <c r="A464" s="23"/>
      <c r="B464" s="719" t="s">
        <v>318</v>
      </c>
      <c r="D464" s="1899" t="s">
        <v>1337</v>
      </c>
      <c r="E464" s="1899"/>
      <c r="F464" s="1899"/>
      <c r="G464" s="12"/>
    </row>
    <row r="465" spans="1:7" ht="13">
      <c r="A465" s="261"/>
      <c r="B465" s="261"/>
      <c r="D465" s="135"/>
    </row>
    <row r="466" spans="1:7" ht="13">
      <c r="A466" s="1900" t="s">
        <v>1172</v>
      </c>
      <c r="B466" s="1900"/>
      <c r="C466" s="1900"/>
      <c r="D466" s="1900"/>
      <c r="E466" s="1900"/>
      <c r="F466" s="1900"/>
      <c r="G466" s="1900"/>
    </row>
    <row r="467" spans="1:7" customFormat="1" ht="12" customHeight="1">
      <c r="A467" s="261"/>
      <c r="B467" s="261"/>
      <c r="C467" s="10"/>
      <c r="D467" s="151"/>
      <c r="E467" s="149"/>
      <c r="F467" s="149"/>
      <c r="G467" s="149"/>
    </row>
    <row r="468" spans="1:7" customFormat="1" ht="13">
      <c r="A468" s="273"/>
      <c r="B468" s="273"/>
      <c r="C468" s="313"/>
      <c r="D468" s="1954" t="s">
        <v>855</v>
      </c>
      <c r="E468" s="1954"/>
      <c r="F468" s="1954"/>
      <c r="G468" s="182"/>
    </row>
    <row r="469" spans="1:7" customFormat="1" ht="13.25" customHeight="1">
      <c r="A469" s="260"/>
      <c r="B469" s="260"/>
      <c r="C469" s="314"/>
      <c r="D469" s="1955" t="s">
        <v>1215</v>
      </c>
      <c r="E469" s="1955"/>
      <c r="F469" s="1955"/>
      <c r="G469" s="149"/>
    </row>
    <row r="470" spans="1:7" customFormat="1" ht="13">
      <c r="A470" s="260"/>
      <c r="B470" s="260"/>
      <c r="C470" s="314"/>
      <c r="D470" s="1955"/>
      <c r="E470" s="1955"/>
      <c r="F470" s="1955"/>
      <c r="G470" s="149"/>
    </row>
    <row r="471" spans="1:7" customFormat="1" ht="13">
      <c r="A471" s="260"/>
      <c r="B471" s="260"/>
      <c r="C471" s="314"/>
      <c r="D471" s="1955"/>
      <c r="E471" s="1955"/>
      <c r="F471" s="1955"/>
      <c r="G471" s="149"/>
    </row>
    <row r="472" spans="1:7" customFormat="1" ht="13">
      <c r="A472" s="260"/>
      <c r="B472" s="260"/>
      <c r="C472" s="314"/>
      <c r="D472" s="1955"/>
      <c r="E472" s="1955"/>
      <c r="F472" s="1955"/>
      <c r="G472" s="149"/>
    </row>
    <row r="473" spans="1:7" customFormat="1" ht="13">
      <c r="A473" s="260"/>
      <c r="B473" s="260"/>
      <c r="C473" s="314"/>
      <c r="D473" s="1955"/>
      <c r="E473" s="1955"/>
      <c r="F473" s="1955"/>
      <c r="G473" s="149"/>
    </row>
    <row r="474" spans="1:7" customFormat="1" ht="13">
      <c r="A474" s="260"/>
      <c r="B474" s="260"/>
      <c r="C474" s="314"/>
      <c r="D474" s="472"/>
      <c r="E474" s="149"/>
      <c r="F474" s="151"/>
      <c r="G474" s="149"/>
    </row>
    <row r="475" spans="1:7" customFormat="1" ht="14.5" customHeight="1">
      <c r="A475" s="261"/>
      <c r="B475" s="680" t="s">
        <v>318</v>
      </c>
      <c r="C475" s="314"/>
      <c r="D475" s="1921" t="s">
        <v>1206</v>
      </c>
      <c r="E475" s="1921"/>
      <c r="F475" s="1921"/>
      <c r="G475" s="149"/>
    </row>
    <row r="476" spans="1:7" customFormat="1" ht="13">
      <c r="A476" s="260"/>
      <c r="B476" s="260"/>
      <c r="C476" s="314"/>
      <c r="D476" s="1921"/>
      <c r="E476" s="1921"/>
      <c r="F476" s="1921"/>
      <c r="G476" s="149"/>
    </row>
    <row r="477" spans="1:7" s="681" customFormat="1" ht="13">
      <c r="A477" s="260"/>
      <c r="B477" s="260"/>
      <c r="C477" s="314"/>
      <c r="D477" s="1921"/>
      <c r="E477" s="1921"/>
      <c r="F477" s="1921"/>
      <c r="G477" s="149"/>
    </row>
    <row r="478" spans="1:7" s="681" customFormat="1" ht="13">
      <c r="A478" s="260"/>
      <c r="B478" s="260"/>
      <c r="C478" s="314"/>
      <c r="D478" s="1921"/>
      <c r="E478" s="1921"/>
      <c r="F478" s="1921"/>
      <c r="G478" s="149"/>
    </row>
    <row r="479" spans="1:7" customFormat="1" ht="13">
      <c r="A479" s="260"/>
      <c r="B479" s="260"/>
      <c r="C479" s="314"/>
      <c r="D479" s="1921"/>
      <c r="E479" s="1921"/>
      <c r="F479" s="1921"/>
      <c r="G479" s="149"/>
    </row>
    <row r="480" spans="1:7" customFormat="1" ht="13">
      <c r="A480" s="260"/>
      <c r="B480" s="260"/>
      <c r="C480" s="314"/>
      <c r="D480" s="444"/>
      <c r="E480" s="149"/>
      <c r="F480" s="151"/>
      <c r="G480" s="149"/>
    </row>
    <row r="481" spans="1:7" customFormat="1" ht="14.5" customHeight="1">
      <c r="A481" s="261"/>
      <c r="B481" s="680" t="s">
        <v>318</v>
      </c>
      <c r="C481" s="314"/>
      <c r="D481" s="1921" t="s">
        <v>1209</v>
      </c>
      <c r="E481" s="1921"/>
      <c r="F481" s="1921"/>
      <c r="G481" s="149"/>
    </row>
    <row r="482" spans="1:7" customFormat="1" ht="13">
      <c r="A482" s="260"/>
      <c r="B482" s="260"/>
      <c r="C482" s="314"/>
      <c r="D482" s="1921"/>
      <c r="E482" s="1921"/>
      <c r="F482" s="1921"/>
      <c r="G482" s="149"/>
    </row>
    <row r="483" spans="1:7" s="681" customFormat="1" ht="13">
      <c r="A483" s="260"/>
      <c r="B483" s="260"/>
      <c r="C483" s="314"/>
      <c r="D483" s="1921"/>
      <c r="E483" s="1921"/>
      <c r="F483" s="1921"/>
      <c r="G483" s="149"/>
    </row>
    <row r="484" spans="1:7" customFormat="1" ht="13">
      <c r="A484" s="260"/>
      <c r="B484" s="260"/>
      <c r="C484" s="314"/>
      <c r="D484" s="1921"/>
      <c r="E484" s="1921"/>
      <c r="F484" s="1921"/>
      <c r="G484" s="149"/>
    </row>
    <row r="485" spans="1:7" customFormat="1" ht="10" customHeight="1">
      <c r="A485" s="260"/>
      <c r="B485" s="260"/>
      <c r="C485" s="314"/>
      <c r="D485" s="444"/>
      <c r="E485" s="149"/>
      <c r="F485" s="151"/>
      <c r="G485" s="149"/>
    </row>
    <row r="486" spans="1:7" customFormat="1" ht="14.5" customHeight="1">
      <c r="A486" s="261"/>
      <c r="B486" s="680" t="s">
        <v>318</v>
      </c>
      <c r="C486" s="314"/>
      <c r="D486" s="1921" t="s">
        <v>1207</v>
      </c>
      <c r="E486" s="1921"/>
      <c r="F486" s="1921"/>
      <c r="G486" s="149"/>
    </row>
    <row r="487" spans="1:7" customFormat="1" ht="13">
      <c r="A487" s="260"/>
      <c r="B487" s="260"/>
      <c r="C487" s="314"/>
      <c r="D487" s="1921"/>
      <c r="E487" s="1921"/>
      <c r="F487" s="1921"/>
      <c r="G487" s="149"/>
    </row>
    <row r="488" spans="1:7" customFormat="1" ht="13">
      <c r="A488" s="260"/>
      <c r="B488" s="260"/>
      <c r="C488" s="314"/>
      <c r="D488" s="1921"/>
      <c r="E488" s="1921"/>
      <c r="F488" s="1921"/>
      <c r="G488" s="149"/>
    </row>
    <row r="489" spans="1:7" s="681" customFormat="1" ht="13">
      <c r="A489" s="260"/>
      <c r="B489" s="260"/>
      <c r="C489" s="314"/>
      <c r="D489" s="701"/>
      <c r="E489" s="701"/>
      <c r="F489" s="701"/>
      <c r="G489" s="149"/>
    </row>
    <row r="490" spans="1:7" customFormat="1" ht="14.5" customHeight="1">
      <c r="A490" s="261"/>
      <c r="B490" s="680" t="s">
        <v>318</v>
      </c>
      <c r="C490" s="314"/>
      <c r="D490" s="1921" t="s">
        <v>1208</v>
      </c>
      <c r="E490" s="1921"/>
      <c r="F490" s="1921"/>
      <c r="G490" s="149"/>
    </row>
    <row r="491" spans="1:7" customFormat="1" ht="13">
      <c r="A491" s="260"/>
      <c r="B491" s="260"/>
      <c r="C491" s="314"/>
      <c r="D491" s="1921"/>
      <c r="E491" s="1921"/>
      <c r="F491" s="1921"/>
      <c r="G491" s="149"/>
    </row>
    <row r="492" spans="1:7" customFormat="1" ht="13">
      <c r="A492" s="260"/>
      <c r="B492" s="260"/>
      <c r="C492" s="314"/>
      <c r="D492" s="1921"/>
      <c r="E492" s="1921"/>
      <c r="F492" s="1921"/>
      <c r="G492" s="149"/>
    </row>
    <row r="493" spans="1:7" customFormat="1" ht="13">
      <c r="A493" s="260"/>
      <c r="B493" s="260"/>
      <c r="C493" s="314"/>
      <c r="D493" s="1921"/>
      <c r="E493" s="1921"/>
      <c r="F493" s="1921"/>
      <c r="G493" s="149"/>
    </row>
    <row r="494" spans="1:7" customFormat="1" ht="13">
      <c r="A494" s="260"/>
      <c r="B494" s="260"/>
      <c r="C494" s="314"/>
      <c r="D494" s="1921"/>
      <c r="E494" s="1921"/>
      <c r="F494" s="1921"/>
      <c r="G494" s="149"/>
    </row>
    <row r="495" spans="1:7" customFormat="1" ht="13">
      <c r="A495" s="260"/>
      <c r="B495" s="260"/>
      <c r="C495" s="314"/>
      <c r="D495" s="1921"/>
      <c r="E495" s="1921"/>
      <c r="F495" s="1921"/>
      <c r="G495" s="149"/>
    </row>
    <row r="496" spans="1:7" customFormat="1" ht="13">
      <c r="A496" s="260"/>
      <c r="B496" s="260"/>
      <c r="C496" s="314"/>
      <c r="D496" s="1921"/>
      <c r="E496" s="1921"/>
      <c r="F496" s="1921"/>
      <c r="G496" s="149"/>
    </row>
    <row r="497" spans="1:7" customFormat="1" ht="13">
      <c r="A497" s="488"/>
      <c r="B497" s="488"/>
      <c r="C497" s="487"/>
      <c r="D497" s="1921"/>
      <c r="E497" s="1921"/>
      <c r="F497" s="1921"/>
      <c r="G497" s="149"/>
    </row>
    <row r="498" spans="1:7" customFormat="1" ht="13">
      <c r="A498" s="488"/>
      <c r="B498" s="488"/>
      <c r="C498" s="487"/>
      <c r="D498" s="1921"/>
      <c r="E498" s="1921"/>
      <c r="F498" s="1921"/>
      <c r="G498" s="149"/>
    </row>
    <row r="499" spans="1:7" customFormat="1" ht="13">
      <c r="A499" s="488"/>
      <c r="B499" s="488"/>
      <c r="C499" s="487"/>
      <c r="D499" s="444"/>
      <c r="E499" s="149"/>
      <c r="F499" s="151"/>
      <c r="G499" s="149"/>
    </row>
    <row r="500" spans="1:7" customFormat="1" ht="13.25" customHeight="1">
      <c r="A500" s="488"/>
      <c r="B500" s="680" t="s">
        <v>318</v>
      </c>
      <c r="C500" s="487"/>
      <c r="D500" s="1934" t="s">
        <v>1352</v>
      </c>
      <c r="E500" s="1934"/>
      <c r="F500" s="1934"/>
      <c r="G500" s="149"/>
    </row>
    <row r="501" spans="1:7" customFormat="1" ht="13">
      <c r="A501" s="488"/>
      <c r="B501" s="488"/>
      <c r="C501" s="487"/>
      <c r="D501" s="1934"/>
      <c r="E501" s="1934"/>
      <c r="F501" s="1934"/>
      <c r="G501" s="149"/>
    </row>
    <row r="502" spans="1:7" customFormat="1" ht="13">
      <c r="A502" s="488"/>
      <c r="B502" s="488"/>
      <c r="C502" s="487"/>
      <c r="D502" s="1934"/>
      <c r="E502" s="1934"/>
      <c r="F502" s="1934"/>
      <c r="G502" s="149"/>
    </row>
    <row r="503" spans="1:7" customFormat="1" ht="13">
      <c r="A503" s="488"/>
      <c r="B503" s="488"/>
      <c r="C503" s="487"/>
      <c r="D503" s="1934"/>
      <c r="E503" s="1934"/>
      <c r="F503" s="1934"/>
      <c r="G503" s="149"/>
    </row>
    <row r="504" spans="1:7" customFormat="1" ht="13">
      <c r="A504" s="260"/>
      <c r="B504" s="260"/>
      <c r="C504" s="314"/>
      <c r="D504" s="1934"/>
      <c r="E504" s="1934"/>
      <c r="F504" s="1934"/>
      <c r="G504" s="149"/>
    </row>
    <row r="505" spans="1:7" s="718" customFormat="1" ht="13">
      <c r="A505" s="721"/>
      <c r="B505" s="721"/>
      <c r="C505" s="314"/>
      <c r="D505" s="742"/>
      <c r="E505" s="742"/>
      <c r="F505" s="742"/>
      <c r="G505" s="149"/>
    </row>
    <row r="506" spans="1:7" customFormat="1" ht="14.5" customHeight="1">
      <c r="A506" s="261"/>
      <c r="B506" s="680" t="s">
        <v>318</v>
      </c>
      <c r="C506" s="10"/>
      <c r="D506" s="1921" t="s">
        <v>1210</v>
      </c>
      <c r="E506" s="1921"/>
      <c r="F506" s="1921"/>
      <c r="G506" s="149"/>
    </row>
    <row r="507" spans="1:7" customFormat="1">
      <c r="A507" s="132"/>
      <c r="B507" s="677"/>
      <c r="C507" s="10"/>
      <c r="D507" s="1921"/>
      <c r="E507" s="1921"/>
      <c r="F507" s="1921"/>
      <c r="G507" s="149"/>
    </row>
    <row r="508" spans="1:7" customFormat="1">
      <c r="A508" s="132"/>
      <c r="B508" s="677"/>
      <c r="C508" s="10"/>
      <c r="D508" s="1921"/>
      <c r="E508" s="1921"/>
      <c r="F508" s="1921"/>
      <c r="G508" s="149"/>
    </row>
    <row r="509" spans="1:7" customFormat="1" ht="12" customHeight="1">
      <c r="A509" s="135"/>
      <c r="B509" s="135"/>
      <c r="C509" s="316"/>
      <c r="D509" s="135"/>
      <c r="E509" s="149"/>
      <c r="F509" s="315"/>
      <c r="G509" s="149"/>
    </row>
    <row r="510" spans="1:7" ht="13">
      <c r="A510" s="1900" t="s">
        <v>1173</v>
      </c>
      <c r="B510" s="1900"/>
      <c r="C510" s="1900"/>
      <c r="D510" s="1900"/>
      <c r="E510" s="1900"/>
      <c r="F510" s="1900"/>
      <c r="G510" s="1900"/>
    </row>
    <row r="511" spans="1:7" ht="13">
      <c r="A511" s="135"/>
      <c r="B511" s="135"/>
      <c r="C511" s="266"/>
      <c r="F511" s="134"/>
    </row>
    <row r="512" spans="1:7">
      <c r="B512" s="1896" t="s">
        <v>472</v>
      </c>
      <c r="C512" s="1896"/>
      <c r="D512" s="1896"/>
      <c r="E512" s="1896"/>
      <c r="F512" s="1896"/>
    </row>
    <row r="513" spans="1:7">
      <c r="A513" s="135"/>
      <c r="B513" s="135"/>
      <c r="C513" s="266"/>
      <c r="D513" s="135"/>
      <c r="F513" s="135"/>
    </row>
    <row r="514" spans="1:7" ht="13">
      <c r="A514" s="1901" t="s">
        <v>1174</v>
      </c>
      <c r="B514" s="1901"/>
      <c r="C514" s="1901"/>
      <c r="D514" s="1901"/>
      <c r="E514" s="1901"/>
      <c r="F514" s="1901"/>
      <c r="G514" s="1901"/>
    </row>
    <row r="515" spans="1:7">
      <c r="A515" s="135"/>
      <c r="B515" s="135"/>
      <c r="C515" s="266"/>
      <c r="D515" s="135"/>
      <c r="F515" s="135"/>
    </row>
    <row r="516" spans="1:7" ht="13">
      <c r="C516" s="266"/>
      <c r="D516" s="1898" t="s">
        <v>722</v>
      </c>
      <c r="E516" s="1898"/>
      <c r="F516" s="1898"/>
    </row>
    <row r="517" spans="1:7" s="683" customFormat="1">
      <c r="A517" s="700"/>
      <c r="B517" s="700"/>
      <c r="C517" s="266"/>
      <c r="D517" s="1899" t="s">
        <v>1231</v>
      </c>
      <c r="E517" s="1899"/>
      <c r="F517" s="1899"/>
      <c r="G517" s="7"/>
    </row>
    <row r="518" spans="1:7" s="683" customFormat="1">
      <c r="A518" s="700"/>
      <c r="B518" s="700"/>
      <c r="C518" s="266"/>
      <c r="D518" s="705"/>
      <c r="E518" s="705"/>
      <c r="F518" s="705"/>
      <c r="G518" s="7"/>
    </row>
    <row r="519" spans="1:7" ht="13.25" customHeight="1">
      <c r="A519" s="261"/>
      <c r="B519" s="680" t="s">
        <v>318</v>
      </c>
      <c r="C519" s="266"/>
      <c r="D519" s="1899" t="s">
        <v>953</v>
      </c>
      <c r="E519" s="1899"/>
      <c r="F519" s="1899"/>
      <c r="G519" s="12"/>
    </row>
    <row r="520" spans="1:7" ht="13.25" customHeight="1">
      <c r="A520" s="266"/>
      <c r="B520" s="266"/>
      <c r="C520" s="266"/>
      <c r="D520" s="705"/>
      <c r="E520" s="678"/>
      <c r="F520" s="678"/>
      <c r="G520" s="12"/>
    </row>
    <row r="521" spans="1:7" ht="13">
      <c r="A521" s="261"/>
      <c r="B521" s="680" t="s">
        <v>318</v>
      </c>
      <c r="C521" s="266"/>
      <c r="D521" s="1874" t="s">
        <v>1232</v>
      </c>
      <c r="E521" s="1874"/>
      <c r="F521" s="1874"/>
      <c r="G521" s="12"/>
    </row>
    <row r="522" spans="1:7">
      <c r="A522" s="266"/>
      <c r="B522" s="266"/>
      <c r="C522" s="266"/>
      <c r="D522" s="1874"/>
      <c r="E522" s="1874"/>
      <c r="F522" s="1874"/>
      <c r="G522" s="12"/>
    </row>
    <row r="523" spans="1:7">
      <c r="A523" s="266"/>
      <c r="B523" s="266"/>
      <c r="C523" s="266"/>
      <c r="D523" s="135"/>
      <c r="E523" s="135"/>
      <c r="F523" s="135"/>
      <c r="G523" s="12"/>
    </row>
    <row r="524" spans="1:7" ht="13">
      <c r="A524" s="261"/>
      <c r="B524" s="680" t="s">
        <v>318</v>
      </c>
      <c r="C524" s="266"/>
      <c r="D524" s="1874" t="s">
        <v>1233</v>
      </c>
      <c r="E524" s="1874"/>
      <c r="F524" s="1874"/>
      <c r="G524" s="12"/>
    </row>
    <row r="525" spans="1:7">
      <c r="A525" s="266"/>
      <c r="B525" s="266"/>
      <c r="C525" s="266"/>
      <c r="D525" s="1874"/>
      <c r="E525" s="1874"/>
      <c r="F525" s="1874"/>
      <c r="G525" s="12"/>
    </row>
    <row r="526" spans="1:7">
      <c r="A526" s="266"/>
      <c r="B526" s="266"/>
      <c r="C526" s="266"/>
      <c r="D526" s="135"/>
      <c r="E526" s="135"/>
      <c r="F526" s="135"/>
      <c r="G526" s="12"/>
    </row>
    <row r="527" spans="1:7" ht="13">
      <c r="A527" s="261"/>
      <c r="B527" s="680" t="s">
        <v>318</v>
      </c>
      <c r="C527" s="266"/>
      <c r="D527" s="1874" t="s">
        <v>1234</v>
      </c>
      <c r="E527" s="1874"/>
      <c r="F527" s="1874"/>
      <c r="G527" s="12"/>
    </row>
    <row r="528" spans="1:7">
      <c r="A528" s="266"/>
      <c r="B528" s="266"/>
      <c r="C528" s="266"/>
      <c r="D528" s="1874"/>
      <c r="E528" s="1874"/>
      <c r="F528" s="1874"/>
      <c r="G528" s="12"/>
    </row>
    <row r="529" spans="1:7">
      <c r="A529" s="266"/>
      <c r="B529" s="266"/>
      <c r="C529" s="266"/>
      <c r="D529" s="135"/>
      <c r="E529" s="135"/>
      <c r="F529" s="135"/>
      <c r="G529" s="12"/>
    </row>
    <row r="530" spans="1:7" ht="13">
      <c r="A530" s="261"/>
      <c r="B530" s="680" t="s">
        <v>318</v>
      </c>
      <c r="C530" s="266"/>
      <c r="D530" s="1874" t="s">
        <v>1235</v>
      </c>
      <c r="E530" s="1874"/>
      <c r="F530" s="1874"/>
      <c r="G530" s="12"/>
    </row>
    <row r="531" spans="1:7">
      <c r="A531" s="266"/>
      <c r="B531" s="266"/>
      <c r="C531" s="266"/>
      <c r="D531" s="1874"/>
      <c r="E531" s="1874"/>
      <c r="F531" s="1874"/>
      <c r="G531" s="12"/>
    </row>
    <row r="532" spans="1:7">
      <c r="A532" s="266"/>
      <c r="B532" s="266"/>
      <c r="C532" s="266"/>
      <c r="D532" s="1874"/>
      <c r="E532" s="1874"/>
      <c r="F532" s="1874"/>
      <c r="G532" s="12"/>
    </row>
    <row r="533" spans="1:7">
      <c r="A533" s="266"/>
      <c r="B533" s="266"/>
      <c r="C533" s="266"/>
      <c r="D533" s="135"/>
      <c r="E533" s="135"/>
      <c r="F533" s="135"/>
    </row>
    <row r="534" spans="1:7" ht="13">
      <c r="A534" s="261"/>
      <c r="B534" s="680" t="s">
        <v>318</v>
      </c>
      <c r="C534" s="266"/>
      <c r="D534" s="1897" t="s">
        <v>1353</v>
      </c>
      <c r="E534" s="1897"/>
      <c r="F534" s="1897"/>
    </row>
    <row r="535" spans="1:7">
      <c r="A535" s="266"/>
      <c r="B535" s="266"/>
      <c r="C535" s="266"/>
      <c r="D535" s="1897"/>
      <c r="E535" s="1897"/>
      <c r="F535" s="1897"/>
    </row>
    <row r="536" spans="1:7">
      <c r="A536" s="266"/>
      <c r="B536" s="266"/>
      <c r="C536" s="266"/>
      <c r="D536" s="135"/>
      <c r="E536" s="135"/>
      <c r="F536" s="135"/>
    </row>
    <row r="537" spans="1:7" ht="13">
      <c r="A537" s="261"/>
      <c r="B537" s="680" t="s">
        <v>318</v>
      </c>
      <c r="C537" s="266"/>
      <c r="D537" s="1897" t="s">
        <v>1236</v>
      </c>
      <c r="E537" s="1897"/>
      <c r="F537" s="1897"/>
    </row>
    <row r="538" spans="1:7">
      <c r="A538" s="266"/>
      <c r="B538" s="266"/>
      <c r="C538" s="266"/>
      <c r="D538" s="1897"/>
      <c r="E538" s="1897"/>
      <c r="F538" s="1897"/>
    </row>
    <row r="539" spans="1:7">
      <c r="A539" s="266"/>
      <c r="B539" s="266"/>
      <c r="C539" s="266"/>
      <c r="D539" s="135"/>
      <c r="E539" s="135"/>
      <c r="F539" s="135"/>
    </row>
    <row r="540" spans="1:7" ht="13">
      <c r="A540" s="261"/>
      <c r="B540" s="680" t="s">
        <v>318</v>
      </c>
      <c r="C540" s="266"/>
      <c r="D540" s="1874" t="s">
        <v>1237</v>
      </c>
      <c r="E540" s="1874"/>
      <c r="F540" s="1874"/>
    </row>
    <row r="541" spans="1:7">
      <c r="A541" s="266"/>
      <c r="B541" s="266"/>
      <c r="C541" s="266"/>
      <c r="D541" s="1874"/>
      <c r="E541" s="1874"/>
      <c r="F541" s="1874"/>
      <c r="G541" s="57"/>
    </row>
    <row r="542" spans="1:7">
      <c r="A542" s="266"/>
      <c r="B542" s="266"/>
      <c r="C542" s="266"/>
      <c r="D542" s="135"/>
      <c r="E542" s="135"/>
      <c r="F542" s="135"/>
      <c r="G542" s="57"/>
    </row>
    <row r="543" spans="1:7" ht="13">
      <c r="A543" s="261"/>
      <c r="B543" s="680" t="s">
        <v>318</v>
      </c>
      <c r="C543" s="266"/>
      <c r="D543" s="1899" t="s">
        <v>1238</v>
      </c>
      <c r="E543" s="1899"/>
      <c r="F543" s="1899"/>
      <c r="G543" s="57"/>
    </row>
    <row r="544" spans="1:7" ht="13">
      <c r="A544" s="23"/>
      <c r="B544" s="676"/>
      <c r="C544" s="266"/>
      <c r="D544" s="1899" t="s">
        <v>885</v>
      </c>
      <c r="E544" s="1899"/>
      <c r="F544" s="1899"/>
      <c r="G544" s="57"/>
    </row>
    <row r="545" spans="1:7" ht="13">
      <c r="A545" s="23"/>
      <c r="B545" s="676"/>
      <c r="C545" s="266"/>
      <c r="D545" s="6"/>
      <c r="E545" s="1904" t="s">
        <v>1239</v>
      </c>
      <c r="F545" s="1904"/>
      <c r="G545" s="57"/>
    </row>
    <row r="546" spans="1:7" ht="13">
      <c r="A546" s="261"/>
      <c r="B546" s="261"/>
      <c r="C546" s="266"/>
      <c r="E546" s="135"/>
      <c r="F546" s="135"/>
      <c r="G546" s="57"/>
    </row>
    <row r="547" spans="1:7" ht="13">
      <c r="A547" s="261"/>
      <c r="B547" s="680" t="s">
        <v>318</v>
      </c>
      <c r="C547" s="266"/>
      <c r="D547" s="1905" t="s">
        <v>1240</v>
      </c>
      <c r="E547" s="1905"/>
      <c r="F547" s="1905"/>
      <c r="G547" s="57"/>
    </row>
    <row r="548" spans="1:7">
      <c r="C548" s="266"/>
      <c r="D548" s="1874" t="s">
        <v>1241</v>
      </c>
      <c r="E548" s="1874"/>
      <c r="F548" s="1874"/>
      <c r="G548" s="57"/>
    </row>
    <row r="549" spans="1:7">
      <c r="A549" s="266"/>
      <c r="B549" s="266"/>
      <c r="C549" s="266"/>
      <c r="D549" s="1874"/>
      <c r="E549" s="1874"/>
      <c r="F549" s="1874"/>
      <c r="G549" s="57"/>
    </row>
    <row r="550" spans="1:7">
      <c r="A550" s="266"/>
      <c r="B550" s="266"/>
      <c r="C550" s="266"/>
      <c r="D550" s="1874"/>
      <c r="E550" s="1874"/>
      <c r="F550" s="1874"/>
      <c r="G550" s="57"/>
    </row>
    <row r="551" spans="1:7">
      <c r="A551" s="266"/>
      <c r="B551" s="266"/>
      <c r="C551" s="266"/>
      <c r="D551" s="135"/>
      <c r="E551" s="135"/>
      <c r="F551" s="135"/>
      <c r="G551" s="57"/>
    </row>
    <row r="552" spans="1:7" ht="13">
      <c r="A552" s="261"/>
      <c r="B552" s="680" t="s">
        <v>318</v>
      </c>
      <c r="C552" s="266"/>
      <c r="D552" s="1874" t="s">
        <v>1242</v>
      </c>
      <c r="E552" s="1874"/>
      <c r="F552" s="1874"/>
      <c r="G552" s="57"/>
    </row>
    <row r="553" spans="1:7" ht="13">
      <c r="A553" s="261"/>
      <c r="B553" s="261"/>
      <c r="C553" s="266"/>
      <c r="D553" s="1874"/>
      <c r="E553" s="1874"/>
      <c r="F553" s="1874"/>
      <c r="G553" s="57"/>
    </row>
    <row r="554" spans="1:7" ht="13">
      <c r="A554" s="261"/>
      <c r="B554" s="261"/>
      <c r="C554" s="266"/>
      <c r="D554" s="1874"/>
      <c r="E554" s="1874"/>
      <c r="F554" s="1874"/>
      <c r="G554" s="57"/>
    </row>
    <row r="555" spans="1:7" ht="13">
      <c r="A555" s="261"/>
      <c r="B555" s="261"/>
      <c r="C555" s="266"/>
      <c r="D555" s="1874"/>
      <c r="E555" s="1874"/>
      <c r="F555" s="1874"/>
      <c r="G555" s="57"/>
    </row>
    <row r="556" spans="1:7" ht="13">
      <c r="A556" s="261"/>
      <c r="B556" s="261"/>
      <c r="C556" s="266"/>
      <c r="D556" s="135"/>
      <c r="E556" s="135"/>
      <c r="F556" s="135"/>
      <c r="G556" s="57"/>
    </row>
    <row r="557" spans="1:7" ht="13">
      <c r="A557" s="1900" t="s">
        <v>1175</v>
      </c>
      <c r="B557" s="1900"/>
      <c r="C557" s="1900"/>
      <c r="D557" s="1900"/>
      <c r="E557" s="1900"/>
      <c r="F557" s="1900"/>
      <c r="G557" s="1900"/>
    </row>
    <row r="558" spans="1:7">
      <c r="A558" s="266"/>
      <c r="B558" s="266"/>
      <c r="C558" s="266"/>
      <c r="E558" s="135"/>
      <c r="F558" s="135"/>
      <c r="G558" s="57"/>
    </row>
    <row r="559" spans="1:7" ht="12.75" customHeight="1">
      <c r="C559" s="255"/>
      <c r="D559" s="1916" t="s">
        <v>217</v>
      </c>
      <c r="E559" s="1916"/>
      <c r="F559" s="1916"/>
      <c r="G559" s="57"/>
    </row>
    <row r="560" spans="1:7" ht="13">
      <c r="A560" s="260"/>
      <c r="B560" s="260"/>
      <c r="C560" s="260"/>
      <c r="D560" s="1922" t="s">
        <v>1191</v>
      </c>
      <c r="E560" s="1922"/>
      <c r="F560" s="1922"/>
      <c r="G560" s="57"/>
    </row>
    <row r="561" spans="1:7" ht="13">
      <c r="A561" s="12"/>
      <c r="B561" s="12"/>
      <c r="C561" s="260"/>
      <c r="D561" s="378"/>
      <c r="G561" s="57"/>
    </row>
    <row r="562" spans="1:7" ht="13">
      <c r="A562" s="260"/>
      <c r="B562" s="680" t="s">
        <v>318</v>
      </c>
      <c r="D562" s="1922" t="s">
        <v>959</v>
      </c>
      <c r="E562" s="1922"/>
      <c r="F562" s="1922"/>
      <c r="G562" s="57"/>
    </row>
    <row r="563" spans="1:7" ht="13">
      <c r="A563" s="23"/>
      <c r="B563" s="676"/>
      <c r="D563" s="326"/>
    </row>
    <row r="564" spans="1:7" ht="13">
      <c r="A564" s="23"/>
      <c r="B564" s="680" t="s">
        <v>318</v>
      </c>
      <c r="D564" s="1923" t="s">
        <v>1192</v>
      </c>
      <c r="E564" s="1923"/>
      <c r="F564" s="1923"/>
    </row>
    <row r="565" spans="1:7" ht="13">
      <c r="A565" s="23"/>
      <c r="B565" s="676"/>
      <c r="D565" s="1923"/>
      <c r="E565" s="1923"/>
      <c r="F565" s="1923"/>
    </row>
    <row r="566" spans="1:7" ht="13">
      <c r="A566" s="23"/>
      <c r="B566" s="689"/>
      <c r="D566" s="1923"/>
      <c r="E566" s="1923"/>
      <c r="F566" s="1923"/>
    </row>
    <row r="567" spans="1:7" ht="13">
      <c r="A567" s="23"/>
      <c r="B567" s="676"/>
      <c r="D567" s="479"/>
    </row>
    <row r="568" spans="1:7" s="683" customFormat="1" ht="13">
      <c r="A568" s="689"/>
      <c r="B568" s="680" t="s">
        <v>318</v>
      </c>
      <c r="C568" s="690"/>
      <c r="D568" s="1923" t="s">
        <v>1193</v>
      </c>
      <c r="E568" s="1923"/>
      <c r="F568" s="1923"/>
      <c r="G568" s="7"/>
    </row>
    <row r="569" spans="1:7" s="683" customFormat="1" ht="13">
      <c r="A569" s="689"/>
      <c r="B569" s="689"/>
      <c r="C569" s="690"/>
      <c r="D569" s="1923"/>
      <c r="E569" s="1923"/>
      <c r="F569" s="1923"/>
      <c r="G569" s="7"/>
    </row>
    <row r="570" spans="1:7" s="683" customFormat="1" ht="13">
      <c r="A570" s="689"/>
      <c r="B570" s="689"/>
      <c r="C570" s="690"/>
      <c r="D570" s="1923"/>
      <c r="E570" s="1923"/>
      <c r="F570" s="1923"/>
      <c r="G570" s="7"/>
    </row>
    <row r="571" spans="1:7" s="683" customFormat="1" ht="13">
      <c r="A571" s="689"/>
      <c r="B571" s="689"/>
      <c r="C571" s="690"/>
      <c r="D571" s="1923"/>
      <c r="E571" s="1923"/>
      <c r="F571" s="1923"/>
      <c r="G571" s="7"/>
    </row>
    <row r="572" spans="1:7" s="683" customFormat="1" ht="13">
      <c r="A572" s="689"/>
      <c r="B572" s="689"/>
      <c r="C572" s="690"/>
      <c r="D572" s="695"/>
      <c r="E572" s="695"/>
      <c r="F572" s="695"/>
      <c r="G572" s="7"/>
    </row>
    <row r="573" spans="1:7" ht="13">
      <c r="A573" s="23"/>
      <c r="B573" s="680" t="s">
        <v>318</v>
      </c>
      <c r="D573" s="1923" t="s">
        <v>1194</v>
      </c>
      <c r="E573" s="1923"/>
      <c r="F573" s="1923"/>
    </row>
    <row r="574" spans="1:7" ht="13">
      <c r="A574" s="23"/>
      <c r="B574" s="676"/>
      <c r="D574" s="1923"/>
      <c r="E574" s="1923"/>
      <c r="F574" s="1923"/>
    </row>
    <row r="575" spans="1:7" ht="13">
      <c r="A575" s="23"/>
      <c r="B575" s="676"/>
      <c r="D575" s="378"/>
    </row>
    <row r="576" spans="1:7" s="683" customFormat="1" ht="13">
      <c r="A576" s="689"/>
      <c r="B576" s="680" t="s">
        <v>318</v>
      </c>
      <c r="C576" s="690"/>
      <c r="D576" s="1922" t="s">
        <v>1195</v>
      </c>
      <c r="E576" s="1922"/>
      <c r="F576" s="1922"/>
      <c r="G576" s="7"/>
    </row>
    <row r="577" spans="1:7" s="683" customFormat="1" ht="13">
      <c r="A577" s="689"/>
      <c r="B577" s="689"/>
      <c r="C577" s="690"/>
      <c r="D577" s="1922"/>
      <c r="E577" s="1922"/>
      <c r="F577" s="1922"/>
      <c r="G577" s="7"/>
    </row>
    <row r="578" spans="1:7" s="683" customFormat="1" ht="13">
      <c r="A578" s="689"/>
      <c r="B578" s="689"/>
      <c r="C578" s="690"/>
      <c r="D578" s="378"/>
      <c r="E578" s="7"/>
      <c r="F578" s="7"/>
      <c r="G578" s="7"/>
    </row>
    <row r="579" spans="1:7" ht="13">
      <c r="A579" s="261"/>
      <c r="B579" s="680" t="s">
        <v>318</v>
      </c>
      <c r="D579" s="1922" t="s">
        <v>954</v>
      </c>
      <c r="E579" s="1922"/>
      <c r="F579" s="1922"/>
    </row>
    <row r="580" spans="1:7" ht="13">
      <c r="A580" s="261"/>
      <c r="B580" s="261"/>
      <c r="D580" s="378"/>
    </row>
    <row r="581" spans="1:7" ht="13">
      <c r="A581" s="261"/>
      <c r="B581" s="680" t="s">
        <v>318</v>
      </c>
      <c r="D581" s="1922" t="s">
        <v>1196</v>
      </c>
      <c r="E581" s="1922"/>
      <c r="F581" s="1922"/>
    </row>
    <row r="582" spans="1:7" ht="13">
      <c r="A582" s="261"/>
      <c r="B582" s="261"/>
      <c r="D582" s="1922"/>
      <c r="E582" s="1922"/>
      <c r="F582" s="1922"/>
    </row>
    <row r="583" spans="1:7">
      <c r="D583" s="1922"/>
      <c r="E583" s="1922"/>
      <c r="F583" s="1922"/>
    </row>
    <row r="584" spans="1:7">
      <c r="D584" s="1922"/>
      <c r="E584" s="1922"/>
      <c r="F584" s="1922"/>
    </row>
    <row r="585" spans="1:7" s="683" customFormat="1">
      <c r="A585" s="690"/>
      <c r="B585" s="690"/>
      <c r="C585" s="690"/>
      <c r="D585" s="1922"/>
      <c r="E585" s="1922"/>
      <c r="F585" s="1922"/>
      <c r="G585" s="7"/>
    </row>
    <row r="586" spans="1:7" s="683" customFormat="1">
      <c r="A586" s="690"/>
      <c r="B586" s="690"/>
      <c r="C586" s="690"/>
      <c r="D586" s="1922"/>
      <c r="E586" s="1922"/>
      <c r="F586" s="1922"/>
      <c r="G586" s="7"/>
    </row>
    <row r="587" spans="1:7"/>
    <row r="588" spans="1:7" ht="13">
      <c r="A588" s="1900" t="s">
        <v>1176</v>
      </c>
      <c r="B588" s="1900"/>
      <c r="C588" s="1900"/>
      <c r="D588" s="1900"/>
      <c r="E588" s="1900"/>
      <c r="F588" s="1900"/>
      <c r="G588" s="1900"/>
    </row>
    <row r="589" spans="1:7"/>
    <row r="590" spans="1:7" ht="13">
      <c r="D590" s="1890" t="s">
        <v>1276</v>
      </c>
      <c r="E590" s="1890"/>
      <c r="F590" s="1890"/>
    </row>
    <row r="591" spans="1:7">
      <c r="D591" s="1891" t="s">
        <v>1277</v>
      </c>
      <c r="E591" s="1891"/>
      <c r="F591" s="1891"/>
    </row>
    <row r="592" spans="1:7" s="720" customFormat="1">
      <c r="A592" s="706"/>
      <c r="B592" s="706"/>
      <c r="C592" s="706"/>
      <c r="D592" s="724"/>
      <c r="E592" s="723"/>
      <c r="F592" s="723"/>
      <c r="G592" s="7"/>
    </row>
    <row r="593" spans="1:7" s="39" customFormat="1" ht="13">
      <c r="A593" s="404"/>
      <c r="B593" s="680" t="s">
        <v>318</v>
      </c>
      <c r="C593" s="273"/>
      <c r="D593" s="1892" t="s">
        <v>1278</v>
      </c>
      <c r="E593" s="1892"/>
      <c r="F593" s="1892"/>
      <c r="G593" s="130"/>
    </row>
    <row r="594" spans="1:7">
      <c r="D594" s="1892"/>
      <c r="E594" s="1892"/>
      <c r="F594" s="1892"/>
    </row>
    <row r="595" spans="1:7">
      <c r="D595" s="1892"/>
      <c r="E595" s="1892"/>
      <c r="F595" s="1892"/>
    </row>
    <row r="596" spans="1:7"/>
    <row r="597" spans="1:7" ht="13">
      <c r="A597" s="1900" t="s">
        <v>1177</v>
      </c>
      <c r="B597" s="1900"/>
      <c r="C597" s="1900"/>
      <c r="D597" s="1900"/>
      <c r="E597" s="1900"/>
      <c r="F597" s="1900"/>
      <c r="G597" s="1900"/>
    </row>
    <row r="598" spans="1:7">
      <c r="A598" s="135"/>
      <c r="B598" s="135"/>
      <c r="G598" s="57"/>
    </row>
    <row r="599" spans="1:7" ht="13">
      <c r="A599" s="257"/>
      <c r="B599" s="675"/>
      <c r="C599" s="255"/>
      <c r="D599" s="1893" t="s">
        <v>1279</v>
      </c>
      <c r="E599" s="1893"/>
      <c r="F599" s="1893"/>
      <c r="G599" s="57"/>
    </row>
    <row r="600" spans="1:7" ht="13">
      <c r="A600" s="257"/>
      <c r="B600" s="675"/>
      <c r="C600" s="255"/>
      <c r="D600" s="1893"/>
      <c r="E600" s="1893"/>
      <c r="F600" s="1893"/>
      <c r="G600" s="57"/>
    </row>
    <row r="601" spans="1:7" ht="13">
      <c r="C601" s="260"/>
      <c r="D601" s="1891" t="s">
        <v>1280</v>
      </c>
      <c r="E601" s="1891"/>
      <c r="F601" s="1891"/>
      <c r="G601" s="57"/>
    </row>
    <row r="602" spans="1:7" s="720" customFormat="1" ht="13">
      <c r="A602" s="706"/>
      <c r="B602" s="706"/>
      <c r="C602" s="721"/>
      <c r="D602" s="725"/>
      <c r="E602" s="725"/>
      <c r="F602" s="725"/>
      <c r="G602" s="57"/>
    </row>
    <row r="603" spans="1:7" ht="13">
      <c r="A603" s="23"/>
      <c r="B603" s="680" t="s">
        <v>318</v>
      </c>
      <c r="D603" s="1891" t="s">
        <v>455</v>
      </c>
      <c r="E603" s="1891"/>
      <c r="F603" s="1891"/>
      <c r="G603" s="57"/>
    </row>
    <row r="604" spans="1:7" ht="13">
      <c r="C604" s="268"/>
      <c r="E604" s="12"/>
      <c r="G604" s="57"/>
    </row>
    <row r="605" spans="1:7" ht="13">
      <c r="A605" s="23"/>
      <c r="B605" s="680" t="s">
        <v>318</v>
      </c>
      <c r="D605" s="1894" t="s">
        <v>1281</v>
      </c>
      <c r="E605" s="1894"/>
      <c r="F605" s="1894"/>
      <c r="G605" s="57"/>
    </row>
    <row r="606" spans="1:7">
      <c r="D606" s="1894"/>
      <c r="E606" s="1894"/>
      <c r="F606" s="1894"/>
      <c r="G606" s="57"/>
    </row>
    <row r="607" spans="1:7">
      <c r="D607" s="12"/>
      <c r="G607" s="57"/>
    </row>
    <row r="608" spans="1:7">
      <c r="B608" s="680" t="s">
        <v>318</v>
      </c>
      <c r="D608" s="1894" t="s">
        <v>1282</v>
      </c>
      <c r="E608" s="1894"/>
      <c r="F608" s="1894"/>
      <c r="G608" s="57"/>
    </row>
    <row r="609" spans="1:7" ht="13">
      <c r="C609" s="268"/>
      <c r="D609" s="1894"/>
      <c r="E609" s="1894"/>
      <c r="F609" s="1894"/>
      <c r="G609" s="57"/>
    </row>
    <row r="610" spans="1:7" ht="13">
      <c r="C610" s="268"/>
      <c r="G610" s="57"/>
    </row>
    <row r="611" spans="1:7" ht="13">
      <c r="B611" s="680" t="s">
        <v>318</v>
      </c>
      <c r="C611" s="268"/>
      <c r="D611" s="1894" t="s">
        <v>1283</v>
      </c>
      <c r="E611" s="1894"/>
      <c r="F611" s="1894"/>
      <c r="G611" s="57"/>
    </row>
    <row r="612" spans="1:7" ht="13">
      <c r="C612" s="268"/>
      <c r="D612" s="1894"/>
      <c r="E612" s="1894"/>
      <c r="F612" s="1894"/>
      <c r="G612" s="57"/>
    </row>
    <row r="613" spans="1:7" ht="13">
      <c r="C613" s="268"/>
      <c r="G613" s="57"/>
    </row>
    <row r="614" spans="1:7" ht="13">
      <c r="A614" s="1900" t="s">
        <v>1178</v>
      </c>
      <c r="B614" s="1900"/>
      <c r="C614" s="1900"/>
      <c r="D614" s="1900"/>
      <c r="E614" s="1900"/>
      <c r="F614" s="1900"/>
      <c r="G614" s="1900"/>
    </row>
    <row r="615" spans="1:7" ht="13">
      <c r="A615" s="267"/>
      <c r="B615" s="267"/>
      <c r="C615" s="267"/>
      <c r="G615" s="57"/>
    </row>
    <row r="616" spans="1:7" ht="13">
      <c r="C616" s="23"/>
      <c r="D616" s="1890" t="s">
        <v>1284</v>
      </c>
      <c r="E616" s="1890"/>
      <c r="F616" s="1890"/>
      <c r="G616" s="57"/>
    </row>
    <row r="617" spans="1:7" ht="13">
      <c r="A617" s="23"/>
      <c r="B617" s="676"/>
      <c r="C617" s="265"/>
      <c r="D617" s="50"/>
      <c r="G617" s="57"/>
    </row>
    <row r="618" spans="1:7" ht="13">
      <c r="A618" s="261"/>
      <c r="B618" s="680" t="s">
        <v>318</v>
      </c>
      <c r="C618" s="265"/>
      <c r="D618" s="1935" t="s">
        <v>1285</v>
      </c>
      <c r="E618" s="1935"/>
      <c r="F618" s="1935"/>
      <c r="G618" s="57"/>
    </row>
    <row r="619" spans="1:7">
      <c r="C619" s="265"/>
      <c r="D619" s="1935"/>
      <c r="E619" s="1935"/>
      <c r="F619" s="1935"/>
      <c r="G619" s="57"/>
    </row>
    <row r="620" spans="1:7">
      <c r="C620" s="265"/>
      <c r="D620" s="1935"/>
      <c r="E620" s="1935"/>
      <c r="F620" s="1935"/>
      <c r="G620" s="57"/>
    </row>
    <row r="621" spans="1:7">
      <c r="C621" s="265"/>
      <c r="D621" s="1935"/>
      <c r="E621" s="1935"/>
      <c r="F621" s="1935"/>
      <c r="G621" s="57"/>
    </row>
    <row r="622" spans="1:7">
      <c r="C622" s="265"/>
      <c r="D622" s="1935"/>
      <c r="E622" s="1935"/>
      <c r="F622" s="1935"/>
      <c r="G622" s="57"/>
    </row>
    <row r="623" spans="1:7">
      <c r="C623" s="265"/>
      <c r="D623" s="1935"/>
      <c r="E623" s="1935"/>
      <c r="F623" s="1935"/>
      <c r="G623" s="57"/>
    </row>
    <row r="624" spans="1:7" s="720" customFormat="1">
      <c r="A624" s="706"/>
      <c r="B624" s="706"/>
      <c r="C624" s="265"/>
      <c r="D624" s="726"/>
      <c r="E624" s="726"/>
      <c r="F624" s="726"/>
      <c r="G624" s="57"/>
    </row>
    <row r="625" spans="1:7" ht="13">
      <c r="A625" s="261"/>
      <c r="B625" s="680" t="s">
        <v>318</v>
      </c>
      <c r="C625" s="265"/>
      <c r="D625" s="1935" t="s">
        <v>1286</v>
      </c>
      <c r="E625" s="1935"/>
      <c r="F625" s="1935"/>
      <c r="G625" s="57"/>
    </row>
    <row r="626" spans="1:7">
      <c r="A626" s="266"/>
      <c r="B626" s="266"/>
      <c r="C626" s="266"/>
      <c r="D626" s="1935"/>
      <c r="E626" s="1935"/>
      <c r="F626" s="1935"/>
      <c r="G626" s="57"/>
    </row>
    <row r="627" spans="1:7">
      <c r="A627" s="266"/>
      <c r="B627" s="266"/>
      <c r="C627" s="266"/>
      <c r="D627" s="151"/>
      <c r="E627" s="147"/>
      <c r="F627" s="147"/>
      <c r="G627" s="57"/>
    </row>
    <row r="628" spans="1:7" ht="13">
      <c r="A628" s="261"/>
      <c r="B628" s="680" t="s">
        <v>318</v>
      </c>
      <c r="C628" s="266"/>
      <c r="D628" s="1892" t="s">
        <v>1287</v>
      </c>
      <c r="E628" s="1892"/>
      <c r="F628" s="1892"/>
      <c r="G628" s="57"/>
    </row>
    <row r="629" spans="1:7" ht="13">
      <c r="A629" s="261"/>
      <c r="B629" s="261"/>
      <c r="C629" s="266"/>
      <c r="D629" s="1892"/>
      <c r="E629" s="1892"/>
      <c r="F629" s="1892"/>
      <c r="G629" s="57"/>
    </row>
    <row r="630" spans="1:7" ht="13">
      <c r="A630" s="261"/>
      <c r="B630" s="261"/>
      <c r="C630" s="266"/>
      <c r="D630" s="1892"/>
      <c r="E630" s="1892"/>
      <c r="F630" s="1892"/>
      <c r="G630" s="57"/>
    </row>
    <row r="631" spans="1:7">
      <c r="A631" s="266"/>
      <c r="B631" s="266"/>
      <c r="C631" s="266"/>
      <c r="D631" s="1892"/>
      <c r="E631" s="1892"/>
      <c r="F631" s="1892"/>
      <c r="G631" s="57"/>
    </row>
    <row r="632" spans="1:7" s="720" customFormat="1">
      <c r="A632" s="266"/>
      <c r="B632" s="266"/>
      <c r="C632" s="266"/>
      <c r="D632" s="727"/>
      <c r="E632" s="727"/>
      <c r="F632" s="727"/>
      <c r="G632" s="57"/>
    </row>
    <row r="633" spans="1:7">
      <c r="A633" s="266"/>
      <c r="B633" s="680" t="s">
        <v>318</v>
      </c>
      <c r="C633" s="266"/>
      <c r="D633" s="1940" t="s">
        <v>1288</v>
      </c>
      <c r="E633" s="1940"/>
      <c r="F633" s="1940"/>
      <c r="G633" s="57"/>
    </row>
    <row r="634" spans="1:7">
      <c r="A634" s="266"/>
      <c r="B634" s="266"/>
      <c r="C634" s="266"/>
      <c r="D634" s="728"/>
      <c r="E634" s="728"/>
      <c r="F634" s="728"/>
      <c r="G634" s="57"/>
    </row>
    <row r="635" spans="1:7" ht="13">
      <c r="A635" s="1900" t="s">
        <v>1179</v>
      </c>
      <c r="B635" s="1900"/>
      <c r="C635" s="1900"/>
      <c r="D635" s="1900"/>
      <c r="E635" s="1900"/>
      <c r="F635" s="1900"/>
      <c r="G635" s="1900"/>
    </row>
    <row r="636" spans="1:7">
      <c r="A636" s="135"/>
      <c r="B636" s="135"/>
      <c r="C636" s="266"/>
      <c r="D636" s="147"/>
      <c r="E636" s="147"/>
      <c r="F636" s="147"/>
      <c r="G636" s="57"/>
    </row>
    <row r="637" spans="1:7" ht="13">
      <c r="C637" s="267"/>
      <c r="D637" s="1941" t="s">
        <v>1338</v>
      </c>
      <c r="E637" s="1941"/>
      <c r="F637" s="1941"/>
      <c r="G637" s="57"/>
    </row>
    <row r="638" spans="1:7" ht="13">
      <c r="A638" s="260"/>
      <c r="B638" s="260"/>
      <c r="C638" s="260"/>
      <c r="D638" s="1942" t="s">
        <v>1339</v>
      </c>
      <c r="E638" s="1942"/>
      <c r="F638" s="1942"/>
      <c r="G638" s="57"/>
    </row>
    <row r="639" spans="1:7" s="720" customFormat="1" ht="13">
      <c r="A639" s="721"/>
      <c r="B639" s="721"/>
      <c r="C639" s="721"/>
      <c r="D639" s="735"/>
      <c r="E639" s="735"/>
      <c r="F639" s="735"/>
      <c r="G639" s="57"/>
    </row>
    <row r="640" spans="1:7" ht="14.5" customHeight="1">
      <c r="A640" s="261"/>
      <c r="B640" s="680" t="s">
        <v>318</v>
      </c>
      <c r="C640" s="266"/>
      <c r="D640" s="1888" t="s">
        <v>1340</v>
      </c>
      <c r="E640" s="1888"/>
      <c r="F640" s="1888"/>
      <c r="G640" s="57"/>
    </row>
    <row r="641" spans="1:11" ht="13">
      <c r="A641" s="261"/>
      <c r="B641" s="261"/>
      <c r="C641" s="266"/>
      <c r="D641" s="1888"/>
      <c r="E641" s="1888"/>
      <c r="F641" s="1888"/>
      <c r="G641" s="57"/>
    </row>
    <row r="642" spans="1:11" ht="13">
      <c r="A642" s="261"/>
      <c r="B642" s="261"/>
      <c r="C642" s="266"/>
      <c r="D642" s="1888"/>
      <c r="E642" s="1888"/>
      <c r="F642" s="1888"/>
      <c r="G642" s="57"/>
    </row>
    <row r="643" spans="1:11" ht="13">
      <c r="A643" s="261"/>
      <c r="B643" s="261"/>
      <c r="C643" s="266"/>
      <c r="D643" s="1888"/>
      <c r="E643" s="1888"/>
      <c r="F643" s="1888"/>
      <c r="G643" s="57"/>
    </row>
    <row r="644" spans="1:11" s="683" customFormat="1" ht="13">
      <c r="A644" s="261"/>
      <c r="B644" s="261"/>
      <c r="C644" s="266"/>
      <c r="D644" s="1888"/>
      <c r="E644" s="1888"/>
      <c r="F644" s="1888"/>
      <c r="G644" s="57"/>
    </row>
    <row r="645" spans="1:11" s="720" customFormat="1" ht="13">
      <c r="A645" s="715"/>
      <c r="B645" s="715"/>
      <c r="C645" s="266"/>
      <c r="D645" s="737"/>
      <c r="E645" s="737"/>
      <c r="F645" s="737"/>
      <c r="G645" s="57"/>
    </row>
    <row r="646" spans="1:11" s="683" customFormat="1" ht="13">
      <c r="A646" s="261"/>
      <c r="B646" s="680" t="s">
        <v>318</v>
      </c>
      <c r="C646" s="266"/>
      <c r="D646" s="1918" t="s">
        <v>1190</v>
      </c>
      <c r="E646" s="1918"/>
      <c r="F646" s="1918"/>
      <c r="G646" s="57"/>
    </row>
    <row r="647" spans="1:11" s="683" customFormat="1" ht="13">
      <c r="A647" s="261"/>
      <c r="B647" s="261"/>
      <c r="C647" s="266"/>
      <c r="D647" s="1919" t="s">
        <v>1341</v>
      </c>
      <c r="E647" s="1919"/>
      <c r="F647" s="1919"/>
      <c r="G647" s="57"/>
    </row>
    <row r="648" spans="1:11" s="683" customFormat="1" ht="13">
      <c r="A648" s="261"/>
      <c r="B648" s="261"/>
      <c r="C648" s="266"/>
      <c r="D648" s="1919"/>
      <c r="E648" s="1919"/>
      <c r="F648" s="1919"/>
      <c r="G648" s="57"/>
    </row>
    <row r="649" spans="1:11" s="683" customFormat="1" ht="13">
      <c r="A649" s="261"/>
      <c r="B649" s="261"/>
      <c r="C649" s="266"/>
      <c r="D649" s="1919"/>
      <c r="E649" s="1919"/>
      <c r="F649" s="1919"/>
      <c r="G649" s="57"/>
    </row>
    <row r="650" spans="1:11" s="683" customFormat="1" ht="13">
      <c r="A650" s="261"/>
      <c r="B650" s="261"/>
      <c r="C650" s="266"/>
      <c r="D650" s="1919"/>
      <c r="E650" s="1919"/>
      <c r="F650" s="1919"/>
      <c r="G650" s="57"/>
    </row>
    <row r="651" spans="1:11" s="683" customFormat="1" ht="13">
      <c r="A651" s="261"/>
      <c r="B651" s="261"/>
      <c r="C651" s="266"/>
      <c r="D651" s="1919"/>
      <c r="E651" s="1919"/>
      <c r="F651" s="1919"/>
      <c r="G651" s="57"/>
    </row>
    <row r="652" spans="1:11" s="683" customFormat="1" ht="13">
      <c r="A652" s="261"/>
      <c r="B652" s="261"/>
      <c r="C652" s="266"/>
      <c r="D652" s="1920" t="s">
        <v>1342</v>
      </c>
      <c r="E652" s="1920"/>
      <c r="F652" s="1920"/>
      <c r="G652" s="57"/>
    </row>
    <row r="653" spans="1:11">
      <c r="A653" s="266"/>
      <c r="B653" s="266"/>
      <c r="C653" s="266"/>
      <c r="D653" s="147"/>
      <c r="E653" s="147"/>
      <c r="F653" s="147"/>
      <c r="G653" s="57"/>
    </row>
    <row r="654" spans="1:11" ht="13">
      <c r="A654" s="1900" t="s">
        <v>1180</v>
      </c>
      <c r="B654" s="1900"/>
      <c r="C654" s="1900"/>
      <c r="D654" s="1900"/>
      <c r="E654" s="1900"/>
      <c r="F654" s="1900"/>
      <c r="G654" s="1900"/>
      <c r="H654" s="269"/>
      <c r="I654" s="269"/>
      <c r="J654" s="269"/>
      <c r="K654" s="269"/>
    </row>
    <row r="655" spans="1:11" s="720" customFormat="1" ht="13">
      <c r="A655" s="736"/>
      <c r="B655" s="736"/>
      <c r="C655" s="736"/>
      <c r="D655" s="736"/>
      <c r="E655" s="736"/>
      <c r="F655" s="736"/>
      <c r="G655" s="736"/>
      <c r="H655" s="269"/>
      <c r="I655" s="269"/>
      <c r="J655" s="269"/>
      <c r="K655" s="269"/>
    </row>
    <row r="656" spans="1:11" ht="13">
      <c r="C656" s="267"/>
      <c r="D656" s="1898" t="s">
        <v>104</v>
      </c>
      <c r="E656" s="1898"/>
      <c r="F656" s="1898"/>
      <c r="G656" s="57"/>
      <c r="H656" s="269"/>
      <c r="I656" s="269"/>
      <c r="J656" s="269"/>
      <c r="K656" s="269"/>
    </row>
    <row r="657" spans="1:11" ht="13">
      <c r="A657" s="267"/>
      <c r="B657" s="267"/>
      <c r="C657" s="267"/>
      <c r="D657" s="1898" t="s">
        <v>128</v>
      </c>
      <c r="E657" s="1898"/>
      <c r="F657" s="1898"/>
      <c r="G657" s="57"/>
      <c r="H657" s="269"/>
      <c r="I657" s="269"/>
      <c r="J657" s="269"/>
      <c r="K657" s="269"/>
    </row>
    <row r="658" spans="1:11" ht="13">
      <c r="A658" s="260"/>
      <c r="B658" s="260"/>
      <c r="C658" s="260"/>
      <c r="D658" s="1899" t="s">
        <v>1216</v>
      </c>
      <c r="E658" s="1899"/>
      <c r="F658" s="1899"/>
      <c r="G658" s="57"/>
      <c r="H658" s="269"/>
      <c r="I658" s="269"/>
      <c r="J658" s="269"/>
      <c r="K658" s="269"/>
    </row>
    <row r="659" spans="1:11" ht="13">
      <c r="A659" s="260"/>
      <c r="B659" s="260"/>
      <c r="C659" s="260"/>
      <c r="G659" s="57"/>
      <c r="H659" s="269"/>
      <c r="I659" s="269"/>
      <c r="J659" s="269"/>
      <c r="K659" s="269"/>
    </row>
    <row r="660" spans="1:11" ht="13">
      <c r="A660" s="261"/>
      <c r="B660" s="680" t="s">
        <v>318</v>
      </c>
      <c r="C660" s="260"/>
      <c r="D660" s="1899" t="s">
        <v>955</v>
      </c>
      <c r="E660" s="1899"/>
      <c r="F660" s="1899"/>
      <c r="G660" s="57"/>
      <c r="H660" s="269"/>
      <c r="I660" s="269"/>
      <c r="J660" s="269"/>
      <c r="K660" s="269"/>
    </row>
    <row r="661" spans="1:11" ht="13">
      <c r="A661" s="260"/>
      <c r="B661" s="260"/>
      <c r="C661" s="260"/>
      <c r="D661" s="1899" t="s">
        <v>966</v>
      </c>
      <c r="E661" s="1899"/>
      <c r="F661" s="1899"/>
      <c r="G661" s="57"/>
      <c r="H661" s="269"/>
      <c r="I661" s="269"/>
      <c r="J661" s="269"/>
      <c r="K661" s="269"/>
    </row>
    <row r="662" spans="1:11" ht="13">
      <c r="A662" s="260"/>
      <c r="B662" s="260"/>
      <c r="C662" s="260"/>
      <c r="D662" s="6"/>
      <c r="E662" s="1878" t="s">
        <v>1217</v>
      </c>
      <c r="F662" s="1878"/>
      <c r="G662" s="57"/>
      <c r="H662" s="269"/>
      <c r="I662" s="269"/>
      <c r="J662" s="269"/>
      <c r="K662" s="269"/>
    </row>
    <row r="663" spans="1:11" ht="13">
      <c r="A663" s="260"/>
      <c r="B663" s="260"/>
      <c r="C663" s="260"/>
      <c r="D663" s="6"/>
      <c r="E663" s="1878"/>
      <c r="F663" s="1878"/>
      <c r="G663" s="57"/>
      <c r="H663" s="269"/>
      <c r="I663" s="269"/>
      <c r="J663" s="269"/>
      <c r="K663" s="269"/>
    </row>
    <row r="664" spans="1:11" ht="13">
      <c r="A664" s="260"/>
      <c r="B664" s="260"/>
      <c r="C664" s="260"/>
      <c r="D664" s="270"/>
      <c r="E664" s="135"/>
      <c r="G664" s="57"/>
      <c r="H664" s="269"/>
      <c r="I664" s="269"/>
      <c r="J664" s="269"/>
      <c r="K664" s="269"/>
    </row>
    <row r="665" spans="1:11" ht="13">
      <c r="A665" s="261"/>
      <c r="B665" s="680" t="s">
        <v>318</v>
      </c>
      <c r="C665" s="260"/>
      <c r="D665" s="1874" t="s">
        <v>1218</v>
      </c>
      <c r="E665" s="1874"/>
      <c r="F665" s="1874"/>
      <c r="G665" s="57"/>
      <c r="H665" s="269"/>
      <c r="I665" s="269"/>
      <c r="J665" s="269"/>
      <c r="K665" s="269"/>
    </row>
    <row r="666" spans="1:11" ht="13">
      <c r="A666" s="23"/>
      <c r="B666" s="676"/>
      <c r="C666" s="260"/>
      <c r="D666" s="1874"/>
      <c r="E666" s="1874"/>
      <c r="F666" s="1874"/>
      <c r="G666" s="57"/>
      <c r="H666" s="269"/>
      <c r="I666" s="269"/>
      <c r="J666" s="269"/>
      <c r="K666" s="269"/>
    </row>
    <row r="667" spans="1:11" ht="13">
      <c r="A667" s="260"/>
      <c r="B667" s="260"/>
      <c r="C667" s="260"/>
      <c r="D667" s="1874"/>
      <c r="E667" s="1874"/>
      <c r="F667" s="1874"/>
      <c r="G667" s="57"/>
      <c r="H667" s="269"/>
      <c r="I667" s="269"/>
      <c r="J667" s="269"/>
      <c r="K667" s="269"/>
    </row>
    <row r="668" spans="1:11" ht="13">
      <c r="A668" s="260"/>
      <c r="B668" s="260"/>
      <c r="C668" s="260"/>
      <c r="G668" s="57"/>
      <c r="H668" s="269"/>
      <c r="I668" s="269"/>
      <c r="J668" s="269"/>
      <c r="K668" s="269"/>
    </row>
    <row r="669" spans="1:11" ht="13">
      <c r="A669" s="261"/>
      <c r="B669" s="680" t="s">
        <v>318</v>
      </c>
      <c r="C669" s="260"/>
      <c r="D669" s="1899" t="s">
        <v>995</v>
      </c>
      <c r="E669" s="1899"/>
      <c r="F669" s="1899"/>
      <c r="G669" s="57"/>
      <c r="H669" s="269"/>
      <c r="I669" s="269"/>
      <c r="J669" s="269"/>
      <c r="K669" s="269"/>
    </row>
    <row r="670" spans="1:11" ht="13">
      <c r="A670" s="261"/>
      <c r="B670" s="261"/>
      <c r="C670" s="260"/>
      <c r="D670" s="1899" t="s">
        <v>966</v>
      </c>
      <c r="E670" s="1899"/>
      <c r="F670" s="1899"/>
      <c r="G670" s="57"/>
      <c r="H670" s="269"/>
      <c r="I670" s="269"/>
      <c r="J670" s="269"/>
      <c r="K670" s="269"/>
    </row>
    <row r="671" spans="1:11" ht="13">
      <c r="A671" s="260"/>
      <c r="B671" s="260"/>
      <c r="C671" s="260"/>
      <c r="D671" s="6"/>
      <c r="E671" s="1904" t="s">
        <v>1219</v>
      </c>
      <c r="F671" s="1904"/>
      <c r="G671" s="57"/>
      <c r="H671" s="269"/>
      <c r="I671" s="269"/>
      <c r="J671" s="269"/>
      <c r="K671" s="269"/>
    </row>
    <row r="672" spans="1:11" ht="13">
      <c r="A672" s="260"/>
      <c r="B672" s="260"/>
      <c r="C672" s="260"/>
      <c r="D672" s="50"/>
      <c r="G672" s="57"/>
      <c r="H672" s="269"/>
      <c r="I672" s="269"/>
      <c r="J672" s="269"/>
      <c r="K672" s="269"/>
    </row>
    <row r="673" spans="1:11" ht="13">
      <c r="A673" s="261"/>
      <c r="B673" s="680" t="s">
        <v>318</v>
      </c>
      <c r="C673" s="260"/>
      <c r="D673" s="1897" t="s">
        <v>1229</v>
      </c>
      <c r="E673" s="1897"/>
      <c r="F673" s="1897"/>
      <c r="G673" s="57"/>
      <c r="H673" s="269"/>
      <c r="I673" s="269"/>
      <c r="J673" s="269"/>
      <c r="K673" s="269"/>
    </row>
    <row r="674" spans="1:11" ht="13">
      <c r="A674" s="260"/>
      <c r="B674" s="260"/>
      <c r="C674" s="260"/>
      <c r="D674" s="1897"/>
      <c r="E674" s="1897"/>
      <c r="F674" s="1897"/>
      <c r="G674" s="57"/>
      <c r="H674" s="269"/>
      <c r="I674" s="269"/>
      <c r="J674" s="269"/>
      <c r="K674" s="269"/>
    </row>
    <row r="675" spans="1:11" ht="13">
      <c r="A675" s="260"/>
      <c r="B675" s="260"/>
      <c r="C675" s="260"/>
      <c r="D675" s="1897"/>
      <c r="E675" s="1897"/>
      <c r="F675" s="1897"/>
      <c r="G675" s="57"/>
      <c r="H675" s="269"/>
      <c r="I675" s="269"/>
      <c r="J675" s="269"/>
      <c r="K675" s="269"/>
    </row>
    <row r="676" spans="1:11" ht="13">
      <c r="A676" s="260"/>
      <c r="B676" s="260"/>
      <c r="C676" s="260"/>
      <c r="D676" s="1897"/>
      <c r="E676" s="1897"/>
      <c r="F676" s="1897"/>
      <c r="G676" s="57"/>
      <c r="H676" s="269"/>
      <c r="I676" s="269"/>
      <c r="J676" s="269"/>
      <c r="K676" s="269"/>
    </row>
    <row r="677" spans="1:11" ht="13">
      <c r="A677" s="260"/>
      <c r="B677" s="260"/>
      <c r="C677" s="260"/>
      <c r="D677" s="1897"/>
      <c r="E677" s="1897"/>
      <c r="F677" s="1897"/>
      <c r="G677" s="57"/>
      <c r="H677" s="269"/>
      <c r="I677" s="269"/>
      <c r="J677" s="269"/>
      <c r="K677" s="269"/>
    </row>
    <row r="678" spans="1:11" s="39" customFormat="1" ht="13">
      <c r="A678" s="488"/>
      <c r="B678" s="488"/>
      <c r="C678" s="488"/>
      <c r="D678" s="1897"/>
      <c r="E678" s="1897"/>
      <c r="F678" s="1897"/>
      <c r="G678" s="60"/>
      <c r="H678" s="272"/>
      <c r="I678" s="272"/>
      <c r="J678" s="272"/>
      <c r="K678" s="272"/>
    </row>
    <row r="679" spans="1:11" s="39" customFormat="1" ht="13">
      <c r="A679" s="488"/>
      <c r="B679" s="488"/>
      <c r="C679" s="488"/>
      <c r="D679" s="702"/>
      <c r="E679" s="702"/>
      <c r="F679" s="702"/>
      <c r="G679" s="60"/>
      <c r="H679" s="272"/>
      <c r="I679" s="272"/>
      <c r="J679" s="272"/>
      <c r="K679" s="272"/>
    </row>
    <row r="680" spans="1:11" ht="13">
      <c r="A680" s="261"/>
      <c r="B680" s="680" t="s">
        <v>318</v>
      </c>
      <c r="C680" s="260"/>
      <c r="D680" s="1897" t="s">
        <v>1220</v>
      </c>
      <c r="E680" s="1897"/>
      <c r="F680" s="1897"/>
      <c r="G680" s="57"/>
      <c r="H680" s="269"/>
      <c r="I680" s="269"/>
      <c r="J680" s="269"/>
      <c r="K680" s="269"/>
    </row>
    <row r="681" spans="1:11" ht="13">
      <c r="A681" s="260"/>
      <c r="B681" s="260"/>
      <c r="C681" s="260"/>
      <c r="D681" s="1897"/>
      <c r="E681" s="1897"/>
      <c r="F681" s="1897"/>
      <c r="G681" s="57"/>
      <c r="H681" s="269"/>
      <c r="I681" s="269"/>
      <c r="J681" s="269"/>
      <c r="K681" s="269"/>
    </row>
    <row r="682" spans="1:11" ht="13">
      <c r="A682" s="260"/>
      <c r="B682" s="260"/>
      <c r="C682" s="260"/>
      <c r="D682" s="1897"/>
      <c r="E682" s="1897"/>
      <c r="F682" s="1897"/>
      <c r="G682" s="57"/>
      <c r="H682" s="269"/>
      <c r="I682" s="269"/>
      <c r="J682" s="269"/>
      <c r="K682" s="269"/>
    </row>
    <row r="683" spans="1:11" ht="15" customHeight="1">
      <c r="A683" s="260"/>
      <c r="B683" s="260"/>
      <c r="C683" s="260"/>
      <c r="D683" s="1897"/>
      <c r="E683" s="1897"/>
      <c r="F683" s="1897"/>
      <c r="G683" s="57"/>
      <c r="H683" s="269"/>
      <c r="I683" s="269"/>
      <c r="J683" s="269"/>
      <c r="K683" s="269"/>
    </row>
    <row r="684" spans="1:11" ht="15" customHeight="1">
      <c r="A684" s="260"/>
      <c r="B684" s="260"/>
      <c r="C684" s="260"/>
      <c r="D684" s="1897"/>
      <c r="E684" s="1897"/>
      <c r="F684" s="1897"/>
      <c r="G684" s="57"/>
      <c r="H684" s="269"/>
      <c r="I684" s="269"/>
      <c r="J684" s="269"/>
      <c r="K684" s="269"/>
    </row>
    <row r="685" spans="1:11" ht="13">
      <c r="A685" s="260"/>
      <c r="B685" s="260"/>
      <c r="C685" s="260"/>
      <c r="D685" s="1897"/>
      <c r="E685" s="1897"/>
      <c r="F685" s="1897"/>
      <c r="G685" s="57"/>
      <c r="H685" s="269"/>
      <c r="I685" s="269"/>
      <c r="J685" s="269"/>
      <c r="K685" s="269"/>
    </row>
    <row r="686" spans="1:11" ht="13">
      <c r="A686" s="260"/>
      <c r="B686" s="260"/>
      <c r="C686" s="260"/>
      <c r="D686" s="1897"/>
      <c r="E686" s="1897"/>
      <c r="F686" s="1897"/>
      <c r="G686" s="57"/>
      <c r="H686" s="269"/>
      <c r="I686" s="269"/>
      <c r="J686" s="269"/>
      <c r="K686" s="269"/>
    </row>
    <row r="687" spans="1:11" ht="13">
      <c r="A687" s="260"/>
      <c r="B687" s="260"/>
      <c r="C687" s="260"/>
      <c r="D687" s="1897"/>
      <c r="E687" s="1897"/>
      <c r="F687" s="1897"/>
      <c r="G687" s="57"/>
      <c r="H687" s="269"/>
      <c r="I687" s="269"/>
      <c r="J687" s="269"/>
      <c r="K687" s="269"/>
    </row>
    <row r="688" spans="1:11" ht="15" customHeight="1">
      <c r="A688" s="260"/>
      <c r="B688" s="260"/>
      <c r="C688" s="260"/>
      <c r="D688" s="1897"/>
      <c r="E688" s="1897"/>
      <c r="F688" s="1897"/>
      <c r="G688" s="57"/>
      <c r="H688" s="269"/>
      <c r="I688" s="269"/>
      <c r="J688" s="269"/>
      <c r="K688" s="269"/>
    </row>
    <row r="689" spans="1:11" ht="13">
      <c r="A689" s="260"/>
      <c r="B689" s="260"/>
      <c r="C689" s="260"/>
      <c r="D689" s="1897"/>
      <c r="E689" s="1897"/>
      <c r="F689" s="1897"/>
      <c r="G689" s="57"/>
      <c r="H689" s="269"/>
      <c r="I689" s="269"/>
      <c r="J689" s="269"/>
      <c r="K689" s="269"/>
    </row>
    <row r="690" spans="1:11" ht="13">
      <c r="A690" s="260"/>
      <c r="B690" s="260"/>
      <c r="C690" s="260"/>
      <c r="D690" s="1897"/>
      <c r="E690" s="1897"/>
      <c r="F690" s="1897"/>
      <c r="G690" s="57"/>
      <c r="H690" s="269"/>
      <c r="I690" s="269"/>
      <c r="J690" s="269"/>
      <c r="K690" s="269"/>
    </row>
    <row r="691" spans="1:11" ht="13">
      <c r="A691" s="260"/>
      <c r="B691" s="260"/>
      <c r="C691" s="260"/>
      <c r="D691" s="1897"/>
      <c r="E691" s="1897"/>
      <c r="F691" s="1897"/>
      <c r="G691" s="57"/>
      <c r="H691" s="269"/>
      <c r="I691" s="269"/>
      <c r="J691" s="269"/>
      <c r="K691" s="269"/>
    </row>
    <row r="692" spans="1:11" s="683" customFormat="1" ht="13">
      <c r="A692" s="260"/>
      <c r="B692" s="260"/>
      <c r="C692" s="260"/>
      <c r="D692" s="702"/>
      <c r="E692" s="702"/>
      <c r="F692" s="702"/>
      <c r="G692" s="57"/>
      <c r="H692" s="269"/>
      <c r="I692" s="269"/>
      <c r="J692" s="269"/>
      <c r="K692" s="269"/>
    </row>
    <row r="693" spans="1:11" ht="13">
      <c r="A693" s="261"/>
      <c r="B693" s="680" t="s">
        <v>318</v>
      </c>
      <c r="C693" s="260"/>
      <c r="D693" s="1897" t="s">
        <v>1230</v>
      </c>
      <c r="E693" s="1897"/>
      <c r="F693" s="1897"/>
      <c r="G693" s="57"/>
      <c r="H693" s="269"/>
      <c r="I693" s="269"/>
      <c r="J693" s="269"/>
      <c r="K693" s="269"/>
    </row>
    <row r="694" spans="1:11" ht="13">
      <c r="A694" s="260"/>
      <c r="B694" s="260"/>
      <c r="C694" s="260"/>
      <c r="D694" s="1897"/>
      <c r="E694" s="1897"/>
      <c r="F694" s="1897"/>
      <c r="G694" s="57"/>
      <c r="H694" s="269"/>
      <c r="I694" s="269"/>
      <c r="J694" s="269"/>
      <c r="K694" s="269"/>
    </row>
    <row r="695" spans="1:11" ht="13">
      <c r="A695" s="260"/>
      <c r="B695" s="260"/>
      <c r="C695" s="260"/>
      <c r="D695" s="1897"/>
      <c r="E695" s="1897"/>
      <c r="F695" s="1897"/>
      <c r="G695" s="57"/>
      <c r="H695" s="269"/>
      <c r="I695" s="269"/>
      <c r="J695" s="269"/>
      <c r="K695" s="269"/>
    </row>
    <row r="696" spans="1:11" s="683" customFormat="1" ht="13">
      <c r="A696" s="260"/>
      <c r="B696" s="260"/>
      <c r="C696" s="260"/>
      <c r="D696" s="702"/>
      <c r="E696" s="702"/>
      <c r="F696" s="702"/>
      <c r="G696" s="57"/>
      <c r="H696" s="269"/>
      <c r="I696" s="269"/>
      <c r="J696" s="269"/>
      <c r="K696" s="269"/>
    </row>
    <row r="697" spans="1:11" s="683" customFormat="1" ht="13">
      <c r="A697" s="260"/>
      <c r="B697" s="680" t="s">
        <v>318</v>
      </c>
      <c r="C697" s="260"/>
      <c r="D697" s="1897" t="s">
        <v>1227</v>
      </c>
      <c r="E697" s="1897"/>
      <c r="F697" s="1897"/>
      <c r="G697" s="57"/>
      <c r="H697" s="269"/>
      <c r="I697" s="269"/>
      <c r="J697" s="269"/>
      <c r="K697" s="269"/>
    </row>
    <row r="698" spans="1:11" s="683" customFormat="1" ht="13">
      <c r="A698" s="260"/>
      <c r="B698" s="260"/>
      <c r="C698" s="260"/>
      <c r="D698" s="1897"/>
      <c r="E698" s="1897"/>
      <c r="F698" s="1897"/>
      <c r="G698" s="57"/>
      <c r="H698" s="269"/>
      <c r="I698" s="269"/>
      <c r="J698" s="269"/>
      <c r="K698" s="269"/>
    </row>
    <row r="699" spans="1:11" s="683" customFormat="1" ht="13">
      <c r="A699" s="260"/>
      <c r="B699" s="260"/>
      <c r="C699" s="260"/>
      <c r="D699" s="702"/>
      <c r="E699" s="702"/>
      <c r="F699" s="702"/>
      <c r="G699" s="57"/>
      <c r="H699" s="269"/>
      <c r="I699" s="269"/>
      <c r="J699" s="269"/>
      <c r="K699" s="269"/>
    </row>
    <row r="700" spans="1:11" s="683" customFormat="1" ht="13">
      <c r="A700" s="260"/>
      <c r="B700" s="680" t="s">
        <v>318</v>
      </c>
      <c r="C700" s="260"/>
      <c r="D700" s="1897" t="s">
        <v>1228</v>
      </c>
      <c r="E700" s="1897"/>
      <c r="F700" s="1897"/>
      <c r="G700" s="57"/>
      <c r="H700" s="269"/>
      <c r="I700" s="269"/>
      <c r="J700" s="269"/>
      <c r="K700" s="269"/>
    </row>
    <row r="701" spans="1:11" s="683" customFormat="1" ht="13">
      <c r="A701" s="260"/>
      <c r="B701" s="260"/>
      <c r="C701" s="260"/>
      <c r="D701" s="1897"/>
      <c r="E701" s="1897"/>
      <c r="F701" s="1897"/>
      <c r="G701" s="57"/>
      <c r="H701" s="269"/>
      <c r="I701" s="269"/>
      <c r="J701" s="269"/>
      <c r="K701" s="269"/>
    </row>
    <row r="702" spans="1:11" s="683" customFormat="1" ht="13">
      <c r="A702" s="260"/>
      <c r="B702" s="260"/>
      <c r="C702" s="260"/>
      <c r="D702" s="1897"/>
      <c r="E702" s="1897"/>
      <c r="F702" s="1897"/>
      <c r="G702" s="57"/>
      <c r="H702" s="269"/>
      <c r="I702" s="269"/>
      <c r="J702" s="269"/>
      <c r="K702" s="269"/>
    </row>
    <row r="703" spans="1:11" s="683" customFormat="1" ht="13">
      <c r="A703" s="260"/>
      <c r="B703" s="260"/>
      <c r="C703" s="260"/>
      <c r="D703" s="702"/>
      <c r="E703" s="702"/>
      <c r="F703" s="702"/>
      <c r="G703" s="57"/>
      <c r="H703" s="269"/>
      <c r="I703" s="269"/>
      <c r="J703" s="269"/>
      <c r="K703" s="269"/>
    </row>
    <row r="704" spans="1:11" ht="13">
      <c r="A704" s="260"/>
      <c r="B704" s="680" t="s">
        <v>318</v>
      </c>
      <c r="C704" s="260"/>
      <c r="D704" s="1897" t="s">
        <v>1221</v>
      </c>
      <c r="E704" s="1897"/>
      <c r="F704" s="1897"/>
      <c r="G704" s="57"/>
      <c r="H704" s="269"/>
      <c r="I704" s="269"/>
      <c r="J704" s="269"/>
      <c r="K704" s="269"/>
    </row>
    <row r="705" spans="1:11" ht="13">
      <c r="A705" s="260"/>
      <c r="B705" s="260"/>
      <c r="C705" s="260"/>
      <c r="D705" s="1897"/>
      <c r="E705" s="1897"/>
      <c r="F705" s="1897"/>
      <c r="G705" s="57"/>
      <c r="H705" s="269"/>
      <c r="I705" s="269"/>
      <c r="J705" s="269"/>
      <c r="K705" s="269"/>
    </row>
    <row r="706" spans="1:11" ht="13">
      <c r="A706" s="260"/>
      <c r="B706" s="260"/>
      <c r="C706" s="260"/>
      <c r="D706" s="1897"/>
      <c r="E706" s="1897"/>
      <c r="F706" s="1897"/>
      <c r="G706" s="57"/>
      <c r="H706" s="269"/>
      <c r="I706" s="269"/>
      <c r="J706" s="269"/>
      <c r="K706" s="269"/>
    </row>
    <row r="707" spans="1:11" ht="13">
      <c r="A707" s="260"/>
      <c r="B707" s="260"/>
      <c r="C707" s="260"/>
      <c r="D707" s="130"/>
      <c r="G707" s="57"/>
      <c r="H707" s="269"/>
      <c r="I707" s="269"/>
      <c r="J707" s="269"/>
      <c r="K707" s="269"/>
    </row>
    <row r="708" spans="1:11" ht="13">
      <c r="A708" s="260"/>
      <c r="B708" s="680" t="s">
        <v>318</v>
      </c>
      <c r="C708" s="260"/>
      <c r="D708" s="1897" t="s">
        <v>1222</v>
      </c>
      <c r="E708" s="1897"/>
      <c r="F708" s="1897"/>
      <c r="G708" s="57"/>
      <c r="H708" s="269"/>
      <c r="I708" s="269"/>
      <c r="J708" s="269"/>
      <c r="K708" s="269"/>
    </row>
    <row r="709" spans="1:11" ht="13">
      <c r="A709" s="260"/>
      <c r="B709" s="260"/>
      <c r="C709" s="260"/>
      <c r="D709" s="1897"/>
      <c r="E709" s="1897"/>
      <c r="F709" s="1897"/>
      <c r="G709" s="57"/>
      <c r="H709" s="269"/>
      <c r="I709" s="269"/>
      <c r="J709" s="269"/>
      <c r="K709" s="269"/>
    </row>
    <row r="710" spans="1:11" ht="13">
      <c r="A710" s="260"/>
      <c r="B710" s="260"/>
      <c r="C710" s="260"/>
      <c r="D710" s="1897"/>
      <c r="E710" s="1897"/>
      <c r="F710" s="1897"/>
      <c r="G710" s="57"/>
      <c r="H710" s="269"/>
      <c r="I710" s="269"/>
      <c r="J710" s="269"/>
      <c r="K710" s="269"/>
    </row>
    <row r="711" spans="1:11" ht="13">
      <c r="A711" s="260"/>
      <c r="B711" s="260"/>
      <c r="C711" s="260"/>
      <c r="D711" s="12"/>
      <c r="G711" s="57"/>
      <c r="H711" s="269"/>
      <c r="I711" s="269"/>
      <c r="J711" s="269"/>
      <c r="K711" s="269"/>
    </row>
    <row r="712" spans="1:11" ht="13">
      <c r="A712" s="261"/>
      <c r="B712" s="680" t="s">
        <v>318</v>
      </c>
      <c r="C712" s="260"/>
      <c r="D712" s="1874" t="s">
        <v>1223</v>
      </c>
      <c r="E712" s="1874"/>
      <c r="F712" s="1874"/>
      <c r="G712" s="57"/>
      <c r="H712" s="269"/>
      <c r="I712" s="269"/>
      <c r="J712" s="269"/>
      <c r="K712" s="269"/>
    </row>
    <row r="713" spans="1:11" ht="13">
      <c r="A713" s="260"/>
      <c r="B713" s="260"/>
      <c r="C713" s="260"/>
      <c r="D713" s="1874"/>
      <c r="E713" s="1874"/>
      <c r="F713" s="1874"/>
      <c r="G713" s="57"/>
      <c r="H713" s="269"/>
      <c r="I713" s="269"/>
      <c r="J713" s="269"/>
      <c r="K713" s="269"/>
    </row>
    <row r="714" spans="1:11" ht="13">
      <c r="A714" s="260"/>
      <c r="B714" s="260"/>
      <c r="C714" s="260"/>
      <c r="D714" s="1874"/>
      <c r="E714" s="1874"/>
      <c r="F714" s="1874"/>
      <c r="G714" s="57"/>
      <c r="H714" s="269"/>
      <c r="I714" s="269"/>
      <c r="J714" s="269"/>
      <c r="K714" s="269"/>
    </row>
    <row r="715" spans="1:11" ht="13">
      <c r="A715" s="260"/>
      <c r="B715" s="260"/>
      <c r="C715" s="260"/>
      <c r="D715" s="1874"/>
      <c r="E715" s="1874"/>
      <c r="F715" s="1874"/>
      <c r="G715" s="57"/>
      <c r="H715" s="269"/>
      <c r="I715" s="269"/>
      <c r="J715" s="269"/>
      <c r="K715" s="269"/>
    </row>
    <row r="716" spans="1:11" ht="13">
      <c r="A716" s="260"/>
      <c r="B716" s="260"/>
      <c r="C716" s="260"/>
      <c r="D716" s="263"/>
      <c r="G716" s="57"/>
      <c r="H716" s="269"/>
      <c r="I716" s="269"/>
      <c r="J716" s="269"/>
      <c r="K716" s="269"/>
    </row>
    <row r="717" spans="1:11" ht="13">
      <c r="A717" s="261"/>
      <c r="B717" s="680" t="s">
        <v>318</v>
      </c>
      <c r="C717" s="260"/>
      <c r="D717" s="1897" t="s">
        <v>1356</v>
      </c>
      <c r="E717" s="1897"/>
      <c r="F717" s="1897"/>
      <c r="G717" s="57"/>
      <c r="H717" s="269"/>
      <c r="I717" s="269"/>
      <c r="J717" s="269"/>
      <c r="K717" s="269"/>
    </row>
    <row r="718" spans="1:11" ht="13">
      <c r="A718" s="260"/>
      <c r="B718" s="260"/>
      <c r="C718" s="260"/>
      <c r="D718" s="1897"/>
      <c r="E718" s="1897"/>
      <c r="F718" s="1897"/>
      <c r="G718" s="57"/>
      <c r="H718" s="269"/>
      <c r="I718" s="269"/>
      <c r="J718" s="269"/>
      <c r="K718" s="269"/>
    </row>
    <row r="719" spans="1:11" ht="13">
      <c r="A719" s="260"/>
      <c r="B719" s="260"/>
      <c r="C719" s="260"/>
      <c r="D719" s="1897"/>
      <c r="E719" s="1897"/>
      <c r="F719" s="1897"/>
      <c r="G719" s="57"/>
      <c r="H719" s="269"/>
      <c r="I719" s="269"/>
      <c r="J719" s="269"/>
      <c r="K719" s="269"/>
    </row>
    <row r="720" spans="1:11" ht="13">
      <c r="A720" s="260"/>
      <c r="B720" s="260"/>
      <c r="C720" s="260"/>
      <c r="D720" s="1897"/>
      <c r="E720" s="1897"/>
      <c r="F720" s="1897"/>
      <c r="G720" s="57"/>
      <c r="H720" s="269"/>
      <c r="I720" s="269"/>
      <c r="J720" s="269"/>
      <c r="K720" s="269"/>
    </row>
    <row r="721" spans="1:11" ht="13">
      <c r="A721" s="260"/>
      <c r="B721" s="260"/>
      <c r="C721" s="260"/>
      <c r="D721" s="1897"/>
      <c r="E721" s="1897"/>
      <c r="F721" s="1897"/>
      <c r="G721" s="57"/>
      <c r="H721" s="269"/>
      <c r="I721" s="269"/>
      <c r="J721" s="269"/>
      <c r="K721" s="269"/>
    </row>
    <row r="722" spans="1:11" ht="13">
      <c r="A722" s="260"/>
      <c r="B722" s="260"/>
      <c r="C722" s="260"/>
      <c r="D722" s="1897"/>
      <c r="E722" s="1897"/>
      <c r="F722" s="1897"/>
      <c r="G722" s="57"/>
      <c r="H722" s="269"/>
      <c r="I722" s="269"/>
      <c r="J722" s="269"/>
      <c r="K722" s="269"/>
    </row>
    <row r="723" spans="1:11" ht="13">
      <c r="A723" s="260"/>
      <c r="B723" s="260"/>
      <c r="C723" s="260"/>
      <c r="D723" s="1897"/>
      <c r="E723" s="1897"/>
      <c r="F723" s="1897"/>
      <c r="G723" s="57"/>
      <c r="H723" s="269"/>
      <c r="I723" s="269"/>
      <c r="J723" s="269"/>
      <c r="K723" s="269"/>
    </row>
    <row r="724" spans="1:11" ht="13">
      <c r="A724" s="260"/>
      <c r="B724" s="260"/>
      <c r="C724" s="260"/>
      <c r="D724" s="1908" t="s">
        <v>1224</v>
      </c>
      <c r="E724" s="1908"/>
      <c r="F724" s="1908"/>
      <c r="G724" s="57"/>
      <c r="H724" s="269"/>
      <c r="I724" s="269"/>
      <c r="J724" s="269"/>
      <c r="K724" s="269"/>
    </row>
    <row r="725" spans="1:11" s="683" customFormat="1" ht="13">
      <c r="A725" s="260"/>
      <c r="B725" s="260"/>
      <c r="C725" s="260"/>
      <c r="D725" s="534"/>
      <c r="E725" s="7"/>
      <c r="F725" s="7"/>
      <c r="G725" s="57"/>
      <c r="H725" s="269"/>
      <c r="I725" s="269"/>
      <c r="J725" s="269"/>
      <c r="K725" s="269"/>
    </row>
    <row r="726" spans="1:11" ht="13">
      <c r="A726" s="1901" t="s">
        <v>1181</v>
      </c>
      <c r="B726" s="1901"/>
      <c r="C726" s="1901"/>
      <c r="D726" s="1901"/>
      <c r="E726" s="1901"/>
      <c r="F726" s="1901"/>
      <c r="G726" s="1901"/>
      <c r="H726" s="269"/>
      <c r="I726" s="269"/>
      <c r="J726" s="269"/>
      <c r="K726" s="269"/>
    </row>
    <row r="727" spans="1:11" ht="13">
      <c r="A727" s="260"/>
      <c r="B727" s="260"/>
      <c r="C727" s="260"/>
      <c r="D727" s="263"/>
      <c r="G727" s="271"/>
      <c r="H727" s="269"/>
      <c r="I727" s="269"/>
      <c r="J727" s="269"/>
      <c r="K727" s="269"/>
    </row>
    <row r="728" spans="1:11" ht="13.25" customHeight="1">
      <c r="C728" s="260"/>
      <c r="D728" s="1916" t="s">
        <v>1197</v>
      </c>
      <c r="E728" s="1916"/>
      <c r="F728" s="1916"/>
      <c r="G728" s="271"/>
      <c r="H728" s="269"/>
      <c r="I728" s="269"/>
      <c r="J728" s="269"/>
      <c r="K728" s="269"/>
    </row>
    <row r="729" spans="1:11" ht="13">
      <c r="A729" s="260"/>
      <c r="B729" s="260"/>
      <c r="C729" s="260"/>
      <c r="D729" s="1903" t="s">
        <v>1198</v>
      </c>
      <c r="E729" s="1903"/>
      <c r="F729" s="1903"/>
      <c r="G729" s="271"/>
      <c r="H729" s="269"/>
      <c r="I729" s="269"/>
      <c r="J729" s="269"/>
      <c r="K729" s="269"/>
    </row>
    <row r="730" spans="1:11" ht="13">
      <c r="A730" s="260"/>
      <c r="B730" s="260"/>
      <c r="C730" s="260"/>
      <c r="G730" s="271"/>
      <c r="H730" s="269"/>
      <c r="I730" s="269"/>
      <c r="J730" s="269"/>
      <c r="K730" s="269"/>
    </row>
    <row r="731" spans="1:11" s="39" customFormat="1" ht="13">
      <c r="A731" s="261"/>
      <c r="B731" s="680" t="s">
        <v>318</v>
      </c>
      <c r="C731" s="132"/>
      <c r="D731" s="1874" t="s">
        <v>1199</v>
      </c>
      <c r="E731" s="1874"/>
      <c r="F731" s="1874"/>
      <c r="G731" s="271"/>
      <c r="H731" s="272"/>
      <c r="I731" s="272"/>
      <c r="J731" s="272"/>
      <c r="K731" s="272"/>
    </row>
    <row r="732" spans="1:11" s="39" customFormat="1" ht="10.5" customHeight="1">
      <c r="A732" s="132"/>
      <c r="B732" s="677"/>
      <c r="C732" s="132"/>
      <c r="D732" s="1874"/>
      <c r="E732" s="1874"/>
      <c r="F732" s="1874"/>
      <c r="G732" s="271"/>
      <c r="H732" s="272"/>
      <c r="I732" s="272"/>
      <c r="J732" s="272"/>
      <c r="K732" s="272"/>
    </row>
    <row r="733" spans="1:11" s="39" customFormat="1">
      <c r="A733" s="132"/>
      <c r="B733" s="677"/>
      <c r="C733" s="132"/>
      <c r="D733" s="1874"/>
      <c r="E733" s="1874"/>
      <c r="F733" s="1874"/>
      <c r="G733" s="271"/>
      <c r="H733" s="272"/>
      <c r="I733" s="272"/>
      <c r="J733" s="272"/>
      <c r="K733" s="272"/>
    </row>
    <row r="734" spans="1:11">
      <c r="D734" s="1874"/>
      <c r="E734" s="1874"/>
      <c r="F734" s="1874"/>
      <c r="G734" s="271"/>
      <c r="H734" s="269"/>
      <c r="I734" s="269"/>
      <c r="J734" s="269"/>
      <c r="K734" s="269"/>
    </row>
    <row r="735" spans="1:11">
      <c r="A735" s="273"/>
      <c r="B735" s="273"/>
      <c r="C735" s="273"/>
      <c r="D735" s="1874"/>
      <c r="E735" s="1874"/>
      <c r="F735" s="1874"/>
      <c r="G735" s="275"/>
      <c r="H735" s="269"/>
      <c r="I735" s="269"/>
      <c r="J735" s="269"/>
      <c r="K735" s="269"/>
    </row>
    <row r="736" spans="1:11" ht="15.75" customHeight="1">
      <c r="A736" s="273"/>
      <c r="B736" s="273"/>
      <c r="C736" s="273"/>
      <c r="D736" s="1874"/>
      <c r="E736" s="1874"/>
      <c r="F736" s="1874"/>
      <c r="G736" s="275"/>
      <c r="H736" s="269"/>
      <c r="I736" s="269"/>
      <c r="J736" s="269"/>
      <c r="K736" s="269"/>
    </row>
    <row r="737" spans="1:11">
      <c r="A737" s="273"/>
      <c r="B737" s="273"/>
      <c r="C737" s="273"/>
      <c r="D737" s="378"/>
      <c r="E737" s="274"/>
      <c r="F737" s="274"/>
      <c r="G737" s="275"/>
      <c r="H737" s="269"/>
      <c r="I737" s="269"/>
      <c r="J737" s="269"/>
      <c r="K737" s="269"/>
    </row>
    <row r="738" spans="1:11" s="410" customFormat="1" ht="13">
      <c r="A738" s="408"/>
      <c r="B738" s="680" t="s">
        <v>318</v>
      </c>
      <c r="C738" s="409"/>
      <c r="D738" s="1876" t="s">
        <v>1200</v>
      </c>
      <c r="E738" s="1876"/>
      <c r="F738" s="1876"/>
      <c r="G738" s="312"/>
    </row>
    <row r="739" spans="1:11" s="410" customFormat="1">
      <c r="A739" s="409"/>
      <c r="B739" s="409"/>
      <c r="C739" s="409"/>
      <c r="D739" s="1876"/>
      <c r="E739" s="1876"/>
      <c r="F739" s="1876"/>
      <c r="G739" s="312"/>
    </row>
    <row r="740" spans="1:11" s="410" customFormat="1">
      <c r="A740" s="409"/>
      <c r="B740" s="409"/>
      <c r="C740" s="409"/>
      <c r="D740" s="1876"/>
      <c r="E740" s="1876"/>
      <c r="F740" s="1876"/>
      <c r="G740" s="312"/>
    </row>
    <row r="741" spans="1:11" s="410" customFormat="1">
      <c r="A741" s="409"/>
      <c r="B741" s="409"/>
      <c r="C741" s="409"/>
      <c r="D741" s="1876"/>
      <c r="E741" s="1876"/>
      <c r="F741" s="1876"/>
      <c r="G741" s="312"/>
    </row>
    <row r="742" spans="1:11" s="410" customFormat="1">
      <c r="A742" s="409"/>
      <c r="B742" s="409"/>
      <c r="C742" s="409"/>
      <c r="D742" s="378"/>
      <c r="E742" s="312"/>
      <c r="F742" s="312"/>
      <c r="G742" s="312"/>
    </row>
    <row r="743" spans="1:11" s="410" customFormat="1" ht="13">
      <c r="A743" s="261"/>
      <c r="B743" s="680" t="s">
        <v>318</v>
      </c>
      <c r="C743" s="409"/>
      <c r="D743" s="1917" t="s">
        <v>1201</v>
      </c>
      <c r="E743" s="1917"/>
      <c r="F743" s="1917"/>
      <c r="G743" s="312"/>
    </row>
    <row r="744" spans="1:11" s="410" customFormat="1">
      <c r="A744" s="409"/>
      <c r="B744" s="409"/>
      <c r="C744" s="409"/>
      <c r="D744" s="1917"/>
      <c r="E744" s="1917"/>
      <c r="F744" s="1917"/>
      <c r="G744" s="312"/>
    </row>
    <row r="745" spans="1:11" s="410" customFormat="1">
      <c r="A745" s="409"/>
      <c r="B745" s="409"/>
      <c r="C745" s="409"/>
      <c r="D745" s="1917"/>
      <c r="E745" s="1917"/>
      <c r="F745" s="1917"/>
      <c r="G745" s="312"/>
    </row>
    <row r="746" spans="1:11">
      <c r="A746" s="273"/>
      <c r="B746" s="273"/>
      <c r="C746" s="273"/>
      <c r="D746" s="378"/>
      <c r="E746" s="274"/>
      <c r="F746" s="274"/>
      <c r="G746" s="275"/>
      <c r="H746" s="269"/>
      <c r="I746" s="269"/>
      <c r="J746" s="269"/>
      <c r="K746" s="269"/>
    </row>
    <row r="747" spans="1:11" ht="13">
      <c r="A747" s="261"/>
      <c r="B747" s="680" t="s">
        <v>318</v>
      </c>
      <c r="C747" s="273"/>
      <c r="D747" s="1876" t="s">
        <v>1202</v>
      </c>
      <c r="E747" s="1876"/>
      <c r="F747" s="1876"/>
      <c r="G747" s="275"/>
      <c r="H747" s="269"/>
      <c r="I747" s="269"/>
      <c r="J747" s="269"/>
      <c r="K747" s="269"/>
    </row>
    <row r="748" spans="1:11">
      <c r="A748" s="273"/>
      <c r="B748" s="273"/>
      <c r="C748" s="273"/>
      <c r="D748" s="1876"/>
      <c r="E748" s="1876"/>
      <c r="F748" s="1876"/>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76" t="s">
        <v>1203</v>
      </c>
      <c r="E750" s="1876"/>
      <c r="F750" s="1876"/>
      <c r="G750" s="275"/>
      <c r="H750" s="269"/>
      <c r="I750" s="269"/>
      <c r="J750" s="269"/>
      <c r="K750" s="269"/>
    </row>
    <row r="751" spans="1:11" s="683" customFormat="1">
      <c r="A751" s="273"/>
      <c r="B751" s="273"/>
      <c r="C751" s="273"/>
      <c r="D751" s="1876"/>
      <c r="E751" s="1876"/>
      <c r="F751" s="1876"/>
      <c r="G751" s="275"/>
      <c r="H751" s="269"/>
      <c r="I751" s="269"/>
      <c r="J751" s="269"/>
      <c r="K751" s="269"/>
    </row>
    <row r="752" spans="1:11" s="683" customFormat="1">
      <c r="A752" s="273"/>
      <c r="B752" s="273"/>
      <c r="C752" s="273"/>
      <c r="D752" s="1876"/>
      <c r="E752" s="1876"/>
      <c r="F752" s="1876"/>
      <c r="G752" s="275"/>
      <c r="H752" s="269"/>
      <c r="I752" s="269"/>
      <c r="J752" s="269"/>
      <c r="K752" s="269"/>
    </row>
    <row r="753" spans="1:11" s="683" customFormat="1">
      <c r="A753" s="273"/>
      <c r="B753" s="273"/>
      <c r="C753" s="273"/>
      <c r="D753" s="696"/>
      <c r="E753" s="696"/>
      <c r="F753" s="696"/>
      <c r="G753" s="275"/>
      <c r="H753" s="269"/>
      <c r="I753" s="269"/>
      <c r="J753" s="269"/>
      <c r="K753" s="269"/>
    </row>
    <row r="754" spans="1:11" ht="13">
      <c r="A754" s="1911" t="s">
        <v>1204</v>
      </c>
      <c r="B754" s="1911"/>
      <c r="C754" s="1911"/>
      <c r="D754" s="1911"/>
      <c r="E754" s="1911"/>
      <c r="F754" s="1911"/>
      <c r="G754" s="1911"/>
    </row>
    <row r="755" spans="1:11" ht="13">
      <c r="A755" s="260"/>
      <c r="B755" s="260"/>
      <c r="C755" s="260"/>
      <c r="D755" s="276"/>
      <c r="F755" s="147"/>
      <c r="G755" s="271"/>
    </row>
    <row r="756" spans="1:11" ht="13">
      <c r="A756" s="273"/>
      <c r="B756" s="273"/>
      <c r="C756" s="443"/>
      <c r="D756" s="1912" t="s">
        <v>1188</v>
      </c>
      <c r="E756" s="1912"/>
      <c r="F756" s="1912"/>
      <c r="G756" s="271"/>
    </row>
    <row r="757" spans="1:11">
      <c r="A757" s="504"/>
      <c r="B757" s="504"/>
      <c r="C757" s="503"/>
      <c r="D757" s="1913" t="s">
        <v>1205</v>
      </c>
      <c r="E757" s="1913"/>
      <c r="F757" s="1913"/>
      <c r="G757" s="271"/>
    </row>
    <row r="758" spans="1:11">
      <c r="A758" s="273"/>
      <c r="B758" s="273"/>
      <c r="C758" s="443"/>
      <c r="D758" s="694"/>
      <c r="E758" s="694"/>
      <c r="F758" s="694"/>
      <c r="G758" s="271"/>
    </row>
    <row r="759" spans="1:11" ht="13">
      <c r="A759" s="261"/>
      <c r="B759" s="680" t="s">
        <v>318</v>
      </c>
      <c r="C759" s="443"/>
      <c r="D759" s="1914" t="s">
        <v>1073</v>
      </c>
      <c r="E759" s="1914"/>
      <c r="F759" s="1914"/>
      <c r="G759" s="271"/>
    </row>
    <row r="760" spans="1:11" ht="13">
      <c r="A760" s="273"/>
      <c r="B760" s="273"/>
      <c r="C760" s="443"/>
      <c r="D760" s="693"/>
      <c r="E760" s="1915" t="s">
        <v>1189</v>
      </c>
      <c r="F760" s="1915"/>
      <c r="G760" s="271"/>
    </row>
    <row r="761" spans="1:11" ht="13">
      <c r="A761" s="267"/>
      <c r="B761" s="267"/>
      <c r="C761" s="267"/>
      <c r="D761" s="135"/>
      <c r="F761" s="57"/>
      <c r="G761" s="271"/>
    </row>
    <row r="762" spans="1:11" ht="13">
      <c r="A762" s="1909" t="s">
        <v>473</v>
      </c>
      <c r="B762" s="1909"/>
      <c r="C762" s="1909"/>
      <c r="D762" s="1909"/>
      <c r="E762" s="1909"/>
      <c r="F762" s="1909"/>
      <c r="G762" s="1909"/>
    </row>
    <row r="763" spans="1:11" ht="13">
      <c r="A763" s="255"/>
      <c r="B763" s="674"/>
      <c r="C763" s="266"/>
      <c r="D763" s="271"/>
      <c r="E763" s="271"/>
      <c r="F763" s="271"/>
      <c r="G763" s="271"/>
    </row>
    <row r="764" spans="1:11">
      <c r="A764" s="135"/>
      <c r="B764" s="1910" t="s">
        <v>1072</v>
      </c>
      <c r="C764" s="1910"/>
      <c r="D764" s="1910"/>
      <c r="E764" s="1910"/>
      <c r="F764" s="1910"/>
      <c r="G764" s="271"/>
    </row>
    <row r="765" spans="1:11" ht="13">
      <c r="A765" s="23"/>
      <c r="B765" s="676"/>
      <c r="G765" s="271"/>
    </row>
    <row r="766" spans="1:11" ht="13">
      <c r="A766" s="1909" t="s">
        <v>474</v>
      </c>
      <c r="B766" s="1909"/>
      <c r="C766" s="1909"/>
      <c r="D766" s="1909"/>
      <c r="E766" s="1909"/>
      <c r="F766" s="1909"/>
      <c r="G766" s="1909"/>
    </row>
    <row r="767" spans="1:11" ht="13">
      <c r="A767" s="255"/>
      <c r="B767" s="674"/>
      <c r="C767" s="255"/>
      <c r="D767" s="263"/>
      <c r="G767" s="271"/>
    </row>
    <row r="768" spans="1:11">
      <c r="A768" s="135"/>
      <c r="B768" s="1906" t="s">
        <v>472</v>
      </c>
      <c r="C768" s="1906"/>
      <c r="D768" s="1906"/>
      <c r="E768" s="1906"/>
      <c r="F768" s="1906"/>
      <c r="G768" s="271"/>
    </row>
    <row r="769" spans="1:7" ht="13">
      <c r="A769" s="261"/>
      <c r="B769" s="261"/>
      <c r="D769" s="135"/>
      <c r="E769" s="135"/>
      <c r="F769" s="271"/>
      <c r="G769" s="271"/>
    </row>
    <row r="770" spans="1:7" ht="13">
      <c r="A770" s="1909" t="s">
        <v>475</v>
      </c>
      <c r="B770" s="1909"/>
      <c r="C770" s="1909"/>
      <c r="D770" s="1909"/>
      <c r="E770" s="1909"/>
      <c r="F770" s="1909"/>
      <c r="G770" s="1909"/>
    </row>
    <row r="771" spans="1:7" ht="13">
      <c r="C771" s="260"/>
      <c r="D771" s="259"/>
      <c r="E771" s="135"/>
      <c r="F771" s="271"/>
      <c r="G771" s="271"/>
    </row>
    <row r="772" spans="1:7">
      <c r="A772" s="135"/>
      <c r="B772" s="1906" t="s">
        <v>472</v>
      </c>
      <c r="C772" s="1906"/>
      <c r="D772" s="1906"/>
      <c r="E772" s="1906"/>
      <c r="F772" s="1906"/>
      <c r="G772" s="271"/>
    </row>
    <row r="773" spans="1:7">
      <c r="A773" s="135"/>
      <c r="B773" s="135"/>
      <c r="C773" s="266"/>
      <c r="D773" s="271"/>
      <c r="E773" s="271"/>
      <c r="F773" s="271"/>
      <c r="G773" s="271"/>
    </row>
    <row r="774" spans="1:7" ht="13">
      <c r="A774" s="1909" t="s">
        <v>476</v>
      </c>
      <c r="B774" s="1909"/>
      <c r="C774" s="1909"/>
      <c r="D774" s="1909"/>
      <c r="E774" s="1909"/>
      <c r="F774" s="1909"/>
      <c r="G774" s="1909"/>
    </row>
    <row r="775" spans="1:7">
      <c r="A775" s="135"/>
      <c r="B775" s="135"/>
    </row>
    <row r="776" spans="1:7">
      <c r="A776" s="135"/>
      <c r="B776" s="1906" t="s">
        <v>472</v>
      </c>
      <c r="C776" s="1906"/>
      <c r="D776" s="1906"/>
      <c r="E776" s="1906"/>
      <c r="F776" s="1906"/>
    </row>
    <row r="777" spans="1:7" ht="13">
      <c r="A777" s="266"/>
      <c r="B777" s="266"/>
      <c r="C777" s="266"/>
      <c r="D777" s="258"/>
      <c r="F777" s="271"/>
    </row>
    <row r="778" spans="1:7" ht="13">
      <c r="A778" s="1909" t="s">
        <v>477</v>
      </c>
      <c r="B778" s="1909"/>
      <c r="C778" s="1909"/>
      <c r="D778" s="1909"/>
      <c r="E778" s="1909"/>
      <c r="F778" s="1909"/>
      <c r="G778" s="1909"/>
    </row>
    <row r="779" spans="1:7">
      <c r="A779" s="135"/>
      <c r="B779" s="135"/>
    </row>
    <row r="780" spans="1:7">
      <c r="A780" s="135"/>
      <c r="B780" s="1906" t="s">
        <v>472</v>
      </c>
      <c r="C780" s="1906"/>
      <c r="D780" s="1906"/>
      <c r="E780" s="1906"/>
      <c r="F780" s="1906"/>
    </row>
    <row r="781" spans="1:7" ht="13">
      <c r="A781" s="266"/>
      <c r="B781" s="266"/>
      <c r="C781" s="266"/>
      <c r="D781" s="258"/>
      <c r="F781" s="271"/>
    </row>
    <row r="782" spans="1:7" ht="13">
      <c r="A782" s="1909" t="s">
        <v>478</v>
      </c>
      <c r="B782" s="1909"/>
      <c r="C782" s="1909"/>
      <c r="D782" s="1909"/>
      <c r="E782" s="1909"/>
      <c r="F782" s="1909"/>
      <c r="G782" s="1909"/>
    </row>
    <row r="783" spans="1:7">
      <c r="A783" s="135"/>
      <c r="B783" s="135"/>
    </row>
    <row r="784" spans="1:7">
      <c r="A784" s="135"/>
      <c r="B784" s="1906" t="s">
        <v>472</v>
      </c>
      <c r="C784" s="1906"/>
      <c r="D784" s="1906"/>
      <c r="E784" s="1906"/>
      <c r="F784" s="1906"/>
    </row>
    <row r="785" spans="1:7" ht="13">
      <c r="A785" s="265"/>
      <c r="B785" s="265"/>
      <c r="C785" s="265"/>
      <c r="D785" s="277"/>
      <c r="E785" s="57"/>
      <c r="F785" s="57"/>
      <c r="G785" s="57"/>
    </row>
    <row r="786" spans="1:7" ht="13">
      <c r="A786" s="1909" t="s">
        <v>192</v>
      </c>
      <c r="B786" s="1909"/>
      <c r="C786" s="1909"/>
      <c r="D786" s="1909"/>
      <c r="E786" s="1909"/>
      <c r="F786" s="1909"/>
      <c r="G786" s="1909"/>
    </row>
    <row r="787" spans="1:7">
      <c r="A787" s="135"/>
      <c r="B787" s="135"/>
    </row>
    <row r="788" spans="1:7">
      <c r="A788" s="135"/>
      <c r="B788" s="1906" t="s">
        <v>472</v>
      </c>
      <c r="C788" s="1906"/>
      <c r="D788" s="1906"/>
      <c r="E788" s="1906"/>
      <c r="F788" s="1906"/>
    </row>
    <row r="789" spans="1:7" ht="13">
      <c r="A789" s="135"/>
      <c r="B789" s="135"/>
      <c r="D789" s="258"/>
    </row>
    <row r="790" spans="1:7" ht="13">
      <c r="A790" s="1909" t="s">
        <v>942</v>
      </c>
      <c r="B790" s="1909"/>
      <c r="C790" s="1909"/>
      <c r="D790" s="1909"/>
      <c r="E790" s="1909"/>
      <c r="F790" s="1909"/>
      <c r="G790" s="1909"/>
    </row>
    <row r="791" spans="1:7">
      <c r="A791" s="135"/>
      <c r="B791" s="135"/>
    </row>
    <row r="792" spans="1:7">
      <c r="A792" s="135"/>
      <c r="B792" s="1906" t="s">
        <v>472</v>
      </c>
      <c r="C792" s="1906"/>
      <c r="D792" s="1906"/>
      <c r="E792" s="1906"/>
      <c r="F792" s="1906"/>
      <c r="G792" s="12"/>
    </row>
    <row r="793" spans="1:7" ht="13">
      <c r="A793" s="255"/>
      <c r="B793" s="674"/>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5" customHeight="1" zeroHeight="1"/>
  <cols>
    <col min="1" max="10" width="9.1796875" style="723" customWidth="1"/>
    <col min="11" max="16384" width="8.81640625" style="723" hidden="1"/>
  </cols>
  <sheetData>
    <row r="1" spans="1:10" ht="14.25" customHeight="1"/>
    <row r="2" spans="1:10" ht="15.5">
      <c r="A2" s="1956" t="s">
        <v>2436</v>
      </c>
      <c r="B2" s="1957"/>
      <c r="C2" s="1957"/>
      <c r="D2" s="1957"/>
      <c r="E2" s="1957"/>
      <c r="F2" s="1957"/>
      <c r="G2" s="1957"/>
      <c r="H2" s="1957"/>
      <c r="I2" s="1957"/>
      <c r="J2" s="1957"/>
    </row>
    <row r="3" spans="1:10" ht="15.5">
      <c r="A3" s="1961" t="s">
        <v>685</v>
      </c>
      <c r="B3" s="1962"/>
      <c r="C3" s="1962"/>
      <c r="D3" s="1962"/>
      <c r="E3" s="1962"/>
      <c r="F3" s="1962"/>
      <c r="G3" s="1962"/>
      <c r="H3" s="1962"/>
      <c r="I3" s="1962"/>
      <c r="J3" s="1962"/>
    </row>
    <row r="4" spans="1:10" ht="15.5">
      <c r="A4" s="1963" t="s">
        <v>1509</v>
      </c>
      <c r="B4" s="1962"/>
      <c r="C4" s="1962"/>
      <c r="D4" s="1962"/>
      <c r="E4" s="1962"/>
      <c r="F4" s="1962"/>
      <c r="G4" s="1962"/>
      <c r="H4" s="1962"/>
      <c r="I4" s="1962"/>
      <c r="J4" s="1962"/>
    </row>
    <row r="5" spans="1:10"/>
    <row r="6" spans="1:10">
      <c r="A6" s="1958" t="s">
        <v>1531</v>
      </c>
      <c r="B6" s="1959"/>
      <c r="C6" s="1959"/>
      <c r="D6" s="1959"/>
      <c r="E6" s="1959"/>
      <c r="F6" s="1959"/>
      <c r="G6" s="1959"/>
      <c r="H6" s="1959"/>
      <c r="I6" s="1959"/>
      <c r="J6" s="1959"/>
    </row>
    <row r="7" spans="1:10">
      <c r="A7" s="1959"/>
      <c r="B7" s="1959"/>
      <c r="C7" s="1959"/>
      <c r="D7" s="1959"/>
      <c r="E7" s="1959"/>
      <c r="F7" s="1959"/>
      <c r="G7" s="1959"/>
      <c r="H7" s="1959"/>
      <c r="I7" s="1959"/>
      <c r="J7" s="1959"/>
    </row>
    <row r="8" spans="1:10">
      <c r="A8" s="1959"/>
      <c r="B8" s="1959"/>
      <c r="C8" s="1959"/>
      <c r="D8" s="1959"/>
      <c r="E8" s="1959"/>
      <c r="F8" s="1959"/>
      <c r="G8" s="1959"/>
      <c r="H8" s="1959"/>
      <c r="I8" s="1959"/>
      <c r="J8" s="1959"/>
    </row>
    <row r="9" spans="1:10" ht="30" customHeight="1">
      <c r="A9" s="1959"/>
      <c r="B9" s="1959"/>
      <c r="C9" s="1959"/>
      <c r="D9" s="1959"/>
      <c r="E9" s="1959"/>
      <c r="F9" s="1959"/>
      <c r="G9" s="1959"/>
      <c r="H9" s="1959"/>
      <c r="I9" s="1959"/>
      <c r="J9" s="1959"/>
    </row>
    <row r="10" spans="1:10">
      <c r="A10" s="773"/>
      <c r="B10" s="773"/>
      <c r="C10" s="773"/>
      <c r="D10" s="773"/>
      <c r="E10" s="773"/>
      <c r="F10" s="773"/>
      <c r="G10" s="773"/>
      <c r="H10" s="773"/>
      <c r="I10" s="773"/>
      <c r="J10" s="773"/>
    </row>
    <row r="11" spans="1:10">
      <c r="A11" s="1964" t="s">
        <v>1395</v>
      </c>
      <c r="B11" s="1965"/>
      <c r="C11" s="1965"/>
      <c r="D11" s="1965"/>
      <c r="E11" s="1965"/>
      <c r="F11" s="1965"/>
      <c r="G11" s="1965"/>
      <c r="H11" s="1965"/>
      <c r="I11" s="1965"/>
      <c r="J11" s="1965"/>
    </row>
    <row r="12" spans="1:10">
      <c r="A12" s="1965"/>
      <c r="B12" s="1965"/>
      <c r="C12" s="1965"/>
      <c r="D12" s="1965"/>
      <c r="E12" s="1965"/>
      <c r="F12" s="1965"/>
      <c r="G12" s="1965"/>
      <c r="H12" s="1965"/>
      <c r="I12" s="1965"/>
      <c r="J12" s="1965"/>
    </row>
    <row r="13" spans="1:10">
      <c r="A13" s="1965"/>
      <c r="B13" s="1965"/>
      <c r="C13" s="1965"/>
      <c r="D13" s="1965"/>
      <c r="E13" s="1965"/>
      <c r="F13" s="1965"/>
      <c r="G13" s="1965"/>
      <c r="H13" s="1965"/>
      <c r="I13" s="1965"/>
      <c r="J13" s="1965"/>
    </row>
    <row r="14" spans="1:10"/>
    <row r="15" spans="1:10" ht="12.75" customHeight="1">
      <c r="A15" s="1966" t="s">
        <v>1482</v>
      </c>
      <c r="B15" s="1966"/>
      <c r="C15" s="1966"/>
      <c r="D15" s="1966"/>
      <c r="E15" s="1966"/>
      <c r="F15" s="1966"/>
      <c r="G15" s="1966"/>
      <c r="H15" s="1966"/>
      <c r="I15" s="1966"/>
      <c r="J15" s="1966"/>
    </row>
    <row r="16" spans="1:10">
      <c r="A16" s="1966"/>
      <c r="B16" s="1966"/>
      <c r="C16" s="1966"/>
      <c r="D16" s="1966"/>
      <c r="E16" s="1966"/>
      <c r="F16" s="1966"/>
      <c r="G16" s="1966"/>
      <c r="H16" s="1966"/>
      <c r="I16" s="1966"/>
      <c r="J16" s="1966"/>
    </row>
    <row r="17" spans="1:10">
      <c r="A17" s="1966"/>
      <c r="B17" s="1966"/>
      <c r="C17" s="1966"/>
      <c r="D17" s="1966"/>
      <c r="E17" s="1966"/>
      <c r="F17" s="1966"/>
      <c r="G17" s="1966"/>
      <c r="H17" s="1966"/>
      <c r="I17" s="1966"/>
      <c r="J17" s="1966"/>
    </row>
    <row r="18" spans="1:10">
      <c r="A18" s="1967"/>
      <c r="B18" s="1967"/>
      <c r="C18" s="1967"/>
      <c r="D18" s="1967"/>
      <c r="E18" s="1967"/>
      <c r="F18" s="1967"/>
      <c r="G18" s="1967"/>
      <c r="H18" s="1967"/>
      <c r="I18" s="1967"/>
      <c r="J18" s="1967"/>
    </row>
    <row r="19" spans="1:10">
      <c r="A19" s="1967"/>
      <c r="B19" s="1967"/>
      <c r="C19" s="1967"/>
      <c r="D19" s="1967"/>
      <c r="E19" s="1967"/>
      <c r="F19" s="1967"/>
      <c r="G19" s="1967"/>
      <c r="H19" s="1967"/>
      <c r="I19" s="1967"/>
      <c r="J19" s="1967"/>
    </row>
    <row r="20" spans="1:10">
      <c r="A20" s="1967"/>
      <c r="B20" s="1967"/>
      <c r="C20" s="1967"/>
      <c r="D20" s="1967"/>
      <c r="E20" s="1967"/>
      <c r="F20" s="1967"/>
      <c r="G20" s="1967"/>
      <c r="H20" s="1967"/>
      <c r="I20" s="1967"/>
      <c r="J20" s="1967"/>
    </row>
    <row r="21" spans="1:10">
      <c r="A21" s="774" t="s">
        <v>1396</v>
      </c>
      <c r="B21" s="773"/>
      <c r="C21" s="773"/>
      <c r="D21" s="773"/>
      <c r="E21" s="773"/>
      <c r="F21" s="773"/>
      <c r="G21" s="773"/>
      <c r="H21" s="773"/>
      <c r="I21" s="773"/>
      <c r="J21" s="773"/>
    </row>
    <row r="22" spans="1:10">
      <c r="A22" s="775" t="s">
        <v>258</v>
      </c>
      <c r="B22" s="775"/>
      <c r="C22" s="775"/>
      <c r="D22" s="775"/>
      <c r="E22" s="775"/>
      <c r="F22" s="775"/>
      <c r="G22" s="775"/>
      <c r="H22" s="775"/>
      <c r="I22" s="775"/>
      <c r="J22" s="775"/>
    </row>
    <row r="23" spans="1:10">
      <c r="A23" s="1968" t="s">
        <v>1397</v>
      </c>
      <c r="B23" s="1962"/>
      <c r="C23" s="1962"/>
      <c r="D23" s="1962"/>
      <c r="E23" s="1962"/>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958" t="s">
        <v>1398</v>
      </c>
      <c r="B60" s="1959"/>
      <c r="C60" s="1959"/>
      <c r="D60" s="1959"/>
      <c r="E60" s="1959"/>
      <c r="F60" s="1959"/>
      <c r="G60" s="1959"/>
      <c r="H60" s="1959"/>
      <c r="I60" s="1959"/>
      <c r="J60" s="1959"/>
    </row>
    <row r="61" spans="1:10">
      <c r="A61" s="1959"/>
      <c r="B61" s="1959"/>
      <c r="C61" s="1959"/>
      <c r="D61" s="1959"/>
      <c r="E61" s="1959"/>
      <c r="F61" s="1959"/>
      <c r="G61" s="1959"/>
      <c r="H61" s="1959"/>
      <c r="I61" s="1959"/>
      <c r="J61" s="1959"/>
    </row>
    <row r="62" spans="1:10">
      <c r="A62" s="1959"/>
      <c r="B62" s="1959"/>
      <c r="C62" s="1959"/>
      <c r="D62" s="1959"/>
      <c r="E62" s="1959"/>
      <c r="F62" s="1959"/>
      <c r="G62" s="1959"/>
      <c r="H62" s="1959"/>
      <c r="I62" s="1959"/>
      <c r="J62" s="1959"/>
    </row>
    <row r="63" spans="1:10"/>
    <row r="64" spans="1:10">
      <c r="A64" s="673" t="s">
        <v>1397</v>
      </c>
    </row>
    <row r="65" spans="1:9"/>
    <row r="66" spans="1:9"/>
    <row r="67" spans="1:9"/>
    <row r="68" spans="1:9"/>
    <row r="69" spans="1:9"/>
    <row r="70" spans="1:9"/>
    <row r="71" spans="1:9"/>
    <row r="72" spans="1:9"/>
    <row r="73" spans="1:9"/>
    <row r="74" spans="1:9"/>
    <row r="75" spans="1:9" ht="13">
      <c r="A75" s="1960" t="s">
        <v>1399</v>
      </c>
      <c r="B75" s="1960"/>
      <c r="C75" s="1960"/>
      <c r="D75" s="1960"/>
      <c r="E75" s="1960"/>
      <c r="F75" s="1960"/>
      <c r="G75" s="1960"/>
      <c r="H75" s="1960"/>
      <c r="I75" s="1960"/>
    </row>
    <row r="76" spans="1:9">
      <c r="A76" s="1882" t="s">
        <v>1097</v>
      </c>
      <c r="B76" s="1882"/>
      <c r="C76" s="1882"/>
      <c r="D76" s="1882"/>
      <c r="E76" s="1882"/>
    </row>
    <row r="77" spans="1:9">
      <c r="A77" s="1882" t="s">
        <v>1400</v>
      </c>
      <c r="B77" s="1882"/>
      <c r="C77" s="1882"/>
      <c r="D77" s="1882"/>
      <c r="E77" s="1882"/>
    </row>
    <row r="78" spans="1:9"/>
    <row r="79" spans="1:9"/>
    <row r="80" spans="1:9"/>
    <row r="81"/>
    <row r="82" ht="12.5" customHeight="1"/>
    <row r="83" ht="12.5"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101600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1232" zoomScaleNormal="100" zoomScaleSheetLayoutView="100" workbookViewId="0">
      <selection activeCell="B1122" sqref="B1122"/>
    </sheetView>
  </sheetViews>
  <sheetFormatPr defaultColWidth="8.81640625" defaultRowHeight="12.5" zeroHeight="1"/>
  <cols>
    <col min="1" max="1" width="3.453125" style="789" customWidth="1"/>
    <col min="2" max="2" width="13.453125" style="789" customWidth="1"/>
    <col min="3" max="3" width="2.453125" style="789" customWidth="1"/>
    <col min="4" max="5" width="3.453125" style="790" customWidth="1"/>
    <col min="6" max="6" width="65.453125" style="790" customWidth="1"/>
    <col min="7" max="7" width="1.453125" style="790" customWidth="1"/>
    <col min="8" max="8" width="3.453125" style="791" customWidth="1"/>
    <col min="9" max="9" width="14" style="791" customWidth="1"/>
    <col min="10" max="16384" width="8.81640625" style="791"/>
  </cols>
  <sheetData>
    <row r="1" spans="1:9"/>
    <row r="2" spans="1:9" ht="13">
      <c r="A2" s="1990" t="s">
        <v>2257</v>
      </c>
      <c r="B2" s="1990"/>
      <c r="C2" s="1991"/>
      <c r="D2" s="1991"/>
      <c r="E2" s="1991"/>
      <c r="F2" s="1991"/>
      <c r="G2" s="1991"/>
    </row>
    <row r="3" spans="1:9" ht="13">
      <c r="A3" s="1997" t="s">
        <v>2258</v>
      </c>
      <c r="B3" s="1997"/>
      <c r="C3" s="1991"/>
      <c r="D3" s="1991"/>
      <c r="E3" s="1991"/>
      <c r="F3" s="1991"/>
      <c r="G3" s="1991"/>
      <c r="I3" s="694"/>
    </row>
    <row r="4" spans="1:9" ht="13">
      <c r="A4" s="1994"/>
      <c r="B4" s="1994"/>
      <c r="C4" s="1998"/>
      <c r="D4" s="1998"/>
      <c r="E4" s="1998"/>
      <c r="F4" s="1998"/>
      <c r="G4" s="1998"/>
      <c r="I4" s="694"/>
    </row>
    <row r="5" spans="1:9" s="792" customFormat="1" ht="13">
      <c r="A5" s="1994"/>
      <c r="B5" s="1994"/>
      <c r="C5" s="1995"/>
      <c r="D5" s="1995"/>
      <c r="E5" s="1995"/>
      <c r="F5" s="1995"/>
      <c r="G5" s="1995"/>
    </row>
    <row r="6" spans="1:9" s="792" customFormat="1" ht="13">
      <c r="A6" s="1992" t="s">
        <v>1258</v>
      </c>
      <c r="B6" s="1992"/>
      <c r="C6" s="1993"/>
      <c r="D6" s="1993"/>
      <c r="E6" s="1993"/>
      <c r="F6" s="1993"/>
      <c r="G6" s="1993"/>
    </row>
    <row r="7" spans="1:9" s="792" customFormat="1" ht="13">
      <c r="A7" s="1992" t="s">
        <v>1259</v>
      </c>
      <c r="B7" s="1992"/>
      <c r="C7" s="1993"/>
      <c r="D7" s="1993"/>
      <c r="E7" s="1993"/>
      <c r="F7" s="1993"/>
      <c r="G7" s="1993"/>
    </row>
    <row r="8" spans="1:9" ht="13">
      <c r="A8" s="793"/>
      <c r="B8" s="793"/>
      <c r="C8" s="794"/>
      <c r="D8" s="794"/>
      <c r="E8" s="794"/>
      <c r="F8" s="794"/>
    </row>
    <row r="9" spans="1:9" ht="13">
      <c r="A9" s="1930" t="s">
        <v>1261</v>
      </c>
      <c r="B9" s="1930"/>
      <c r="C9" s="1930"/>
      <c r="D9" s="1930"/>
      <c r="E9" s="1930"/>
      <c r="F9" s="1930"/>
      <c r="G9" s="1930"/>
    </row>
    <row r="10" spans="1:9" ht="13">
      <c r="A10" s="794"/>
      <c r="B10" s="794"/>
      <c r="E10" s="795"/>
    </row>
    <row r="11" spans="1:9" ht="13.75" customHeight="1">
      <c r="C11" s="794"/>
      <c r="D11" s="1975" t="s">
        <v>1260</v>
      </c>
      <c r="E11" s="1975"/>
      <c r="F11" s="1975"/>
    </row>
    <row r="12" spans="1:9" ht="13">
      <c r="C12" s="794"/>
      <c r="D12" s="1975"/>
      <c r="E12" s="1975"/>
      <c r="F12" s="1975"/>
    </row>
    <row r="13" spans="1:9" ht="13">
      <c r="A13" s="796"/>
      <c r="B13" s="796"/>
      <c r="C13" s="796"/>
      <c r="D13" s="1940" t="s">
        <v>1243</v>
      </c>
      <c r="E13" s="1940"/>
      <c r="F13" s="1940"/>
    </row>
    <row r="14" spans="1:9" ht="13">
      <c r="A14" s="796"/>
      <c r="B14" s="796"/>
      <c r="C14" s="796"/>
      <c r="D14" s="797"/>
    </row>
    <row r="15" spans="1:9" ht="13">
      <c r="A15" s="798"/>
      <c r="B15" s="799" t="s">
        <v>2611</v>
      </c>
      <c r="C15" s="800"/>
      <c r="D15" s="1935" t="s">
        <v>1244</v>
      </c>
      <c r="E15" s="1935"/>
      <c r="F15" s="1935"/>
    </row>
    <row r="16" spans="1:9" ht="13">
      <c r="A16" s="796"/>
      <c r="B16" s="796"/>
      <c r="C16" s="800"/>
      <c r="D16" s="1935"/>
      <c r="E16" s="1935"/>
      <c r="F16" s="1935"/>
    </row>
    <row r="17" spans="1:7" ht="13">
      <c r="A17" s="796"/>
      <c r="B17" s="796"/>
      <c r="C17" s="800"/>
      <c r="D17" s="1935"/>
      <c r="E17" s="1935"/>
      <c r="F17" s="1935"/>
    </row>
    <row r="18" spans="1:7" ht="13">
      <c r="A18" s="796"/>
      <c r="B18" s="796"/>
      <c r="C18" s="796"/>
    </row>
    <row r="19" spans="1:7" ht="13">
      <c r="A19" s="798"/>
      <c r="B19" s="799" t="s">
        <v>2612</v>
      </c>
      <c r="D19" s="1914" t="s">
        <v>1245</v>
      </c>
      <c r="E19" s="1914"/>
      <c r="F19" s="1914"/>
    </row>
    <row r="20" spans="1:7" ht="13">
      <c r="A20" s="798"/>
      <c r="B20" s="798"/>
      <c r="D20" s="801"/>
    </row>
    <row r="21" spans="1:7" ht="13">
      <c r="A21" s="798"/>
      <c r="B21" s="799" t="s">
        <v>2611</v>
      </c>
      <c r="D21" s="1935" t="s">
        <v>1246</v>
      </c>
      <c r="E21" s="1935"/>
      <c r="F21" s="1935"/>
    </row>
    <row r="22" spans="1:7" ht="13">
      <c r="A22" s="798"/>
      <c r="B22" s="798"/>
      <c r="D22" s="1935"/>
      <c r="E22" s="1935"/>
      <c r="F22" s="1935"/>
    </row>
    <row r="23" spans="1:7"/>
    <row r="24" spans="1:7" ht="13">
      <c r="A24" s="798"/>
      <c r="B24" s="799" t="s">
        <v>2612</v>
      </c>
      <c r="D24" s="1976" t="s">
        <v>1247</v>
      </c>
      <c r="E24" s="1976"/>
      <c r="F24" s="1976"/>
    </row>
    <row r="25" spans="1:7">
      <c r="D25" s="1976"/>
      <c r="E25" s="1976"/>
      <c r="F25" s="1976"/>
    </row>
    <row r="26" spans="1:7">
      <c r="D26" s="1976"/>
      <c r="E26" s="1976"/>
      <c r="F26" s="1976"/>
    </row>
    <row r="27" spans="1:7">
      <c r="D27" s="1976"/>
      <c r="E27" s="1976"/>
      <c r="F27" s="1976"/>
    </row>
    <row r="28" spans="1:7">
      <c r="D28" s="1976"/>
      <c r="E28" s="1976"/>
      <c r="F28" s="1976"/>
    </row>
    <row r="29" spans="1:7" s="792" customFormat="1">
      <c r="A29" s="802"/>
      <c r="B29" s="802"/>
      <c r="C29" s="802"/>
      <c r="D29" s="734"/>
      <c r="E29" s="803"/>
      <c r="F29" s="803"/>
      <c r="G29" s="803"/>
    </row>
    <row r="30" spans="1:7" s="792" customFormat="1">
      <c r="A30" s="802"/>
      <c r="B30" s="799" t="s">
        <v>2611</v>
      </c>
      <c r="C30" s="802"/>
      <c r="D30" s="1892" t="s">
        <v>1248</v>
      </c>
      <c r="E30" s="1892"/>
      <c r="F30" s="1892"/>
      <c r="G30" s="803"/>
    </row>
    <row r="31" spans="1:7" s="792" customFormat="1">
      <c r="A31" s="802"/>
      <c r="B31" s="802"/>
      <c r="C31" s="802"/>
      <c r="D31" s="1892"/>
      <c r="E31" s="1892"/>
      <c r="F31" s="1892"/>
      <c r="G31" s="803"/>
    </row>
    <row r="32" spans="1:7" ht="13">
      <c r="A32" s="798"/>
      <c r="B32" s="798"/>
      <c r="D32" s="804"/>
    </row>
    <row r="33" spans="1:6" ht="14.5" customHeight="1">
      <c r="A33" s="798"/>
      <c r="B33" s="799" t="s">
        <v>2611</v>
      </c>
      <c r="D33" s="1892" t="s">
        <v>1431</v>
      </c>
      <c r="E33" s="1892"/>
      <c r="F33" s="1892"/>
    </row>
    <row r="34" spans="1:6" ht="13">
      <c r="A34" s="798"/>
      <c r="B34" s="798"/>
      <c r="D34" s="1892"/>
      <c r="E34" s="1892"/>
      <c r="F34" s="1892"/>
    </row>
    <row r="35" spans="1:6" ht="13">
      <c r="A35" s="798"/>
      <c r="B35" s="798"/>
      <c r="D35" s="1892"/>
      <c r="E35" s="1892"/>
      <c r="F35" s="1892"/>
    </row>
    <row r="36" spans="1:6" ht="13">
      <c r="A36" s="798"/>
      <c r="B36" s="798"/>
      <c r="D36" s="1892"/>
      <c r="E36" s="1892"/>
      <c r="F36" s="1892"/>
    </row>
    <row r="37" spans="1:6" ht="13">
      <c r="A37" s="798"/>
      <c r="B37" s="798"/>
      <c r="D37" s="791"/>
    </row>
    <row r="38" spans="1:6" ht="13">
      <c r="A38" s="798"/>
      <c r="B38" s="799" t="s">
        <v>2611</v>
      </c>
      <c r="D38" s="1892" t="s">
        <v>1250</v>
      </c>
      <c r="E38" s="1892"/>
      <c r="F38" s="1892"/>
    </row>
    <row r="39" spans="1:6" ht="13">
      <c r="A39" s="798"/>
      <c r="B39" s="798"/>
      <c r="D39" s="1892"/>
      <c r="E39" s="1892"/>
      <c r="F39" s="1892"/>
    </row>
    <row r="40" spans="1:6" ht="13">
      <c r="A40" s="798"/>
      <c r="B40" s="798"/>
      <c r="D40" s="1892"/>
      <c r="E40" s="1892"/>
      <c r="F40" s="1892"/>
    </row>
    <row r="41" spans="1:6" ht="13">
      <c r="A41" s="798"/>
      <c r="B41" s="798"/>
      <c r="D41" s="1892"/>
      <c r="E41" s="1892"/>
      <c r="F41" s="1892"/>
    </row>
    <row r="42" spans="1:6" ht="13">
      <c r="A42" s="798"/>
      <c r="B42" s="798"/>
      <c r="D42" s="1892"/>
      <c r="E42" s="1892"/>
      <c r="F42" s="1892"/>
    </row>
    <row r="43" spans="1:6" ht="13">
      <c r="A43" s="798"/>
      <c r="B43" s="798"/>
      <c r="D43" s="782"/>
      <c r="E43" s="782"/>
      <c r="F43" s="782"/>
    </row>
    <row r="44" spans="1:6" ht="13">
      <c r="A44" s="798"/>
      <c r="B44" s="799" t="s">
        <v>2611</v>
      </c>
      <c r="D44" s="1892" t="s">
        <v>1251</v>
      </c>
      <c r="E44" s="1892"/>
      <c r="F44" s="1892"/>
    </row>
    <row r="45" spans="1:6" ht="13">
      <c r="A45" s="798"/>
      <c r="B45" s="798"/>
      <c r="D45" s="1892"/>
      <c r="E45" s="1892"/>
      <c r="F45" s="1892"/>
    </row>
    <row r="46" spans="1:6" ht="13">
      <c r="A46" s="798"/>
      <c r="B46" s="798"/>
      <c r="D46" s="1892"/>
      <c r="E46" s="1892"/>
      <c r="F46" s="1892"/>
    </row>
    <row r="47" spans="1:6" ht="23.25" customHeight="1">
      <c r="A47" s="798"/>
      <c r="B47" s="798"/>
      <c r="D47" s="1892"/>
      <c r="E47" s="1892"/>
      <c r="F47" s="1892"/>
    </row>
    <row r="48" spans="1:6" ht="13">
      <c r="A48" s="798"/>
      <c r="B48" s="798"/>
      <c r="D48" s="786"/>
    </row>
    <row r="49" spans="1:7" ht="14.5" customHeight="1">
      <c r="A49" s="798"/>
      <c r="B49" s="799" t="s">
        <v>2611</v>
      </c>
      <c r="D49" s="1892" t="s">
        <v>1252</v>
      </c>
      <c r="E49" s="1892"/>
      <c r="F49" s="1892"/>
    </row>
    <row r="50" spans="1:7" ht="13">
      <c r="A50" s="798"/>
      <c r="B50" s="798"/>
      <c r="D50" s="1892"/>
      <c r="E50" s="1892"/>
      <c r="F50" s="1892"/>
    </row>
    <row r="51" spans="1:7" ht="13">
      <c r="A51" s="798"/>
      <c r="B51" s="798"/>
      <c r="D51" s="1892"/>
      <c r="E51" s="1892"/>
      <c r="F51" s="1892"/>
    </row>
    <row r="52" spans="1:7" s="619" customFormat="1" ht="13">
      <c r="A52" s="798"/>
      <c r="B52" s="798"/>
      <c r="C52" s="805"/>
      <c r="D52" s="803"/>
      <c r="E52" s="694"/>
      <c r="F52" s="694"/>
      <c r="G52" s="694"/>
    </row>
    <row r="53" spans="1:7" s="619" customFormat="1" ht="13">
      <c r="A53" s="806"/>
      <c r="B53" s="799" t="s">
        <v>2612</v>
      </c>
      <c r="C53" s="807"/>
      <c r="D53" s="1892" t="s">
        <v>1253</v>
      </c>
      <c r="E53" s="1892"/>
      <c r="F53" s="1892"/>
      <c r="G53" s="694"/>
    </row>
    <row r="54" spans="1:7" s="619" customFormat="1" ht="13">
      <c r="A54" s="806"/>
      <c r="B54" s="806"/>
      <c r="C54" s="807"/>
      <c r="D54" s="1892"/>
      <c r="E54" s="1892"/>
      <c r="F54" s="1892"/>
      <c r="G54" s="694"/>
    </row>
    <row r="55" spans="1:7" s="792" customFormat="1">
      <c r="A55" s="802"/>
      <c r="B55" s="802"/>
      <c r="C55" s="802"/>
      <c r="D55" s="734"/>
      <c r="E55" s="803"/>
      <c r="F55" s="803"/>
      <c r="G55" s="803"/>
    </row>
    <row r="56" spans="1:7" ht="13">
      <c r="A56" s="798"/>
      <c r="B56" s="799" t="s">
        <v>2611</v>
      </c>
      <c r="D56" s="1892" t="s">
        <v>1254</v>
      </c>
      <c r="E56" s="1892"/>
      <c r="F56" s="1892"/>
    </row>
    <row r="57" spans="1:7">
      <c r="D57" s="1892"/>
      <c r="E57" s="1892"/>
      <c r="F57" s="1892"/>
    </row>
    <row r="58" spans="1:7">
      <c r="D58" s="1892"/>
      <c r="E58" s="1892"/>
      <c r="F58" s="1892"/>
    </row>
    <row r="59" spans="1:7">
      <c r="D59" s="694"/>
    </row>
    <row r="60" spans="1:7" ht="13">
      <c r="A60" s="798"/>
      <c r="B60" s="799" t="s">
        <v>2611</v>
      </c>
      <c r="D60" s="1892" t="s">
        <v>1255</v>
      </c>
      <c r="E60" s="1892"/>
      <c r="F60" s="1892"/>
    </row>
    <row r="61" spans="1:7">
      <c r="D61" s="1892"/>
      <c r="E61" s="1892"/>
      <c r="F61" s="1892"/>
    </row>
    <row r="62" spans="1:7"/>
    <row r="63" spans="1:7" ht="13">
      <c r="A63" s="798"/>
      <c r="B63" s="799" t="s">
        <v>2611</v>
      </c>
      <c r="D63" s="1892" t="s">
        <v>1256</v>
      </c>
      <c r="E63" s="1892"/>
      <c r="F63" s="1892"/>
    </row>
    <row r="64" spans="1:7">
      <c r="D64" s="1892"/>
      <c r="E64" s="1892"/>
      <c r="F64" s="1892"/>
    </row>
    <row r="65" spans="1:7">
      <c r="D65" s="1892"/>
      <c r="E65" s="1892"/>
      <c r="F65" s="1892"/>
    </row>
    <row r="66" spans="1:7">
      <c r="D66" s="791"/>
    </row>
    <row r="67" spans="1:7" ht="13">
      <c r="A67" s="798"/>
      <c r="B67" s="799" t="s">
        <v>2611</v>
      </c>
      <c r="D67" s="1935" t="s">
        <v>1257</v>
      </c>
      <c r="E67" s="1935"/>
      <c r="F67" s="1935"/>
    </row>
    <row r="68" spans="1:7">
      <c r="D68" s="1935"/>
      <c r="E68" s="1935"/>
      <c r="F68" s="1935"/>
    </row>
    <row r="69" spans="1:7" ht="13">
      <c r="A69" s="798"/>
      <c r="B69" s="798"/>
      <c r="D69" s="801"/>
    </row>
    <row r="70" spans="1:7" ht="13">
      <c r="A70" s="1900" t="s">
        <v>1164</v>
      </c>
      <c r="B70" s="1900"/>
      <c r="C70" s="1900"/>
      <c r="D70" s="1900"/>
      <c r="E70" s="1900"/>
      <c r="F70" s="1900"/>
      <c r="G70" s="1900"/>
    </row>
    <row r="71" spans="1:7"/>
    <row r="72" spans="1:7" ht="13">
      <c r="C72" s="808"/>
      <c r="D72" s="1971" t="s">
        <v>1262</v>
      </c>
      <c r="E72" s="1971"/>
      <c r="F72" s="1971"/>
    </row>
    <row r="73" spans="1:7">
      <c r="A73" s="801"/>
      <c r="B73" s="801"/>
      <c r="D73" s="1935" t="s">
        <v>1289</v>
      </c>
      <c r="E73" s="1935"/>
      <c r="F73" s="1935"/>
    </row>
    <row r="74" spans="1:7">
      <c r="A74" s="801"/>
      <c r="B74" s="801"/>
    </row>
    <row r="75" spans="1:7" ht="13.75" customHeight="1">
      <c r="A75" s="798"/>
      <c r="B75" s="799" t="s">
        <v>2612</v>
      </c>
      <c r="D75" s="1935" t="s">
        <v>1481</v>
      </c>
      <c r="E75" s="1935"/>
      <c r="F75" s="1935"/>
    </row>
    <row r="76" spans="1:7" ht="13">
      <c r="A76" s="798"/>
      <c r="B76" s="798"/>
      <c r="D76" s="1935"/>
      <c r="E76" s="1935"/>
      <c r="F76" s="1935"/>
    </row>
    <row r="77" spans="1:7" ht="13">
      <c r="A77" s="798"/>
      <c r="B77" s="798"/>
      <c r="D77" s="1935"/>
      <c r="E77" s="1935"/>
      <c r="F77" s="1935"/>
    </row>
    <row r="78" spans="1:7" ht="13">
      <c r="A78" s="798"/>
      <c r="B78" s="798"/>
      <c r="D78" s="1935"/>
      <c r="E78" s="1935"/>
      <c r="F78" s="1935"/>
    </row>
    <row r="79" spans="1:7" ht="13">
      <c r="A79" s="798"/>
      <c r="B79" s="798"/>
      <c r="D79" s="1935"/>
      <c r="E79" s="1935"/>
      <c r="F79" s="1935"/>
    </row>
    <row r="80" spans="1:7" ht="13">
      <c r="A80" s="798"/>
      <c r="B80" s="798"/>
      <c r="D80" s="1935"/>
      <c r="E80" s="1935"/>
      <c r="F80" s="1935"/>
    </row>
    <row r="81" spans="1:6" ht="13">
      <c r="A81" s="798"/>
      <c r="B81" s="798"/>
      <c r="D81" s="1935"/>
      <c r="E81" s="1935"/>
      <c r="F81" s="1935"/>
    </row>
    <row r="82" spans="1:6" ht="13">
      <c r="A82" s="798"/>
      <c r="B82" s="798"/>
      <c r="D82" s="1935"/>
      <c r="E82" s="1935"/>
      <c r="F82" s="1935"/>
    </row>
    <row r="83" spans="1:6" ht="13">
      <c r="A83" s="798"/>
      <c r="B83" s="798"/>
      <c r="D83" s="880"/>
      <c r="E83" s="880"/>
      <c r="F83" s="880"/>
    </row>
    <row r="84" spans="1:6" ht="15" customHeight="1">
      <c r="A84" s="798"/>
      <c r="B84" s="799" t="s">
        <v>2612</v>
      </c>
      <c r="D84" s="1935" t="s">
        <v>2259</v>
      </c>
      <c r="E84" s="1935"/>
      <c r="F84" s="1935"/>
    </row>
    <row r="85" spans="1:6" ht="13">
      <c r="A85" s="798"/>
      <c r="B85" s="798"/>
      <c r="D85" s="1935"/>
      <c r="E85" s="1935"/>
      <c r="F85" s="1935"/>
    </row>
    <row r="86" spans="1:6" ht="13">
      <c r="A86" s="798"/>
      <c r="B86" s="798"/>
      <c r="D86" s="1719"/>
      <c r="E86" s="1719"/>
      <c r="F86" s="1719"/>
    </row>
    <row r="87" spans="1:6" ht="13">
      <c r="A87" s="798"/>
      <c r="B87" s="799" t="s">
        <v>2612</v>
      </c>
      <c r="D87" s="1935" t="s">
        <v>2263</v>
      </c>
      <c r="E87" s="1935"/>
      <c r="F87" s="1935"/>
    </row>
    <row r="88" spans="1:6" ht="13">
      <c r="A88" s="798"/>
      <c r="B88" s="798"/>
      <c r="D88" s="1935"/>
      <c r="E88" s="1935"/>
      <c r="F88" s="1935"/>
    </row>
    <row r="89" spans="1:6" ht="13">
      <c r="A89" s="798"/>
      <c r="B89" s="798"/>
      <c r="D89" s="1935"/>
      <c r="E89" s="1935"/>
      <c r="F89" s="1935"/>
    </row>
    <row r="90" spans="1:6" ht="13">
      <c r="A90" s="798"/>
      <c r="B90" s="798"/>
      <c r="D90" s="1719"/>
      <c r="E90" s="1719"/>
      <c r="F90" s="1719"/>
    </row>
    <row r="91" spans="1:6" ht="13">
      <c r="A91" s="798"/>
      <c r="B91" s="799" t="s">
        <v>2612</v>
      </c>
      <c r="D91" s="1935" t="s">
        <v>2261</v>
      </c>
      <c r="E91" s="1935"/>
      <c r="F91" s="1935"/>
    </row>
    <row r="92" spans="1:6" s="1736" customFormat="1" ht="13">
      <c r="A92" s="1734"/>
      <c r="B92" s="1734"/>
      <c r="C92" s="1735"/>
      <c r="D92" s="1935"/>
      <c r="E92" s="1935"/>
      <c r="F92" s="1935"/>
    </row>
    <row r="93" spans="1:6" ht="13">
      <c r="A93" s="798"/>
      <c r="B93" s="798"/>
      <c r="D93" s="1725"/>
      <c r="E93" s="1726" t="s">
        <v>2262</v>
      </c>
      <c r="F93" s="1719"/>
    </row>
    <row r="94" spans="1:6" ht="13">
      <c r="A94" s="798"/>
      <c r="B94" s="798"/>
      <c r="D94" s="880"/>
      <c r="E94" s="880"/>
      <c r="F94" s="880"/>
    </row>
    <row r="95" spans="1:6" ht="13">
      <c r="A95" s="798"/>
      <c r="B95" s="799" t="s">
        <v>2611</v>
      </c>
      <c r="D95" s="1935" t="s">
        <v>2260</v>
      </c>
      <c r="E95" s="1935"/>
      <c r="F95" s="1935"/>
    </row>
    <row r="96" spans="1:6" ht="13">
      <c r="A96" s="798"/>
      <c r="B96" s="798"/>
      <c r="D96" s="1935"/>
      <c r="E96" s="1935"/>
      <c r="F96" s="1935"/>
    </row>
    <row r="97" spans="1:7" ht="13">
      <c r="A97" s="798"/>
      <c r="B97" s="798"/>
      <c r="D97" s="1719"/>
      <c r="E97" s="1719"/>
      <c r="F97" s="1719"/>
    </row>
    <row r="98" spans="1:7" ht="14.5" customHeight="1">
      <c r="A98" s="798"/>
      <c r="B98" s="799" t="s">
        <v>2611</v>
      </c>
      <c r="D98" s="1935" t="s">
        <v>1406</v>
      </c>
      <c r="E98" s="1935"/>
      <c r="F98" s="1935"/>
      <c r="G98" s="791"/>
    </row>
    <row r="99" spans="1:7" ht="13">
      <c r="A99" s="798"/>
      <c r="B99" s="798"/>
      <c r="D99" s="1935"/>
      <c r="E99" s="1935"/>
      <c r="F99" s="1935"/>
      <c r="G99" s="791"/>
    </row>
    <row r="100" spans="1:7" ht="13">
      <c r="A100" s="798"/>
      <c r="B100" s="798"/>
      <c r="D100" s="1935"/>
      <c r="E100" s="1935"/>
      <c r="F100" s="1935"/>
      <c r="G100" s="791"/>
    </row>
    <row r="101" spans="1:7" ht="13">
      <c r="A101" s="798"/>
      <c r="B101" s="798"/>
      <c r="D101" s="1935"/>
      <c r="E101" s="1935"/>
      <c r="F101" s="1935"/>
      <c r="G101" s="791"/>
    </row>
    <row r="102" spans="1:7" ht="13">
      <c r="A102" s="798"/>
      <c r="B102" s="798"/>
      <c r="D102" s="1935"/>
      <c r="E102" s="1935"/>
      <c r="F102" s="1935"/>
      <c r="G102" s="791"/>
    </row>
    <row r="103" spans="1:7" ht="13">
      <c r="A103" s="798"/>
      <c r="B103" s="798"/>
      <c r="D103" s="1935"/>
      <c r="E103" s="1935"/>
      <c r="F103" s="1935"/>
      <c r="G103" s="791"/>
    </row>
    <row r="104" spans="1:7" ht="13">
      <c r="A104" s="798"/>
      <c r="B104" s="798"/>
      <c r="D104" s="1935"/>
      <c r="E104" s="1935"/>
      <c r="F104" s="1935"/>
      <c r="G104" s="791"/>
    </row>
    <row r="105" spans="1:7" ht="13">
      <c r="A105" s="798"/>
      <c r="B105" s="798"/>
      <c r="D105" s="1935"/>
      <c r="E105" s="1935"/>
      <c r="F105" s="1935"/>
      <c r="G105" s="791"/>
    </row>
    <row r="106" spans="1:7" ht="13">
      <c r="A106" s="798"/>
      <c r="B106" s="798"/>
      <c r="D106" s="1935"/>
      <c r="E106" s="1935"/>
      <c r="F106" s="1935"/>
      <c r="G106" s="791"/>
    </row>
    <row r="107" spans="1:7" ht="13">
      <c r="A107" s="798"/>
      <c r="B107" s="798"/>
      <c r="D107" s="1935"/>
      <c r="E107" s="1935"/>
      <c r="F107" s="1935"/>
      <c r="G107" s="791"/>
    </row>
    <row r="108" spans="1:7" ht="13">
      <c r="A108" s="798"/>
      <c r="B108" s="798"/>
      <c r="D108" s="1935"/>
      <c r="E108" s="1935"/>
      <c r="F108" s="1935"/>
      <c r="G108" s="791"/>
    </row>
    <row r="109" spans="1:7" ht="13">
      <c r="A109" s="798"/>
      <c r="B109" s="798"/>
      <c r="D109" s="1935"/>
      <c r="E109" s="1935"/>
      <c r="F109" s="1935"/>
      <c r="G109" s="791"/>
    </row>
    <row r="110" spans="1:7" ht="13">
      <c r="A110" s="798"/>
      <c r="B110" s="798"/>
      <c r="D110" s="1935"/>
      <c r="E110" s="1935"/>
      <c r="F110" s="1935"/>
      <c r="G110" s="791"/>
    </row>
    <row r="111" spans="1:7" ht="13">
      <c r="A111" s="798"/>
      <c r="B111" s="798"/>
      <c r="D111" s="1935"/>
      <c r="E111" s="1935"/>
      <c r="F111" s="1935"/>
    </row>
    <row r="112" spans="1:7" ht="13">
      <c r="A112" s="798"/>
      <c r="B112" s="798"/>
      <c r="D112" s="1935"/>
      <c r="E112" s="1935"/>
      <c r="F112" s="1935"/>
    </row>
    <row r="113" spans="1:11" ht="13">
      <c r="A113" s="798"/>
      <c r="B113" s="798"/>
      <c r="D113" s="906"/>
      <c r="E113" s="906"/>
      <c r="F113" s="906"/>
    </row>
    <row r="114" spans="1:11" ht="14.25" customHeight="1">
      <c r="A114" s="798"/>
      <c r="B114" s="799" t="s">
        <v>2611</v>
      </c>
      <c r="D114" s="1933" t="s">
        <v>1264</v>
      </c>
      <c r="E114" s="1933"/>
      <c r="F114" s="1933"/>
    </row>
    <row r="115" spans="1:11" ht="13">
      <c r="A115" s="798"/>
      <c r="B115" s="798"/>
      <c r="D115" s="1933"/>
      <c r="E115" s="1933"/>
      <c r="F115" s="1933"/>
    </row>
    <row r="116" spans="1:11" ht="13">
      <c r="A116" s="798"/>
      <c r="B116" s="798"/>
      <c r="D116" s="1933"/>
      <c r="E116" s="1933"/>
      <c r="F116" s="1933"/>
    </row>
    <row r="117" spans="1:11" ht="13">
      <c r="A117" s="798"/>
      <c r="B117" s="798"/>
      <c r="D117" s="1933"/>
      <c r="E117" s="1933"/>
      <c r="F117" s="1933"/>
    </row>
    <row r="118" spans="1:11" ht="13">
      <c r="A118" s="798"/>
      <c r="B118" s="798"/>
      <c r="D118" s="1933"/>
      <c r="E118" s="1933"/>
      <c r="F118" s="1933"/>
    </row>
    <row r="119" spans="1:11" ht="13">
      <c r="A119" s="798"/>
      <c r="B119" s="798"/>
      <c r="D119" s="1933"/>
      <c r="E119" s="1933"/>
      <c r="F119" s="1933"/>
    </row>
    <row r="120" spans="1:11" ht="13">
      <c r="A120" s="798"/>
      <c r="B120" s="798"/>
      <c r="D120" s="1933"/>
      <c r="E120" s="1933"/>
      <c r="F120" s="1933"/>
    </row>
    <row r="121" spans="1:11" ht="13">
      <c r="A121" s="798"/>
      <c r="B121" s="798"/>
      <c r="D121" s="1933"/>
      <c r="E121" s="1933"/>
      <c r="F121" s="1933"/>
    </row>
    <row r="122" spans="1:11">
      <c r="C122" s="723"/>
      <c r="D122" s="907"/>
      <c r="E122" s="907"/>
      <c r="F122" s="907"/>
      <c r="G122" s="723"/>
      <c r="H122" s="723"/>
      <c r="I122" s="723"/>
      <c r="J122" s="723"/>
      <c r="K122" s="723"/>
    </row>
    <row r="123" spans="1:11" ht="13">
      <c r="A123" s="798"/>
      <c r="B123" s="799" t="s">
        <v>2612</v>
      </c>
      <c r="C123" s="723"/>
      <c r="D123" s="1933" t="s">
        <v>1266</v>
      </c>
      <c r="E123" s="1933"/>
      <c r="F123" s="1933"/>
      <c r="G123" s="723"/>
      <c r="H123" s="723"/>
      <c r="I123" s="723"/>
      <c r="J123" s="723"/>
      <c r="K123" s="723"/>
    </row>
    <row r="124" spans="1:11" ht="13">
      <c r="A124" s="798"/>
      <c r="B124" s="798"/>
      <c r="C124" s="723"/>
      <c r="D124" s="1933"/>
      <c r="E124" s="1933"/>
      <c r="F124" s="1933"/>
      <c r="G124" s="723"/>
      <c r="H124" s="723"/>
      <c r="I124" s="723"/>
      <c r="J124" s="723"/>
      <c r="K124" s="723"/>
    </row>
    <row r="125" spans="1:11"/>
    <row r="126" spans="1:11" ht="13">
      <c r="A126" s="798"/>
      <c r="B126" s="799" t="s">
        <v>2612</v>
      </c>
      <c r="C126" s="805"/>
      <c r="D126" s="1935" t="s">
        <v>1267</v>
      </c>
      <c r="E126" s="1935"/>
      <c r="F126" s="1935"/>
    </row>
    <row r="127" spans="1:11">
      <c r="C127" s="805"/>
      <c r="D127" s="1935"/>
      <c r="E127" s="1935"/>
      <c r="F127" s="1935"/>
    </row>
    <row r="128" spans="1:11">
      <c r="C128" s="805"/>
      <c r="D128" s="1935"/>
      <c r="E128" s="1935"/>
      <c r="F128" s="1935"/>
    </row>
    <row r="129" spans="1:7">
      <c r="C129" s="805"/>
      <c r="D129" s="1935"/>
      <c r="E129" s="1935"/>
      <c r="F129" s="1935"/>
    </row>
    <row r="130" spans="1:7">
      <c r="C130" s="805"/>
      <c r="D130" s="1935"/>
      <c r="E130" s="1935"/>
      <c r="F130" s="1935"/>
    </row>
    <row r="131" spans="1:7">
      <c r="C131" s="805"/>
      <c r="D131" s="673"/>
      <c r="E131" s="673"/>
      <c r="F131" s="673"/>
    </row>
    <row r="132" spans="1:7" s="723" customFormat="1" ht="13">
      <c r="A132" s="798"/>
      <c r="B132" s="799" t="s">
        <v>2612</v>
      </c>
      <c r="C132" s="805"/>
      <c r="D132" s="1892" t="s">
        <v>1268</v>
      </c>
      <c r="E132" s="1892"/>
      <c r="F132" s="1892"/>
      <c r="G132" s="673"/>
    </row>
    <row r="133" spans="1:7" s="813" customFormat="1" ht="13.75" customHeight="1">
      <c r="A133" s="810"/>
      <c r="B133" s="810"/>
      <c r="C133" s="811"/>
      <c r="D133" s="1892"/>
      <c r="E133" s="1892"/>
      <c r="F133" s="1892"/>
      <c r="G133" s="812"/>
    </row>
    <row r="134" spans="1:7" s="723" customFormat="1" ht="13.75" customHeight="1">
      <c r="A134" s="789"/>
      <c r="B134" s="789"/>
      <c r="C134" s="805"/>
      <c r="D134" s="1892"/>
      <c r="E134" s="1892"/>
      <c r="F134" s="1892"/>
      <c r="G134" s="673"/>
    </row>
    <row r="135" spans="1:7" s="723" customFormat="1" ht="13.75" customHeight="1">
      <c r="A135" s="789"/>
      <c r="B135" s="789"/>
      <c r="C135" s="805"/>
      <c r="D135" s="1892"/>
      <c r="E135" s="1892"/>
      <c r="F135" s="1892"/>
      <c r="G135" s="673"/>
    </row>
    <row r="136" spans="1:7" s="723" customFormat="1" ht="13.75" customHeight="1">
      <c r="A136" s="789"/>
      <c r="B136" s="789"/>
      <c r="C136" s="805"/>
      <c r="D136" s="1892"/>
      <c r="E136" s="1892"/>
      <c r="F136" s="1892"/>
      <c r="G136" s="673"/>
    </row>
    <row r="137" spans="1:7" s="723" customFormat="1" ht="13.75" customHeight="1">
      <c r="A137" s="814"/>
      <c r="B137" s="814"/>
      <c r="C137" s="805"/>
      <c r="D137" s="1892"/>
      <c r="E137" s="1892"/>
      <c r="F137" s="1892"/>
      <c r="G137" s="673"/>
    </row>
    <row r="138" spans="1:7" s="619" customFormat="1" ht="13.75" customHeight="1">
      <c r="A138" s="802"/>
      <c r="B138" s="802"/>
      <c r="C138" s="807"/>
      <c r="D138" s="1892"/>
      <c r="E138" s="1892"/>
      <c r="F138" s="1892"/>
      <c r="G138" s="694"/>
    </row>
    <row r="139" spans="1:7" s="619" customFormat="1" ht="13.75" customHeight="1">
      <c r="A139" s="802"/>
      <c r="B139" s="802"/>
      <c r="C139" s="807"/>
      <c r="D139" s="1892"/>
      <c r="E139" s="1892"/>
      <c r="F139" s="1892"/>
      <c r="G139" s="694"/>
    </row>
    <row r="140" spans="1:7" s="723" customFormat="1" ht="13.75" customHeight="1">
      <c r="A140" s="789"/>
      <c r="B140" s="789"/>
      <c r="C140" s="805"/>
      <c r="D140" s="1892"/>
      <c r="E140" s="1892"/>
      <c r="F140" s="1892"/>
      <c r="G140" s="673"/>
    </row>
    <row r="141" spans="1:7" s="723" customFormat="1" ht="13.75" customHeight="1">
      <c r="A141" s="789"/>
      <c r="B141" s="789"/>
      <c r="C141" s="805"/>
      <c r="D141" s="1892"/>
      <c r="E141" s="1892"/>
      <c r="F141" s="1892"/>
      <c r="G141" s="673"/>
    </row>
    <row r="142" spans="1:7" s="723" customFormat="1" ht="13.75" customHeight="1">
      <c r="A142" s="789"/>
      <c r="B142" s="789"/>
      <c r="C142" s="805"/>
      <c r="D142" s="1892"/>
      <c r="E142" s="1892"/>
      <c r="F142" s="1892"/>
      <c r="G142" s="673"/>
    </row>
    <row r="143" spans="1:7" s="723" customFormat="1" ht="13.75" customHeight="1">
      <c r="A143" s="789"/>
      <c r="B143" s="789"/>
      <c r="C143" s="805"/>
      <c r="D143" s="1892"/>
      <c r="E143" s="1892"/>
      <c r="F143" s="1892"/>
      <c r="G143" s="673"/>
    </row>
    <row r="144" spans="1:7" s="723" customFormat="1" ht="13.75" customHeight="1">
      <c r="A144" s="789"/>
      <c r="B144" s="789"/>
      <c r="C144" s="805"/>
      <c r="D144" s="797"/>
      <c r="E144" s="786"/>
      <c r="F144" s="786"/>
      <c r="G144" s="673"/>
    </row>
    <row r="145" spans="1:7" s="723" customFormat="1" ht="13.75" customHeight="1">
      <c r="A145" s="789"/>
      <c r="B145" s="799" t="s">
        <v>2611</v>
      </c>
      <c r="C145" s="805"/>
      <c r="D145" s="1977" t="s">
        <v>1376</v>
      </c>
      <c r="E145" s="1977"/>
      <c r="F145" s="1977"/>
      <c r="G145" s="673"/>
    </row>
    <row r="146" spans="1:7" s="723" customFormat="1" ht="13.75" customHeight="1">
      <c r="A146" s="789"/>
      <c r="B146" s="789"/>
      <c r="C146" s="805"/>
      <c r="D146" s="1977"/>
      <c r="E146" s="1977"/>
      <c r="F146" s="1977"/>
      <c r="G146" s="673"/>
    </row>
    <row r="147" spans="1:7" s="723" customFormat="1" ht="13.75" customHeight="1">
      <c r="A147" s="789"/>
      <c r="B147" s="789"/>
      <c r="C147" s="805"/>
      <c r="D147" s="1977"/>
      <c r="E147" s="1977"/>
      <c r="F147" s="1977"/>
      <c r="G147" s="673"/>
    </row>
    <row r="148" spans="1:7" s="723" customFormat="1" ht="13.75" customHeight="1">
      <c r="A148" s="789"/>
      <c r="B148" s="789"/>
      <c r="C148" s="805"/>
      <c r="D148" s="1977"/>
      <c r="E148" s="1977"/>
      <c r="F148" s="1977"/>
      <c r="G148" s="673"/>
    </row>
    <row r="149" spans="1:7" s="723" customFormat="1" ht="13.75" customHeight="1">
      <c r="A149" s="789"/>
      <c r="B149" s="789"/>
      <c r="C149" s="805"/>
      <c r="D149" s="1977"/>
      <c r="E149" s="1977"/>
      <c r="F149" s="1977"/>
      <c r="G149" s="673"/>
    </row>
    <row r="150" spans="1:7" s="723" customFormat="1" ht="13.75" customHeight="1">
      <c r="A150" s="789"/>
      <c r="B150" s="789"/>
      <c r="C150" s="805"/>
      <c r="D150" s="1977"/>
      <c r="E150" s="1977"/>
      <c r="F150" s="1977"/>
      <c r="G150" s="673"/>
    </row>
    <row r="151" spans="1:7" s="723" customFormat="1" ht="13.75" customHeight="1">
      <c r="A151" s="789"/>
      <c r="B151" s="789"/>
      <c r="C151" s="805"/>
      <c r="D151" s="1977"/>
      <c r="E151" s="1977"/>
      <c r="F151" s="1977"/>
      <c r="G151" s="673"/>
    </row>
    <row r="152" spans="1:7" s="723" customFormat="1" ht="13.75" customHeight="1">
      <c r="A152" s="789"/>
      <c r="B152" s="789"/>
      <c r="C152" s="805"/>
      <c r="D152" s="1977"/>
      <c r="E152" s="1977"/>
      <c r="F152" s="1977"/>
      <c r="G152" s="673"/>
    </row>
    <row r="153" spans="1:7" s="723" customFormat="1" ht="13.75" customHeight="1">
      <c r="A153" s="789"/>
      <c r="B153" s="789"/>
      <c r="C153" s="805"/>
      <c r="D153" s="1977"/>
      <c r="E153" s="1977"/>
      <c r="F153" s="1977"/>
      <c r="G153" s="673"/>
    </row>
    <row r="154" spans="1:7" s="723" customFormat="1" ht="13.75" customHeight="1">
      <c r="A154" s="789"/>
      <c r="B154" s="789"/>
      <c r="C154" s="805"/>
      <c r="D154" s="1977"/>
      <c r="E154" s="1977"/>
      <c r="F154" s="1977"/>
      <c r="G154" s="673"/>
    </row>
    <row r="155" spans="1:7" s="723" customFormat="1" ht="13.75" customHeight="1">
      <c r="A155" s="789"/>
      <c r="B155" s="789"/>
      <c r="C155" s="805"/>
      <c r="D155" s="1977"/>
      <c r="E155" s="1977"/>
      <c r="F155" s="1977"/>
      <c r="G155" s="673"/>
    </row>
    <row r="156" spans="1:7" s="723" customFormat="1" ht="13.75" customHeight="1">
      <c r="A156" s="789"/>
      <c r="B156" s="789"/>
      <c r="C156" s="805"/>
      <c r="D156" s="1977"/>
      <c r="E156" s="1977"/>
      <c r="F156" s="1977"/>
      <c r="G156" s="673"/>
    </row>
    <row r="157" spans="1:7" s="723" customFormat="1" ht="13.75" customHeight="1">
      <c r="A157" s="789"/>
      <c r="B157" s="789"/>
      <c r="C157" s="805"/>
      <c r="D157" s="1977"/>
      <c r="E157" s="1977"/>
      <c r="F157" s="1977"/>
      <c r="G157" s="673"/>
    </row>
    <row r="158" spans="1:7" s="723" customFormat="1" ht="13.75" customHeight="1">
      <c r="A158" s="789"/>
      <c r="B158" s="789"/>
      <c r="C158" s="805"/>
      <c r="D158" s="1977"/>
      <c r="E158" s="1977"/>
      <c r="F158" s="1977"/>
      <c r="G158" s="673"/>
    </row>
    <row r="159" spans="1:7" s="723" customFormat="1" ht="13.75" customHeight="1">
      <c r="A159" s="789"/>
      <c r="B159" s="789"/>
      <c r="C159" s="805"/>
      <c r="D159" s="1977"/>
      <c r="E159" s="1977"/>
      <c r="F159" s="1977"/>
      <c r="G159" s="673"/>
    </row>
    <row r="160" spans="1:7" s="723" customFormat="1" ht="13.75" customHeight="1">
      <c r="A160" s="789"/>
      <c r="B160" s="789"/>
      <c r="C160" s="805"/>
      <c r="D160" s="1977"/>
      <c r="E160" s="1977"/>
      <c r="F160" s="1977"/>
      <c r="G160" s="673"/>
    </row>
    <row r="161" spans="1:7" s="723" customFormat="1" ht="13.75" customHeight="1">
      <c r="A161" s="789"/>
      <c r="B161" s="789"/>
      <c r="C161" s="805"/>
      <c r="D161" s="1977"/>
      <c r="E161" s="1977"/>
      <c r="F161" s="1977"/>
      <c r="G161" s="673"/>
    </row>
    <row r="162" spans="1:7" s="723" customFormat="1" ht="13.75" customHeight="1">
      <c r="A162" s="789"/>
      <c r="B162" s="789"/>
      <c r="C162" s="805"/>
      <c r="D162" s="1977"/>
      <c r="E162" s="1977"/>
      <c r="F162" s="1977"/>
      <c r="G162" s="673"/>
    </row>
    <row r="163" spans="1:7" s="723" customFormat="1" ht="13.75" customHeight="1">
      <c r="A163" s="789"/>
      <c r="B163" s="789"/>
      <c r="C163" s="805"/>
      <c r="D163" s="2000" t="s">
        <v>1414</v>
      </c>
      <c r="E163" s="2000"/>
      <c r="F163" s="2000"/>
      <c r="G163" s="858"/>
    </row>
    <row r="164" spans="1:7" s="723" customFormat="1" ht="13.75" customHeight="1">
      <c r="A164" s="789"/>
      <c r="B164" s="789"/>
      <c r="C164" s="805"/>
      <c r="D164" s="1999"/>
      <c r="E164" s="1999"/>
      <c r="F164" s="1999"/>
      <c r="G164" s="1999"/>
    </row>
    <row r="165" spans="1:7" s="723" customFormat="1" ht="14.5" customHeight="1">
      <c r="A165" s="814"/>
      <c r="B165" s="799" t="s">
        <v>2611</v>
      </c>
      <c r="C165" s="815"/>
      <c r="D165" s="1934" t="s">
        <v>1442</v>
      </c>
      <c r="E165" s="1934"/>
      <c r="F165" s="1934"/>
      <c r="G165" s="816"/>
    </row>
    <row r="166" spans="1:7" s="723" customFormat="1" ht="14.5" customHeight="1">
      <c r="A166" s="814"/>
      <c r="B166" s="814"/>
      <c r="C166" s="815"/>
      <c r="D166" s="1934"/>
      <c r="E166" s="1934"/>
      <c r="F166" s="1934"/>
      <c r="G166" s="816"/>
    </row>
    <row r="167" spans="1:7" s="723" customFormat="1" ht="13.75" customHeight="1">
      <c r="A167" s="814"/>
      <c r="B167" s="814"/>
      <c r="C167" s="815"/>
      <c r="D167" s="1934"/>
      <c r="E167" s="1934"/>
      <c r="F167" s="1934"/>
      <c r="G167" s="816"/>
    </row>
    <row r="168" spans="1:7" s="723" customFormat="1" ht="13.75" customHeight="1">
      <c r="A168" s="814"/>
      <c r="B168" s="814"/>
      <c r="C168" s="815"/>
      <c r="D168" s="797"/>
      <c r="E168" s="815"/>
      <c r="F168" s="815"/>
      <c r="G168" s="816"/>
    </row>
    <row r="169" spans="1:7" s="723" customFormat="1" ht="13.75" customHeight="1">
      <c r="A169" s="814"/>
      <c r="B169" s="799" t="s">
        <v>2611</v>
      </c>
      <c r="C169" s="815"/>
      <c r="D169" s="1877" t="s">
        <v>1270</v>
      </c>
      <c r="E169" s="1877"/>
      <c r="F169" s="1877"/>
      <c r="G169" s="816"/>
    </row>
    <row r="170" spans="1:7" s="723" customFormat="1" ht="13.75" customHeight="1">
      <c r="A170" s="814"/>
      <c r="B170" s="814"/>
      <c r="C170" s="815"/>
      <c r="D170" s="1877"/>
      <c r="E170" s="1877"/>
      <c r="F170" s="1877"/>
      <c r="G170" s="816"/>
    </row>
    <row r="171" spans="1:7" s="723" customFormat="1" ht="13.75" customHeight="1">
      <c r="A171" s="814"/>
      <c r="B171" s="814"/>
      <c r="C171" s="815"/>
      <c r="D171" s="1877"/>
      <c r="E171" s="1877"/>
      <c r="F171" s="1877"/>
      <c r="G171" s="816"/>
    </row>
    <row r="172" spans="1:7" s="723" customFormat="1" ht="13.75" customHeight="1">
      <c r="A172" s="814"/>
      <c r="B172" s="814"/>
      <c r="C172" s="815"/>
      <c r="D172" s="1877"/>
      <c r="E172" s="1877"/>
      <c r="F172" s="1877"/>
      <c r="G172" s="816"/>
    </row>
    <row r="173" spans="1:7" s="723" customFormat="1" ht="13.75" customHeight="1">
      <c r="A173" s="789"/>
      <c r="B173" s="789"/>
      <c r="C173" s="805"/>
      <c r="D173" s="786"/>
      <c r="E173" s="786"/>
      <c r="F173" s="786"/>
      <c r="G173" s="673"/>
    </row>
    <row r="174" spans="1:7" s="723" customFormat="1" ht="13.75" customHeight="1">
      <c r="A174" s="789"/>
      <c r="B174" s="799" t="s">
        <v>2612</v>
      </c>
      <c r="C174" s="805"/>
      <c r="D174" s="1922" t="s">
        <v>1271</v>
      </c>
      <c r="E174" s="1922"/>
      <c r="F174" s="1922"/>
      <c r="G174" s="673"/>
    </row>
    <row r="175" spans="1:7" s="723" customFormat="1" ht="13.75" customHeight="1">
      <c r="A175" s="789"/>
      <c r="B175" s="789"/>
      <c r="C175" s="805"/>
      <c r="D175" s="1922"/>
      <c r="E175" s="1922"/>
      <c r="F175" s="1922"/>
      <c r="G175" s="673"/>
    </row>
    <row r="176" spans="1:7" s="723" customFormat="1" ht="13.75" customHeight="1">
      <c r="A176" s="789"/>
      <c r="B176" s="789"/>
      <c r="C176" s="805"/>
      <c r="D176" s="1922"/>
      <c r="E176" s="1922"/>
      <c r="F176" s="1922"/>
      <c r="G176" s="673"/>
    </row>
    <row r="177" spans="1:7" s="723" customFormat="1" ht="13.75" customHeight="1">
      <c r="A177" s="817"/>
      <c r="B177" s="817"/>
      <c r="C177" s="805"/>
      <c r="D177" s="790"/>
      <c r="E177" s="786"/>
      <c r="F177" s="786"/>
      <c r="G177" s="673"/>
    </row>
    <row r="178" spans="1:7" ht="13">
      <c r="A178" s="1900" t="s">
        <v>1165</v>
      </c>
      <c r="B178" s="1900"/>
      <c r="C178" s="1900"/>
      <c r="D178" s="1900"/>
      <c r="E178" s="1900"/>
      <c r="F178" s="1900"/>
      <c r="G178" s="1900"/>
    </row>
    <row r="179" spans="1:7" ht="12" customHeight="1">
      <c r="D179" s="801"/>
      <c r="E179" s="801"/>
      <c r="F179" s="801"/>
    </row>
    <row r="180" spans="1:7">
      <c r="B180" s="1970" t="s">
        <v>472</v>
      </c>
      <c r="C180" s="1970"/>
      <c r="D180" s="1970"/>
      <c r="E180" s="1970"/>
      <c r="F180" s="1970"/>
    </row>
    <row r="181" spans="1:7" ht="12" customHeight="1">
      <c r="A181" s="794"/>
      <c r="B181" s="794"/>
      <c r="C181" s="794"/>
    </row>
    <row r="182" spans="1:7" ht="13">
      <c r="A182" s="1900" t="s">
        <v>1166</v>
      </c>
      <c r="B182" s="1900"/>
      <c r="C182" s="1900"/>
      <c r="D182" s="1900"/>
      <c r="E182" s="1900"/>
      <c r="F182" s="1900"/>
      <c r="G182" s="1900"/>
    </row>
    <row r="183" spans="1:7" ht="12" customHeight="1">
      <c r="A183" s="818"/>
      <c r="B183" s="818"/>
      <c r="C183" s="819"/>
      <c r="D183" s="820"/>
      <c r="E183" s="821"/>
      <c r="F183" s="820"/>
      <c r="G183" s="820"/>
    </row>
    <row r="184" spans="1:7" ht="13.75" customHeight="1">
      <c r="A184" s="818"/>
      <c r="B184" s="818"/>
      <c r="C184" s="819"/>
      <c r="D184" s="1936" t="s">
        <v>2264</v>
      </c>
      <c r="E184" s="1936"/>
      <c r="F184" s="1936"/>
      <c r="G184" s="820"/>
    </row>
    <row r="185" spans="1:7" ht="13">
      <c r="A185" s="818"/>
      <c r="B185" s="818"/>
      <c r="C185" s="819"/>
      <c r="D185" s="1936"/>
      <c r="E185" s="1936"/>
      <c r="F185" s="1936"/>
      <c r="G185" s="820"/>
    </row>
    <row r="186" spans="1:7" ht="13">
      <c r="A186" s="818"/>
      <c r="B186" s="818"/>
      <c r="C186" s="819"/>
      <c r="D186" s="1937" t="s">
        <v>1407</v>
      </c>
      <c r="E186" s="1937"/>
      <c r="F186" s="1937"/>
      <c r="G186" s="820"/>
    </row>
    <row r="187" spans="1:7" ht="13">
      <c r="A187" s="818"/>
      <c r="B187" s="818"/>
      <c r="C187" s="819"/>
      <c r="D187" s="1720"/>
      <c r="E187" s="1720"/>
      <c r="F187" s="1720"/>
      <c r="G187" s="820"/>
    </row>
    <row r="188" spans="1:7" ht="13">
      <c r="A188" s="818"/>
      <c r="B188" s="799" t="s">
        <v>2611</v>
      </c>
      <c r="C188" s="819"/>
      <c r="D188" s="1899" t="s">
        <v>2265</v>
      </c>
      <c r="E188" s="1899"/>
      <c r="F188" s="1899"/>
      <c r="G188" s="820"/>
    </row>
    <row r="189" spans="1:7" ht="13">
      <c r="A189" s="818"/>
      <c r="B189" s="818"/>
      <c r="C189" s="819"/>
      <c r="D189" s="1903" t="s">
        <v>2266</v>
      </c>
      <c r="E189" s="1903"/>
      <c r="F189" s="1903"/>
      <c r="G189" s="820"/>
    </row>
    <row r="190" spans="1:7" ht="13">
      <c r="A190" s="818"/>
      <c r="B190" s="818"/>
      <c r="C190" s="819"/>
      <c r="D190" s="1737" t="s">
        <v>2267</v>
      </c>
      <c r="E190" s="2004" t="s">
        <v>2268</v>
      </c>
      <c r="F190" s="2004"/>
      <c r="G190" s="820"/>
    </row>
    <row r="191" spans="1:7" ht="13">
      <c r="A191" s="818"/>
      <c r="B191" s="818"/>
      <c r="C191" s="819"/>
      <c r="D191" s="155"/>
      <c r="E191" s="155"/>
      <c r="F191" s="155"/>
      <c r="G191" s="820"/>
    </row>
    <row r="192" spans="1:7" ht="13">
      <c r="A192" s="818"/>
      <c r="B192" s="799" t="s">
        <v>2611</v>
      </c>
      <c r="C192" s="819"/>
      <c r="D192" s="1903" t="s">
        <v>2269</v>
      </c>
      <c r="E192" s="1903"/>
      <c r="F192" s="1903"/>
      <c r="G192" s="820"/>
    </row>
    <row r="193" spans="1:7" ht="13">
      <c r="A193" s="818"/>
      <c r="B193" s="818"/>
      <c r="C193" s="819"/>
      <c r="D193" s="1899" t="s">
        <v>2266</v>
      </c>
      <c r="E193" s="1899"/>
      <c r="F193" s="1899"/>
      <c r="G193" s="820"/>
    </row>
    <row r="194" spans="1:7" ht="13">
      <c r="A194" s="818"/>
      <c r="B194" s="818"/>
      <c r="C194" s="819"/>
      <c r="D194" s="1718" t="s">
        <v>2270</v>
      </c>
      <c r="E194" s="2003" t="s">
        <v>2271</v>
      </c>
      <c r="F194" s="2003"/>
      <c r="G194" s="820"/>
    </row>
    <row r="195" spans="1:7" ht="13">
      <c r="A195" s="818"/>
      <c r="B195" s="818"/>
      <c r="C195" s="819"/>
      <c r="D195" s="155"/>
      <c r="E195" s="155"/>
      <c r="F195" s="155"/>
      <c r="G195" s="820"/>
    </row>
    <row r="196" spans="1:7" ht="13">
      <c r="A196" s="818"/>
      <c r="B196" s="799" t="s">
        <v>2612</v>
      </c>
      <c r="C196" s="819"/>
      <c r="D196" s="1903" t="s">
        <v>2272</v>
      </c>
      <c r="E196" s="1903"/>
      <c r="F196" s="1903"/>
      <c r="G196" s="820"/>
    </row>
    <row r="197" spans="1:7" ht="13">
      <c r="A197" s="818"/>
      <c r="B197" s="818"/>
      <c r="C197" s="819"/>
      <c r="D197" s="1713" t="s">
        <v>2266</v>
      </c>
      <c r="E197" s="155"/>
      <c r="F197" s="155"/>
      <c r="G197" s="820"/>
    </row>
    <row r="198" spans="1:7" ht="13">
      <c r="A198" s="818"/>
      <c r="B198" s="818"/>
      <c r="C198" s="819"/>
      <c r="D198" s="1718" t="s">
        <v>2267</v>
      </c>
      <c r="E198" s="2003" t="s">
        <v>2273</v>
      </c>
      <c r="F198" s="2003"/>
      <c r="G198" s="820"/>
    </row>
    <row r="199" spans="1:7" ht="13">
      <c r="A199" s="818"/>
      <c r="B199" s="818"/>
      <c r="C199" s="819"/>
      <c r="D199" s="1720"/>
      <c r="E199" s="1720"/>
      <c r="F199" s="1720"/>
      <c r="G199" s="820"/>
    </row>
    <row r="200" spans="1:7" ht="13">
      <c r="A200" s="798"/>
      <c r="B200" s="799" t="s">
        <v>2611</v>
      </c>
      <c r="C200" s="819"/>
      <c r="D200" s="1935" t="s">
        <v>2274</v>
      </c>
      <c r="E200" s="1935"/>
      <c r="F200" s="1935"/>
      <c r="G200" s="820"/>
    </row>
    <row r="201" spans="1:7" ht="13">
      <c r="A201" s="798"/>
      <c r="B201" s="798"/>
      <c r="C201" s="819"/>
      <c r="D201" s="1935"/>
      <c r="E201" s="1935"/>
      <c r="F201" s="1935"/>
      <c r="G201" s="820"/>
    </row>
    <row r="202" spans="1:7">
      <c r="A202" s="819"/>
      <c r="B202" s="819"/>
      <c r="C202" s="819"/>
      <c r="D202" s="1935"/>
      <c r="E202" s="1935"/>
      <c r="F202" s="1935"/>
    </row>
    <row r="203" spans="1:7">
      <c r="A203" s="819"/>
      <c r="B203" s="819"/>
      <c r="C203" s="819"/>
      <c r="D203" s="804"/>
      <c r="E203" s="820"/>
      <c r="F203" s="820"/>
    </row>
    <row r="204" spans="1:7">
      <c r="A204" s="819"/>
      <c r="B204" s="799" t="s">
        <v>2611</v>
      </c>
      <c r="C204" s="819"/>
      <c r="D204" s="1903" t="s">
        <v>2275</v>
      </c>
      <c r="E204" s="1903"/>
      <c r="F204" s="1903"/>
    </row>
    <row r="205" spans="1:7">
      <c r="A205" s="819"/>
      <c r="B205" s="819"/>
      <c r="C205" s="819"/>
      <c r="D205" s="1903" t="s">
        <v>2266</v>
      </c>
      <c r="E205" s="1903"/>
      <c r="F205" s="1903"/>
    </row>
    <row r="206" spans="1:7" ht="13">
      <c r="A206" s="819"/>
      <c r="B206" s="819"/>
      <c r="C206" s="819"/>
      <c r="D206" s="1718" t="s">
        <v>2267</v>
      </c>
      <c r="E206" s="2003" t="s">
        <v>2276</v>
      </c>
      <c r="F206" s="2003"/>
    </row>
    <row r="207" spans="1:7">
      <c r="A207" s="819"/>
      <c r="B207" s="819"/>
      <c r="C207" s="819"/>
      <c r="D207" s="780"/>
      <c r="E207" s="780"/>
      <c r="F207" s="780"/>
    </row>
    <row r="208" spans="1:7" s="619" customFormat="1" ht="13">
      <c r="A208" s="798"/>
      <c r="B208" s="799" t="s">
        <v>2611</v>
      </c>
      <c r="C208" s="807"/>
      <c r="D208" s="1935" t="s">
        <v>1433</v>
      </c>
      <c r="E208" s="1935"/>
      <c r="F208" s="1935"/>
      <c r="G208" s="694"/>
    </row>
    <row r="209" spans="1:7" s="619" customFormat="1" ht="14.5" customHeight="1">
      <c r="A209" s="798"/>
      <c r="C209" s="807"/>
      <c r="D209" s="1935"/>
      <c r="E209" s="1935"/>
      <c r="F209" s="1935"/>
      <c r="G209" s="694"/>
    </row>
    <row r="210" spans="1:7" s="619" customFormat="1" ht="13">
      <c r="A210" s="798"/>
      <c r="B210" s="819"/>
      <c r="C210" s="807"/>
      <c r="D210" s="1935"/>
      <c r="E210" s="1935"/>
      <c r="F210" s="1935"/>
      <c r="G210" s="694"/>
    </row>
    <row r="211" spans="1:7" s="619" customFormat="1" ht="13">
      <c r="A211" s="798"/>
      <c r="B211" s="819"/>
      <c r="C211" s="807"/>
      <c r="D211" s="1935"/>
      <c r="E211" s="1935"/>
      <c r="F211" s="1935"/>
      <c r="G211" s="694"/>
    </row>
    <row r="212" spans="1:7">
      <c r="A212" s="819"/>
      <c r="B212" s="819"/>
      <c r="C212" s="819"/>
      <c r="D212" s="780"/>
      <c r="E212" s="780"/>
      <c r="F212" s="780"/>
    </row>
    <row r="213" spans="1:7" ht="13">
      <c r="A213" s="1900" t="s">
        <v>1167</v>
      </c>
      <c r="B213" s="1900"/>
      <c r="C213" s="1900"/>
      <c r="D213" s="1900"/>
      <c r="E213" s="1900"/>
      <c r="F213" s="1900"/>
      <c r="G213" s="1900"/>
    </row>
    <row r="214" spans="1:7" ht="12" customHeight="1">
      <c r="D214" s="801"/>
      <c r="E214" s="801"/>
      <c r="F214" s="801"/>
    </row>
    <row r="215" spans="1:7" ht="13">
      <c r="C215" s="808"/>
      <c r="D215" s="1996" t="s">
        <v>214</v>
      </c>
      <c r="E215" s="1996"/>
      <c r="F215" s="1996"/>
    </row>
    <row r="216" spans="1:7" ht="13">
      <c r="A216" s="794"/>
      <c r="B216" s="794"/>
      <c r="C216" s="794"/>
      <c r="D216" s="1972" t="s">
        <v>1296</v>
      </c>
      <c r="E216" s="1972"/>
      <c r="F216" s="1972"/>
    </row>
    <row r="217" spans="1:7" ht="12" customHeight="1">
      <c r="A217" s="817"/>
      <c r="B217" s="817"/>
      <c r="C217" s="817"/>
    </row>
    <row r="218" spans="1:7" ht="13.75" customHeight="1">
      <c r="A218" s="817"/>
      <c r="C218" s="817"/>
      <c r="D218" s="1890" t="s">
        <v>581</v>
      </c>
      <c r="E218" s="1890"/>
      <c r="F218" s="1890"/>
    </row>
    <row r="219" spans="1:7" ht="13">
      <c r="A219" s="798"/>
      <c r="B219" s="799" t="s">
        <v>2612</v>
      </c>
      <c r="D219" s="1935" t="s">
        <v>2277</v>
      </c>
      <c r="E219" s="1935"/>
      <c r="F219" s="1935"/>
    </row>
    <row r="220" spans="1:7" ht="14.25" customHeight="1">
      <c r="A220" s="798"/>
      <c r="B220" s="798"/>
      <c r="D220" s="1935"/>
      <c r="E220" s="1935"/>
      <c r="F220" s="1935"/>
    </row>
    <row r="221" spans="1:7" ht="14.25" customHeight="1">
      <c r="A221" s="798"/>
      <c r="B221" s="798"/>
      <c r="D221" s="1935"/>
      <c r="E221" s="1935"/>
      <c r="F221" s="1935"/>
    </row>
    <row r="222" spans="1:7" ht="13">
      <c r="A222" s="798"/>
      <c r="B222" s="798"/>
      <c r="D222" s="1935"/>
      <c r="E222" s="1935"/>
      <c r="F222" s="1935"/>
    </row>
    <row r="223" spans="1:7" ht="13">
      <c r="A223" s="798"/>
      <c r="B223" s="798"/>
      <c r="D223" s="1719"/>
      <c r="E223" s="1719"/>
      <c r="F223" s="1719"/>
    </row>
    <row r="224" spans="1:7" ht="13">
      <c r="A224" s="798"/>
      <c r="B224" s="799" t="s">
        <v>2612</v>
      </c>
      <c r="D224" s="1935" t="s">
        <v>2278</v>
      </c>
      <c r="E224" s="1935"/>
      <c r="F224" s="1935"/>
    </row>
    <row r="225" spans="1:6" ht="13">
      <c r="A225" s="798"/>
      <c r="B225" s="798"/>
      <c r="D225" s="1935"/>
      <c r="E225" s="1935"/>
      <c r="F225" s="1935"/>
    </row>
    <row r="226" spans="1:6" ht="13">
      <c r="A226" s="798"/>
      <c r="B226" s="798"/>
      <c r="D226" s="1935"/>
      <c r="E226" s="1935"/>
      <c r="F226" s="1935"/>
    </row>
    <row r="227" spans="1:6" ht="13">
      <c r="A227" s="798"/>
      <c r="B227" s="798"/>
      <c r="D227" s="1935"/>
      <c r="E227" s="1935"/>
      <c r="F227" s="1935"/>
    </row>
    <row r="228" spans="1:6" ht="14.25" customHeight="1">
      <c r="A228" s="798"/>
      <c r="B228" s="798"/>
      <c r="D228" s="1935"/>
      <c r="E228" s="1935"/>
      <c r="F228" s="1935"/>
    </row>
    <row r="229" spans="1:6" ht="14.25" customHeight="1">
      <c r="A229" s="798"/>
      <c r="B229" s="798"/>
      <c r="D229" s="1719"/>
      <c r="E229" s="1719"/>
      <c r="F229" s="1719"/>
    </row>
    <row r="230" spans="1:6" ht="13">
      <c r="A230" s="798"/>
      <c r="B230" s="798"/>
      <c r="D230" s="1935" t="s">
        <v>1292</v>
      </c>
      <c r="E230" s="1935"/>
      <c r="F230" s="1935"/>
    </row>
    <row r="231" spans="1:6" ht="13">
      <c r="A231" s="798"/>
      <c r="B231" s="798"/>
      <c r="D231" s="1935"/>
      <c r="E231" s="1935"/>
      <c r="F231" s="1935"/>
    </row>
    <row r="232" spans="1:6" ht="13">
      <c r="A232" s="798"/>
      <c r="B232" s="798"/>
      <c r="D232" s="1935"/>
      <c r="E232" s="1935"/>
      <c r="F232" s="1935"/>
    </row>
    <row r="233" spans="1:6" ht="13">
      <c r="A233" s="798"/>
      <c r="B233" s="798"/>
      <c r="D233" s="1935"/>
      <c r="E233" s="1935"/>
      <c r="F233" s="1935"/>
    </row>
    <row r="234" spans="1:6" ht="13">
      <c r="A234" s="798"/>
      <c r="B234" s="798"/>
      <c r="D234" s="1935"/>
      <c r="E234" s="1935"/>
      <c r="F234" s="1935"/>
    </row>
    <row r="235" spans="1:6" ht="13">
      <c r="A235" s="798"/>
      <c r="B235" s="798"/>
      <c r="D235" s="801"/>
      <c r="E235" s="801"/>
      <c r="F235" s="801"/>
    </row>
    <row r="236" spans="1:6" ht="13">
      <c r="A236" s="798"/>
      <c r="B236" s="799" t="s">
        <v>2612</v>
      </c>
      <c r="D236" s="1969" t="s">
        <v>2282</v>
      </c>
      <c r="E236" s="1969"/>
      <c r="F236" s="1969"/>
    </row>
    <row r="237" spans="1:6" ht="13">
      <c r="A237" s="798"/>
      <c r="B237" s="798"/>
      <c r="D237" s="1969"/>
      <c r="E237" s="1969"/>
      <c r="F237" s="1969"/>
    </row>
    <row r="238" spans="1:6" ht="13">
      <c r="A238" s="798"/>
      <c r="B238" s="798"/>
      <c r="D238" s="1969"/>
      <c r="E238" s="1969"/>
      <c r="F238" s="1969"/>
    </row>
    <row r="239" spans="1:6" ht="13">
      <c r="A239" s="798"/>
      <c r="B239" s="798"/>
      <c r="D239" s="1970" t="s">
        <v>967</v>
      </c>
      <c r="E239" s="1970"/>
      <c r="F239" s="1970"/>
    </row>
    <row r="240" spans="1:6" ht="13">
      <c r="A240" s="798"/>
      <c r="B240" s="798"/>
      <c r="D240" s="801"/>
      <c r="E240" s="801"/>
      <c r="F240" s="801"/>
    </row>
    <row r="241" spans="1:7" ht="14.5" customHeight="1">
      <c r="A241" s="798"/>
      <c r="B241" s="799" t="s">
        <v>2611</v>
      </c>
      <c r="D241" s="1969" t="s">
        <v>1295</v>
      </c>
      <c r="E241" s="1969"/>
      <c r="F241" s="1969"/>
    </row>
    <row r="242" spans="1:7" ht="13">
      <c r="A242" s="798"/>
      <c r="B242" s="798"/>
      <c r="D242" s="1969"/>
      <c r="E242" s="1969"/>
      <c r="F242" s="1969"/>
    </row>
    <row r="243" spans="1:7" ht="13">
      <c r="A243" s="798"/>
      <c r="B243" s="798"/>
      <c r="D243" s="1969"/>
      <c r="E243" s="1969"/>
      <c r="F243" s="1969"/>
    </row>
    <row r="244" spans="1:7" ht="13">
      <c r="A244" s="798"/>
      <c r="B244" s="798"/>
      <c r="D244" s="1969"/>
      <c r="E244" s="1969"/>
      <c r="F244" s="1969"/>
    </row>
    <row r="245" spans="1:7" ht="13">
      <c r="A245" s="798"/>
      <c r="B245" s="798"/>
      <c r="D245" s="1969"/>
      <c r="E245" s="1969"/>
      <c r="F245" s="1969"/>
    </row>
    <row r="246" spans="1:7" ht="13">
      <c r="A246" s="798"/>
      <c r="B246" s="798"/>
      <c r="D246" s="1731"/>
      <c r="E246" s="1731"/>
      <c r="F246" s="1731"/>
    </row>
    <row r="247" spans="1:7" ht="13">
      <c r="A247" s="798"/>
      <c r="B247" s="799" t="s">
        <v>2612</v>
      </c>
      <c r="D247" s="1730" t="s">
        <v>2279</v>
      </c>
      <c r="E247" s="1731"/>
      <c r="F247" s="1731"/>
    </row>
    <row r="248" spans="1:7" ht="13">
      <c r="A248" s="798"/>
      <c r="B248" s="798"/>
      <c r="D248" s="1730"/>
      <c r="E248" s="1738" t="s">
        <v>2280</v>
      </c>
      <c r="F248" s="1731"/>
    </row>
    <row r="249" spans="1:7">
      <c r="D249" s="801"/>
      <c r="E249" s="801"/>
      <c r="F249" s="801"/>
    </row>
    <row r="250" spans="1:7" ht="13">
      <c r="A250" s="798"/>
      <c r="B250" s="799" t="s">
        <v>2612</v>
      </c>
      <c r="D250" s="1935" t="s">
        <v>1294</v>
      </c>
      <c r="E250" s="1935"/>
      <c r="F250" s="1935"/>
    </row>
    <row r="251" spans="1:7" ht="13">
      <c r="A251" s="798"/>
      <c r="B251" s="798"/>
      <c r="D251" s="1935"/>
      <c r="E251" s="1935"/>
      <c r="F251" s="1935"/>
    </row>
    <row r="252" spans="1:7">
      <c r="D252" s="822"/>
    </row>
    <row r="253" spans="1:7" ht="13">
      <c r="A253" s="1900" t="s">
        <v>1168</v>
      </c>
      <c r="B253" s="1900"/>
      <c r="C253" s="1900"/>
      <c r="D253" s="1900"/>
      <c r="E253" s="1900"/>
      <c r="F253" s="1900"/>
      <c r="G253" s="1900"/>
    </row>
    <row r="254" spans="1:7">
      <c r="D254" s="822"/>
    </row>
    <row r="255" spans="1:7" ht="13">
      <c r="C255" s="808"/>
      <c r="D255" s="1890" t="s">
        <v>1297</v>
      </c>
      <c r="E255" s="1890"/>
      <c r="F255" s="1890"/>
    </row>
    <row r="256" spans="1:7" ht="13">
      <c r="A256" s="794"/>
      <c r="B256" s="794"/>
      <c r="C256" s="794"/>
      <c r="D256" s="801"/>
      <c r="E256" s="801"/>
      <c r="F256" s="801"/>
    </row>
    <row r="257" spans="1:6" ht="13">
      <c r="A257" s="796"/>
      <c r="B257" s="796"/>
      <c r="C257" s="796"/>
      <c r="D257" s="1890" t="s">
        <v>277</v>
      </c>
      <c r="E257" s="1890"/>
      <c r="F257" s="1890"/>
    </row>
    <row r="258" spans="1:6" ht="14.5" customHeight="1">
      <c r="A258" s="798"/>
      <c r="B258" s="799" t="s">
        <v>2612</v>
      </c>
      <c r="D258" s="1989" t="s">
        <v>1408</v>
      </c>
      <c r="E258" s="1989"/>
      <c r="F258" s="1989"/>
    </row>
    <row r="259" spans="1:6">
      <c r="D259" s="1989"/>
      <c r="E259" s="1989"/>
      <c r="F259" s="1989"/>
    </row>
    <row r="260" spans="1:6" ht="13">
      <c r="D260" s="1972" t="s">
        <v>958</v>
      </c>
      <c r="E260" s="1972"/>
      <c r="F260" s="1972"/>
    </row>
    <row r="261" spans="1:6">
      <c r="D261" s="801"/>
      <c r="E261" s="801"/>
      <c r="F261" s="801"/>
    </row>
    <row r="262" spans="1:6" ht="14.5" customHeight="1">
      <c r="A262" s="798"/>
      <c r="B262" s="799" t="s">
        <v>2611</v>
      </c>
      <c r="D262" s="1969" t="s">
        <v>2281</v>
      </c>
      <c r="E262" s="1969"/>
      <c r="F262" s="1969"/>
    </row>
    <row r="263" spans="1:6">
      <c r="D263" s="1969"/>
      <c r="E263" s="1969"/>
      <c r="F263" s="1969"/>
    </row>
    <row r="264" spans="1:6">
      <c r="D264" s="1969"/>
      <c r="E264" s="1969"/>
      <c r="F264" s="1969"/>
    </row>
    <row r="265" spans="1:6">
      <c r="D265" s="1969"/>
      <c r="E265" s="1969"/>
      <c r="F265" s="1969"/>
    </row>
    <row r="266" spans="1:6">
      <c r="D266" s="1969"/>
      <c r="E266" s="1969"/>
      <c r="F266" s="1969"/>
    </row>
    <row r="267" spans="1:6">
      <c r="D267" s="1969"/>
      <c r="E267" s="1969"/>
      <c r="F267" s="1969"/>
    </row>
    <row r="268" spans="1:6">
      <c r="D268" s="801"/>
      <c r="E268" s="801"/>
      <c r="F268" s="801"/>
    </row>
    <row r="269" spans="1:6" ht="13">
      <c r="A269" s="798"/>
      <c r="B269" s="799" t="s">
        <v>2611</v>
      </c>
      <c r="D269" s="1935" t="s">
        <v>1300</v>
      </c>
      <c r="E269" s="1935"/>
      <c r="F269" s="1935"/>
    </row>
    <row r="270" spans="1:6">
      <c r="D270" s="1935"/>
      <c r="E270" s="1935"/>
      <c r="F270" s="1935"/>
    </row>
    <row r="271" spans="1:6">
      <c r="D271" s="1935"/>
      <c r="E271" s="1935"/>
      <c r="F271" s="1935"/>
    </row>
    <row r="272" spans="1:6">
      <c r="D272" s="823"/>
      <c r="E272" s="801"/>
      <c r="F272" s="801"/>
    </row>
    <row r="273" spans="1:7" ht="13">
      <c r="A273" s="1900" t="s">
        <v>1169</v>
      </c>
      <c r="B273" s="1900"/>
      <c r="C273" s="1900"/>
      <c r="D273" s="1900"/>
      <c r="E273" s="1900"/>
      <c r="F273" s="1900"/>
      <c r="G273" s="1900"/>
    </row>
    <row r="274" spans="1:7">
      <c r="D274" s="823"/>
      <c r="E274" s="801"/>
      <c r="F274" s="801"/>
    </row>
    <row r="275" spans="1:7" ht="13">
      <c r="C275" s="794"/>
      <c r="D275" s="1971" t="s">
        <v>1302</v>
      </c>
      <c r="E275" s="1971"/>
      <c r="F275" s="1971"/>
    </row>
    <row r="276" spans="1:7" ht="13">
      <c r="C276" s="794"/>
      <c r="D276" s="1971"/>
      <c r="E276" s="1971"/>
      <c r="F276" s="1971"/>
    </row>
    <row r="277" spans="1:7" ht="13">
      <c r="A277" s="796"/>
      <c r="B277" s="796"/>
      <c r="C277" s="796"/>
      <c r="D277" s="623"/>
      <c r="E277" s="673"/>
      <c r="F277" s="673"/>
    </row>
    <row r="278" spans="1:7" ht="13">
      <c r="C278" s="796"/>
      <c r="D278" s="1890" t="s">
        <v>215</v>
      </c>
      <c r="E278" s="1890"/>
      <c r="F278" s="1890"/>
    </row>
    <row r="279" spans="1:7" ht="15.75" customHeight="1">
      <c r="A279" s="798"/>
      <c r="B279" s="798"/>
      <c r="D279" s="1982" t="s">
        <v>1303</v>
      </c>
      <c r="E279" s="1982"/>
      <c r="F279" s="1982"/>
    </row>
    <row r="280" spans="1:7">
      <c r="E280" s="801"/>
      <c r="F280" s="801"/>
    </row>
    <row r="281" spans="1:7" ht="13">
      <c r="A281" s="798"/>
      <c r="B281" s="799" t="s">
        <v>2611</v>
      </c>
      <c r="D281" s="1935" t="s">
        <v>1304</v>
      </c>
      <c r="E281" s="1935"/>
      <c r="F281" s="1935"/>
    </row>
    <row r="282" spans="1:7" ht="13">
      <c r="A282" s="798"/>
      <c r="B282" s="798"/>
      <c r="D282" s="1935"/>
      <c r="E282" s="1935"/>
      <c r="F282" s="1935"/>
    </row>
    <row r="283" spans="1:7">
      <c r="D283" s="801"/>
      <c r="E283" s="801"/>
      <c r="F283" s="801"/>
    </row>
    <row r="284" spans="1:7" ht="13">
      <c r="A284" s="798"/>
      <c r="B284" s="799" t="s">
        <v>2611</v>
      </c>
      <c r="D284" s="1969" t="s">
        <v>1305</v>
      </c>
      <c r="E284" s="1969"/>
      <c r="F284" s="1969"/>
    </row>
    <row r="285" spans="1:7" ht="13">
      <c r="A285" s="798"/>
      <c r="B285" s="798"/>
      <c r="D285" s="1969"/>
      <c r="E285" s="1969"/>
      <c r="F285" s="1969"/>
    </row>
    <row r="286" spans="1:7" ht="13">
      <c r="A286" s="798"/>
      <c r="B286" s="798"/>
      <c r="D286" s="1969"/>
      <c r="E286" s="1969"/>
      <c r="F286" s="1969"/>
    </row>
    <row r="287" spans="1:7">
      <c r="D287" s="801"/>
      <c r="E287" s="801"/>
      <c r="F287" s="801"/>
    </row>
    <row r="288" spans="1:7" ht="13">
      <c r="A288" s="798"/>
      <c r="B288" s="799" t="s">
        <v>2611</v>
      </c>
      <c r="D288" s="1935" t="s">
        <v>1306</v>
      </c>
      <c r="E288" s="1935"/>
      <c r="F288" s="1935"/>
    </row>
    <row r="289" spans="1:7" ht="13">
      <c r="A289" s="798"/>
      <c r="B289" s="798"/>
      <c r="D289" s="1935"/>
      <c r="E289" s="1935"/>
      <c r="F289" s="1935"/>
    </row>
    <row r="290" spans="1:7" ht="13">
      <c r="A290" s="817"/>
      <c r="B290" s="817"/>
      <c r="E290" s="801"/>
      <c r="F290" s="801"/>
    </row>
    <row r="291" spans="1:7" ht="13">
      <c r="A291" s="1900" t="s">
        <v>1170</v>
      </c>
      <c r="B291" s="1900"/>
      <c r="C291" s="1900"/>
      <c r="D291" s="1900"/>
      <c r="E291" s="1900"/>
      <c r="F291" s="1900"/>
      <c r="G291" s="1900"/>
    </row>
    <row r="292" spans="1:7" ht="13">
      <c r="A292" s="817"/>
      <c r="B292" s="817"/>
      <c r="D292" s="801"/>
      <c r="E292" s="801"/>
      <c r="F292" s="801"/>
    </row>
    <row r="293" spans="1:7" ht="13">
      <c r="C293" s="817"/>
      <c r="D293" s="1890" t="s">
        <v>721</v>
      </c>
      <c r="E293" s="1890"/>
      <c r="F293" s="1890"/>
    </row>
    <row r="294" spans="1:7" ht="13">
      <c r="C294" s="817"/>
      <c r="D294" s="1940" t="s">
        <v>1307</v>
      </c>
      <c r="E294" s="1940"/>
      <c r="F294" s="1940"/>
    </row>
    <row r="295" spans="1:7" ht="13">
      <c r="C295" s="817"/>
      <c r="D295" s="824"/>
    </row>
    <row r="296" spans="1:7">
      <c r="A296" s="802"/>
      <c r="B296" s="799" t="s">
        <v>2611</v>
      </c>
      <c r="D296" s="1940" t="s">
        <v>1308</v>
      </c>
      <c r="E296" s="1940"/>
      <c r="F296" s="1940"/>
    </row>
    <row r="297" spans="1:7" s="792" customFormat="1" ht="13">
      <c r="A297" s="806"/>
      <c r="B297" s="806"/>
      <c r="C297" s="802"/>
      <c r="D297" s="825"/>
      <c r="E297" s="826"/>
      <c r="F297" s="826"/>
      <c r="G297" s="803"/>
    </row>
    <row r="298" spans="1:7" s="792" customFormat="1" ht="13.75" customHeight="1">
      <c r="A298" s="802"/>
      <c r="B298" s="799" t="s">
        <v>2611</v>
      </c>
      <c r="C298" s="802"/>
      <c r="D298" s="1978" t="s">
        <v>1437</v>
      </c>
      <c r="E298" s="1978"/>
      <c r="F298" s="1978"/>
      <c r="G298" s="803"/>
    </row>
    <row r="299" spans="1:7" s="792" customFormat="1" ht="13">
      <c r="A299" s="806"/>
      <c r="B299" s="806"/>
      <c r="C299" s="802"/>
      <c r="D299" s="1978"/>
      <c r="E299" s="1978"/>
      <c r="F299" s="1978"/>
      <c r="G299" s="803"/>
    </row>
    <row r="300" spans="1:7" s="792" customFormat="1" ht="13">
      <c r="A300" s="806"/>
      <c r="B300" s="806"/>
      <c r="C300" s="802"/>
      <c r="D300" s="1978"/>
      <c r="E300" s="1978"/>
      <c r="F300" s="1978"/>
      <c r="G300" s="803"/>
    </row>
    <row r="301" spans="1:7" s="792" customFormat="1" ht="13">
      <c r="A301" s="806"/>
      <c r="B301" s="806"/>
      <c r="C301" s="802"/>
      <c r="D301" s="1978"/>
      <c r="E301" s="1978"/>
      <c r="F301" s="1978"/>
      <c r="G301" s="803"/>
    </row>
    <row r="302" spans="1:7" s="792" customFormat="1" ht="13">
      <c r="A302" s="806"/>
      <c r="B302" s="806"/>
      <c r="C302" s="802"/>
      <c r="D302" s="1978"/>
      <c r="E302" s="1978"/>
      <c r="F302" s="1978"/>
      <c r="G302" s="803"/>
    </row>
    <row r="303" spans="1:7" s="792" customFormat="1" ht="13">
      <c r="A303" s="806"/>
      <c r="B303" s="806"/>
      <c r="C303" s="802"/>
      <c r="D303" s="825"/>
      <c r="E303" s="826"/>
      <c r="F303" s="826"/>
      <c r="G303" s="803"/>
    </row>
    <row r="304" spans="1:7" s="792" customFormat="1" ht="13.75" customHeight="1">
      <c r="A304" s="802"/>
      <c r="B304" s="799" t="s">
        <v>2611</v>
      </c>
      <c r="C304" s="802"/>
      <c r="D304" s="1978" t="s">
        <v>1310</v>
      </c>
      <c r="E304" s="1978"/>
      <c r="F304" s="1978"/>
      <c r="G304" s="803"/>
    </row>
    <row r="305" spans="1:7" s="792" customFormat="1">
      <c r="A305" s="802"/>
      <c r="B305" s="802"/>
      <c r="C305" s="802"/>
      <c r="D305" s="1978"/>
      <c r="E305" s="1978"/>
      <c r="F305" s="1978"/>
      <c r="G305" s="803"/>
    </row>
    <row r="306" spans="1:7" s="792" customFormat="1" ht="13">
      <c r="A306" s="806"/>
      <c r="B306" s="806"/>
      <c r="C306" s="802"/>
      <c r="D306" s="825"/>
      <c r="E306" s="826"/>
      <c r="F306" s="826"/>
      <c r="G306" s="803"/>
    </row>
    <row r="307" spans="1:7">
      <c r="A307" s="802"/>
      <c r="B307" s="799" t="s">
        <v>2611</v>
      </c>
      <c r="D307" s="1940" t="s">
        <v>1311</v>
      </c>
      <c r="E307" s="1940"/>
      <c r="F307" s="1940"/>
    </row>
    <row r="308" spans="1:7">
      <c r="E308" s="801"/>
      <c r="F308" s="801"/>
    </row>
    <row r="309" spans="1:7" ht="13">
      <c r="A309" s="798"/>
      <c r="B309" s="799" t="s">
        <v>2611</v>
      </c>
      <c r="D309" s="1969" t="s">
        <v>1465</v>
      </c>
      <c r="E309" s="1969"/>
      <c r="F309" s="1969"/>
    </row>
    <row r="310" spans="1:7" ht="13">
      <c r="A310" s="798"/>
      <c r="B310" s="798"/>
      <c r="D310" s="1969"/>
      <c r="E310" s="1969"/>
      <c r="F310" s="1969"/>
    </row>
    <row r="311" spans="1:7" ht="13">
      <c r="A311" s="798"/>
      <c r="B311" s="798"/>
      <c r="D311" s="1969"/>
      <c r="E311" s="1969"/>
      <c r="F311" s="1969"/>
    </row>
    <row r="312" spans="1:7" ht="13">
      <c r="A312" s="798"/>
      <c r="B312" s="798"/>
      <c r="D312" s="1969"/>
      <c r="E312" s="1969"/>
      <c r="F312" s="1969"/>
    </row>
    <row r="313" spans="1:7" ht="13">
      <c r="A313" s="798"/>
      <c r="B313" s="798"/>
      <c r="D313" s="1969"/>
      <c r="E313" s="1969"/>
      <c r="F313" s="1969"/>
    </row>
    <row r="314" spans="1:7" ht="13">
      <c r="A314" s="798"/>
      <c r="B314" s="798"/>
      <c r="D314" s="1969"/>
      <c r="E314" s="1969"/>
      <c r="F314" s="1969"/>
    </row>
    <row r="315" spans="1:7" ht="13">
      <c r="A315" s="798"/>
      <c r="B315" s="798"/>
      <c r="D315" s="1969"/>
      <c r="E315" s="1969"/>
      <c r="F315" s="1969"/>
    </row>
    <row r="316" spans="1:7" ht="13">
      <c r="A316" s="798"/>
      <c r="B316" s="798"/>
      <c r="D316" s="1969"/>
      <c r="E316" s="1969"/>
      <c r="F316" s="1969"/>
    </row>
    <row r="317" spans="1:7" ht="13">
      <c r="A317" s="798"/>
      <c r="B317" s="798"/>
      <c r="D317" s="1969"/>
      <c r="E317" s="1969"/>
      <c r="F317" s="1969"/>
    </row>
    <row r="318" spans="1:7" ht="13">
      <c r="A318" s="798"/>
      <c r="B318" s="798"/>
      <c r="D318" s="1969"/>
      <c r="E318" s="1969"/>
      <c r="F318" s="1969"/>
    </row>
    <row r="319" spans="1:7" ht="13">
      <c r="A319" s="798"/>
      <c r="B319" s="798"/>
      <c r="D319" s="1969"/>
      <c r="E319" s="1969"/>
      <c r="F319" s="1969"/>
    </row>
    <row r="320" spans="1:7" ht="13">
      <c r="A320" s="798"/>
      <c r="B320" s="798"/>
      <c r="D320" s="1969"/>
      <c r="E320" s="1969"/>
      <c r="F320" s="1969"/>
    </row>
    <row r="321" spans="1:7" ht="13">
      <c r="A321" s="798"/>
      <c r="B321" s="798"/>
      <c r="D321" s="1969"/>
      <c r="E321" s="1969"/>
      <c r="F321" s="1969"/>
    </row>
    <row r="322" spans="1:7" ht="13">
      <c r="A322" s="798"/>
      <c r="B322" s="798"/>
      <c r="D322" s="1969"/>
      <c r="E322" s="1969"/>
      <c r="F322" s="1969"/>
    </row>
    <row r="323" spans="1:7" ht="13">
      <c r="A323" s="798"/>
      <c r="B323" s="798"/>
      <c r="D323" s="1969"/>
      <c r="E323" s="1969"/>
      <c r="F323" s="1969"/>
    </row>
    <row r="324" spans="1:7">
      <c r="D324" s="801"/>
      <c r="E324" s="801"/>
      <c r="F324" s="801"/>
    </row>
    <row r="325" spans="1:7" ht="13">
      <c r="A325" s="798"/>
      <c r="B325" s="799" t="s">
        <v>2611</v>
      </c>
      <c r="D325" s="1969" t="s">
        <v>1313</v>
      </c>
      <c r="E325" s="1969"/>
      <c r="F325" s="1969"/>
    </row>
    <row r="326" spans="1:7">
      <c r="D326" s="1969"/>
      <c r="E326" s="1969"/>
      <c r="F326" s="1969"/>
    </row>
    <row r="327" spans="1:7">
      <c r="D327" s="1969"/>
      <c r="E327" s="1969"/>
      <c r="F327" s="1969"/>
    </row>
    <row r="328" spans="1:7">
      <c r="D328" s="1969"/>
      <c r="E328" s="1969"/>
      <c r="F328" s="1969"/>
    </row>
    <row r="329" spans="1:7">
      <c r="D329" s="1969"/>
      <c r="E329" s="1969"/>
      <c r="F329" s="1969"/>
    </row>
    <row r="330" spans="1:7">
      <c r="D330" s="1969"/>
      <c r="E330" s="1969"/>
      <c r="F330" s="1969"/>
    </row>
    <row r="331" spans="1:7">
      <c r="D331" s="1969"/>
      <c r="E331" s="1969"/>
      <c r="F331" s="1969"/>
    </row>
    <row r="332" spans="1:7">
      <c r="D332" s="1969"/>
      <c r="E332" s="1969"/>
      <c r="F332" s="1969"/>
    </row>
    <row r="333" spans="1:7">
      <c r="D333" s="1969"/>
      <c r="E333" s="1969"/>
      <c r="F333" s="1969"/>
    </row>
    <row r="334" spans="1:7">
      <c r="D334" s="801"/>
      <c r="E334" s="801"/>
      <c r="F334" s="801"/>
    </row>
    <row r="335" spans="1:7" ht="13">
      <c r="A335" s="798"/>
      <c r="B335" s="799" t="s">
        <v>2611</v>
      </c>
      <c r="D335" s="1935" t="s">
        <v>1515</v>
      </c>
      <c r="E335" s="1935"/>
      <c r="F335" s="1935"/>
    </row>
    <row r="336" spans="1:7">
      <c r="D336" s="1935"/>
      <c r="E336" s="1935"/>
      <c r="F336" s="1935"/>
      <c r="G336" s="791"/>
    </row>
    <row r="337" spans="1:9">
      <c r="D337" s="1935"/>
      <c r="E337" s="1935"/>
      <c r="F337" s="1935"/>
      <c r="G337" s="791"/>
    </row>
    <row r="338" spans="1:9">
      <c r="D338" s="1935"/>
      <c r="E338" s="1935"/>
      <c r="F338" s="1935"/>
      <c r="G338" s="791"/>
    </row>
    <row r="339" spans="1:9">
      <c r="D339" s="1935"/>
      <c r="E339" s="1935"/>
      <c r="F339" s="1935"/>
      <c r="G339" s="791"/>
    </row>
    <row r="340" spans="1:9">
      <c r="D340" s="1935"/>
      <c r="E340" s="1935"/>
      <c r="F340" s="1935"/>
      <c r="G340" s="791"/>
    </row>
    <row r="341" spans="1:9">
      <c r="D341" s="785"/>
      <c r="E341" s="785"/>
      <c r="F341" s="785"/>
      <c r="G341" s="791"/>
    </row>
    <row r="342" spans="1:9" ht="13.5" thickBot="1">
      <c r="D342" s="1988" t="s">
        <v>1063</v>
      </c>
      <c r="E342" s="1988"/>
      <c r="F342" s="1988"/>
      <c r="G342" s="791"/>
    </row>
    <row r="343" spans="1:9" ht="13" thickTop="1">
      <c r="D343" s="1979" t="s">
        <v>1315</v>
      </c>
      <c r="E343" s="1979"/>
      <c r="F343" s="1979"/>
      <c r="G343" s="791"/>
    </row>
    <row r="344" spans="1:9">
      <c r="A344" s="815"/>
      <c r="B344" s="815"/>
      <c r="C344" s="815"/>
      <c r="D344" s="787"/>
      <c r="E344" s="787"/>
      <c r="F344" s="801"/>
      <c r="G344" s="791"/>
    </row>
    <row r="345" spans="1:9" ht="13">
      <c r="A345" s="798"/>
      <c r="B345" s="799" t="s">
        <v>2611</v>
      </c>
      <c r="C345" s="815"/>
      <c r="D345" s="1947" t="s">
        <v>1316</v>
      </c>
      <c r="E345" s="1947"/>
      <c r="F345" s="1947"/>
      <c r="G345" s="791"/>
    </row>
    <row r="346" spans="1:9">
      <c r="A346" s="815"/>
      <c r="B346" s="815"/>
      <c r="C346" s="815"/>
      <c r="D346" s="787"/>
      <c r="E346" s="787"/>
      <c r="F346" s="801"/>
      <c r="G346" s="791"/>
    </row>
    <row r="347" spans="1:9">
      <c r="A347" s="815"/>
      <c r="B347" s="799" t="s">
        <v>2611</v>
      </c>
      <c r="C347" s="815"/>
      <c r="D347" s="1931" t="s">
        <v>1440</v>
      </c>
      <c r="E347" s="1931"/>
      <c r="F347" s="1931"/>
      <c r="G347" s="791"/>
    </row>
    <row r="348" spans="1:9">
      <c r="A348" s="815"/>
      <c r="B348" s="815"/>
      <c r="C348" s="815"/>
      <c r="D348" s="1931"/>
      <c r="E348" s="1931"/>
      <c r="F348" s="1931"/>
      <c r="G348" s="791"/>
    </row>
    <row r="349" spans="1:9">
      <c r="A349" s="815"/>
      <c r="B349" s="815"/>
      <c r="C349" s="815"/>
      <c r="D349" s="1931"/>
      <c r="E349" s="1931"/>
      <c r="F349" s="1931"/>
      <c r="G349" s="791"/>
    </row>
    <row r="350" spans="1:9">
      <c r="A350" s="815"/>
      <c r="B350" s="815"/>
      <c r="C350" s="815"/>
      <c r="D350" s="1931"/>
      <c r="E350" s="1931"/>
      <c r="F350" s="1931"/>
      <c r="G350" s="791"/>
    </row>
    <row r="351" spans="1:9">
      <c r="A351" s="815"/>
      <c r="B351" s="815"/>
      <c r="C351" s="815"/>
      <c r="D351" s="1931"/>
      <c r="E351" s="1931"/>
      <c r="F351" s="1931"/>
      <c r="G351" s="791"/>
      <c r="I351" s="1790"/>
    </row>
    <row r="352" spans="1:9">
      <c r="A352" s="815"/>
      <c r="B352" s="815"/>
      <c r="C352" s="815"/>
      <c r="D352" s="1931"/>
      <c r="E352" s="1931"/>
      <c r="F352" s="1931"/>
      <c r="G352" s="791"/>
      <c r="I352" s="1790"/>
    </row>
    <row r="353" spans="1:9">
      <c r="A353" s="815"/>
      <c r="B353" s="815"/>
      <c r="C353" s="815"/>
      <c r="D353" s="1931"/>
      <c r="E353" s="1931"/>
      <c r="F353" s="1931"/>
      <c r="G353" s="791"/>
      <c r="I353" s="1790"/>
    </row>
    <row r="354" spans="1:9">
      <c r="A354" s="815"/>
      <c r="B354" s="815"/>
      <c r="C354" s="815"/>
      <c r="D354" s="1931"/>
      <c r="E354" s="1931"/>
      <c r="F354" s="1931"/>
      <c r="G354" s="791"/>
      <c r="I354" s="1790"/>
    </row>
    <row r="355" spans="1:9">
      <c r="A355" s="815"/>
      <c r="B355" s="815"/>
      <c r="C355" s="815"/>
      <c r="D355" s="1931"/>
      <c r="E355" s="1931"/>
      <c r="F355" s="1931"/>
      <c r="G355" s="791"/>
      <c r="I355" s="1790"/>
    </row>
    <row r="356" spans="1:9">
      <c r="A356" s="815"/>
      <c r="B356" s="815"/>
      <c r="C356" s="815"/>
      <c r="D356" s="1931"/>
      <c r="E356" s="1931"/>
      <c r="F356" s="1931"/>
      <c r="G356" s="791"/>
      <c r="I356" s="1790"/>
    </row>
    <row r="357" spans="1:9">
      <c r="A357" s="815"/>
      <c r="B357" s="815"/>
      <c r="C357" s="815"/>
      <c r="D357" s="1931"/>
      <c r="E357" s="1931"/>
      <c r="F357" s="1931"/>
      <c r="G357" s="791"/>
    </row>
    <row r="358" spans="1:9">
      <c r="A358" s="815"/>
      <c r="B358" s="815"/>
      <c r="C358" s="815"/>
      <c r="D358" s="1931"/>
      <c r="E358" s="1931"/>
      <c r="F358" s="1931"/>
      <c r="G358" s="791"/>
    </row>
    <row r="359" spans="1:9" s="1790" customFormat="1">
      <c r="A359" s="1795"/>
      <c r="B359" s="1795"/>
      <c r="C359" s="1795"/>
      <c r="D359" s="1797"/>
      <c r="E359" s="1797"/>
      <c r="F359" s="1797"/>
    </row>
    <row r="360" spans="1:9" ht="12.5" customHeight="1">
      <c r="A360" s="815"/>
      <c r="B360" s="799" t="s">
        <v>2611</v>
      </c>
      <c r="C360" s="815"/>
      <c r="D360" s="1973" t="s">
        <v>1441</v>
      </c>
      <c r="E360" s="1973"/>
      <c r="F360" s="1973"/>
      <c r="G360" s="791"/>
    </row>
    <row r="361" spans="1:9">
      <c r="A361" s="815"/>
      <c r="B361" s="815"/>
      <c r="C361" s="815"/>
      <c r="D361" s="1973"/>
      <c r="E361" s="1973"/>
      <c r="F361" s="1973"/>
      <c r="G361" s="791"/>
    </row>
    <row r="362" spans="1:9">
      <c r="A362" s="815"/>
      <c r="B362" s="815"/>
      <c r="C362" s="815"/>
      <c r="D362" s="1973"/>
      <c r="E362" s="1973"/>
      <c r="F362" s="1973"/>
      <c r="G362" s="791"/>
    </row>
    <row r="363" spans="1:9">
      <c r="A363" s="815"/>
      <c r="B363" s="815"/>
      <c r="C363" s="815"/>
      <c r="D363" s="1973"/>
      <c r="E363" s="1973"/>
      <c r="F363" s="1973"/>
      <c r="G363" s="791"/>
    </row>
    <row r="364" spans="1:9" s="1790" customFormat="1">
      <c r="A364" s="1795"/>
      <c r="B364" s="1795"/>
      <c r="C364" s="1795"/>
      <c r="D364" s="1796"/>
      <c r="E364" s="1796"/>
      <c r="F364" s="1796"/>
    </row>
    <row r="365" spans="1:9" s="1790" customFormat="1">
      <c r="A365" s="1795"/>
      <c r="B365" s="1793" t="s">
        <v>2611</v>
      </c>
      <c r="C365" s="1795"/>
      <c r="D365" s="1790" t="s">
        <v>2422</v>
      </c>
      <c r="E365" s="1796"/>
      <c r="F365" s="1796"/>
    </row>
    <row r="366" spans="1:9" s="1790" customFormat="1">
      <c r="A366" s="1795"/>
      <c r="B366" s="1795"/>
      <c r="C366" s="1795"/>
      <c r="D366" s="1790" t="s">
        <v>2423</v>
      </c>
      <c r="E366" s="1796"/>
      <c r="F366" s="1796"/>
    </row>
    <row r="367" spans="1:9" s="1790" customFormat="1">
      <c r="A367" s="1795"/>
      <c r="B367" s="1795"/>
      <c r="C367" s="1795"/>
      <c r="D367" s="1790" t="s">
        <v>2424</v>
      </c>
      <c r="E367" s="1796"/>
      <c r="F367" s="1796"/>
    </row>
    <row r="368" spans="1:9" s="1790" customFormat="1">
      <c r="A368" s="1795"/>
      <c r="B368" s="1795"/>
      <c r="C368" s="1795"/>
      <c r="D368" s="1790" t="s">
        <v>2425</v>
      </c>
      <c r="E368" s="1796"/>
      <c r="F368" s="1796"/>
    </row>
    <row r="369" spans="1:7" s="1790" customFormat="1">
      <c r="A369" s="1795"/>
      <c r="B369" s="1795"/>
      <c r="C369" s="1795"/>
      <c r="D369" s="1790" t="s">
        <v>2426</v>
      </c>
      <c r="E369" s="1796"/>
      <c r="F369" s="1796"/>
    </row>
    <row r="370" spans="1:7" s="1790" customFormat="1">
      <c r="A370" s="1795"/>
      <c r="B370" s="1795"/>
      <c r="C370" s="1795"/>
      <c r="D370" s="1790" t="s">
        <v>2427</v>
      </c>
      <c r="E370" s="1796"/>
      <c r="F370" s="1796"/>
    </row>
    <row r="371" spans="1:7">
      <c r="A371" s="815"/>
      <c r="B371" s="815"/>
      <c r="C371" s="815"/>
      <c r="D371" s="791"/>
      <c r="E371" s="787"/>
      <c r="F371" s="801"/>
      <c r="G371" s="791"/>
    </row>
    <row r="372" spans="1:7" ht="13">
      <c r="A372" s="798"/>
      <c r="B372" s="799" t="s">
        <v>2611</v>
      </c>
      <c r="C372" s="815"/>
      <c r="D372" s="1950" t="s">
        <v>1318</v>
      </c>
      <c r="E372" s="1950"/>
      <c r="F372" s="1950"/>
      <c r="G372" s="791"/>
    </row>
    <row r="373" spans="1:7">
      <c r="A373" s="815"/>
      <c r="B373" s="815"/>
      <c r="C373" s="815"/>
      <c r="D373" s="1950"/>
      <c r="E373" s="1950"/>
      <c r="F373" s="1950"/>
      <c r="G373" s="791"/>
    </row>
    <row r="374" spans="1:7">
      <c r="A374" s="815"/>
      <c r="B374" s="815"/>
      <c r="C374" s="815"/>
      <c r="D374" s="1950"/>
      <c r="E374" s="1950"/>
      <c r="F374" s="1950"/>
      <c r="G374" s="791"/>
    </row>
    <row r="375" spans="1:7">
      <c r="A375" s="815"/>
      <c r="B375" s="815"/>
      <c r="C375" s="815"/>
      <c r="D375" s="1950"/>
      <c r="E375" s="1950"/>
      <c r="F375" s="1950"/>
      <c r="G375" s="791"/>
    </row>
    <row r="376" spans="1:7">
      <c r="A376" s="815"/>
      <c r="B376" s="815"/>
      <c r="C376" s="815"/>
      <c r="D376" s="827"/>
      <c r="E376" s="787"/>
      <c r="F376" s="801"/>
      <c r="G376" s="791"/>
    </row>
    <row r="377" spans="1:7">
      <c r="A377" s="815"/>
      <c r="B377" s="815"/>
      <c r="C377" s="815"/>
      <c r="D377" s="1950" t="s">
        <v>1319</v>
      </c>
      <c r="E377" s="1950"/>
      <c r="F377" s="1950"/>
      <c r="G377" s="791"/>
    </row>
    <row r="378" spans="1:7">
      <c r="A378" s="815"/>
      <c r="B378" s="815"/>
      <c r="C378" s="815"/>
      <c r="D378" s="1950"/>
      <c r="E378" s="1950"/>
      <c r="F378" s="1950"/>
      <c r="G378" s="791"/>
    </row>
    <row r="379" spans="1:7">
      <c r="A379" s="815"/>
      <c r="B379" s="815"/>
      <c r="C379" s="815"/>
      <c r="D379" s="1950"/>
      <c r="E379" s="1950"/>
      <c r="F379" s="1950"/>
      <c r="G379" s="791"/>
    </row>
    <row r="380" spans="1:7">
      <c r="A380" s="815"/>
      <c r="B380" s="815"/>
      <c r="C380" s="815"/>
      <c r="D380" s="1950"/>
      <c r="E380" s="1950"/>
      <c r="F380" s="1950"/>
      <c r="G380" s="791"/>
    </row>
    <row r="381" spans="1:7" ht="18" customHeight="1">
      <c r="A381" s="815"/>
      <c r="B381" s="815"/>
      <c r="C381" s="815"/>
      <c r="D381" s="1950"/>
      <c r="E381" s="1950"/>
      <c r="F381" s="1950"/>
      <c r="G381" s="791"/>
    </row>
    <row r="382" spans="1:7">
      <c r="A382" s="815"/>
      <c r="B382" s="815"/>
      <c r="C382" s="815"/>
      <c r="D382" s="1950"/>
      <c r="E382" s="1950"/>
      <c r="F382" s="1950"/>
      <c r="G382" s="791"/>
    </row>
    <row r="383" spans="1:7">
      <c r="A383" s="815"/>
      <c r="B383" s="815"/>
      <c r="C383" s="815"/>
      <c r="D383" s="1950"/>
      <c r="E383" s="1950"/>
      <c r="F383" s="1950"/>
      <c r="G383" s="791"/>
    </row>
    <row r="384" spans="1:7">
      <c r="A384" s="815"/>
      <c r="B384" s="815"/>
      <c r="C384" s="815"/>
      <c r="D384" s="1950"/>
      <c r="E384" s="1950"/>
      <c r="F384" s="1950"/>
      <c r="G384" s="791"/>
    </row>
    <row r="385" spans="1:7" ht="8.25" customHeight="1">
      <c r="A385" s="815"/>
      <c r="B385" s="815"/>
      <c r="C385" s="815"/>
      <c r="D385" s="1950"/>
      <c r="E385" s="1950"/>
      <c r="F385" s="1950"/>
      <c r="G385" s="791"/>
    </row>
    <row r="386" spans="1:7" ht="13.75" customHeight="1">
      <c r="A386" s="815"/>
      <c r="B386" s="815"/>
      <c r="C386" s="815"/>
      <c r="D386" s="1943" t="s">
        <v>1320</v>
      </c>
      <c r="E386" s="1943"/>
      <c r="F386" s="1943"/>
      <c r="G386" s="791"/>
    </row>
    <row r="387" spans="1:7">
      <c r="A387" s="815"/>
      <c r="B387" s="815"/>
      <c r="C387" s="815"/>
      <c r="D387" s="1943"/>
      <c r="E387" s="1943"/>
      <c r="F387" s="1943"/>
      <c r="G387" s="791"/>
    </row>
    <row r="388" spans="1:7">
      <c r="A388" s="815"/>
      <c r="B388" s="815"/>
      <c r="C388" s="815"/>
      <c r="D388" s="1943"/>
      <c r="E388" s="1943"/>
      <c r="F388" s="1943"/>
      <c r="G388" s="791"/>
    </row>
    <row r="389" spans="1:7">
      <c r="A389" s="815"/>
      <c r="B389" s="815"/>
      <c r="C389" s="815"/>
      <c r="D389" s="1943"/>
      <c r="E389" s="1943"/>
      <c r="F389" s="1943"/>
      <c r="G389" s="791"/>
    </row>
    <row r="390" spans="1:7">
      <c r="A390" s="815"/>
      <c r="B390" s="815"/>
      <c r="C390" s="815"/>
      <c r="D390" s="1943"/>
      <c r="E390" s="1943"/>
      <c r="F390" s="1943"/>
      <c r="G390" s="791"/>
    </row>
    <row r="391" spans="1:7">
      <c r="A391" s="815"/>
      <c r="B391" s="815"/>
      <c r="C391" s="815"/>
      <c r="D391" s="1943"/>
      <c r="E391" s="1943"/>
      <c r="F391" s="1943"/>
      <c r="G391" s="791"/>
    </row>
    <row r="392" spans="1:7">
      <c r="A392" s="815"/>
      <c r="B392" s="815"/>
      <c r="C392" s="815"/>
      <c r="D392" s="1943"/>
      <c r="E392" s="1943"/>
      <c r="F392" s="1943"/>
      <c r="G392" s="791"/>
    </row>
    <row r="393" spans="1:7">
      <c r="A393" s="815"/>
      <c r="B393" s="815"/>
      <c r="C393" s="815"/>
      <c r="D393" s="1943"/>
      <c r="E393" s="1943"/>
      <c r="F393" s="1943"/>
      <c r="G393" s="791"/>
    </row>
    <row r="394" spans="1:7">
      <c r="A394" s="815"/>
      <c r="B394" s="815"/>
      <c r="C394" s="815"/>
      <c r="D394" s="1943"/>
      <c r="E394" s="1943"/>
      <c r="F394" s="1943"/>
      <c r="G394" s="791"/>
    </row>
    <row r="395" spans="1:7">
      <c r="A395" s="815"/>
      <c r="B395" s="815"/>
      <c r="C395" s="815"/>
      <c r="D395" s="1943"/>
      <c r="E395" s="1943"/>
      <c r="F395" s="1943"/>
      <c r="G395" s="791"/>
    </row>
    <row r="396" spans="1:7">
      <c r="A396" s="815"/>
      <c r="B396" s="815"/>
      <c r="C396" s="815"/>
      <c r="D396" s="1943"/>
      <c r="E396" s="1943"/>
      <c r="F396" s="1943"/>
      <c r="G396" s="791"/>
    </row>
    <row r="397" spans="1:7">
      <c r="A397" s="815"/>
      <c r="B397" s="815"/>
      <c r="C397" s="815"/>
      <c r="D397" s="1943"/>
      <c r="E397" s="1943"/>
      <c r="F397" s="1943"/>
      <c r="G397" s="791"/>
    </row>
    <row r="398" spans="1:7">
      <c r="A398" s="815"/>
      <c r="B398" s="815"/>
      <c r="C398" s="828"/>
      <c r="D398" s="1943"/>
      <c r="E398" s="1943"/>
      <c r="F398" s="1943"/>
      <c r="G398" s="791"/>
    </row>
    <row r="399" spans="1:7">
      <c r="A399" s="815"/>
      <c r="B399" s="815"/>
      <c r="C399" s="828"/>
      <c r="D399" s="1943"/>
      <c r="E399" s="1943"/>
      <c r="F399" s="1943"/>
      <c r="G399" s="791"/>
    </row>
    <row r="400" spans="1:7">
      <c r="A400" s="815"/>
      <c r="B400" s="815"/>
      <c r="C400" s="815"/>
      <c r="D400" s="1943"/>
      <c r="E400" s="1943"/>
      <c r="F400" s="1943"/>
      <c r="G400" s="791"/>
    </row>
    <row r="401" spans="1:7">
      <c r="A401" s="815"/>
      <c r="B401" s="815"/>
      <c r="C401" s="828"/>
      <c r="D401" s="1943"/>
      <c r="E401" s="1943"/>
      <c r="F401" s="1943"/>
      <c r="G401" s="791"/>
    </row>
    <row r="402" spans="1:7">
      <c r="A402" s="815"/>
      <c r="B402" s="815"/>
      <c r="C402" s="828"/>
      <c r="D402" s="1943"/>
      <c r="E402" s="1943"/>
      <c r="F402" s="1943"/>
      <c r="G402" s="791"/>
    </row>
    <row r="403" spans="1:7">
      <c r="A403" s="815"/>
      <c r="B403" s="815"/>
      <c r="C403" s="828"/>
      <c r="D403" s="1943"/>
      <c r="E403" s="1943"/>
      <c r="F403" s="1943"/>
      <c r="G403" s="791"/>
    </row>
    <row r="404" spans="1:7">
      <c r="A404" s="815"/>
      <c r="B404" s="815"/>
      <c r="C404" s="815"/>
      <c r="D404" s="827"/>
      <c r="E404" s="787"/>
      <c r="F404" s="801"/>
      <c r="G404" s="791"/>
    </row>
    <row r="405" spans="1:7">
      <c r="A405" s="815"/>
      <c r="B405" s="799" t="s">
        <v>2611</v>
      </c>
      <c r="C405" s="815"/>
      <c r="D405" s="1943" t="s">
        <v>1321</v>
      </c>
      <c r="E405" s="1943"/>
      <c r="F405" s="1943"/>
      <c r="G405" s="791"/>
    </row>
    <row r="406" spans="1:7">
      <c r="A406" s="815"/>
      <c r="B406" s="815"/>
      <c r="C406" s="815"/>
      <c r="D406" s="1943"/>
      <c r="E406" s="1943"/>
      <c r="F406" s="1943"/>
      <c r="G406" s="791"/>
    </row>
    <row r="407" spans="1:7">
      <c r="A407" s="815"/>
      <c r="B407" s="815"/>
      <c r="C407" s="815"/>
      <c r="D407" s="905"/>
      <c r="E407" s="905"/>
      <c r="F407" s="905"/>
      <c r="G407" s="791"/>
    </row>
    <row r="408" spans="1:7" ht="14.5" customHeight="1">
      <c r="A408" s="798"/>
      <c r="B408" s="799" t="s">
        <v>2611</v>
      </c>
      <c r="D408" s="1943" t="s">
        <v>1537</v>
      </c>
      <c r="E408" s="1943"/>
      <c r="F408" s="1943"/>
    </row>
    <row r="409" spans="1:7" ht="14.5" customHeight="1">
      <c r="A409" s="798"/>
      <c r="D409" s="1943"/>
      <c r="E409" s="1943"/>
      <c r="F409" s="1943"/>
    </row>
    <row r="410" spans="1:7" ht="14.5" customHeight="1">
      <c r="A410" s="798"/>
      <c r="D410" s="1943"/>
      <c r="E410" s="1943"/>
      <c r="F410" s="1943"/>
    </row>
    <row r="411" spans="1:7" ht="14.5" customHeight="1">
      <c r="A411" s="798"/>
      <c r="D411" s="1943"/>
      <c r="E411" s="1943"/>
      <c r="F411" s="1943"/>
    </row>
    <row r="412" spans="1:7" ht="14.5" customHeight="1">
      <c r="A412" s="798"/>
      <c r="D412" s="1943"/>
      <c r="E412" s="1943"/>
      <c r="F412" s="1943"/>
    </row>
    <row r="413" spans="1:7" ht="14.5" customHeight="1">
      <c r="A413" s="798"/>
      <c r="D413" s="880"/>
      <c r="E413" s="880"/>
      <c r="F413" s="880"/>
    </row>
    <row r="414" spans="1:7" ht="13.75" customHeight="1">
      <c r="A414" s="798"/>
      <c r="B414" s="799" t="s">
        <v>2611</v>
      </c>
      <c r="C414" s="815"/>
      <c r="D414" s="1931" t="s">
        <v>1466</v>
      </c>
      <c r="E414" s="1931"/>
      <c r="F414" s="1931"/>
      <c r="G414" s="791"/>
    </row>
    <row r="415" spans="1:7" ht="13">
      <c r="A415" s="829"/>
      <c r="B415" s="829"/>
      <c r="C415" s="815"/>
      <c r="D415" s="1931"/>
      <c r="E415" s="1931"/>
      <c r="F415" s="1931"/>
      <c r="G415" s="791"/>
    </row>
    <row r="416" spans="1:7" ht="13">
      <c r="A416" s="829"/>
      <c r="B416" s="829"/>
      <c r="C416" s="815"/>
      <c r="D416" s="1931"/>
      <c r="E416" s="1931"/>
      <c r="F416" s="1931"/>
      <c r="G416" s="791"/>
    </row>
    <row r="417" spans="1:7" ht="13">
      <c r="A417" s="829"/>
      <c r="B417" s="829"/>
      <c r="C417" s="815"/>
      <c r="D417" s="1931"/>
      <c r="E417" s="1931"/>
      <c r="F417" s="1931"/>
      <c r="G417" s="791"/>
    </row>
    <row r="418" spans="1:7" ht="15.75" customHeight="1">
      <c r="A418" s="829"/>
      <c r="B418" s="829"/>
      <c r="C418" s="815"/>
      <c r="D418" s="1980" t="s">
        <v>1516</v>
      </c>
      <c r="E418" s="1931"/>
      <c r="F418" s="1931"/>
      <c r="G418" s="791"/>
    </row>
    <row r="419" spans="1:7">
      <c r="D419" s="801"/>
      <c r="E419" s="801"/>
      <c r="F419" s="801"/>
      <c r="G419" s="791"/>
    </row>
    <row r="420" spans="1:7" ht="13">
      <c r="A420" s="798"/>
      <c r="B420" s="799" t="s">
        <v>2611</v>
      </c>
      <c r="C420" s="830"/>
      <c r="D420" s="1935" t="s">
        <v>1323</v>
      </c>
      <c r="E420" s="1935"/>
      <c r="F420" s="1935"/>
      <c r="G420" s="791"/>
    </row>
    <row r="421" spans="1:7" ht="13">
      <c r="A421" s="798"/>
      <c r="B421" s="798"/>
      <c r="D421" s="1935"/>
      <c r="E421" s="1935"/>
      <c r="F421" s="1935"/>
      <c r="G421" s="791"/>
    </row>
    <row r="422" spans="1:7">
      <c r="D422" s="1935"/>
      <c r="E422" s="1935"/>
      <c r="F422" s="1935"/>
      <c r="G422" s="791"/>
    </row>
    <row r="423" spans="1:7">
      <c r="D423" s="1935"/>
      <c r="E423" s="1935"/>
      <c r="F423" s="1935"/>
      <c r="G423" s="791"/>
    </row>
    <row r="424" spans="1:7">
      <c r="D424" s="1935"/>
      <c r="E424" s="1935"/>
      <c r="F424" s="1935"/>
      <c r="G424" s="791"/>
    </row>
    <row r="425" spans="1:7">
      <c r="D425" s="1935"/>
      <c r="E425" s="1935"/>
      <c r="F425" s="1935"/>
      <c r="G425" s="791"/>
    </row>
    <row r="426" spans="1:7">
      <c r="D426" s="1935"/>
      <c r="E426" s="1935"/>
      <c r="F426" s="1935"/>
      <c r="G426" s="791"/>
    </row>
    <row r="427" spans="1:7">
      <c r="D427" s="1935"/>
      <c r="E427" s="1935"/>
      <c r="F427" s="1935"/>
      <c r="G427" s="791"/>
    </row>
    <row r="428" spans="1:7">
      <c r="D428" s="1935"/>
      <c r="E428" s="1935"/>
      <c r="F428" s="1935"/>
      <c r="G428" s="791"/>
    </row>
    <row r="429" spans="1:7">
      <c r="D429" s="1935"/>
      <c r="E429" s="1935"/>
      <c r="F429" s="1935"/>
      <c r="G429" s="791"/>
    </row>
    <row r="430" spans="1:7">
      <c r="D430" s="1935"/>
      <c r="E430" s="1935"/>
      <c r="F430" s="1935"/>
      <c r="G430" s="791"/>
    </row>
    <row r="431" spans="1:7">
      <c r="D431" s="1935"/>
      <c r="E431" s="1935"/>
      <c r="F431" s="1935"/>
      <c r="G431" s="791"/>
    </row>
    <row r="432" spans="1:7">
      <c r="D432" s="1935"/>
      <c r="E432" s="1935"/>
      <c r="F432" s="1935"/>
      <c r="G432" s="791"/>
    </row>
    <row r="433" spans="1:7">
      <c r="A433" s="791"/>
      <c r="B433" s="791"/>
      <c r="C433" s="791"/>
      <c r="D433" s="1935"/>
      <c r="E433" s="1935"/>
      <c r="F433" s="1935"/>
      <c r="G433" s="791"/>
    </row>
    <row r="434" spans="1:7">
      <c r="A434" s="791"/>
      <c r="B434" s="791"/>
      <c r="C434" s="791"/>
      <c r="D434" s="1935"/>
      <c r="E434" s="1935"/>
      <c r="F434" s="1935"/>
      <c r="G434" s="791"/>
    </row>
    <row r="435" spans="1:7">
      <c r="A435" s="791"/>
      <c r="B435" s="791"/>
      <c r="C435" s="791"/>
      <c r="D435" s="1935"/>
      <c r="E435" s="1935"/>
      <c r="F435" s="1935"/>
      <c r="G435" s="791"/>
    </row>
    <row r="436" spans="1:7">
      <c r="A436" s="791"/>
      <c r="B436" s="791"/>
      <c r="C436" s="791"/>
      <c r="D436" s="1935"/>
      <c r="E436" s="1935"/>
      <c r="F436" s="1935"/>
      <c r="G436" s="791"/>
    </row>
    <row r="437" spans="1:7">
      <c r="A437" s="791"/>
      <c r="B437" s="791"/>
      <c r="C437" s="791"/>
      <c r="D437" s="1935"/>
      <c r="E437" s="1935"/>
      <c r="F437" s="1935"/>
      <c r="G437" s="791"/>
    </row>
    <row r="438" spans="1:7">
      <c r="A438" s="791"/>
      <c r="B438" s="791"/>
      <c r="C438" s="791"/>
      <c r="D438" s="1935"/>
      <c r="E438" s="1935"/>
      <c r="F438" s="1935"/>
      <c r="G438" s="791"/>
    </row>
    <row r="439" spans="1:7">
      <c r="A439" s="791"/>
      <c r="B439" s="791"/>
      <c r="C439" s="791"/>
      <c r="D439" s="1935"/>
      <c r="E439" s="1935"/>
      <c r="F439" s="1935"/>
      <c r="G439" s="791"/>
    </row>
    <row r="440" spans="1:7">
      <c r="A440" s="791"/>
      <c r="B440" s="791"/>
      <c r="C440" s="791"/>
      <c r="D440" s="1935"/>
      <c r="E440" s="1935"/>
      <c r="F440" s="1935"/>
      <c r="G440" s="791"/>
    </row>
    <row r="441" spans="1:7">
      <c r="A441" s="791"/>
      <c r="B441" s="791"/>
      <c r="C441" s="791"/>
      <c r="D441" s="1935"/>
      <c r="E441" s="1935"/>
      <c r="F441" s="1935"/>
      <c r="G441" s="791"/>
    </row>
    <row r="442" spans="1:7">
      <c r="A442" s="791"/>
      <c r="B442" s="791"/>
      <c r="C442" s="791"/>
      <c r="D442" s="1935"/>
      <c r="E442" s="1935"/>
      <c r="F442" s="1935"/>
      <c r="G442" s="791"/>
    </row>
    <row r="443" spans="1:7">
      <c r="A443" s="791"/>
      <c r="B443" s="791"/>
      <c r="C443" s="791"/>
      <c r="D443" s="1935"/>
      <c r="E443" s="1935"/>
      <c r="F443" s="1935"/>
      <c r="G443" s="791"/>
    </row>
    <row r="444" spans="1:7">
      <c r="A444" s="791"/>
      <c r="B444" s="791"/>
      <c r="C444" s="791"/>
      <c r="D444" s="1935"/>
      <c r="E444" s="1935"/>
      <c r="F444" s="1935"/>
      <c r="G444" s="791"/>
    </row>
    <row r="445" spans="1:7">
      <c r="A445" s="791"/>
      <c r="B445" s="791"/>
      <c r="C445" s="791"/>
      <c r="D445" s="1935"/>
      <c r="E445" s="1935"/>
      <c r="F445" s="1935"/>
      <c r="G445" s="791"/>
    </row>
    <row r="446" spans="1:7">
      <c r="A446" s="791"/>
      <c r="B446" s="791"/>
      <c r="C446" s="791"/>
      <c r="D446" s="1935"/>
      <c r="E446" s="1935"/>
      <c r="F446" s="1935"/>
      <c r="G446" s="791"/>
    </row>
    <row r="447" spans="1:7">
      <c r="A447" s="791"/>
      <c r="B447" s="791"/>
      <c r="C447" s="791"/>
      <c r="D447" s="1935"/>
      <c r="E447" s="1935"/>
      <c r="F447" s="1935"/>
      <c r="G447" s="791"/>
    </row>
    <row r="448" spans="1:7">
      <c r="A448" s="791"/>
      <c r="B448" s="791"/>
      <c r="C448" s="791"/>
      <c r="D448" s="1935"/>
      <c r="E448" s="1935"/>
      <c r="F448" s="1935"/>
      <c r="G448" s="791"/>
    </row>
    <row r="449" spans="1:7" s="832" customFormat="1">
      <c r="A449" s="789"/>
      <c r="B449" s="789"/>
      <c r="C449" s="789"/>
      <c r="D449" s="1935"/>
      <c r="E449" s="1935"/>
      <c r="F449" s="1935"/>
      <c r="G449" s="831"/>
    </row>
    <row r="450" spans="1:7" s="832" customFormat="1" ht="40.75" customHeight="1">
      <c r="A450" s="789"/>
      <c r="B450" s="789"/>
      <c r="C450" s="789"/>
      <c r="D450" s="1935"/>
      <c r="E450" s="1935"/>
      <c r="F450" s="1935"/>
      <c r="G450" s="831"/>
    </row>
    <row r="451" spans="1:7" s="832" customFormat="1">
      <c r="A451" s="789"/>
      <c r="B451" s="789"/>
      <c r="C451" s="789"/>
      <c r="D451" s="801"/>
      <c r="E451" s="801"/>
      <c r="F451" s="801"/>
      <c r="G451" s="831"/>
    </row>
    <row r="452" spans="1:7" ht="13">
      <c r="A452" s="798"/>
      <c r="B452" s="799" t="s">
        <v>318</v>
      </c>
      <c r="C452" s="830"/>
      <c r="D452" s="1940" t="s">
        <v>1324</v>
      </c>
      <c r="E452" s="1940"/>
      <c r="F452" s="1940"/>
    </row>
    <row r="453" spans="1:7">
      <c r="D453" s="1944" t="s">
        <v>1463</v>
      </c>
      <c r="E453" s="1944"/>
      <c r="F453" s="1944"/>
    </row>
    <row r="454" spans="1:7">
      <c r="D454" s="1969" t="s">
        <v>1462</v>
      </c>
      <c r="E454" s="1969"/>
      <c r="F454" s="1969"/>
    </row>
    <row r="455" spans="1:7">
      <c r="D455" s="1969"/>
      <c r="E455" s="1969"/>
      <c r="F455" s="1969"/>
    </row>
    <row r="456" spans="1:7">
      <c r="D456" s="1969"/>
      <c r="E456" s="1969"/>
      <c r="F456" s="1969"/>
    </row>
    <row r="457" spans="1:7">
      <c r="D457" s="801"/>
      <c r="E457" s="801"/>
      <c r="F457" s="801"/>
      <c r="G457" s="791"/>
    </row>
    <row r="458" spans="1:7" ht="13">
      <c r="A458" s="798"/>
      <c r="B458" s="799" t="s">
        <v>2611</v>
      </c>
      <c r="C458" s="830"/>
      <c r="D458" s="1935" t="s">
        <v>1326</v>
      </c>
      <c r="E458" s="1935"/>
      <c r="F458" s="1935"/>
      <c r="G458" s="791"/>
    </row>
    <row r="459" spans="1:7">
      <c r="D459" s="1935"/>
      <c r="E459" s="1935"/>
      <c r="F459" s="1935"/>
      <c r="G459" s="791"/>
    </row>
    <row r="460" spans="1:7">
      <c r="D460" s="1935"/>
      <c r="E460" s="1935"/>
      <c r="F460" s="1935"/>
      <c r="G460" s="791"/>
    </row>
    <row r="461" spans="1:7">
      <c r="D461" s="785"/>
      <c r="E461" s="785"/>
      <c r="F461" s="785"/>
      <c r="G461" s="791"/>
    </row>
    <row r="462" spans="1:7" ht="13">
      <c r="B462" s="799" t="s">
        <v>2611</v>
      </c>
      <c r="C462" s="798"/>
      <c r="D462" s="1969" t="s">
        <v>1409</v>
      </c>
      <c r="E462" s="1969"/>
      <c r="F462" s="1969"/>
      <c r="G462" s="791"/>
    </row>
    <row r="463" spans="1:7">
      <c r="D463" s="1969"/>
      <c r="E463" s="1969"/>
      <c r="F463" s="1969"/>
      <c r="G463" s="791"/>
    </row>
    <row r="464" spans="1:7">
      <c r="D464" s="801"/>
      <c r="E464" s="801"/>
      <c r="F464" s="801"/>
      <c r="G464" s="791"/>
    </row>
    <row r="465" spans="1:7" ht="13">
      <c r="B465" s="799" t="s">
        <v>2611</v>
      </c>
      <c r="C465" s="798"/>
      <c r="D465" s="1969" t="s">
        <v>1328</v>
      </c>
      <c r="E465" s="1969"/>
      <c r="F465" s="1969"/>
      <c r="G465" s="791"/>
    </row>
    <row r="466" spans="1:7">
      <c r="D466" s="1969"/>
      <c r="E466" s="1969"/>
      <c r="F466" s="1969"/>
      <c r="G466" s="791"/>
    </row>
    <row r="467" spans="1:7">
      <c r="D467" s="1969"/>
      <c r="E467" s="1969"/>
      <c r="F467" s="1969"/>
      <c r="G467" s="791"/>
    </row>
    <row r="468" spans="1:7">
      <c r="D468" s="1969"/>
      <c r="E468" s="1969"/>
      <c r="F468" s="1969"/>
      <c r="G468" s="791"/>
    </row>
    <row r="469" spans="1:7">
      <c r="B469" s="799" t="s">
        <v>2611</v>
      </c>
      <c r="D469" s="1969"/>
      <c r="E469" s="1969"/>
      <c r="F469" s="1969"/>
      <c r="G469" s="791"/>
    </row>
    <row r="470" spans="1:7">
      <c r="A470" s="791"/>
      <c r="B470" s="791"/>
      <c r="C470" s="791"/>
      <c r="D470" s="1969"/>
      <c r="E470" s="1969"/>
      <c r="F470" s="1969"/>
      <c r="G470" s="791"/>
    </row>
    <row r="471" spans="1:7">
      <c r="A471" s="791"/>
      <c r="C471" s="791"/>
      <c r="D471" s="1969"/>
      <c r="E471" s="1969"/>
      <c r="F471" s="1969"/>
      <c r="G471" s="791"/>
    </row>
    <row r="472" spans="1:7">
      <c r="A472" s="791"/>
      <c r="B472" s="799" t="s">
        <v>2611</v>
      </c>
      <c r="C472" s="791"/>
      <c r="D472" s="1969"/>
      <c r="E472" s="1969"/>
      <c r="F472" s="1969"/>
      <c r="G472" s="791"/>
    </row>
    <row r="473" spans="1:7">
      <c r="A473" s="791"/>
      <c r="B473" s="791"/>
      <c r="C473" s="791"/>
      <c r="D473" s="1969"/>
      <c r="E473" s="1969"/>
      <c r="F473" s="1969"/>
      <c r="G473" s="791"/>
    </row>
    <row r="474" spans="1:7">
      <c r="A474" s="791"/>
      <c r="C474" s="791"/>
      <c r="D474" s="1969"/>
      <c r="E474" s="1969"/>
      <c r="F474" s="1969"/>
      <c r="G474" s="791"/>
    </row>
    <row r="475" spans="1:7">
      <c r="A475" s="791"/>
      <c r="C475" s="791"/>
      <c r="D475" s="1969"/>
      <c r="E475" s="1969"/>
      <c r="F475" s="1969"/>
      <c r="G475" s="791"/>
    </row>
    <row r="476" spans="1:7">
      <c r="A476" s="791"/>
      <c r="B476" s="799" t="s">
        <v>2611</v>
      </c>
      <c r="C476" s="791"/>
      <c r="D476" s="1969"/>
      <c r="E476" s="1969"/>
      <c r="F476" s="1969"/>
      <c r="G476" s="791"/>
    </row>
    <row r="477" spans="1:7">
      <c r="A477" s="791"/>
      <c r="B477" s="791"/>
      <c r="C477" s="791"/>
      <c r="D477" s="1969"/>
      <c r="E477" s="1969"/>
      <c r="F477" s="1969"/>
      <c r="G477" s="791"/>
    </row>
    <row r="478" spans="1:7">
      <c r="A478" s="791"/>
      <c r="B478" s="799" t="s">
        <v>2611</v>
      </c>
      <c r="C478" s="791"/>
      <c r="D478" s="1969"/>
      <c r="E478" s="1969"/>
      <c r="F478" s="1969"/>
      <c r="G478" s="791"/>
    </row>
    <row r="479" spans="1:7">
      <c r="A479" s="791"/>
      <c r="B479" s="791"/>
      <c r="C479" s="791"/>
      <c r="D479" s="833"/>
      <c r="E479" s="833"/>
      <c r="F479" s="833"/>
      <c r="G479" s="791"/>
    </row>
    <row r="480" spans="1:7">
      <c r="A480" s="791"/>
      <c r="B480" s="799" t="s">
        <v>2611</v>
      </c>
      <c r="C480" s="791"/>
      <c r="D480" s="1969" t="s">
        <v>1329</v>
      </c>
      <c r="E480" s="1969"/>
      <c r="F480" s="1969"/>
      <c r="G480" s="791"/>
    </row>
    <row r="481" spans="1:7">
      <c r="A481" s="791"/>
      <c r="B481" s="791"/>
      <c r="C481" s="791"/>
      <c r="D481" s="1969"/>
      <c r="E481" s="1969"/>
      <c r="F481" s="1969"/>
      <c r="G481" s="791"/>
    </row>
    <row r="482" spans="1:7">
      <c r="A482" s="791"/>
      <c r="B482" s="791"/>
      <c r="C482" s="791"/>
      <c r="D482" s="1969"/>
      <c r="E482" s="1969"/>
      <c r="F482" s="1969"/>
      <c r="G482" s="791"/>
    </row>
    <row r="483" spans="1:7">
      <c r="A483" s="791"/>
      <c r="B483" s="791"/>
      <c r="C483" s="791"/>
      <c r="D483" s="1969"/>
      <c r="E483" s="1969"/>
      <c r="F483" s="1969"/>
      <c r="G483" s="791"/>
    </row>
    <row r="484" spans="1:7">
      <c r="D484" s="1969"/>
      <c r="E484" s="1969"/>
      <c r="F484" s="1969"/>
    </row>
    <row r="485" spans="1:7">
      <c r="D485" s="801"/>
      <c r="E485" s="801"/>
      <c r="F485" s="801"/>
    </row>
    <row r="486" spans="1:7">
      <c r="B486" s="799" t="s">
        <v>2611</v>
      </c>
      <c r="D486" s="1972" t="s">
        <v>1330</v>
      </c>
      <c r="E486" s="1972"/>
      <c r="F486" s="1972"/>
    </row>
    <row r="487" spans="1:7">
      <c r="A487" s="801"/>
      <c r="B487" s="801"/>
    </row>
    <row r="488" spans="1:7" ht="13">
      <c r="A488" s="1900" t="s">
        <v>1171</v>
      </c>
      <c r="B488" s="1900"/>
      <c r="C488" s="1900"/>
      <c r="D488" s="1900"/>
      <c r="E488" s="1900"/>
      <c r="F488" s="1900"/>
      <c r="G488" s="1900"/>
    </row>
    <row r="489" spans="1:7">
      <c r="A489" s="801"/>
      <c r="B489" s="801"/>
    </row>
    <row r="490" spans="1:7" ht="13">
      <c r="D490" s="1951" t="s">
        <v>952</v>
      </c>
      <c r="E490" s="1951"/>
      <c r="F490" s="1951"/>
    </row>
    <row r="491" spans="1:7" s="792" customFormat="1" ht="13">
      <c r="A491" s="806"/>
      <c r="B491" s="806"/>
      <c r="C491" s="802"/>
      <c r="D491" s="1952" t="s">
        <v>1331</v>
      </c>
      <c r="E491" s="1952"/>
      <c r="F491" s="1952"/>
      <c r="G491" s="803"/>
    </row>
    <row r="492" spans="1:7" s="792" customFormat="1" ht="13">
      <c r="A492" s="806"/>
      <c r="B492" s="806"/>
      <c r="C492" s="802"/>
      <c r="D492" s="788"/>
      <c r="E492" s="673"/>
      <c r="F492" s="673"/>
      <c r="G492" s="803"/>
    </row>
    <row r="493" spans="1:7" s="792" customFormat="1" ht="13">
      <c r="A493" s="798"/>
      <c r="B493" s="799" t="s">
        <v>2611</v>
      </c>
      <c r="C493" s="802"/>
      <c r="D493" s="1953" t="s">
        <v>1332</v>
      </c>
      <c r="E493" s="1953"/>
      <c r="F493" s="1953"/>
      <c r="G493" s="803"/>
    </row>
    <row r="494" spans="1:7" s="792" customFormat="1" ht="13">
      <c r="A494" s="798"/>
      <c r="B494" s="798"/>
      <c r="C494" s="802"/>
      <c r="D494" s="1953"/>
      <c r="E494" s="1953"/>
      <c r="F494" s="1953"/>
      <c r="G494" s="803"/>
    </row>
    <row r="495" spans="1:7" s="792" customFormat="1" ht="13">
      <c r="A495" s="798"/>
      <c r="B495" s="798"/>
      <c r="C495" s="802"/>
      <c r="D495" s="786"/>
      <c r="E495" s="673"/>
      <c r="F495" s="673"/>
      <c r="G495" s="803"/>
    </row>
    <row r="496" spans="1:7" ht="12.75" customHeight="1">
      <c r="B496" s="799" t="s">
        <v>2611</v>
      </c>
      <c r="D496" s="1923" t="s">
        <v>1517</v>
      </c>
      <c r="E496" s="1923"/>
      <c r="F496" s="1923"/>
    </row>
    <row r="497" spans="1:7" ht="13">
      <c r="A497" s="798"/>
      <c r="D497" s="1923"/>
      <c r="E497" s="1923"/>
      <c r="F497" s="1923"/>
    </row>
    <row r="498" spans="1:7" ht="13">
      <c r="A498" s="798"/>
      <c r="B498" s="798"/>
      <c r="D498" s="1923"/>
      <c r="E498" s="1923"/>
      <c r="F498" s="1923"/>
    </row>
    <row r="499" spans="1:7" ht="13">
      <c r="A499" s="798"/>
      <c r="B499" s="798"/>
      <c r="D499" s="1923"/>
      <c r="E499" s="1923"/>
      <c r="F499" s="1923"/>
    </row>
    <row r="500" spans="1:7" ht="13">
      <c r="A500" s="798"/>
      <c r="D500" s="895"/>
      <c r="E500" s="895"/>
      <c r="F500" s="895"/>
      <c r="G500" s="791"/>
    </row>
    <row r="501" spans="1:7" ht="13">
      <c r="A501" s="798"/>
      <c r="B501" s="799" t="s">
        <v>2611</v>
      </c>
      <c r="D501" s="1940" t="s">
        <v>1335</v>
      </c>
      <c r="E501" s="1940"/>
      <c r="F501" s="1940"/>
      <c r="G501" s="791"/>
    </row>
    <row r="502" spans="1:7" ht="13">
      <c r="A502" s="798"/>
      <c r="B502" s="798"/>
      <c r="D502" s="786"/>
      <c r="E502" s="673"/>
      <c r="F502" s="673"/>
      <c r="G502" s="791"/>
    </row>
    <row r="503" spans="1:7" ht="13">
      <c r="A503" s="798"/>
      <c r="B503" s="799" t="s">
        <v>2611</v>
      </c>
      <c r="D503" s="1935" t="s">
        <v>1336</v>
      </c>
      <c r="E503" s="1935"/>
      <c r="F503" s="1935"/>
      <c r="G503" s="791"/>
    </row>
    <row r="504" spans="1:7" ht="13">
      <c r="A504" s="798"/>
      <c r="D504" s="1935"/>
      <c r="E504" s="1935"/>
      <c r="F504" s="1935"/>
      <c r="G504" s="791"/>
    </row>
    <row r="505" spans="1:7" ht="13">
      <c r="A505" s="817"/>
      <c r="B505" s="817"/>
      <c r="D505" s="734"/>
      <c r="E505" s="673"/>
      <c r="F505" s="673"/>
      <c r="G505" s="791"/>
    </row>
    <row r="506" spans="1:7" ht="13">
      <c r="A506" s="817"/>
      <c r="B506" s="799" t="s">
        <v>2611</v>
      </c>
      <c r="D506" s="1940" t="s">
        <v>1337</v>
      </c>
      <c r="E506" s="1940"/>
      <c r="F506" s="1940"/>
      <c r="G506" s="791"/>
    </row>
    <row r="507" spans="1:7" ht="13">
      <c r="A507" s="798"/>
      <c r="B507" s="798"/>
      <c r="D507" s="801"/>
    </row>
    <row r="508" spans="1:7" ht="13">
      <c r="A508" s="1900" t="s">
        <v>1172</v>
      </c>
      <c r="B508" s="1900"/>
      <c r="C508" s="1900"/>
      <c r="D508" s="1900"/>
      <c r="E508" s="1900"/>
      <c r="F508" s="1900"/>
      <c r="G508" s="1900"/>
    </row>
    <row r="509" spans="1:7" s="723" customFormat="1" ht="12" customHeight="1">
      <c r="A509" s="798"/>
      <c r="B509" s="798"/>
      <c r="C509" s="805"/>
      <c r="D509" s="786"/>
      <c r="E509" s="673"/>
      <c r="F509" s="673"/>
      <c r="G509" s="673"/>
    </row>
    <row r="510" spans="1:7" s="723" customFormat="1" ht="13">
      <c r="A510" s="802"/>
      <c r="B510" s="802"/>
      <c r="C510" s="834"/>
      <c r="D510" s="1974" t="s">
        <v>855</v>
      </c>
      <c r="E510" s="1974"/>
      <c r="F510" s="1974"/>
      <c r="G510" s="694"/>
    </row>
    <row r="511" spans="1:7" s="723" customFormat="1" ht="13">
      <c r="A511" s="802"/>
      <c r="B511" s="802"/>
      <c r="C511" s="834"/>
      <c r="D511" s="857" t="s">
        <v>1411</v>
      </c>
      <c r="E511" s="857"/>
      <c r="F511" s="857"/>
      <c r="G511" s="694"/>
    </row>
    <row r="512" spans="1:7" s="723" customFormat="1" ht="13">
      <c r="A512" s="802"/>
      <c r="B512" s="802"/>
      <c r="C512" s="834"/>
      <c r="D512" s="857" t="s">
        <v>1412</v>
      </c>
      <c r="E512" s="857"/>
      <c r="F512" s="857"/>
      <c r="G512" s="694"/>
    </row>
    <row r="513" spans="1:7" s="723" customFormat="1" ht="13">
      <c r="A513" s="802"/>
      <c r="B513" s="802"/>
      <c r="C513" s="834"/>
      <c r="D513" s="856"/>
      <c r="E513" s="856"/>
      <c r="F513" s="856"/>
      <c r="G513" s="694"/>
    </row>
    <row r="514" spans="1:7" s="723" customFormat="1" ht="13.75" customHeight="1">
      <c r="A514" s="796"/>
      <c r="B514" s="799" t="s">
        <v>2612</v>
      </c>
      <c r="C514" s="800"/>
      <c r="D514" s="1934" t="s">
        <v>2283</v>
      </c>
      <c r="E514" s="1934"/>
      <c r="F514" s="1934"/>
      <c r="G514" s="673"/>
    </row>
    <row r="515" spans="1:7" s="723" customFormat="1" ht="13">
      <c r="A515" s="796"/>
      <c r="B515" s="796"/>
      <c r="C515" s="800"/>
      <c r="D515" s="1934"/>
      <c r="E515" s="1934"/>
      <c r="F515" s="1934"/>
      <c r="G515" s="673"/>
    </row>
    <row r="516" spans="1:7" s="723" customFormat="1" ht="13">
      <c r="A516" s="796"/>
      <c r="B516" s="796"/>
      <c r="C516" s="800"/>
      <c r="D516" s="1712"/>
      <c r="E516" s="1712"/>
      <c r="F516" s="1712"/>
      <c r="G516" s="673"/>
    </row>
    <row r="517" spans="1:7" s="723" customFormat="1" ht="13">
      <c r="A517" s="796"/>
      <c r="B517" s="799" t="s">
        <v>2611</v>
      </c>
      <c r="C517" s="805"/>
      <c r="D517" s="1934" t="s">
        <v>1210</v>
      </c>
      <c r="E517" s="1934"/>
      <c r="F517" s="1934"/>
      <c r="G517" s="673"/>
    </row>
    <row r="518" spans="1:7" s="723" customFormat="1" ht="13">
      <c r="A518" s="796"/>
      <c r="B518" s="796"/>
      <c r="C518" s="805"/>
      <c r="D518" s="1934"/>
      <c r="E518" s="1934"/>
      <c r="F518" s="1934"/>
      <c r="G518" s="673"/>
    </row>
    <row r="519" spans="1:7" s="723" customFormat="1" ht="13">
      <c r="A519" s="796"/>
      <c r="B519" s="796"/>
      <c r="C519" s="800"/>
      <c r="D519" s="1934"/>
      <c r="E519" s="1934"/>
      <c r="F519" s="1934"/>
      <c r="G519" s="673"/>
    </row>
    <row r="520" spans="1:7" s="723" customFormat="1" ht="13">
      <c r="A520" s="796"/>
      <c r="B520" s="796"/>
      <c r="C520" s="800"/>
      <c r="D520" s="835"/>
      <c r="E520" s="673"/>
      <c r="F520" s="786"/>
      <c r="G520" s="673"/>
    </row>
    <row r="521" spans="1:7" s="723" customFormat="1" ht="13.25" customHeight="1">
      <c r="A521" s="796"/>
      <c r="B521" s="799" t="s">
        <v>2611</v>
      </c>
      <c r="C521" s="800"/>
      <c r="D521" s="1976" t="s">
        <v>1236</v>
      </c>
      <c r="E521" s="1976"/>
      <c r="F521" s="1976"/>
      <c r="G521" s="673"/>
    </row>
    <row r="522" spans="1:7" s="723" customFormat="1" ht="13">
      <c r="A522" s="796"/>
      <c r="B522" s="796"/>
      <c r="C522" s="800"/>
      <c r="D522" s="1976"/>
      <c r="E522" s="1976"/>
      <c r="F522" s="1976"/>
      <c r="G522" s="673"/>
    </row>
    <row r="523" spans="1:7" s="723" customFormat="1" ht="12" customHeight="1">
      <c r="A523" s="801"/>
      <c r="B523" s="801"/>
      <c r="C523" s="809"/>
      <c r="D523" s="801"/>
      <c r="E523" s="673"/>
      <c r="F523" s="837"/>
      <c r="G523" s="673"/>
    </row>
    <row r="524" spans="1:7" ht="13">
      <c r="A524" s="1900" t="s">
        <v>1173</v>
      </c>
      <c r="B524" s="1900"/>
      <c r="C524" s="1900"/>
      <c r="D524" s="1900"/>
      <c r="E524" s="1900"/>
      <c r="F524" s="1900"/>
      <c r="G524" s="1900"/>
    </row>
    <row r="525" spans="1:7" ht="13">
      <c r="A525" s="801"/>
      <c r="B525" s="801"/>
      <c r="C525" s="830"/>
      <c r="F525" s="838"/>
    </row>
    <row r="526" spans="1:7">
      <c r="B526" s="1970" t="s">
        <v>472</v>
      </c>
      <c r="C526" s="1970"/>
      <c r="D526" s="1970"/>
      <c r="E526" s="1970"/>
      <c r="F526" s="1970"/>
    </row>
    <row r="527" spans="1:7">
      <c r="A527" s="801"/>
      <c r="B527" s="801"/>
      <c r="C527" s="830"/>
      <c r="D527" s="801"/>
      <c r="F527" s="801"/>
    </row>
    <row r="528" spans="1:7" ht="13">
      <c r="A528" s="1901" t="s">
        <v>1174</v>
      </c>
      <c r="B528" s="1901"/>
      <c r="C528" s="1901"/>
      <c r="D528" s="1901"/>
      <c r="E528" s="1901"/>
      <c r="F528" s="1901"/>
      <c r="G528" s="1901"/>
    </row>
    <row r="529" spans="1:7">
      <c r="A529" s="801"/>
      <c r="B529" s="801"/>
      <c r="C529" s="830"/>
      <c r="D529" s="801"/>
      <c r="F529" s="801"/>
    </row>
    <row r="530" spans="1:7" ht="13">
      <c r="C530" s="830"/>
      <c r="D530" s="1890" t="s">
        <v>722</v>
      </c>
      <c r="E530" s="1890"/>
      <c r="F530" s="1890"/>
    </row>
    <row r="531" spans="1:7">
      <c r="C531" s="830"/>
      <c r="D531" s="1940" t="s">
        <v>1231</v>
      </c>
      <c r="E531" s="1940"/>
      <c r="F531" s="1940"/>
    </row>
    <row r="532" spans="1:7">
      <c r="C532" s="830"/>
      <c r="D532" s="786"/>
      <c r="E532" s="786"/>
      <c r="F532" s="786"/>
    </row>
    <row r="533" spans="1:7" ht="13.75" customHeight="1">
      <c r="A533" s="798"/>
      <c r="B533" s="799" t="s">
        <v>2612</v>
      </c>
      <c r="C533" s="830"/>
      <c r="D533" s="1940" t="s">
        <v>953</v>
      </c>
      <c r="E533" s="1940"/>
      <c r="F533" s="1940"/>
      <c r="G533" s="791"/>
    </row>
    <row r="534" spans="1:7" ht="13.75" customHeight="1">
      <c r="A534" s="830"/>
      <c r="B534" s="830"/>
      <c r="C534" s="830"/>
      <c r="D534" s="786"/>
      <c r="E534" s="619"/>
      <c r="F534" s="619"/>
      <c r="G534" s="791"/>
    </row>
    <row r="535" spans="1:7" ht="13">
      <c r="A535" s="798"/>
      <c r="B535" s="799" t="s">
        <v>2612</v>
      </c>
      <c r="C535" s="830"/>
      <c r="D535" s="1935" t="s">
        <v>1232</v>
      </c>
      <c r="E535" s="1935"/>
      <c r="F535" s="1935"/>
      <c r="G535" s="791"/>
    </row>
    <row r="536" spans="1:7">
      <c r="A536" s="830"/>
      <c r="B536" s="830"/>
      <c r="C536" s="830"/>
      <c r="D536" s="1935"/>
      <c r="E536" s="1935"/>
      <c r="F536" s="1935"/>
      <c r="G536" s="791"/>
    </row>
    <row r="537" spans="1:7">
      <c r="A537" s="830"/>
      <c r="B537" s="830"/>
      <c r="C537" s="830"/>
      <c r="D537" s="801"/>
      <c r="E537" s="801"/>
      <c r="F537" s="801"/>
      <c r="G537" s="791"/>
    </row>
    <row r="538" spans="1:7" ht="13">
      <c r="A538" s="798"/>
      <c r="B538" s="799" t="s">
        <v>2612</v>
      </c>
      <c r="C538" s="830"/>
      <c r="D538" s="1935" t="s">
        <v>1233</v>
      </c>
      <c r="E538" s="1935"/>
      <c r="F538" s="1935"/>
      <c r="G538" s="791"/>
    </row>
    <row r="539" spans="1:7">
      <c r="A539" s="830"/>
      <c r="B539" s="830"/>
      <c r="C539" s="830"/>
      <c r="D539" s="1935"/>
      <c r="E539" s="1935"/>
      <c r="F539" s="1935"/>
      <c r="G539" s="791"/>
    </row>
    <row r="540" spans="1:7">
      <c r="A540" s="830"/>
      <c r="B540" s="830"/>
      <c r="C540" s="830"/>
      <c r="D540" s="801"/>
      <c r="E540" s="801"/>
      <c r="F540" s="801"/>
      <c r="G540" s="791"/>
    </row>
    <row r="541" spans="1:7" ht="13">
      <c r="A541" s="798"/>
      <c r="B541" s="799" t="s">
        <v>2612</v>
      </c>
      <c r="C541" s="830"/>
      <c r="D541" s="1935" t="s">
        <v>1234</v>
      </c>
      <c r="E541" s="1935"/>
      <c r="F541" s="1935"/>
      <c r="G541" s="791"/>
    </row>
    <row r="542" spans="1:7">
      <c r="A542" s="830"/>
      <c r="B542" s="830"/>
      <c r="C542" s="830"/>
      <c r="D542" s="1935"/>
      <c r="E542" s="1935"/>
      <c r="F542" s="1935"/>
      <c r="G542" s="791"/>
    </row>
    <row r="543" spans="1:7">
      <c r="A543" s="830"/>
      <c r="B543" s="830"/>
      <c r="C543" s="830"/>
      <c r="D543" s="801"/>
      <c r="E543" s="801"/>
      <c r="F543" s="801"/>
      <c r="G543" s="791"/>
    </row>
    <row r="544" spans="1:7" ht="13">
      <c r="A544" s="798"/>
      <c r="B544" s="799" t="s">
        <v>2612</v>
      </c>
      <c r="C544" s="830"/>
      <c r="D544" s="1935" t="s">
        <v>1235</v>
      </c>
      <c r="E544" s="1935"/>
      <c r="F544" s="1935"/>
      <c r="G544" s="791"/>
    </row>
    <row r="545" spans="1:7">
      <c r="A545" s="830"/>
      <c r="B545" s="830"/>
      <c r="C545" s="830"/>
      <c r="D545" s="1935"/>
      <c r="E545" s="1935"/>
      <c r="F545" s="1935"/>
      <c r="G545" s="791"/>
    </row>
    <row r="546" spans="1:7">
      <c r="A546" s="830"/>
      <c r="B546" s="830"/>
      <c r="C546" s="830"/>
      <c r="D546" s="1935"/>
      <c r="E546" s="1935"/>
      <c r="F546" s="1935"/>
      <c r="G546" s="791"/>
    </row>
    <row r="547" spans="1:7">
      <c r="A547" s="830"/>
      <c r="B547" s="830"/>
      <c r="C547" s="830"/>
      <c r="D547" s="801"/>
      <c r="E547" s="801"/>
      <c r="F547" s="801"/>
    </row>
    <row r="548" spans="1:7" ht="13">
      <c r="A548" s="798"/>
      <c r="B548" s="799" t="s">
        <v>2611</v>
      </c>
      <c r="C548" s="830"/>
      <c r="D548" s="1976" t="s">
        <v>1353</v>
      </c>
      <c r="E548" s="1976"/>
      <c r="F548" s="1976"/>
    </row>
    <row r="549" spans="1:7">
      <c r="A549" s="830"/>
      <c r="B549" s="830"/>
      <c r="C549" s="830"/>
      <c r="D549" s="1976"/>
      <c r="E549" s="1976"/>
      <c r="F549" s="1976"/>
    </row>
    <row r="550" spans="1:7">
      <c r="A550" s="830"/>
      <c r="B550" s="830"/>
      <c r="C550" s="830"/>
      <c r="D550" s="801"/>
      <c r="E550" s="801"/>
      <c r="F550" s="801"/>
    </row>
    <row r="551" spans="1:7" ht="13">
      <c r="A551" s="798"/>
      <c r="B551" s="799" t="s">
        <v>2612</v>
      </c>
      <c r="C551" s="830"/>
      <c r="D551" s="1935" t="s">
        <v>1237</v>
      </c>
      <c r="E551" s="1935"/>
      <c r="F551" s="1935"/>
    </row>
    <row r="552" spans="1:7">
      <c r="A552" s="830"/>
      <c r="B552" s="830"/>
      <c r="C552" s="830"/>
      <c r="D552" s="1935"/>
      <c r="E552" s="1935"/>
      <c r="F552" s="1935"/>
      <c r="G552" s="820"/>
    </row>
    <row r="553" spans="1:7">
      <c r="A553" s="830"/>
      <c r="B553" s="830"/>
      <c r="C553" s="830"/>
      <c r="D553" s="801"/>
      <c r="E553" s="801"/>
      <c r="F553" s="801"/>
      <c r="G553" s="820"/>
    </row>
    <row r="554" spans="1:7" ht="13">
      <c r="A554" s="798"/>
      <c r="B554" s="799" t="s">
        <v>2612</v>
      </c>
      <c r="C554" s="830"/>
      <c r="D554" s="1940" t="s">
        <v>1238</v>
      </c>
      <c r="E554" s="1940"/>
      <c r="F554" s="1940"/>
      <c r="G554" s="820"/>
    </row>
    <row r="555" spans="1:7" ht="13">
      <c r="A555" s="817"/>
      <c r="B555" s="817"/>
      <c r="C555" s="830"/>
      <c r="D555" s="1940" t="s">
        <v>885</v>
      </c>
      <c r="E555" s="1940"/>
      <c r="F555" s="1940"/>
      <c r="G555" s="820"/>
    </row>
    <row r="556" spans="1:7" ht="13">
      <c r="A556" s="817"/>
      <c r="B556" s="817"/>
      <c r="C556" s="830"/>
      <c r="D556" s="673"/>
      <c r="E556" s="1982" t="s">
        <v>1239</v>
      </c>
      <c r="F556" s="1982"/>
      <c r="G556" s="820"/>
    </row>
    <row r="557" spans="1:7" ht="13">
      <c r="A557" s="798"/>
      <c r="B557" s="798"/>
      <c r="C557" s="830"/>
      <c r="E557" s="801"/>
      <c r="F557" s="801"/>
      <c r="G557" s="820"/>
    </row>
    <row r="558" spans="1:7" ht="13">
      <c r="A558" s="798"/>
      <c r="B558" s="799" t="s">
        <v>2612</v>
      </c>
      <c r="C558" s="830"/>
      <c r="D558" s="1981" t="s">
        <v>1240</v>
      </c>
      <c r="E558" s="1981"/>
      <c r="F558" s="1981"/>
      <c r="G558" s="820"/>
    </row>
    <row r="559" spans="1:7">
      <c r="C559" s="830"/>
      <c r="D559" s="1935" t="s">
        <v>1241</v>
      </c>
      <c r="E559" s="1935"/>
      <c r="F559" s="1935"/>
      <c r="G559" s="820"/>
    </row>
    <row r="560" spans="1:7">
      <c r="A560" s="830"/>
      <c r="B560" s="830"/>
      <c r="C560" s="830"/>
      <c r="D560" s="1935"/>
      <c r="E560" s="1935"/>
      <c r="F560" s="1935"/>
      <c r="G560" s="820"/>
    </row>
    <row r="561" spans="1:7">
      <c r="A561" s="830"/>
      <c r="B561" s="830"/>
      <c r="C561" s="830"/>
      <c r="D561" s="1935"/>
      <c r="E561" s="1935"/>
      <c r="F561" s="1935"/>
      <c r="G561" s="820"/>
    </row>
    <row r="562" spans="1:7">
      <c r="A562" s="830"/>
      <c r="B562" s="830"/>
      <c r="C562" s="830"/>
      <c r="D562" s="801"/>
      <c r="E562" s="801"/>
      <c r="F562" s="801"/>
      <c r="G562" s="820"/>
    </row>
    <row r="563" spans="1:7" ht="13">
      <c r="A563" s="798"/>
      <c r="B563" s="799" t="s">
        <v>2612</v>
      </c>
      <c r="C563" s="830"/>
      <c r="D563" s="1935" t="s">
        <v>1242</v>
      </c>
      <c r="E563" s="1935"/>
      <c r="F563" s="1935"/>
      <c r="G563" s="820"/>
    </row>
    <row r="564" spans="1:7" ht="13">
      <c r="A564" s="798"/>
      <c r="B564" s="798"/>
      <c r="C564" s="830"/>
      <c r="D564" s="1935"/>
      <c r="E564" s="1935"/>
      <c r="F564" s="1935"/>
      <c r="G564" s="820"/>
    </row>
    <row r="565" spans="1:7" ht="13">
      <c r="A565" s="798"/>
      <c r="B565" s="798"/>
      <c r="C565" s="830"/>
      <c r="D565" s="1935"/>
      <c r="E565" s="1935"/>
      <c r="F565" s="1935"/>
      <c r="G565" s="820"/>
    </row>
    <row r="566" spans="1:7" ht="13">
      <c r="A566" s="798"/>
      <c r="B566" s="798"/>
      <c r="C566" s="830"/>
      <c r="D566" s="1935"/>
      <c r="E566" s="1935"/>
      <c r="F566" s="1935"/>
      <c r="G566" s="820"/>
    </row>
    <row r="567" spans="1:7" ht="13">
      <c r="A567" s="798"/>
      <c r="B567" s="798"/>
      <c r="C567" s="830"/>
      <c r="D567" s="801"/>
      <c r="E567" s="801"/>
      <c r="F567" s="801"/>
      <c r="G567" s="820"/>
    </row>
    <row r="568" spans="1:7" ht="13">
      <c r="A568" s="1900" t="s">
        <v>1175</v>
      </c>
      <c r="B568" s="1900"/>
      <c r="C568" s="1900"/>
      <c r="D568" s="1900"/>
      <c r="E568" s="1900"/>
      <c r="F568" s="1900"/>
      <c r="G568" s="1900"/>
    </row>
    <row r="569" spans="1:7">
      <c r="A569" s="830"/>
      <c r="B569" s="830"/>
      <c r="C569" s="830"/>
      <c r="E569" s="801"/>
      <c r="F569" s="801"/>
      <c r="G569" s="820"/>
    </row>
    <row r="570" spans="1:7" ht="12.75" customHeight="1">
      <c r="C570" s="794"/>
      <c r="D570" s="1971" t="s">
        <v>217</v>
      </c>
      <c r="E570" s="1971"/>
      <c r="F570" s="1971"/>
      <c r="G570" s="820"/>
    </row>
    <row r="571" spans="1:7" ht="13">
      <c r="A571" s="796"/>
      <c r="B571" s="796"/>
      <c r="C571" s="796"/>
      <c r="D571" s="1922" t="s">
        <v>1191</v>
      </c>
      <c r="E571" s="1922"/>
      <c r="F571" s="1922"/>
      <c r="G571" s="820"/>
    </row>
    <row r="572" spans="1:7" ht="13">
      <c r="A572" s="791"/>
      <c r="B572" s="791"/>
      <c r="C572" s="796"/>
      <c r="D572" s="839"/>
      <c r="G572" s="820"/>
    </row>
    <row r="573" spans="1:7" ht="13">
      <c r="A573" s="796"/>
      <c r="B573" s="799" t="s">
        <v>2612</v>
      </c>
      <c r="D573" s="1922" t="s">
        <v>959</v>
      </c>
      <c r="E573" s="1922"/>
      <c r="F573" s="1922"/>
      <c r="G573" s="820"/>
    </row>
    <row r="574" spans="1:7" ht="13">
      <c r="A574" s="817"/>
      <c r="B574" s="817"/>
      <c r="D574" s="815"/>
    </row>
    <row r="575" spans="1:7" ht="13">
      <c r="A575" s="817"/>
      <c r="B575" s="799" t="s">
        <v>2612</v>
      </c>
      <c r="D575" s="1923" t="s">
        <v>1192</v>
      </c>
      <c r="E575" s="1923"/>
      <c r="F575" s="1923"/>
    </row>
    <row r="576" spans="1:7" ht="13">
      <c r="A576" s="817"/>
      <c r="B576" s="817"/>
      <c r="D576" s="1923"/>
      <c r="E576" s="1923"/>
      <c r="F576" s="1923"/>
      <c r="G576" s="791"/>
    </row>
    <row r="577" spans="1:7" ht="13">
      <c r="A577" s="817"/>
      <c r="B577" s="817"/>
      <c r="D577" s="1923"/>
      <c r="E577" s="1923"/>
      <c r="F577" s="1923"/>
      <c r="G577" s="791"/>
    </row>
    <row r="578" spans="1:7" ht="13">
      <c r="A578" s="817"/>
      <c r="B578" s="817"/>
      <c r="D578" s="1923"/>
      <c r="E578" s="1923"/>
      <c r="F578" s="1923"/>
      <c r="G578" s="791"/>
    </row>
    <row r="579" spans="1:7" ht="13">
      <c r="A579" s="817"/>
      <c r="B579" s="799" t="s">
        <v>2611</v>
      </c>
      <c r="D579" s="1923" t="s">
        <v>1193</v>
      </c>
      <c r="E579" s="1923"/>
      <c r="F579" s="1923"/>
      <c r="G579" s="791"/>
    </row>
    <row r="580" spans="1:7" ht="13">
      <c r="A580" s="817"/>
      <c r="B580" s="817"/>
      <c r="D580" s="1923"/>
      <c r="E580" s="1923"/>
      <c r="F580" s="1923"/>
      <c r="G580" s="791"/>
    </row>
    <row r="581" spans="1:7" ht="13">
      <c r="A581" s="817"/>
      <c r="B581" s="817"/>
      <c r="D581" s="1923"/>
      <c r="E581" s="1923"/>
      <c r="F581" s="1923"/>
      <c r="G581" s="791"/>
    </row>
    <row r="582" spans="1:7" ht="13">
      <c r="A582" s="817"/>
      <c r="B582" s="817"/>
      <c r="D582" s="1923"/>
      <c r="E582" s="1923"/>
      <c r="F582" s="1923"/>
      <c r="G582" s="791"/>
    </row>
    <row r="583" spans="1:7" ht="13">
      <c r="A583" s="817"/>
      <c r="B583" s="817"/>
      <c r="D583" s="784"/>
      <c r="E583" s="784"/>
      <c r="F583" s="784"/>
      <c r="G583" s="791"/>
    </row>
    <row r="584" spans="1:7" ht="13">
      <c r="A584" s="817"/>
      <c r="B584" s="799" t="s">
        <v>2612</v>
      </c>
      <c r="D584" s="1923" t="s">
        <v>1194</v>
      </c>
      <c r="E584" s="1923"/>
      <c r="F584" s="1923"/>
      <c r="G584" s="791"/>
    </row>
    <row r="585" spans="1:7" ht="13">
      <c r="A585" s="817"/>
      <c r="B585" s="817"/>
      <c r="D585" s="1923"/>
      <c r="E585" s="1923"/>
      <c r="F585" s="1923"/>
      <c r="G585" s="791"/>
    </row>
    <row r="586" spans="1:7" ht="13">
      <c r="A586" s="817"/>
      <c r="B586" s="817"/>
      <c r="D586" s="839"/>
      <c r="G586" s="791"/>
    </row>
    <row r="587" spans="1:7" ht="13">
      <c r="A587" s="817"/>
      <c r="B587" s="799" t="s">
        <v>2611</v>
      </c>
      <c r="D587" s="1922" t="s">
        <v>1195</v>
      </c>
      <c r="E587" s="1922"/>
      <c r="F587" s="1922"/>
      <c r="G587" s="791"/>
    </row>
    <row r="588" spans="1:7" ht="13">
      <c r="A588" s="817"/>
      <c r="B588" s="817"/>
      <c r="D588" s="1922"/>
      <c r="E588" s="1922"/>
      <c r="F588" s="1922"/>
      <c r="G588" s="791"/>
    </row>
    <row r="589" spans="1:7" ht="13">
      <c r="A589" s="817"/>
      <c r="B589" s="817"/>
      <c r="D589" s="839"/>
      <c r="G589" s="791"/>
    </row>
    <row r="590" spans="1:7" ht="13">
      <c r="A590" s="798"/>
      <c r="B590" s="799" t="s">
        <v>2612</v>
      </c>
      <c r="D590" s="1922" t="s">
        <v>954</v>
      </c>
      <c r="E590" s="1922"/>
      <c r="F590" s="1922"/>
      <c r="G590" s="791"/>
    </row>
    <row r="591" spans="1:7" ht="13">
      <c r="A591" s="798"/>
      <c r="B591" s="798"/>
      <c r="D591" s="839"/>
      <c r="G591" s="791"/>
    </row>
    <row r="592" spans="1:7" ht="13">
      <c r="A592" s="1900" t="s">
        <v>1176</v>
      </c>
      <c r="B592" s="1900"/>
      <c r="C592" s="1900"/>
      <c r="D592" s="1900"/>
      <c r="E592" s="1900"/>
      <c r="F592" s="1900"/>
      <c r="G592" s="1900"/>
    </row>
    <row r="593" spans="1:7"/>
    <row r="594" spans="1:7" ht="13">
      <c r="D594" s="1890" t="s">
        <v>1276</v>
      </c>
      <c r="E594" s="1890"/>
      <c r="F594" s="1890"/>
    </row>
    <row r="595" spans="1:7">
      <c r="D595" s="1891" t="s">
        <v>1277</v>
      </c>
      <c r="E595" s="1891"/>
      <c r="F595" s="1891"/>
    </row>
    <row r="596" spans="1:7">
      <c r="D596" s="781"/>
      <c r="E596" s="723"/>
      <c r="F596" s="723"/>
    </row>
    <row r="597" spans="1:7" s="792" customFormat="1" ht="13">
      <c r="A597" s="806"/>
      <c r="B597" s="799" t="s">
        <v>2612</v>
      </c>
      <c r="C597" s="802"/>
      <c r="D597" s="1892" t="s">
        <v>1278</v>
      </c>
      <c r="E597" s="1892"/>
      <c r="F597" s="1892"/>
      <c r="G597" s="803"/>
    </row>
    <row r="598" spans="1:7">
      <c r="D598" s="1892"/>
      <c r="E598" s="1892"/>
      <c r="F598" s="1892"/>
    </row>
    <row r="599" spans="1:7">
      <c r="D599" s="1892"/>
      <c r="E599" s="1892"/>
      <c r="F599" s="1892"/>
    </row>
    <row r="600" spans="1:7"/>
    <row r="601" spans="1:7" ht="13">
      <c r="A601" s="1900" t="s">
        <v>1177</v>
      </c>
      <c r="B601" s="1900"/>
      <c r="C601" s="1900"/>
      <c r="D601" s="1900"/>
      <c r="E601" s="1900"/>
      <c r="F601" s="1900"/>
      <c r="G601" s="1900"/>
    </row>
    <row r="602" spans="1:7">
      <c r="A602" s="801"/>
      <c r="B602" s="801"/>
      <c r="G602" s="820"/>
    </row>
    <row r="603" spans="1:7" ht="13">
      <c r="A603" s="840"/>
      <c r="B603" s="840"/>
      <c r="C603" s="794"/>
      <c r="D603" s="1893" t="s">
        <v>1279</v>
      </c>
      <c r="E603" s="1893"/>
      <c r="F603" s="1893"/>
      <c r="G603" s="820"/>
    </row>
    <row r="604" spans="1:7" ht="13">
      <c r="A604" s="840"/>
      <c r="B604" s="840"/>
      <c r="C604" s="794"/>
      <c r="D604" s="1893"/>
      <c r="E604" s="1893"/>
      <c r="F604" s="1893"/>
      <c r="G604" s="820"/>
    </row>
    <row r="605" spans="1:7" ht="13">
      <c r="C605" s="796"/>
      <c r="D605" s="1891" t="s">
        <v>1280</v>
      </c>
      <c r="E605" s="1891"/>
      <c r="F605" s="1891"/>
      <c r="G605" s="820"/>
    </row>
    <row r="606" spans="1:7" ht="13">
      <c r="C606" s="796"/>
      <c r="D606" s="781"/>
      <c r="E606" s="781"/>
      <c r="F606" s="781"/>
      <c r="G606" s="820"/>
    </row>
    <row r="607" spans="1:7" ht="13">
      <c r="A607" s="817"/>
      <c r="B607" s="799" t="s">
        <v>2612</v>
      </c>
      <c r="D607" s="1891" t="s">
        <v>455</v>
      </c>
      <c r="E607" s="1891"/>
      <c r="F607" s="1891"/>
      <c r="G607" s="820"/>
    </row>
    <row r="608" spans="1:7" ht="13">
      <c r="C608" s="841"/>
      <c r="E608" s="791"/>
      <c r="G608" s="820"/>
    </row>
    <row r="609" spans="1:7" ht="13">
      <c r="A609" s="817"/>
      <c r="B609" s="799" t="s">
        <v>2612</v>
      </c>
      <c r="D609" s="1894" t="s">
        <v>1281</v>
      </c>
      <c r="E609" s="1894"/>
      <c r="F609" s="1894"/>
      <c r="G609" s="820"/>
    </row>
    <row r="610" spans="1:7">
      <c r="D610" s="1894"/>
      <c r="E610" s="1894"/>
      <c r="F610" s="1894"/>
      <c r="G610" s="820"/>
    </row>
    <row r="611" spans="1:7">
      <c r="D611" s="791"/>
      <c r="G611" s="820"/>
    </row>
    <row r="612" spans="1:7">
      <c r="B612" s="799" t="s">
        <v>2612</v>
      </c>
      <c r="D612" s="1894" t="s">
        <v>1282</v>
      </c>
      <c r="E612" s="1894"/>
      <c r="F612" s="1894"/>
      <c r="G612" s="820"/>
    </row>
    <row r="613" spans="1:7" ht="13">
      <c r="C613" s="841"/>
      <c r="D613" s="1894"/>
      <c r="E613" s="1894"/>
      <c r="F613" s="1894"/>
      <c r="G613" s="820"/>
    </row>
    <row r="614" spans="1:7" ht="13">
      <c r="C614" s="841"/>
      <c r="G614" s="820"/>
    </row>
    <row r="615" spans="1:7" ht="13">
      <c r="B615" s="799" t="s">
        <v>2611</v>
      </c>
      <c r="C615" s="841"/>
      <c r="D615" s="1894" t="s">
        <v>1283</v>
      </c>
      <c r="E615" s="1894"/>
      <c r="F615" s="1894"/>
      <c r="G615" s="820"/>
    </row>
    <row r="616" spans="1:7" ht="13">
      <c r="C616" s="841"/>
      <c r="D616" s="1894"/>
      <c r="E616" s="1894"/>
      <c r="F616" s="1894"/>
      <c r="G616" s="820"/>
    </row>
    <row r="617" spans="1:7" ht="13">
      <c r="C617" s="841"/>
      <c r="G617" s="820"/>
    </row>
    <row r="618" spans="1:7" ht="13">
      <c r="A618" s="1900" t="s">
        <v>1178</v>
      </c>
      <c r="B618" s="1900"/>
      <c r="C618" s="1900"/>
      <c r="D618" s="1900"/>
      <c r="E618" s="1900"/>
      <c r="F618" s="1900"/>
      <c r="G618" s="1900"/>
    </row>
    <row r="619" spans="1:7" ht="13">
      <c r="A619" s="842"/>
      <c r="B619" s="842"/>
      <c r="C619" s="842"/>
      <c r="G619" s="820"/>
    </row>
    <row r="620" spans="1:7" ht="13">
      <c r="C620" s="817"/>
      <c r="D620" s="1890" t="s">
        <v>1284</v>
      </c>
      <c r="E620" s="1890"/>
      <c r="F620" s="1890"/>
      <c r="G620" s="820"/>
    </row>
    <row r="621" spans="1:7" ht="13">
      <c r="A621" s="817"/>
      <c r="B621" s="817"/>
      <c r="C621" s="819"/>
      <c r="D621" s="795"/>
      <c r="G621" s="820"/>
    </row>
    <row r="622" spans="1:7" ht="13">
      <c r="A622" s="798"/>
      <c r="B622" s="799" t="s">
        <v>2612</v>
      </c>
      <c r="C622" s="819"/>
      <c r="D622" s="1935" t="s">
        <v>1511</v>
      </c>
      <c r="E622" s="1935"/>
      <c r="F622" s="1935"/>
      <c r="G622" s="820"/>
    </row>
    <row r="623" spans="1:7">
      <c r="C623" s="819"/>
      <c r="D623" s="1935"/>
      <c r="E623" s="1935"/>
      <c r="F623" s="1935"/>
      <c r="G623" s="820"/>
    </row>
    <row r="624" spans="1:7">
      <c r="C624" s="819"/>
      <c r="D624" s="1935"/>
      <c r="E624" s="1935"/>
      <c r="F624" s="1935"/>
      <c r="G624" s="820"/>
    </row>
    <row r="625" spans="1:7">
      <c r="C625" s="819"/>
      <c r="D625" s="1935"/>
      <c r="E625" s="1935"/>
      <c r="F625" s="1935"/>
      <c r="G625" s="820"/>
    </row>
    <row r="626" spans="1:7">
      <c r="C626" s="819"/>
      <c r="D626" s="1935"/>
      <c r="E626" s="1935"/>
      <c r="F626" s="1935"/>
      <c r="G626" s="820"/>
    </row>
    <row r="627" spans="1:7">
      <c r="C627" s="819"/>
      <c r="D627" s="1935"/>
      <c r="E627" s="1935"/>
      <c r="F627" s="1935"/>
      <c r="G627" s="820"/>
    </row>
    <row r="628" spans="1:7">
      <c r="C628" s="819"/>
      <c r="D628" s="785"/>
      <c r="E628" s="785"/>
      <c r="F628" s="785"/>
      <c r="G628" s="820"/>
    </row>
    <row r="629" spans="1:7" ht="13">
      <c r="A629" s="798"/>
      <c r="B629" s="799" t="s">
        <v>2611</v>
      </c>
      <c r="C629" s="819"/>
      <c r="D629" s="1935" t="s">
        <v>1286</v>
      </c>
      <c r="E629" s="1935"/>
      <c r="F629" s="1935"/>
      <c r="G629" s="820"/>
    </row>
    <row r="630" spans="1:7">
      <c r="A630" s="830"/>
      <c r="B630" s="830"/>
      <c r="C630" s="830"/>
      <c r="D630" s="1935"/>
      <c r="E630" s="1935"/>
      <c r="F630" s="1935"/>
      <c r="G630" s="820"/>
    </row>
    <row r="631" spans="1:7">
      <c r="A631" s="830"/>
      <c r="B631" s="830"/>
      <c r="C631" s="830"/>
      <c r="D631" s="786"/>
      <c r="E631" s="843"/>
      <c r="F631" s="843"/>
      <c r="G631" s="820"/>
    </row>
    <row r="632" spans="1:7" ht="13">
      <c r="A632" s="798"/>
      <c r="B632" s="799" t="s">
        <v>2611</v>
      </c>
      <c r="C632" s="830"/>
      <c r="D632" s="1892" t="s">
        <v>1447</v>
      </c>
      <c r="E632" s="1892"/>
      <c r="F632" s="1892"/>
      <c r="G632" s="820"/>
    </row>
    <row r="633" spans="1:7" ht="13">
      <c r="A633" s="798"/>
      <c r="B633" s="798"/>
      <c r="C633" s="830"/>
      <c r="D633" s="1892"/>
      <c r="E633" s="1892"/>
      <c r="F633" s="1892"/>
      <c r="G633" s="820"/>
    </row>
    <row r="634" spans="1:7" ht="13">
      <c r="A634" s="798"/>
      <c r="B634" s="798"/>
      <c r="C634" s="830"/>
      <c r="D634" s="1892"/>
      <c r="E634" s="1892"/>
      <c r="F634" s="1892"/>
      <c r="G634" s="820"/>
    </row>
    <row r="635" spans="1:7">
      <c r="A635" s="830"/>
      <c r="B635" s="799" t="s">
        <v>2611</v>
      </c>
      <c r="C635" s="830"/>
      <c r="D635" s="1940" t="s">
        <v>1288</v>
      </c>
      <c r="E635" s="1940"/>
      <c r="F635" s="1940"/>
      <c r="G635" s="820"/>
    </row>
    <row r="636" spans="1:7">
      <c r="A636" s="830"/>
      <c r="B636" s="830"/>
      <c r="C636" s="830"/>
      <c r="D636" s="728"/>
      <c r="E636" s="728"/>
      <c r="F636" s="728"/>
      <c r="G636" s="820"/>
    </row>
    <row r="637" spans="1:7" ht="13">
      <c r="A637" s="1900" t="s">
        <v>1179</v>
      </c>
      <c r="B637" s="1900"/>
      <c r="C637" s="1900"/>
      <c r="D637" s="1900"/>
      <c r="E637" s="1900"/>
      <c r="F637" s="1900"/>
      <c r="G637" s="1900"/>
    </row>
    <row r="638" spans="1:7">
      <c r="A638" s="801"/>
      <c r="B638" s="801"/>
      <c r="C638" s="830"/>
      <c r="D638" s="843"/>
      <c r="E638" s="843"/>
      <c r="F638" s="843"/>
      <c r="G638" s="820"/>
    </row>
    <row r="639" spans="1:7" ht="13">
      <c r="C639" s="842"/>
      <c r="D639" s="1986" t="s">
        <v>1338</v>
      </c>
      <c r="E639" s="1986"/>
      <c r="F639" s="1986"/>
      <c r="G639" s="820"/>
    </row>
    <row r="640" spans="1:7" ht="13">
      <c r="A640" s="796"/>
      <c r="B640" s="796"/>
      <c r="C640" s="796"/>
      <c r="D640" s="1987" t="s">
        <v>1339</v>
      </c>
      <c r="E640" s="1987"/>
      <c r="F640" s="1987"/>
      <c r="G640" s="820"/>
    </row>
    <row r="641" spans="1:7" ht="13">
      <c r="A641" s="796"/>
      <c r="B641" s="796"/>
      <c r="C641" s="796"/>
      <c r="D641" s="728"/>
      <c r="E641" s="728"/>
      <c r="F641" s="728"/>
      <c r="G641" s="820"/>
    </row>
    <row r="642" spans="1:7" ht="12.75" customHeight="1">
      <c r="B642" s="799" t="s">
        <v>2612</v>
      </c>
      <c r="C642" s="830"/>
      <c r="D642" s="1977" t="s">
        <v>1533</v>
      </c>
      <c r="E642" s="1977"/>
      <c r="F642" s="1977"/>
    </row>
    <row r="643" spans="1:7">
      <c r="D643" s="1977"/>
      <c r="E643" s="1977"/>
      <c r="F643" s="1977"/>
    </row>
    <row r="644" spans="1:7">
      <c r="D644" s="1977"/>
      <c r="E644" s="1977"/>
      <c r="F644" s="1977"/>
    </row>
    <row r="645" spans="1:7">
      <c r="D645" s="1977"/>
      <c r="E645" s="1977"/>
      <c r="F645" s="1977"/>
    </row>
    <row r="646" spans="1:7" ht="14.5" customHeight="1">
      <c r="A646" s="798"/>
      <c r="B646" s="798"/>
      <c r="C646" s="830"/>
      <c r="D646" s="902"/>
      <c r="E646" s="902"/>
      <c r="F646" s="902"/>
      <c r="G646" s="820"/>
    </row>
    <row r="647" spans="1:7" ht="12.75" customHeight="1">
      <c r="A647" s="796"/>
      <c r="B647" s="799" t="s">
        <v>2612</v>
      </c>
      <c r="C647" s="830"/>
      <c r="D647" s="1977" t="s">
        <v>1536</v>
      </c>
      <c r="E647" s="1977"/>
      <c r="F647" s="1977"/>
      <c r="G647" s="820"/>
    </row>
    <row r="648" spans="1:7" ht="13">
      <c r="A648" s="796"/>
      <c r="B648" s="798"/>
      <c r="C648" s="830"/>
      <c r="D648" s="1977"/>
      <c r="E648" s="1977"/>
      <c r="F648" s="1977"/>
      <c r="G648" s="820"/>
    </row>
    <row r="649" spans="1:7" ht="13">
      <c r="A649" s="796"/>
      <c r="B649" s="798"/>
      <c r="C649" s="830"/>
      <c r="D649" s="1977"/>
      <c r="E649" s="1977"/>
      <c r="F649" s="1977"/>
      <c r="G649" s="820"/>
    </row>
    <row r="650" spans="1:7" ht="13">
      <c r="A650" s="796"/>
      <c r="B650" s="798"/>
      <c r="C650" s="830"/>
      <c r="D650" s="1977"/>
      <c r="E650" s="1977"/>
      <c r="F650" s="1977"/>
      <c r="G650" s="820"/>
    </row>
    <row r="651" spans="1:7" ht="13">
      <c r="A651" s="796"/>
      <c r="B651" s="798"/>
      <c r="C651" s="830"/>
      <c r="D651" s="1977"/>
      <c r="E651" s="1977"/>
      <c r="F651" s="1977"/>
      <c r="G651" s="820"/>
    </row>
    <row r="652" spans="1:7" ht="14.25" customHeight="1">
      <c r="A652" s="796"/>
      <c r="B652" s="798"/>
      <c r="C652" s="830"/>
      <c r="F652" s="903"/>
      <c r="G652" s="820"/>
    </row>
    <row r="653" spans="1:7" ht="12.75" customHeight="1">
      <c r="A653" s="796"/>
      <c r="B653" s="799" t="s">
        <v>2612</v>
      </c>
      <c r="C653" s="830"/>
      <c r="D653" s="1977" t="s">
        <v>1534</v>
      </c>
      <c r="E653" s="1977"/>
      <c r="F653" s="1977"/>
      <c r="G653" s="820"/>
    </row>
    <row r="654" spans="1:7" ht="13">
      <c r="A654" s="796"/>
      <c r="B654" s="798"/>
      <c r="C654" s="830"/>
      <c r="D654" s="1977"/>
      <c r="E654" s="1977"/>
      <c r="F654" s="1977"/>
      <c r="G654" s="820"/>
    </row>
    <row r="655" spans="1:7" ht="13">
      <c r="A655" s="798"/>
      <c r="B655" s="798"/>
      <c r="C655" s="830"/>
      <c r="D655" s="1977"/>
      <c r="E655" s="1977"/>
      <c r="F655" s="1977"/>
      <c r="G655" s="820"/>
    </row>
    <row r="656" spans="1:7" ht="13">
      <c r="A656" s="798"/>
      <c r="B656" s="798"/>
      <c r="C656" s="830"/>
      <c r="D656" s="1977"/>
      <c r="E656" s="1977"/>
      <c r="F656" s="1977"/>
      <c r="G656" s="820"/>
    </row>
    <row r="657" spans="1:11" ht="13">
      <c r="A657" s="798"/>
      <c r="B657" s="798"/>
      <c r="C657" s="830"/>
      <c r="D657" s="894"/>
      <c r="E657" s="894"/>
      <c r="F657" s="894"/>
      <c r="G657" s="820"/>
    </row>
    <row r="658" spans="1:11" ht="12.75" customHeight="1">
      <c r="A658" s="796"/>
      <c r="B658" s="799" t="s">
        <v>2611</v>
      </c>
      <c r="C658" s="830"/>
      <c r="D658" s="1977" t="s">
        <v>1535</v>
      </c>
      <c r="E658" s="1977"/>
      <c r="F658" s="1977"/>
      <c r="G658" s="820"/>
    </row>
    <row r="659" spans="1:11" ht="12.75" customHeight="1">
      <c r="A659" s="796"/>
      <c r="B659" s="798"/>
      <c r="C659" s="830"/>
      <c r="D659" s="1977"/>
      <c r="E659" s="1977"/>
      <c r="F659" s="1977"/>
      <c r="G659" s="820"/>
    </row>
    <row r="660" spans="1:11" ht="12.75" customHeight="1">
      <c r="A660" s="796"/>
      <c r="B660" s="798"/>
      <c r="C660" s="830"/>
      <c r="D660" s="1977"/>
      <c r="E660" s="1977"/>
      <c r="F660" s="1977"/>
      <c r="G660" s="820"/>
    </row>
    <row r="661" spans="1:11" ht="12.75" customHeight="1">
      <c r="A661" s="796"/>
      <c r="B661" s="798"/>
      <c r="C661" s="830"/>
      <c r="D661" s="1977"/>
      <c r="E661" s="1977"/>
      <c r="F661" s="1977"/>
      <c r="G661" s="820"/>
    </row>
    <row r="662" spans="1:11" ht="12.75" customHeight="1">
      <c r="A662" s="796"/>
      <c r="B662" s="798"/>
      <c r="C662" s="830"/>
      <c r="D662" s="1977"/>
      <c r="E662" s="1977"/>
      <c r="F662" s="1977"/>
      <c r="G662" s="820"/>
    </row>
    <row r="663" spans="1:11" ht="12.75" customHeight="1">
      <c r="A663" s="796"/>
      <c r="B663" s="798"/>
      <c r="C663" s="830"/>
      <c r="D663" s="1977"/>
      <c r="E663" s="1977"/>
      <c r="F663" s="1977"/>
      <c r="G663" s="820"/>
    </row>
    <row r="664" spans="1:11" ht="12.75" customHeight="1">
      <c r="A664" s="796"/>
      <c r="B664" s="798"/>
      <c r="C664" s="830"/>
      <c r="D664" s="1977"/>
      <c r="E664" s="1977"/>
      <c r="F664" s="1977"/>
      <c r="G664" s="820"/>
    </row>
    <row r="665" spans="1:11" ht="12.75" customHeight="1">
      <c r="A665" s="796"/>
      <c r="B665" s="798"/>
      <c r="C665" s="830"/>
      <c r="D665" s="1977"/>
      <c r="E665" s="1977"/>
      <c r="F665" s="1977"/>
      <c r="G665" s="820"/>
    </row>
    <row r="666" spans="1:11" ht="12.75" customHeight="1">
      <c r="A666" s="796"/>
      <c r="B666" s="798"/>
      <c r="C666" s="830"/>
      <c r="D666" s="1977"/>
      <c r="E666" s="1977"/>
      <c r="F666" s="1977"/>
      <c r="G666" s="820"/>
    </row>
    <row r="667" spans="1:11">
      <c r="A667" s="830"/>
      <c r="B667" s="830"/>
      <c r="C667" s="830"/>
      <c r="D667" s="843"/>
      <c r="E667" s="843"/>
      <c r="F667" s="843"/>
      <c r="G667" s="820"/>
    </row>
    <row r="668" spans="1:11" ht="13">
      <c r="A668" s="1900" t="s">
        <v>1180</v>
      </c>
      <c r="B668" s="1900"/>
      <c r="C668" s="1900"/>
      <c r="D668" s="1900"/>
      <c r="E668" s="1900"/>
      <c r="F668" s="1900"/>
      <c r="G668" s="1900"/>
      <c r="H668" s="844"/>
      <c r="I668" s="844"/>
      <c r="J668" s="844"/>
      <c r="K668" s="844"/>
    </row>
    <row r="669" spans="1:11" ht="13">
      <c r="A669" s="736"/>
      <c r="B669" s="736"/>
      <c r="C669" s="736"/>
      <c r="D669" s="736"/>
      <c r="E669" s="736"/>
      <c r="F669" s="736"/>
      <c r="G669" s="736"/>
      <c r="H669" s="844"/>
      <c r="I669" s="844"/>
      <c r="J669" s="844"/>
      <c r="K669" s="844"/>
    </row>
    <row r="670" spans="1:11" ht="13">
      <c r="C670" s="842"/>
      <c r="D670" s="1890" t="s">
        <v>104</v>
      </c>
      <c r="E670" s="1890"/>
      <c r="F670" s="1890"/>
      <c r="G670" s="820"/>
      <c r="H670" s="844"/>
      <c r="I670" s="844"/>
      <c r="J670" s="844"/>
      <c r="K670" s="844"/>
    </row>
    <row r="671" spans="1:11" ht="13">
      <c r="A671" s="842"/>
      <c r="B671" s="842"/>
      <c r="C671" s="842"/>
      <c r="D671" s="1890" t="s">
        <v>128</v>
      </c>
      <c r="E671" s="1890"/>
      <c r="F671" s="1890"/>
      <c r="G671" s="820"/>
      <c r="H671" s="844"/>
      <c r="I671" s="844"/>
      <c r="J671" s="844"/>
      <c r="K671" s="844"/>
    </row>
    <row r="672" spans="1:11" ht="13">
      <c r="A672" s="796"/>
      <c r="B672" s="796"/>
      <c r="C672" s="796"/>
      <c r="D672" s="1940" t="s">
        <v>1216</v>
      </c>
      <c r="E672" s="1940"/>
      <c r="F672" s="1940"/>
      <c r="G672" s="820"/>
      <c r="H672" s="844"/>
      <c r="I672" s="844"/>
      <c r="J672" s="844"/>
      <c r="K672" s="844"/>
    </row>
    <row r="673" spans="1:11" ht="13">
      <c r="A673" s="796"/>
      <c r="B673" s="796"/>
      <c r="C673" s="796"/>
      <c r="G673" s="820"/>
      <c r="H673" s="844"/>
      <c r="I673" s="844"/>
      <c r="J673" s="844"/>
      <c r="K673" s="844"/>
    </row>
    <row r="674" spans="1:11" ht="13">
      <c r="A674" s="798"/>
      <c r="B674" s="799" t="s">
        <v>2612</v>
      </c>
      <c r="C674" s="796"/>
      <c r="D674" s="1940" t="s">
        <v>955</v>
      </c>
      <c r="E674" s="1940"/>
      <c r="F674" s="1940"/>
      <c r="G674" s="820"/>
      <c r="H674" s="844"/>
      <c r="I674" s="844"/>
      <c r="J674" s="844"/>
      <c r="K674" s="844"/>
    </row>
    <row r="675" spans="1:11" ht="13">
      <c r="A675" s="796"/>
      <c r="B675" s="796"/>
      <c r="C675" s="796"/>
      <c r="D675" s="1940" t="s">
        <v>966</v>
      </c>
      <c r="E675" s="1940"/>
      <c r="F675" s="1940"/>
      <c r="G675" s="820"/>
      <c r="H675" s="844"/>
      <c r="I675" s="844"/>
      <c r="J675" s="844"/>
      <c r="K675" s="844"/>
    </row>
    <row r="676" spans="1:11" ht="13">
      <c r="A676" s="796"/>
      <c r="B676" s="796"/>
      <c r="C676" s="796"/>
      <c r="D676" s="673"/>
      <c r="E676" s="2001" t="s">
        <v>1217</v>
      </c>
      <c r="F676" s="2001"/>
      <c r="G676" s="820"/>
      <c r="H676" s="844"/>
      <c r="I676" s="844"/>
      <c r="J676" s="844"/>
      <c r="K676" s="844"/>
    </row>
    <row r="677" spans="1:11" ht="13">
      <c r="A677" s="796"/>
      <c r="B677" s="796"/>
      <c r="C677" s="796"/>
      <c r="D677" s="673"/>
      <c r="E677" s="2001"/>
      <c r="F677" s="2001"/>
      <c r="G677" s="820"/>
      <c r="H677" s="844"/>
      <c r="I677" s="844"/>
      <c r="J677" s="844"/>
      <c r="K677" s="844"/>
    </row>
    <row r="678" spans="1:11" ht="13">
      <c r="A678" s="796"/>
      <c r="B678" s="796"/>
      <c r="C678" s="796"/>
      <c r="D678" s="845"/>
      <c r="E678" s="801"/>
      <c r="G678" s="820"/>
      <c r="H678" s="844"/>
      <c r="I678" s="844"/>
      <c r="J678" s="844"/>
      <c r="K678" s="844"/>
    </row>
    <row r="679" spans="1:11" ht="13">
      <c r="A679" s="798"/>
      <c r="B679" s="799" t="s">
        <v>2612</v>
      </c>
      <c r="C679" s="796"/>
      <c r="D679" s="1935" t="s">
        <v>1413</v>
      </c>
      <c r="E679" s="1935"/>
      <c r="F679" s="1935"/>
      <c r="G679" s="820"/>
      <c r="H679" s="844"/>
      <c r="I679" s="844"/>
      <c r="J679" s="844"/>
      <c r="K679" s="844"/>
    </row>
    <row r="680" spans="1:11" ht="13">
      <c r="A680" s="817"/>
      <c r="B680" s="817"/>
      <c r="C680" s="796"/>
      <c r="D680" s="1935"/>
      <c r="E680" s="1935"/>
      <c r="F680" s="1935"/>
      <c r="G680" s="820"/>
      <c r="H680" s="844"/>
      <c r="I680" s="844"/>
      <c r="J680" s="844"/>
      <c r="K680" s="844"/>
    </row>
    <row r="681" spans="1:11" ht="13">
      <c r="A681" s="796"/>
      <c r="B681" s="796"/>
      <c r="C681" s="796"/>
      <c r="D681" s="1935"/>
      <c r="E681" s="1935"/>
      <c r="F681" s="1935"/>
      <c r="G681" s="820"/>
      <c r="H681" s="844"/>
      <c r="I681" s="844"/>
      <c r="J681" s="844"/>
      <c r="K681" s="844"/>
    </row>
    <row r="682" spans="1:11" ht="13">
      <c r="A682" s="796"/>
      <c r="B682" s="796"/>
      <c r="C682" s="796"/>
      <c r="G682" s="820"/>
      <c r="H682" s="844"/>
      <c r="I682" s="844"/>
      <c r="J682" s="844"/>
      <c r="K682" s="844"/>
    </row>
    <row r="683" spans="1:11" ht="13">
      <c r="A683" s="798"/>
      <c r="B683" s="799" t="s">
        <v>2612</v>
      </c>
      <c r="C683" s="796"/>
      <c r="D683" s="1940" t="s">
        <v>995</v>
      </c>
      <c r="E683" s="1940"/>
      <c r="F683" s="1940"/>
      <c r="G683" s="820"/>
      <c r="H683" s="844"/>
      <c r="I683" s="844"/>
      <c r="J683" s="844"/>
      <c r="K683" s="844"/>
    </row>
    <row r="684" spans="1:11" ht="13">
      <c r="A684" s="798"/>
      <c r="B684" s="798"/>
      <c r="C684" s="796"/>
      <c r="D684" s="1940" t="s">
        <v>966</v>
      </c>
      <c r="E684" s="1940"/>
      <c r="F684" s="1940"/>
      <c r="G684" s="820"/>
      <c r="H684" s="844"/>
      <c r="I684" s="844"/>
      <c r="J684" s="844"/>
      <c r="K684" s="844"/>
    </row>
    <row r="685" spans="1:11" ht="13">
      <c r="A685" s="796"/>
      <c r="B685" s="796"/>
      <c r="C685" s="796"/>
      <c r="D685" s="673"/>
      <c r="E685" s="1982" t="s">
        <v>1219</v>
      </c>
      <c r="F685" s="1982"/>
      <c r="G685" s="820"/>
      <c r="H685" s="844"/>
      <c r="I685" s="844"/>
      <c r="J685" s="844"/>
      <c r="K685" s="844"/>
    </row>
    <row r="686" spans="1:11" ht="13">
      <c r="A686" s="796"/>
      <c r="B686" s="796"/>
      <c r="C686" s="796"/>
      <c r="D686" s="795"/>
      <c r="G686" s="820"/>
      <c r="H686" s="844"/>
      <c r="I686" s="844"/>
      <c r="J686" s="844"/>
      <c r="K686" s="844"/>
    </row>
    <row r="687" spans="1:11" ht="13">
      <c r="A687" s="798"/>
      <c r="B687" s="799" t="s">
        <v>2612</v>
      </c>
      <c r="C687" s="796"/>
      <c r="D687" s="1976" t="s">
        <v>1229</v>
      </c>
      <c r="E687" s="1976"/>
      <c r="F687" s="1976"/>
      <c r="G687" s="820"/>
      <c r="H687" s="844"/>
      <c r="I687" s="844"/>
      <c r="J687" s="844"/>
      <c r="K687" s="844"/>
    </row>
    <row r="688" spans="1:11" ht="13">
      <c r="A688" s="796"/>
      <c r="B688" s="796"/>
      <c r="C688" s="796"/>
      <c r="D688" s="1976"/>
      <c r="E688" s="1976"/>
      <c r="F688" s="1976"/>
      <c r="G688" s="820"/>
      <c r="H688" s="844"/>
      <c r="I688" s="844"/>
      <c r="J688" s="844"/>
      <c r="K688" s="844"/>
    </row>
    <row r="689" spans="1:11" ht="13">
      <c r="A689" s="796"/>
      <c r="B689" s="796"/>
      <c r="C689" s="796"/>
      <c r="D689" s="1976"/>
      <c r="E689" s="1976"/>
      <c r="F689" s="1976"/>
      <c r="G689" s="820"/>
      <c r="H689" s="844"/>
      <c r="I689" s="844"/>
      <c r="J689" s="844"/>
      <c r="K689" s="844"/>
    </row>
    <row r="690" spans="1:11" ht="13">
      <c r="A690" s="796"/>
      <c r="B690" s="796"/>
      <c r="C690" s="796"/>
      <c r="D690" s="1976"/>
      <c r="E690" s="1976"/>
      <c r="F690" s="1976"/>
      <c r="G690" s="820"/>
      <c r="H690" s="844"/>
      <c r="I690" s="844"/>
      <c r="J690" s="844"/>
      <c r="K690" s="844"/>
    </row>
    <row r="691" spans="1:11" ht="13">
      <c r="A691" s="796"/>
      <c r="B691" s="796"/>
      <c r="C691" s="796"/>
      <c r="D691" s="1976"/>
      <c r="E691" s="1976"/>
      <c r="F691" s="1976"/>
      <c r="G691" s="820"/>
      <c r="H691" s="844"/>
      <c r="I691" s="844"/>
      <c r="J691" s="844"/>
      <c r="K691" s="844"/>
    </row>
    <row r="692" spans="1:11" s="792" customFormat="1" ht="13">
      <c r="A692" s="836"/>
      <c r="B692" s="836"/>
      <c r="C692" s="836"/>
      <c r="D692" s="1976"/>
      <c r="E692" s="1976"/>
      <c r="F692" s="1976"/>
      <c r="G692" s="846"/>
      <c r="H692" s="847"/>
      <c r="I692" s="847"/>
      <c r="J692" s="847"/>
      <c r="K692" s="847"/>
    </row>
    <row r="693" spans="1:11" s="792" customFormat="1" ht="13">
      <c r="A693" s="836"/>
      <c r="B693" s="836"/>
      <c r="C693" s="836"/>
      <c r="D693" s="848"/>
      <c r="E693" s="848"/>
      <c r="F693" s="848"/>
      <c r="G693" s="846"/>
      <c r="H693" s="847"/>
      <c r="I693" s="847"/>
      <c r="J693" s="847"/>
      <c r="K693" s="847"/>
    </row>
    <row r="694" spans="1:11" s="792" customFormat="1" ht="13">
      <c r="A694" s="836"/>
      <c r="B694" s="799" t="s">
        <v>2611</v>
      </c>
      <c r="C694" s="836"/>
      <c r="D694" s="1976" t="s">
        <v>1415</v>
      </c>
      <c r="E694" s="1976"/>
      <c r="F694" s="1976"/>
      <c r="G694" s="846"/>
      <c r="H694" s="847"/>
      <c r="I694" s="847"/>
      <c r="J694" s="847"/>
      <c r="K694" s="847"/>
    </row>
    <row r="695" spans="1:11" s="792" customFormat="1" ht="13">
      <c r="A695" s="836"/>
      <c r="B695" s="836"/>
      <c r="C695" s="836"/>
      <c r="D695" s="1976"/>
      <c r="E695" s="1976"/>
      <c r="F695" s="1976"/>
      <c r="G695" s="846"/>
      <c r="H695" s="847"/>
      <c r="I695" s="847"/>
      <c r="J695" s="847"/>
      <c r="K695" s="847"/>
    </row>
    <row r="696" spans="1:11" s="792" customFormat="1" ht="13">
      <c r="A696" s="836"/>
      <c r="B696" s="836"/>
      <c r="C696" s="836"/>
      <c r="D696" s="848"/>
      <c r="E696" s="848"/>
      <c r="F696" s="848"/>
      <c r="G696" s="846"/>
      <c r="H696" s="847"/>
      <c r="I696" s="847"/>
      <c r="J696" s="847"/>
      <c r="K696" s="847"/>
    </row>
    <row r="697" spans="1:11" ht="13">
      <c r="A697" s="798"/>
      <c r="B697" s="799" t="s">
        <v>2611</v>
      </c>
      <c r="C697" s="796"/>
      <c r="D697" s="1976" t="s">
        <v>1220</v>
      </c>
      <c r="E697" s="1976"/>
      <c r="F697" s="1976"/>
      <c r="G697" s="820"/>
      <c r="H697" s="844"/>
      <c r="I697" s="844"/>
      <c r="J697" s="844"/>
      <c r="K697" s="844"/>
    </row>
    <row r="698" spans="1:11" ht="13">
      <c r="A698" s="796"/>
      <c r="B698" s="796"/>
      <c r="C698" s="796"/>
      <c r="D698" s="1976"/>
      <c r="E698" s="1976"/>
      <c r="F698" s="1976"/>
      <c r="G698" s="820"/>
      <c r="H698" s="844"/>
      <c r="I698" s="844"/>
      <c r="J698" s="844"/>
      <c r="K698" s="844"/>
    </row>
    <row r="699" spans="1:11" ht="13">
      <c r="A699" s="796"/>
      <c r="B699" s="796"/>
      <c r="C699" s="796"/>
      <c r="D699" s="1976"/>
      <c r="E699" s="1976"/>
      <c r="F699" s="1976"/>
      <c r="G699" s="820"/>
      <c r="H699" s="844"/>
      <c r="I699" s="844"/>
      <c r="J699" s="844"/>
      <c r="K699" s="844"/>
    </row>
    <row r="700" spans="1:11" ht="15" customHeight="1">
      <c r="A700" s="796"/>
      <c r="B700" s="796"/>
      <c r="C700" s="796"/>
      <c r="D700" s="1976"/>
      <c r="E700" s="1976"/>
      <c r="F700" s="1976"/>
      <c r="G700" s="820"/>
      <c r="H700" s="844"/>
      <c r="I700" s="844"/>
      <c r="J700" s="844"/>
      <c r="K700" s="844"/>
    </row>
    <row r="701" spans="1:11" ht="15" customHeight="1">
      <c r="A701" s="796"/>
      <c r="B701" s="796"/>
      <c r="C701" s="796"/>
      <c r="D701" s="1976"/>
      <c r="E701" s="1976"/>
      <c r="F701" s="1976"/>
      <c r="G701" s="820"/>
      <c r="H701" s="844"/>
      <c r="I701" s="844"/>
      <c r="J701" s="844"/>
      <c r="K701" s="844"/>
    </row>
    <row r="702" spans="1:11" ht="13">
      <c r="A702" s="796"/>
      <c r="B702" s="796"/>
      <c r="C702" s="796"/>
      <c r="D702" s="1976"/>
      <c r="E702" s="1976"/>
      <c r="F702" s="1976"/>
      <c r="G702" s="820"/>
      <c r="H702" s="844"/>
      <c r="I702" s="844"/>
      <c r="J702" s="844"/>
      <c r="K702" s="844"/>
    </row>
    <row r="703" spans="1:11" ht="13">
      <c r="A703" s="796"/>
      <c r="B703" s="796"/>
      <c r="C703" s="796"/>
      <c r="D703" s="1976"/>
      <c r="E703" s="1976"/>
      <c r="F703" s="1976"/>
      <c r="G703" s="820"/>
      <c r="H703" s="844"/>
      <c r="I703" s="844"/>
      <c r="J703" s="844"/>
      <c r="K703" s="844"/>
    </row>
    <row r="704" spans="1:11" ht="13">
      <c r="A704" s="796"/>
      <c r="B704" s="796"/>
      <c r="C704" s="796"/>
      <c r="D704" s="1976"/>
      <c r="E704" s="1976"/>
      <c r="F704" s="1976"/>
      <c r="G704" s="820"/>
      <c r="H704" s="844"/>
      <c r="I704" s="844"/>
      <c r="J704" s="844"/>
      <c r="K704" s="844"/>
    </row>
    <row r="705" spans="1:11" ht="15" customHeight="1">
      <c r="A705" s="796"/>
      <c r="B705" s="796"/>
      <c r="C705" s="796"/>
      <c r="D705" s="1976"/>
      <c r="E705" s="1976"/>
      <c r="F705" s="1976"/>
      <c r="G705" s="820"/>
      <c r="H705" s="844"/>
      <c r="I705" s="844"/>
      <c r="J705" s="844"/>
      <c r="K705" s="844"/>
    </row>
    <row r="706" spans="1:11" ht="13">
      <c r="A706" s="796"/>
      <c r="B706" s="796"/>
      <c r="C706" s="796"/>
      <c r="D706" s="1976"/>
      <c r="E706" s="1976"/>
      <c r="F706" s="1976"/>
      <c r="G706" s="820"/>
      <c r="H706" s="844"/>
      <c r="I706" s="844"/>
      <c r="J706" s="844"/>
      <c r="K706" s="844"/>
    </row>
    <row r="707" spans="1:11" ht="13">
      <c r="A707" s="796"/>
      <c r="B707" s="796"/>
      <c r="C707" s="796"/>
      <c r="D707" s="1976"/>
      <c r="E707" s="1976"/>
      <c r="F707" s="1976"/>
      <c r="G707" s="820"/>
      <c r="H707" s="844"/>
      <c r="I707" s="844"/>
      <c r="J707" s="844"/>
      <c r="K707" s="844"/>
    </row>
    <row r="708" spans="1:11" ht="13">
      <c r="A708" s="796"/>
      <c r="B708" s="796"/>
      <c r="C708" s="796"/>
      <c r="D708" s="1976"/>
      <c r="E708" s="1976"/>
      <c r="F708" s="1976"/>
      <c r="G708" s="820"/>
      <c r="H708" s="844"/>
      <c r="I708" s="844"/>
      <c r="J708" s="844"/>
      <c r="K708" s="844"/>
    </row>
    <row r="709" spans="1:11" ht="13">
      <c r="A709" s="796"/>
      <c r="B709" s="796"/>
      <c r="C709" s="796"/>
      <c r="D709" s="1976"/>
      <c r="E709" s="1976"/>
      <c r="F709" s="1976"/>
      <c r="G709" s="820"/>
      <c r="H709" s="844"/>
      <c r="I709" s="844"/>
      <c r="J709" s="844"/>
      <c r="K709" s="844"/>
    </row>
    <row r="710" spans="1:11" ht="13">
      <c r="A710" s="796"/>
      <c r="B710" s="799" t="s">
        <v>2611</v>
      </c>
      <c r="C710" s="796"/>
      <c r="D710" s="1976" t="s">
        <v>1227</v>
      </c>
      <c r="E710" s="1976"/>
      <c r="F710" s="1976"/>
      <c r="G710" s="820"/>
      <c r="H710" s="844"/>
      <c r="I710" s="844"/>
      <c r="J710" s="844"/>
      <c r="K710" s="844"/>
    </row>
    <row r="711" spans="1:11" ht="13">
      <c r="A711" s="796"/>
      <c r="B711" s="796"/>
      <c r="C711" s="796"/>
      <c r="D711" s="1976"/>
      <c r="E711" s="1976"/>
      <c r="F711" s="1976"/>
      <c r="G711" s="820"/>
      <c r="H711" s="844"/>
      <c r="I711" s="844"/>
      <c r="J711" s="844"/>
      <c r="K711" s="844"/>
    </row>
    <row r="712" spans="1:11" ht="13">
      <c r="A712" s="796"/>
      <c r="B712" s="796"/>
      <c r="C712" s="796"/>
      <c r="D712" s="848"/>
      <c r="E712" s="848"/>
      <c r="F712" s="848"/>
      <c r="G712" s="820"/>
      <c r="H712" s="844"/>
      <c r="I712" s="844"/>
      <c r="J712" s="844"/>
      <c r="K712" s="844"/>
    </row>
    <row r="713" spans="1:11" ht="13">
      <c r="A713" s="796"/>
      <c r="B713" s="1793" t="s">
        <v>2611</v>
      </c>
      <c r="C713" s="796"/>
      <c r="D713" s="1976" t="s">
        <v>1228</v>
      </c>
      <c r="E713" s="1976"/>
      <c r="F713" s="1976"/>
      <c r="G713" s="820"/>
      <c r="H713" s="844"/>
      <c r="I713" s="844"/>
      <c r="J713" s="844"/>
      <c r="K713" s="844"/>
    </row>
    <row r="714" spans="1:11" ht="13">
      <c r="A714" s="796"/>
      <c r="B714" s="796"/>
      <c r="C714" s="796"/>
      <c r="D714" s="1976"/>
      <c r="E714" s="1976"/>
      <c r="F714" s="1976"/>
      <c r="G714" s="820"/>
      <c r="H714" s="844"/>
      <c r="I714" s="844"/>
      <c r="J714" s="844"/>
      <c r="K714" s="844"/>
    </row>
    <row r="715" spans="1:11" ht="13">
      <c r="A715" s="796"/>
      <c r="B715" s="796"/>
      <c r="C715" s="796"/>
      <c r="D715" s="1976"/>
      <c r="E715" s="1976"/>
      <c r="F715" s="1976"/>
      <c r="G715" s="820"/>
      <c r="H715" s="844"/>
      <c r="I715" s="844"/>
      <c r="J715" s="844"/>
      <c r="K715" s="844"/>
    </row>
    <row r="716" spans="1:11" ht="13">
      <c r="A716" s="796"/>
      <c r="B716" s="796"/>
      <c r="C716" s="796"/>
      <c r="D716" s="848"/>
      <c r="E716" s="848"/>
      <c r="F716" s="848"/>
      <c r="G716" s="820"/>
      <c r="H716" s="844"/>
      <c r="I716" s="844"/>
      <c r="J716" s="844"/>
      <c r="K716" s="844"/>
    </row>
    <row r="717" spans="1:11" ht="13">
      <c r="A717" s="796"/>
      <c r="B717" s="1793" t="s">
        <v>2611</v>
      </c>
      <c r="C717" s="796"/>
      <c r="D717" s="1976" t="s">
        <v>1221</v>
      </c>
      <c r="E717" s="1976"/>
      <c r="F717" s="1976"/>
      <c r="G717" s="820"/>
      <c r="H717" s="844"/>
      <c r="I717" s="844"/>
      <c r="J717" s="844"/>
      <c r="K717" s="844"/>
    </row>
    <row r="718" spans="1:11" ht="13">
      <c r="A718" s="796"/>
      <c r="B718" s="796"/>
      <c r="C718" s="796"/>
      <c r="D718" s="1976"/>
      <c r="E718" s="1976"/>
      <c r="F718" s="1976"/>
      <c r="G718" s="820"/>
      <c r="H718" s="844"/>
      <c r="I718" s="844"/>
      <c r="J718" s="844"/>
      <c r="K718" s="844"/>
    </row>
    <row r="719" spans="1:11" ht="13">
      <c r="A719" s="796"/>
      <c r="B719" s="796"/>
      <c r="C719" s="796"/>
      <c r="D719" s="1976"/>
      <c r="E719" s="1976"/>
      <c r="F719" s="1976"/>
      <c r="G719" s="820"/>
      <c r="H719" s="844"/>
      <c r="I719" s="844"/>
      <c r="J719" s="844"/>
      <c r="K719" s="844"/>
    </row>
    <row r="720" spans="1:11" ht="13">
      <c r="A720" s="796"/>
      <c r="B720" s="796"/>
      <c r="C720" s="796"/>
      <c r="D720" s="803"/>
      <c r="G720" s="820"/>
      <c r="H720" s="844"/>
      <c r="I720" s="844"/>
      <c r="J720" s="844"/>
      <c r="K720" s="844"/>
    </row>
    <row r="721" spans="1:11" ht="13">
      <c r="A721" s="796"/>
      <c r="B721" s="1793" t="s">
        <v>2611</v>
      </c>
      <c r="C721" s="796"/>
      <c r="D721" s="1976" t="s">
        <v>1222</v>
      </c>
      <c r="E721" s="1976"/>
      <c r="F721" s="1976"/>
      <c r="G721" s="820"/>
      <c r="H721" s="844"/>
      <c r="I721" s="844"/>
      <c r="J721" s="844"/>
      <c r="K721" s="844"/>
    </row>
    <row r="722" spans="1:11" ht="13">
      <c r="A722" s="796"/>
      <c r="B722" s="796"/>
      <c r="C722" s="796"/>
      <c r="D722" s="1976"/>
      <c r="E722" s="1976"/>
      <c r="F722" s="1976"/>
      <c r="G722" s="820"/>
      <c r="H722" s="844"/>
      <c r="I722" s="844"/>
      <c r="J722" s="844"/>
      <c r="K722" s="844"/>
    </row>
    <row r="723" spans="1:11" ht="13">
      <c r="A723" s="796"/>
      <c r="B723" s="796"/>
      <c r="C723" s="796"/>
      <c r="D723" s="1976"/>
      <c r="E723" s="1976"/>
      <c r="F723" s="1976"/>
      <c r="G723" s="820"/>
      <c r="H723" s="844"/>
      <c r="I723" s="844"/>
      <c r="J723" s="844"/>
      <c r="K723" s="844"/>
    </row>
    <row r="724" spans="1:11" ht="13">
      <c r="A724" s="796"/>
      <c r="B724" s="796"/>
      <c r="C724" s="796"/>
      <c r="D724" s="791"/>
      <c r="G724" s="820"/>
      <c r="H724" s="844"/>
      <c r="I724" s="844"/>
      <c r="J724" s="844"/>
      <c r="K724" s="844"/>
    </row>
    <row r="725" spans="1:11" ht="13">
      <c r="A725" s="798"/>
      <c r="B725" s="1793" t="s">
        <v>2611</v>
      </c>
      <c r="C725" s="796"/>
      <c r="D725" s="1935" t="s">
        <v>1223</v>
      </c>
      <c r="E725" s="1935"/>
      <c r="F725" s="1935"/>
      <c r="G725" s="820"/>
      <c r="H725" s="844"/>
      <c r="I725" s="844"/>
      <c r="J725" s="844"/>
      <c r="K725" s="844"/>
    </row>
    <row r="726" spans="1:11" ht="13">
      <c r="A726" s="796"/>
      <c r="B726" s="796"/>
      <c r="C726" s="796"/>
      <c r="D726" s="1935"/>
      <c r="E726" s="1935"/>
      <c r="F726" s="1935"/>
      <c r="G726" s="820"/>
      <c r="H726" s="844"/>
      <c r="I726" s="844"/>
      <c r="J726" s="844"/>
      <c r="K726" s="844"/>
    </row>
    <row r="727" spans="1:11" ht="13">
      <c r="A727" s="796"/>
      <c r="B727" s="796"/>
      <c r="C727" s="796"/>
      <c r="D727" s="1935"/>
      <c r="E727" s="1935"/>
      <c r="F727" s="1935"/>
      <c r="G727" s="820"/>
      <c r="H727" s="844"/>
      <c r="I727" s="844"/>
      <c r="J727" s="844"/>
      <c r="K727" s="844"/>
    </row>
    <row r="728" spans="1:11" ht="13">
      <c r="A728" s="796"/>
      <c r="B728" s="796"/>
      <c r="C728" s="796"/>
      <c r="D728" s="1935"/>
      <c r="E728" s="1935"/>
      <c r="F728" s="1935"/>
      <c r="G728" s="820"/>
      <c r="H728" s="844"/>
      <c r="I728" s="844"/>
      <c r="J728" s="844"/>
      <c r="K728" s="844"/>
    </row>
    <row r="729" spans="1:11" ht="13">
      <c r="A729" s="796"/>
      <c r="B729" s="796"/>
      <c r="C729" s="796"/>
      <c r="D729" s="823"/>
      <c r="G729" s="820"/>
      <c r="H729" s="844"/>
      <c r="I729" s="844"/>
      <c r="J729" s="844"/>
      <c r="K729" s="844"/>
    </row>
    <row r="730" spans="1:11" ht="13">
      <c r="A730" s="798"/>
      <c r="B730" s="1793" t="s">
        <v>2611</v>
      </c>
      <c r="C730" s="796"/>
      <c r="D730" s="1976" t="s">
        <v>1356</v>
      </c>
      <c r="E730" s="1976"/>
      <c r="F730" s="1976"/>
      <c r="G730" s="820"/>
      <c r="H730" s="844"/>
      <c r="I730" s="844"/>
      <c r="J730" s="844"/>
      <c r="K730" s="844"/>
    </row>
    <row r="731" spans="1:11" ht="13">
      <c r="A731" s="796"/>
      <c r="B731" s="796"/>
      <c r="C731" s="796"/>
      <c r="D731" s="1976"/>
      <c r="E731" s="1976"/>
      <c r="F731" s="1976"/>
      <c r="G731" s="820"/>
      <c r="H731" s="844"/>
      <c r="I731" s="844"/>
      <c r="J731" s="844"/>
      <c r="K731" s="844"/>
    </row>
    <row r="732" spans="1:11" ht="13">
      <c r="A732" s="796"/>
      <c r="B732" s="796"/>
      <c r="C732" s="796"/>
      <c r="D732" s="1976"/>
      <c r="E732" s="1976"/>
      <c r="F732" s="1976"/>
      <c r="G732" s="820"/>
      <c r="H732" s="844"/>
      <c r="I732" s="844"/>
      <c r="J732" s="844"/>
      <c r="K732" s="844"/>
    </row>
    <row r="733" spans="1:11" ht="13">
      <c r="A733" s="796"/>
      <c r="B733" s="796"/>
      <c r="C733" s="796"/>
      <c r="D733" s="1976"/>
      <c r="E733" s="1976"/>
      <c r="F733" s="1976"/>
      <c r="G733" s="820"/>
      <c r="H733" s="844"/>
      <c r="I733" s="844"/>
      <c r="J733" s="844"/>
      <c r="K733" s="844"/>
    </row>
    <row r="734" spans="1:11" ht="13">
      <c r="A734" s="796"/>
      <c r="B734" s="796"/>
      <c r="C734" s="796"/>
      <c r="D734" s="1976"/>
      <c r="E734" s="1976"/>
      <c r="F734" s="1976"/>
      <c r="G734" s="820"/>
      <c r="H734" s="844"/>
      <c r="I734" s="844"/>
      <c r="J734" s="844"/>
      <c r="K734" s="844"/>
    </row>
    <row r="735" spans="1:11" ht="13">
      <c r="A735" s="796"/>
      <c r="B735" s="796"/>
      <c r="C735" s="796"/>
      <c r="D735" s="1976"/>
      <c r="E735" s="1976"/>
      <c r="F735" s="1976"/>
      <c r="G735" s="820"/>
      <c r="H735" s="844"/>
      <c r="I735" s="844"/>
      <c r="J735" s="844"/>
      <c r="K735" s="844"/>
    </row>
    <row r="736" spans="1:11" ht="13">
      <c r="A736" s="796"/>
      <c r="B736" s="796"/>
      <c r="C736" s="796"/>
      <c r="D736" s="1976"/>
      <c r="E736" s="1976"/>
      <c r="F736" s="1976"/>
      <c r="G736" s="820"/>
      <c r="H736" s="844"/>
      <c r="I736" s="844"/>
      <c r="J736" s="844"/>
      <c r="K736" s="844"/>
    </row>
    <row r="737" spans="1:11" ht="13">
      <c r="A737" s="796"/>
      <c r="B737" s="796"/>
      <c r="C737" s="796"/>
      <c r="D737" s="1908" t="s">
        <v>1224</v>
      </c>
      <c r="E737" s="1908"/>
      <c r="F737" s="1908"/>
      <c r="G737" s="820"/>
      <c r="H737" s="844"/>
      <c r="I737" s="844"/>
      <c r="J737" s="844"/>
      <c r="K737" s="844"/>
    </row>
    <row r="738" spans="1:11" ht="13">
      <c r="A738" s="796"/>
      <c r="B738" s="796"/>
      <c r="C738" s="796"/>
      <c r="D738" s="783"/>
      <c r="G738" s="820"/>
      <c r="H738" s="844"/>
      <c r="I738" s="844"/>
      <c r="J738" s="844"/>
      <c r="K738" s="844"/>
    </row>
    <row r="739" spans="1:11" ht="13">
      <c r="A739" s="1901" t="s">
        <v>1181</v>
      </c>
      <c r="B739" s="1901"/>
      <c r="C739" s="1901"/>
      <c r="D739" s="1901"/>
      <c r="E739" s="1901"/>
      <c r="F739" s="1901"/>
      <c r="G739" s="1901"/>
      <c r="H739" s="844"/>
      <c r="I739" s="844"/>
      <c r="J739" s="844"/>
      <c r="K739" s="844"/>
    </row>
    <row r="740" spans="1:11" ht="13">
      <c r="A740" s="796"/>
      <c r="B740" s="796"/>
      <c r="C740" s="796"/>
      <c r="D740" s="823"/>
      <c r="G740" s="849"/>
      <c r="H740" s="844"/>
      <c r="I740" s="844"/>
      <c r="J740" s="844"/>
      <c r="K740" s="844"/>
    </row>
    <row r="741" spans="1:11" ht="13.75" customHeight="1">
      <c r="C741" s="796"/>
      <c r="D741" s="1971" t="s">
        <v>1197</v>
      </c>
      <c r="E741" s="1971"/>
      <c r="F741" s="1971"/>
      <c r="G741" s="849"/>
      <c r="H741" s="844"/>
      <c r="I741" s="844"/>
      <c r="J741" s="844"/>
      <c r="K741" s="844"/>
    </row>
    <row r="742" spans="1:11" ht="13">
      <c r="A742" s="796"/>
      <c r="B742" s="796"/>
      <c r="C742" s="796"/>
      <c r="D742" s="1914" t="s">
        <v>1198</v>
      </c>
      <c r="E742" s="1914"/>
      <c r="F742" s="1914"/>
      <c r="G742" s="849"/>
      <c r="H742" s="844"/>
      <c r="I742" s="844"/>
      <c r="J742" s="844"/>
      <c r="K742" s="844"/>
    </row>
    <row r="743" spans="1:11" ht="13">
      <c r="A743" s="796"/>
      <c r="B743" s="796"/>
      <c r="C743" s="796"/>
      <c r="G743" s="849"/>
      <c r="H743" s="844"/>
      <c r="I743" s="844"/>
      <c r="J743" s="844"/>
      <c r="K743" s="844"/>
    </row>
    <row r="744" spans="1:11" s="792" customFormat="1" ht="13">
      <c r="A744" s="798"/>
      <c r="B744" s="799" t="s">
        <v>2612</v>
      </c>
      <c r="C744" s="789"/>
      <c r="D744" s="1935" t="s">
        <v>1199</v>
      </c>
      <c r="E744" s="1935"/>
      <c r="F744" s="1935"/>
      <c r="G744" s="849"/>
      <c r="H744" s="847"/>
      <c r="I744" s="847"/>
      <c r="J744" s="847"/>
      <c r="K744" s="847"/>
    </row>
    <row r="745" spans="1:11" s="792" customFormat="1" ht="10.5" customHeight="1">
      <c r="A745" s="789"/>
      <c r="B745" s="789"/>
      <c r="C745" s="789"/>
      <c r="D745" s="1935"/>
      <c r="E745" s="1935"/>
      <c r="F745" s="1935"/>
      <c r="G745" s="849"/>
      <c r="H745" s="847"/>
      <c r="I745" s="847"/>
      <c r="J745" s="847"/>
      <c r="K745" s="847"/>
    </row>
    <row r="746" spans="1:11" s="792" customFormat="1">
      <c r="A746" s="789"/>
      <c r="B746" s="789"/>
      <c r="C746" s="789"/>
      <c r="D746" s="1935"/>
      <c r="E746" s="1935"/>
      <c r="F746" s="1935"/>
      <c r="G746" s="849"/>
      <c r="H746" s="847"/>
      <c r="I746" s="847"/>
      <c r="J746" s="847"/>
      <c r="K746" s="847"/>
    </row>
    <row r="747" spans="1:11">
      <c r="D747" s="1935"/>
      <c r="E747" s="1935"/>
      <c r="F747" s="1935"/>
      <c r="G747" s="849"/>
      <c r="H747" s="844"/>
      <c r="I747" s="844"/>
      <c r="J747" s="844"/>
      <c r="K747" s="844"/>
    </row>
    <row r="748" spans="1:11">
      <c r="A748" s="802"/>
      <c r="B748" s="802"/>
      <c r="C748" s="802"/>
      <c r="D748" s="1935"/>
      <c r="E748" s="1935"/>
      <c r="F748" s="1935"/>
      <c r="G748" s="850"/>
      <c r="H748" s="844"/>
      <c r="I748" s="844"/>
      <c r="J748" s="844"/>
      <c r="K748" s="844"/>
    </row>
    <row r="749" spans="1:11" ht="15.75" customHeight="1">
      <c r="A749" s="802"/>
      <c r="B749" s="802"/>
      <c r="C749" s="802"/>
      <c r="D749" s="1935"/>
      <c r="E749" s="1935"/>
      <c r="F749" s="1935"/>
      <c r="G749" s="850"/>
      <c r="H749" s="844"/>
      <c r="I749" s="844"/>
      <c r="J749" s="844"/>
      <c r="K749" s="844"/>
    </row>
    <row r="750" spans="1:11">
      <c r="A750" s="802"/>
      <c r="B750" s="802"/>
      <c r="C750" s="802"/>
      <c r="D750" s="839"/>
      <c r="E750" s="851"/>
      <c r="F750" s="851"/>
      <c r="G750" s="850"/>
      <c r="H750" s="844"/>
      <c r="I750" s="844"/>
      <c r="J750" s="844"/>
      <c r="K750" s="844"/>
    </row>
    <row r="751" spans="1:11" s="855" customFormat="1" ht="13">
      <c r="A751" s="852"/>
      <c r="B751" s="799" t="s">
        <v>2612</v>
      </c>
      <c r="C751" s="853"/>
      <c r="D751" s="1892" t="s">
        <v>1467</v>
      </c>
      <c r="E751" s="1892"/>
      <c r="F751" s="1892"/>
      <c r="G751" s="854"/>
    </row>
    <row r="752" spans="1:11" s="855" customFormat="1">
      <c r="A752" s="853"/>
      <c r="B752" s="853"/>
      <c r="C752" s="853"/>
      <c r="D752" s="1892"/>
      <c r="E752" s="1892"/>
      <c r="F752" s="1892"/>
      <c r="G752" s="854"/>
    </row>
    <row r="753" spans="1:11" s="855" customFormat="1">
      <c r="A753" s="853"/>
      <c r="B753" s="853"/>
      <c r="C753" s="853"/>
      <c r="D753" s="1892"/>
      <c r="E753" s="1892"/>
      <c r="F753" s="1892"/>
      <c r="G753" s="854"/>
    </row>
    <row r="754" spans="1:11" s="855" customFormat="1">
      <c r="A754" s="853"/>
      <c r="B754" s="853"/>
      <c r="C754" s="853"/>
      <c r="D754" s="1892"/>
      <c r="E754" s="1892"/>
      <c r="F754" s="1892"/>
      <c r="G754" s="854"/>
    </row>
    <row r="755" spans="1:11" s="855" customFormat="1">
      <c r="A755" s="853"/>
      <c r="B755" s="853"/>
      <c r="C755" s="853"/>
      <c r="D755" s="839"/>
      <c r="E755" s="854"/>
      <c r="F755" s="854"/>
      <c r="G755" s="854"/>
    </row>
    <row r="756" spans="1:11" s="855" customFormat="1" ht="13">
      <c r="A756" s="798"/>
      <c r="B756" s="799" t="s">
        <v>2611</v>
      </c>
      <c r="C756" s="853"/>
      <c r="D756" s="2002" t="s">
        <v>1468</v>
      </c>
      <c r="E756" s="2002"/>
      <c r="F756" s="2002"/>
      <c r="G756" s="854"/>
    </row>
    <row r="757" spans="1:11" s="855" customFormat="1">
      <c r="A757" s="853"/>
      <c r="B757" s="853"/>
      <c r="C757" s="853"/>
      <c r="D757" s="2002"/>
      <c r="E757" s="2002"/>
      <c r="F757" s="2002"/>
      <c r="G757" s="854"/>
    </row>
    <row r="758" spans="1:11" s="855" customFormat="1">
      <c r="A758" s="853"/>
      <c r="B758" s="853"/>
      <c r="C758" s="853"/>
      <c r="D758" s="2002"/>
      <c r="E758" s="2002"/>
      <c r="F758" s="2002"/>
      <c r="G758" s="854"/>
    </row>
    <row r="759" spans="1:11">
      <c r="A759" s="802"/>
      <c r="B759" s="802"/>
      <c r="C759" s="802"/>
      <c r="D759" s="839"/>
      <c r="E759" s="851"/>
      <c r="F759" s="851"/>
      <c r="G759" s="850"/>
      <c r="H759" s="844"/>
      <c r="I759" s="844"/>
      <c r="J759" s="844"/>
      <c r="K759" s="844"/>
    </row>
    <row r="760" spans="1:11" ht="13">
      <c r="A760" s="798"/>
      <c r="B760" s="799" t="s">
        <v>2611</v>
      </c>
      <c r="C760" s="802"/>
      <c r="D760" s="1892" t="s">
        <v>1410</v>
      </c>
      <c r="E760" s="1892"/>
      <c r="F760" s="1892"/>
      <c r="G760" s="850"/>
      <c r="H760" s="844"/>
      <c r="I760" s="844"/>
      <c r="J760" s="844"/>
      <c r="K760" s="844"/>
    </row>
    <row r="761" spans="1:11">
      <c r="A761" s="802"/>
      <c r="B761" s="802"/>
      <c r="C761" s="802"/>
      <c r="D761" s="1892"/>
      <c r="E761" s="1892"/>
      <c r="F761" s="1892"/>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2611</v>
      </c>
      <c r="C763" s="802"/>
      <c r="D763" s="1892" t="s">
        <v>1432</v>
      </c>
      <c r="E763" s="1892"/>
      <c r="F763" s="1892"/>
      <c r="G763" s="850"/>
      <c r="H763" s="844"/>
      <c r="I763" s="844"/>
      <c r="J763" s="844"/>
      <c r="K763" s="844"/>
    </row>
    <row r="764" spans="1:11">
      <c r="A764" s="802"/>
      <c r="B764" s="802"/>
      <c r="C764" s="802"/>
      <c r="D764" s="1892"/>
      <c r="E764" s="1892"/>
      <c r="F764" s="1892"/>
      <c r="G764" s="850"/>
      <c r="H764" s="844"/>
      <c r="I764" s="844"/>
      <c r="J764" s="844"/>
      <c r="K764" s="844"/>
    </row>
    <row r="765" spans="1:11">
      <c r="A765" s="802"/>
      <c r="B765" s="802"/>
      <c r="C765" s="802"/>
      <c r="D765" s="1892"/>
      <c r="E765" s="1892"/>
      <c r="F765" s="1892"/>
      <c r="G765" s="850"/>
      <c r="H765" s="844"/>
      <c r="I765" s="844"/>
      <c r="J765" s="844"/>
      <c r="K765" s="844"/>
    </row>
    <row r="766" spans="1:11">
      <c r="A766" s="802"/>
      <c r="B766" s="802"/>
      <c r="C766" s="802"/>
      <c r="D766" s="782"/>
      <c r="E766" s="782"/>
      <c r="F766" s="782"/>
      <c r="G766" s="850"/>
      <c r="H766" s="844"/>
      <c r="I766" s="844"/>
      <c r="J766" s="844"/>
      <c r="K766" s="844"/>
    </row>
    <row r="767" spans="1:11" ht="13">
      <c r="A767" s="1983" t="s">
        <v>2381</v>
      </c>
      <c r="B767" s="1983"/>
      <c r="C767" s="1983"/>
      <c r="D767" s="1983"/>
      <c r="E767" s="1983"/>
      <c r="F767" s="1983"/>
      <c r="G767" s="1983"/>
    </row>
    <row r="768" spans="1:11" ht="13">
      <c r="A768" s="93"/>
      <c r="B768" s="93"/>
      <c r="C768" s="1739"/>
      <c r="D768" s="155"/>
      <c r="E768" s="155"/>
      <c r="F768" s="155"/>
      <c r="G768" s="687"/>
    </row>
    <row r="769" spans="1:7" ht="13">
      <c r="A769" s="93"/>
      <c r="B769" s="93"/>
      <c r="C769" s="1739"/>
      <c r="D769" s="1984" t="s">
        <v>2448</v>
      </c>
      <c r="E769" s="1984"/>
      <c r="F769" s="1984"/>
      <c r="G769" s="687"/>
    </row>
    <row r="770" spans="1:7" ht="13">
      <c r="A770" s="93"/>
      <c r="B770" s="93"/>
      <c r="C770" s="1739"/>
      <c r="D770" s="1985" t="s">
        <v>2284</v>
      </c>
      <c r="E770" s="1985"/>
      <c r="F770" s="1985"/>
      <c r="G770" s="687"/>
    </row>
    <row r="771" spans="1:7" ht="13">
      <c r="A771" s="93"/>
      <c r="B771" s="93"/>
      <c r="C771" s="1739"/>
      <c r="D771" s="734"/>
      <c r="E771" s="734"/>
      <c r="F771" s="734"/>
      <c r="G771" s="687"/>
    </row>
    <row r="772" spans="1:7" ht="13">
      <c r="A772" s="93"/>
      <c r="B772" s="799" t="s">
        <v>2612</v>
      </c>
      <c r="C772" s="1739"/>
      <c r="D772" s="1919" t="s">
        <v>2285</v>
      </c>
      <c r="E772" s="1919"/>
      <c r="F772" s="1919"/>
      <c r="G772" s="687"/>
    </row>
    <row r="773" spans="1:7" ht="13">
      <c r="A773" s="93"/>
      <c r="B773" s="93"/>
      <c r="C773" s="1739"/>
      <c r="D773" s="1919"/>
      <c r="E773" s="1919"/>
      <c r="F773" s="1919"/>
      <c r="G773" s="687"/>
    </row>
    <row r="774" spans="1:7" ht="13">
      <c r="A774" s="721"/>
      <c r="B774" s="721"/>
      <c r="C774" s="314"/>
      <c r="D774" s="1919"/>
      <c r="E774" s="1919"/>
      <c r="F774" s="1919"/>
      <c r="G774" s="1740"/>
    </row>
    <row r="775" spans="1:7" ht="13">
      <c r="A775" s="1733"/>
      <c r="B775" s="1733"/>
      <c r="C775" s="1741"/>
      <c r="D775" s="1716"/>
      <c r="E775" s="687"/>
      <c r="F775" s="687"/>
      <c r="G775" s="687"/>
    </row>
    <row r="776" spans="1:7" ht="13">
      <c r="A776" s="267"/>
      <c r="B776" s="799" t="s">
        <v>2611</v>
      </c>
      <c r="C776" s="1742"/>
      <c r="D776" s="1919" t="s">
        <v>2286</v>
      </c>
      <c r="E776" s="1919"/>
      <c r="F776" s="1919"/>
      <c r="G776" s="687"/>
    </row>
    <row r="777" spans="1:7" ht="13">
      <c r="A777" s="1743"/>
      <c r="B777" s="1743"/>
      <c r="C777" s="1744"/>
      <c r="D777" s="1919"/>
      <c r="E777" s="1919"/>
      <c r="F777" s="1919"/>
      <c r="G777" s="687"/>
    </row>
    <row r="778" spans="1:7" ht="13">
      <c r="A778" s="267"/>
      <c r="B778" s="267"/>
      <c r="C778" s="1742"/>
      <c r="D778" s="1919"/>
      <c r="E778" s="1919"/>
      <c r="F778" s="1919"/>
      <c r="G778" s="687"/>
    </row>
    <row r="779" spans="1:7" ht="13">
      <c r="A779" s="721"/>
      <c r="B779" s="721"/>
      <c r="C779" s="314"/>
      <c r="D779" s="6"/>
      <c r="E779" s="1745"/>
      <c r="F779" s="1745"/>
      <c r="G779" s="1746"/>
    </row>
    <row r="780" spans="1:7" ht="13">
      <c r="A780" s="715"/>
      <c r="B780" s="799" t="s">
        <v>2611</v>
      </c>
      <c r="C780" s="1747"/>
      <c r="D780" s="1919" t="s">
        <v>2287</v>
      </c>
      <c r="E780" s="1919"/>
      <c r="F780" s="1919"/>
      <c r="G780" s="1746"/>
    </row>
    <row r="781" spans="1:7" ht="13">
      <c r="A781" s="715"/>
      <c r="B781" s="715"/>
      <c r="C781" s="1747"/>
      <c r="D781" s="1919"/>
      <c r="E781" s="1919"/>
      <c r="F781" s="1919"/>
      <c r="G781" s="1746"/>
    </row>
    <row r="782" spans="1:7" ht="13">
      <c r="A782" s="715"/>
      <c r="B782" s="715"/>
      <c r="C782" s="1747"/>
      <c r="D782" s="1919"/>
      <c r="E782" s="1919"/>
      <c r="F782" s="1919"/>
      <c r="G782" s="1746"/>
    </row>
    <row r="783" spans="1:7" ht="13">
      <c r="A783" s="715"/>
      <c r="B783" s="715"/>
      <c r="C783" s="1747"/>
      <c r="D783" s="1713"/>
      <c r="E783" s="6"/>
      <c r="F783" s="6"/>
      <c r="G783" s="1746"/>
    </row>
    <row r="784" spans="1:7" ht="13">
      <c r="A784" s="715"/>
      <c r="B784" s="799" t="s">
        <v>2611</v>
      </c>
      <c r="C784" s="1747"/>
      <c r="D784" s="1919" t="s">
        <v>2288</v>
      </c>
      <c r="E784" s="1919"/>
      <c r="F784" s="1919"/>
      <c r="G784" s="1746"/>
    </row>
    <row r="785" spans="1:7" ht="13">
      <c r="A785" s="715"/>
      <c r="B785" s="715"/>
      <c r="C785" s="1747"/>
      <c r="D785" s="1919"/>
      <c r="E785" s="1919"/>
      <c r="F785" s="1919"/>
      <c r="G785" s="1746"/>
    </row>
    <row r="786" spans="1:7" ht="13">
      <c r="A786" s="715"/>
      <c r="B786" s="715"/>
      <c r="C786" s="1747"/>
      <c r="D786" s="1919"/>
      <c r="E786" s="1919"/>
      <c r="F786" s="1919"/>
      <c r="G786" s="1746"/>
    </row>
    <row r="787" spans="1:7" ht="13">
      <c r="A787" s="715"/>
      <c r="B787" s="715"/>
      <c r="C787" s="1747"/>
      <c r="D787" s="1919"/>
      <c r="E787" s="1919"/>
      <c r="F787" s="1919"/>
      <c r="G787" s="1746"/>
    </row>
    <row r="788" spans="1:7" ht="13">
      <c r="A788" s="715"/>
      <c r="B788" s="715"/>
      <c r="C788" s="1747"/>
      <c r="D788" s="1919"/>
      <c r="E788" s="1919"/>
      <c r="F788" s="1919"/>
      <c r="G788" s="1746"/>
    </row>
    <row r="789" spans="1:7" ht="13">
      <c r="A789" s="715"/>
      <c r="B789" s="715"/>
      <c r="C789" s="1747"/>
      <c r="D789" s="1919"/>
      <c r="E789" s="1919"/>
      <c r="F789" s="1919"/>
      <c r="G789" s="1746"/>
    </row>
    <row r="790" spans="1:7" ht="13">
      <c r="A790" s="715"/>
      <c r="B790" s="715"/>
      <c r="C790" s="1747"/>
      <c r="D790" s="1919" t="s">
        <v>2382</v>
      </c>
      <c r="E790" s="1919"/>
      <c r="F790" s="1919"/>
      <c r="G790" s="1746"/>
    </row>
    <row r="791" spans="1:7" ht="13">
      <c r="A791" s="715"/>
      <c r="B791" s="715"/>
      <c r="C791" s="1747"/>
      <c r="D791" s="1919"/>
      <c r="E791" s="1919"/>
      <c r="F791" s="1919"/>
      <c r="G791" s="1746"/>
    </row>
    <row r="792" spans="1:7" ht="13">
      <c r="A792" s="715"/>
      <c r="B792" s="715"/>
      <c r="C792" s="1747"/>
      <c r="D792" s="1919"/>
      <c r="E792" s="1919"/>
      <c r="F792" s="1919"/>
      <c r="G792" s="1746"/>
    </row>
    <row r="793" spans="1:7" ht="13">
      <c r="A793" s="715"/>
      <c r="B793" s="557"/>
      <c r="C793" s="1747"/>
      <c r="D793" s="1748"/>
      <c r="E793" s="1748"/>
      <c r="F793" s="1748"/>
      <c r="G793" s="1746"/>
    </row>
    <row r="794" spans="1:7" ht="13">
      <c r="A794" s="715"/>
      <c r="B794" s="799" t="s">
        <v>2611</v>
      </c>
      <c r="C794" s="1747"/>
      <c r="D794" s="1919" t="s">
        <v>2289</v>
      </c>
      <c r="E794" s="1919"/>
      <c r="F794" s="1919"/>
      <c r="G794" s="1746"/>
    </row>
    <row r="795" spans="1:7" ht="13">
      <c r="A795" s="715"/>
      <c r="B795" s="715"/>
      <c r="C795" s="1747"/>
      <c r="D795" s="1919"/>
      <c r="E795" s="1919"/>
      <c r="F795" s="1919"/>
      <c r="G795" s="1746"/>
    </row>
    <row r="796" spans="1:7" ht="13">
      <c r="A796" s="715"/>
      <c r="B796" s="715"/>
      <c r="C796" s="1747"/>
      <c r="D796" s="1919"/>
      <c r="E796" s="1919"/>
      <c r="F796" s="1919"/>
      <c r="G796" s="1746"/>
    </row>
    <row r="797" spans="1:7" ht="13">
      <c r="A797" s="715"/>
      <c r="B797" s="715"/>
      <c r="C797" s="1747"/>
      <c r="D797" s="1919"/>
      <c r="E797" s="1919"/>
      <c r="F797" s="1919"/>
      <c r="G797" s="1746"/>
    </row>
    <row r="798" spans="1:7" ht="13">
      <c r="A798" s="715"/>
      <c r="B798" s="715"/>
      <c r="C798" s="1747"/>
      <c r="D798" s="1919"/>
      <c r="E798" s="1919"/>
      <c r="F798" s="1919"/>
      <c r="G798" s="1746"/>
    </row>
    <row r="799" spans="1:7" ht="13">
      <c r="A799" s="715"/>
      <c r="B799" s="715"/>
      <c r="C799" s="1747"/>
      <c r="D799" s="1919"/>
      <c r="E799" s="1919"/>
      <c r="F799" s="1919"/>
      <c r="G799" s="1746"/>
    </row>
    <row r="800" spans="1:7" ht="13">
      <c r="A800" s="715"/>
      <c r="B800" s="715"/>
      <c r="C800" s="1747"/>
      <c r="D800" s="1724"/>
      <c r="E800" s="1724"/>
      <c r="F800" s="1724"/>
      <c r="G800" s="1746"/>
    </row>
    <row r="801" spans="1:7" ht="13">
      <c r="A801" s="715"/>
      <c r="B801" s="799" t="s">
        <v>2611</v>
      </c>
      <c r="C801" s="1747"/>
      <c r="D801" s="1919" t="s">
        <v>2290</v>
      </c>
      <c r="E801" s="1919"/>
      <c r="F801" s="1919"/>
      <c r="G801" s="1746"/>
    </row>
    <row r="802" spans="1:7" ht="13">
      <c r="A802" s="715"/>
      <c r="B802" s="715"/>
      <c r="C802" s="1747"/>
      <c r="D802" s="1919"/>
      <c r="E802" s="1919"/>
      <c r="F802" s="1919"/>
      <c r="G802" s="1746"/>
    </row>
    <row r="803" spans="1:7" ht="13">
      <c r="A803" s="715"/>
      <c r="B803" s="715"/>
      <c r="C803" s="1747"/>
      <c r="D803" s="1919"/>
      <c r="E803" s="1919"/>
      <c r="F803" s="1919"/>
      <c r="G803" s="1746"/>
    </row>
    <row r="804" spans="1:7" ht="13">
      <c r="A804" s="715"/>
      <c r="B804" s="715"/>
      <c r="C804" s="1747"/>
      <c r="D804" s="1919"/>
      <c r="E804" s="1919"/>
      <c r="F804" s="1919"/>
      <c r="G804" s="1746"/>
    </row>
    <row r="805" spans="1:7" ht="13">
      <c r="A805" s="715"/>
      <c r="B805" s="715"/>
      <c r="C805" s="1747"/>
      <c r="D805" s="1919"/>
      <c r="E805" s="1919"/>
      <c r="F805" s="1919"/>
      <c r="G805" s="1746"/>
    </row>
    <row r="806" spans="1:7" ht="13">
      <c r="A806" s="715"/>
      <c r="B806" s="715"/>
      <c r="C806" s="1747"/>
      <c r="D806" s="1919"/>
      <c r="E806" s="1919"/>
      <c r="F806" s="1919"/>
      <c r="G806" s="1746"/>
    </row>
    <row r="807" spans="1:7" ht="13">
      <c r="A807" s="715"/>
      <c r="B807" s="715"/>
      <c r="C807" s="1747"/>
      <c r="D807" s="1724"/>
      <c r="E807" s="1724"/>
      <c r="F807" s="1724"/>
      <c r="G807" s="1746"/>
    </row>
    <row r="808" spans="1:7" ht="13">
      <c r="A808" s="715"/>
      <c r="B808" s="799" t="s">
        <v>2611</v>
      </c>
      <c r="C808" s="1747"/>
      <c r="D808" s="1932" t="s">
        <v>2291</v>
      </c>
      <c r="E808" s="1932"/>
      <c r="F808" s="1932"/>
      <c r="G808" s="1746"/>
    </row>
    <row r="809" spans="1:7" ht="13">
      <c r="A809" s="715"/>
      <c r="B809" s="715"/>
      <c r="C809" s="1747"/>
      <c r="D809" s="1932"/>
      <c r="E809" s="1932"/>
      <c r="F809" s="1932"/>
      <c r="G809" s="1746"/>
    </row>
    <row r="810" spans="1:7" ht="13">
      <c r="A810" s="1732"/>
      <c r="B810" s="1732"/>
      <c r="C810" s="1747"/>
      <c r="D810" s="1932"/>
      <c r="E810" s="1932"/>
      <c r="F810" s="1932"/>
      <c r="G810" s="1746"/>
    </row>
    <row r="811" spans="1:7" ht="13">
      <c r="A811" s="715"/>
      <c r="B811" s="1732"/>
      <c r="C811" s="1747"/>
      <c r="D811" s="1932"/>
      <c r="E811" s="1932"/>
      <c r="F811" s="1932"/>
      <c r="G811" s="1746"/>
    </row>
    <row r="812" spans="1:7" ht="12.75" customHeight="1">
      <c r="A812" s="715"/>
      <c r="B812" s="1732"/>
      <c r="C812" s="1747"/>
      <c r="D812" s="1932"/>
      <c r="E812" s="1932"/>
      <c r="F812" s="1932"/>
      <c r="G812" s="1746"/>
    </row>
    <row r="813" spans="1:7" ht="12.75" customHeight="1">
      <c r="A813" s="715"/>
      <c r="B813" s="1732"/>
      <c r="C813" s="1747"/>
      <c r="D813" s="1932"/>
      <c r="E813" s="1932"/>
      <c r="F813" s="1932"/>
      <c r="G813" s="1746"/>
    </row>
    <row r="814" spans="1:7" ht="12.75" customHeight="1">
      <c r="A814" s="1732"/>
      <c r="B814" s="1732"/>
      <c r="C814" s="1747"/>
      <c r="D814" s="1745"/>
      <c r="E814" s="6"/>
      <c r="F814" s="6"/>
      <c r="G814" s="1746"/>
    </row>
    <row r="815" spans="1:7" ht="12.75" customHeight="1">
      <c r="A815" s="1909" t="s">
        <v>2292</v>
      </c>
      <c r="B815" s="1909"/>
      <c r="C815" s="1909"/>
      <c r="D815" s="1909"/>
      <c r="E815" s="1909"/>
      <c r="F815" s="1909"/>
      <c r="G815" s="1909"/>
    </row>
    <row r="816" spans="1:7" ht="12.75" customHeight="1">
      <c r="A816" s="1721"/>
      <c r="B816" s="1721"/>
      <c r="C816" s="1747"/>
      <c r="D816" s="1745"/>
      <c r="E816" s="1745"/>
      <c r="F816" s="1745"/>
      <c r="G816" s="1746"/>
    </row>
    <row r="817" spans="1:7" ht="12.75" customHeight="1">
      <c r="A817" s="715"/>
      <c r="B817" s="715"/>
      <c r="C817" s="557"/>
      <c r="D817" s="1916" t="s">
        <v>2383</v>
      </c>
      <c r="E817" s="1916"/>
      <c r="F817" s="1916"/>
      <c r="G817" s="679"/>
    </row>
    <row r="818" spans="1:7" ht="14.25" customHeight="1">
      <c r="A818" s="715"/>
      <c r="B818" s="715"/>
      <c r="C818" s="557"/>
      <c r="D818" s="1874" t="s">
        <v>2293</v>
      </c>
      <c r="E818" s="1874"/>
      <c r="F818" s="1874"/>
      <c r="G818" s="679"/>
    </row>
    <row r="819" spans="1:7" ht="12.75" customHeight="1">
      <c r="A819" s="715"/>
      <c r="B819" s="715"/>
      <c r="C819" s="557"/>
      <c r="D819" s="1707"/>
      <c r="E819" s="1707"/>
      <c r="F819" s="1707"/>
      <c r="G819" s="679"/>
    </row>
    <row r="820" spans="1:7" ht="12.75" customHeight="1">
      <c r="A820" s="1749"/>
      <c r="B820" s="799" t="s">
        <v>2612</v>
      </c>
      <c r="C820" s="1747"/>
      <c r="D820" s="1874" t="s">
        <v>2294</v>
      </c>
      <c r="E820" s="1874"/>
      <c r="F820" s="1874"/>
      <c r="G820" s="679"/>
    </row>
    <row r="821" spans="1:7" ht="14.25" customHeight="1">
      <c r="A821" s="1732"/>
      <c r="B821" s="1732"/>
      <c r="C821" s="1747"/>
      <c r="D821" s="5" t="s">
        <v>2270</v>
      </c>
      <c r="E821" s="1878" t="s">
        <v>2295</v>
      </c>
      <c r="F821" s="1878"/>
      <c r="G821" s="679"/>
    </row>
    <row r="822" spans="1:7" ht="12.75" customHeight="1">
      <c r="A822" s="1732"/>
      <c r="B822" s="1732"/>
      <c r="C822" s="1747"/>
      <c r="D822" s="1750"/>
      <c r="E822" s="6"/>
      <c r="F822" s="6"/>
      <c r="G822" s="679"/>
    </row>
    <row r="823" spans="1:7" ht="14.25" hidden="1" customHeight="1">
      <c r="A823" s="1732"/>
      <c r="B823" s="799" t="s">
        <v>318</v>
      </c>
      <c r="C823" s="1747"/>
      <c r="D823" s="2005" t="s">
        <v>2296</v>
      </c>
      <c r="E823" s="2005"/>
      <c r="F823" s="2005"/>
      <c r="G823" s="679"/>
    </row>
    <row r="824" spans="1:7" ht="12.75" hidden="1" customHeight="1">
      <c r="A824" s="1732"/>
      <c r="B824" s="1732"/>
      <c r="C824" s="1747"/>
      <c r="D824" s="2005"/>
      <c r="E824" s="2005"/>
      <c r="F824" s="2005"/>
      <c r="G824" s="679"/>
    </row>
    <row r="825" spans="1:7" ht="12.75" hidden="1" customHeight="1">
      <c r="A825" s="1732"/>
      <c r="B825" s="1732"/>
      <c r="C825" s="1747"/>
      <c r="D825" s="2005"/>
      <c r="E825" s="2005"/>
      <c r="F825" s="2005"/>
      <c r="G825" s="679"/>
    </row>
    <row r="826" spans="1:7" ht="12.75" hidden="1" customHeight="1">
      <c r="A826" s="1732"/>
      <c r="B826" s="1732"/>
      <c r="C826" s="1747"/>
      <c r="D826" s="2005"/>
      <c r="E826" s="2005"/>
      <c r="F826" s="2005"/>
      <c r="G826" s="679"/>
    </row>
    <row r="827" spans="1:7" ht="12.75" hidden="1" customHeight="1">
      <c r="A827" s="1732"/>
      <c r="B827" s="1732"/>
      <c r="C827" s="1747"/>
      <c r="D827" s="2005"/>
      <c r="E827" s="2005"/>
      <c r="F827" s="2005"/>
      <c r="G827" s="679"/>
    </row>
    <row r="828" spans="1:7" ht="12.75" hidden="1" customHeight="1">
      <c r="A828" s="1732"/>
      <c r="B828" s="1732"/>
      <c r="C828" s="1747"/>
      <c r="D828" s="2005"/>
      <c r="E828" s="2005"/>
      <c r="F828" s="2005"/>
      <c r="G828" s="679"/>
    </row>
    <row r="829" spans="1:7" ht="12.75" hidden="1" customHeight="1">
      <c r="A829" s="1732"/>
      <c r="B829" s="1732"/>
      <c r="C829" s="1747"/>
      <c r="D829" s="2005"/>
      <c r="E829" s="2005"/>
      <c r="F829" s="2005"/>
      <c r="G829" s="679"/>
    </row>
    <row r="830" spans="1:7" ht="12.75" hidden="1" customHeight="1">
      <c r="A830" s="1732"/>
      <c r="B830" s="1732"/>
      <c r="C830" s="1747"/>
      <c r="D830" s="2005"/>
      <c r="E830" s="2005"/>
      <c r="F830" s="2005"/>
      <c r="G830" s="679"/>
    </row>
    <row r="831" spans="1:7" ht="12.75" hidden="1" customHeight="1">
      <c r="A831" s="1732"/>
      <c r="B831" s="1732"/>
      <c r="C831" s="1747"/>
      <c r="D831" s="2005"/>
      <c r="E831" s="2005"/>
      <c r="F831" s="2005"/>
      <c r="G831" s="679"/>
    </row>
    <row r="832" spans="1:7" ht="12.75" hidden="1" customHeight="1">
      <c r="A832" s="1732"/>
      <c r="B832" s="1732"/>
      <c r="C832" s="1747"/>
      <c r="D832" s="2005"/>
      <c r="E832" s="2005"/>
      <c r="F832" s="2005"/>
      <c r="G832" s="679"/>
    </row>
    <row r="833" spans="1:7" ht="12.75" hidden="1" customHeight="1">
      <c r="A833" s="1732"/>
      <c r="B833" s="1732"/>
      <c r="C833" s="1747"/>
      <c r="D833" s="1750"/>
      <c r="E833" s="6"/>
      <c r="F833" s="6"/>
      <c r="G833" s="679"/>
    </row>
    <row r="834" spans="1:7" ht="12.75" customHeight="1">
      <c r="A834" s="715"/>
      <c r="B834" s="799" t="s">
        <v>2612</v>
      </c>
      <c r="C834" s="1747"/>
      <c r="D834" s="1874" t="s">
        <v>2297</v>
      </c>
      <c r="E834" s="1874"/>
      <c r="F834" s="1874"/>
      <c r="G834" s="679"/>
    </row>
    <row r="835" spans="1:7" ht="12.75" customHeight="1">
      <c r="A835" s="715"/>
      <c r="B835" s="715"/>
      <c r="C835" s="1747"/>
      <c r="D835" s="1874"/>
      <c r="E835" s="1874"/>
      <c r="F835" s="1874"/>
      <c r="G835" s="679"/>
    </row>
    <row r="836" spans="1:7" ht="12.75" customHeight="1">
      <c r="A836" s="715"/>
      <c r="B836" s="715"/>
      <c r="C836" s="1747"/>
      <c r="D836" s="1874"/>
      <c r="E836" s="1874"/>
      <c r="F836" s="1874"/>
      <c r="G836" s="679"/>
    </row>
    <row r="837" spans="1:7" ht="12.75" customHeight="1">
      <c r="A837" s="404"/>
      <c r="B837" s="404"/>
      <c r="C837" s="1751"/>
      <c r="D837" s="1728"/>
      <c r="E837" s="679"/>
      <c r="F837" s="679"/>
      <c r="G837" s="679"/>
    </row>
    <row r="838" spans="1:7" ht="12.75" customHeight="1">
      <c r="A838" s="1752"/>
      <c r="B838" s="799" t="s">
        <v>2611</v>
      </c>
      <c r="C838" s="1751"/>
      <c r="D838" s="2006" t="s">
        <v>2298</v>
      </c>
      <c r="E838" s="2006"/>
      <c r="F838" s="2006"/>
      <c r="G838" s="679"/>
    </row>
    <row r="839" spans="1:7" ht="12.75" customHeight="1">
      <c r="A839" s="557"/>
      <c r="B839" s="1752"/>
      <c r="C839" s="1751"/>
      <c r="D839" s="2006"/>
      <c r="E839" s="2006"/>
      <c r="F839" s="2006"/>
      <c r="G839" s="679"/>
    </row>
    <row r="840" spans="1:7" ht="12.75" customHeight="1">
      <c r="A840" s="404"/>
      <c r="B840" s="557"/>
      <c r="C840" s="1751"/>
      <c r="D840" s="1876" t="s">
        <v>2299</v>
      </c>
      <c r="E840" s="1876"/>
      <c r="F840" s="1876"/>
      <c r="G840" s="679"/>
    </row>
    <row r="841" spans="1:7" ht="12.75" customHeight="1">
      <c r="A841" s="404"/>
      <c r="B841" s="404"/>
      <c r="C841" s="1751"/>
      <c r="D841" s="1876"/>
      <c r="E841" s="1876"/>
      <c r="F841" s="1876"/>
      <c r="G841" s="679"/>
    </row>
    <row r="842" spans="1:7" ht="12.75" customHeight="1">
      <c r="A842" s="404"/>
      <c r="B842" s="404"/>
      <c r="C842" s="1751"/>
      <c r="D842" s="1876"/>
      <c r="E842" s="1876"/>
      <c r="F842" s="1876"/>
      <c r="G842" s="679"/>
    </row>
    <row r="843" spans="1:7" ht="12.75" customHeight="1">
      <c r="A843" s="404"/>
      <c r="B843" s="404"/>
      <c r="C843" s="1751"/>
      <c r="D843" s="1876"/>
      <c r="E843" s="1876"/>
      <c r="F843" s="1876"/>
      <c r="G843" s="679"/>
    </row>
    <row r="844" spans="1:7" ht="12.75" customHeight="1">
      <c r="A844" s="404"/>
      <c r="B844" s="404"/>
      <c r="C844" s="1751"/>
      <c r="D844" s="1876"/>
      <c r="E844" s="1876"/>
      <c r="F844" s="1876"/>
      <c r="G844" s="679"/>
    </row>
    <row r="845" spans="1:7" ht="12.75" customHeight="1">
      <c r="A845" s="404"/>
      <c r="B845" s="404"/>
      <c r="C845" s="1751"/>
      <c r="D845" s="1876"/>
      <c r="E845" s="1876"/>
      <c r="F845" s="1876"/>
      <c r="G845" s="679"/>
    </row>
    <row r="846" spans="1:7" ht="12.75" customHeight="1">
      <c r="A846" s="404"/>
      <c r="B846" s="404"/>
      <c r="C846" s="1751"/>
      <c r="D846" s="1728"/>
      <c r="E846" s="679"/>
      <c r="F846" s="679"/>
      <c r="G846" s="679"/>
    </row>
    <row r="847" spans="1:7" ht="12.75" customHeight="1">
      <c r="A847" s="404"/>
      <c r="B847" s="799" t="s">
        <v>2611</v>
      </c>
      <c r="C847" s="1751"/>
      <c r="D847" s="1876" t="s">
        <v>2300</v>
      </c>
      <c r="E847" s="1876"/>
      <c r="F847" s="1876"/>
      <c r="G847" s="679"/>
    </row>
    <row r="848" spans="1:7" ht="12.75" customHeight="1">
      <c r="A848" s="404"/>
      <c r="B848" s="404"/>
      <c r="C848" s="1751"/>
      <c r="D848" s="1876" t="s">
        <v>2301</v>
      </c>
      <c r="E848" s="1876"/>
      <c r="F848" s="1876"/>
      <c r="G848" s="679"/>
    </row>
    <row r="849" spans="1:7" ht="12.75" customHeight="1">
      <c r="A849" s="404"/>
      <c r="B849" s="404"/>
      <c r="C849" s="1751"/>
      <c r="D849" s="183" t="s">
        <v>2267</v>
      </c>
      <c r="E849" s="2007" t="s">
        <v>2302</v>
      </c>
      <c r="F849" s="2007"/>
      <c r="G849" s="679"/>
    </row>
    <row r="850" spans="1:7" ht="12.75" customHeight="1">
      <c r="A850" s="404"/>
      <c r="B850" s="404"/>
      <c r="C850" s="1751"/>
      <c r="D850" s="1728"/>
      <c r="E850" s="679"/>
      <c r="F850" s="679"/>
      <c r="G850" s="679"/>
    </row>
    <row r="851" spans="1:7" ht="12.75" customHeight="1">
      <c r="A851" s="404"/>
      <c r="B851" s="799" t="s">
        <v>2611</v>
      </c>
      <c r="C851" s="1751"/>
      <c r="D851" s="1876" t="s">
        <v>2303</v>
      </c>
      <c r="E851" s="1876"/>
      <c r="F851" s="1876"/>
      <c r="G851" s="679"/>
    </row>
    <row r="852" spans="1:7" ht="12.75" customHeight="1">
      <c r="A852" s="404"/>
      <c r="B852" s="404"/>
      <c r="C852" s="1751"/>
      <c r="D852" s="1876"/>
      <c r="E852" s="1876"/>
      <c r="F852" s="1876"/>
      <c r="G852" s="679"/>
    </row>
    <row r="853" spans="1:7" ht="12.75" customHeight="1">
      <c r="A853" s="404"/>
      <c r="B853" s="404"/>
      <c r="C853" s="1751"/>
      <c r="D853" s="1876"/>
      <c r="E853" s="1876"/>
      <c r="F853" s="1876"/>
      <c r="G853" s="679"/>
    </row>
    <row r="854" spans="1:7" ht="12.75" customHeight="1">
      <c r="A854" s="404"/>
      <c r="B854" s="404"/>
      <c r="C854" s="1751"/>
      <c r="D854" s="1876"/>
      <c r="E854" s="1876"/>
      <c r="F854" s="1876"/>
      <c r="G854" s="679"/>
    </row>
    <row r="855" spans="1:7" ht="12.75" customHeight="1">
      <c r="A855" s="1721"/>
      <c r="B855" s="1721"/>
      <c r="C855" s="1753"/>
      <c r="D855" s="1713"/>
      <c r="E855" s="6"/>
      <c r="F855" s="6"/>
      <c r="G855" s="679"/>
    </row>
    <row r="856" spans="1:7" ht="12.75" customHeight="1">
      <c r="A856" s="1727" t="s">
        <v>2304</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98" t="s">
        <v>2384</v>
      </c>
      <c r="E858" s="1898"/>
      <c r="F858" s="1898"/>
      <c r="G858" s="1746"/>
    </row>
    <row r="859" spans="1:7" ht="12.75" customHeight="1">
      <c r="A859" s="1749"/>
      <c r="B859" s="1749"/>
      <c r="C859" s="314"/>
      <c r="D859" s="2008" t="s">
        <v>2305</v>
      </c>
      <c r="E859" s="2008"/>
      <c r="F859" s="2008"/>
      <c r="G859" s="1746"/>
    </row>
    <row r="860" spans="1:7" ht="12.75" customHeight="1">
      <c r="A860" s="1749"/>
      <c r="B860" s="1749"/>
      <c r="C860" s="314"/>
      <c r="D860" s="1757"/>
      <c r="E860" s="1757"/>
      <c r="F860" s="1757"/>
      <c r="G860" s="1746"/>
    </row>
    <row r="861" spans="1:7" ht="12.75" customHeight="1">
      <c r="A861" s="715"/>
      <c r="B861" s="799" t="s">
        <v>2612</v>
      </c>
      <c r="C861" s="557"/>
      <c r="D861" s="1899" t="s">
        <v>2306</v>
      </c>
      <c r="E861" s="1899"/>
      <c r="F861" s="1899"/>
      <c r="G861" s="1746"/>
    </row>
    <row r="862" spans="1:7" ht="12.75" customHeight="1">
      <c r="A862" s="1749"/>
      <c r="B862" s="1749"/>
      <c r="C862" s="557"/>
      <c r="D862" s="5" t="s">
        <v>2267</v>
      </c>
      <c r="E862" s="2010" t="s">
        <v>2302</v>
      </c>
      <c r="F862" s="2010"/>
      <c r="G862" s="1746"/>
    </row>
    <row r="863" spans="1:7" ht="12.75" customHeight="1">
      <c r="A863" s="1749"/>
      <c r="B863" s="1749"/>
      <c r="C863" s="557"/>
      <c r="D863" s="1713"/>
      <c r="E863" s="1745"/>
      <c r="F863" s="1745"/>
      <c r="G863" s="1746"/>
    </row>
    <row r="864" spans="1:7" ht="12.75" customHeight="1">
      <c r="A864" s="715"/>
      <c r="B864" s="799" t="s">
        <v>2612</v>
      </c>
      <c r="C864" s="557"/>
      <c r="D864" s="1874" t="s">
        <v>2307</v>
      </c>
      <c r="E864" s="1948"/>
      <c r="F864" s="1948"/>
      <c r="G864" s="679"/>
    </row>
    <row r="865" spans="1:7" ht="12.75" customHeight="1">
      <c r="A865" s="1749"/>
      <c r="B865" s="1749"/>
      <c r="C865" s="557"/>
      <c r="D865" s="1948"/>
      <c r="E865" s="1948"/>
      <c r="F865" s="1948"/>
      <c r="G865" s="679"/>
    </row>
    <row r="866" spans="1:7" ht="12.75" customHeight="1">
      <c r="A866" s="1749"/>
      <c r="B866" s="1749"/>
      <c r="C866" s="557"/>
      <c r="D866" s="1713"/>
      <c r="E866" s="6"/>
      <c r="F866" s="6"/>
      <c r="G866" s="679"/>
    </row>
    <row r="867" spans="1:7" ht="12.75" customHeight="1">
      <c r="A867" s="557"/>
      <c r="B867" s="799" t="s">
        <v>2611</v>
      </c>
      <c r="C867" s="558"/>
      <c r="D867" s="2011" t="s">
        <v>2308</v>
      </c>
      <c r="E867" s="2011"/>
      <c r="F867" s="2011"/>
      <c r="G867" s="1746"/>
    </row>
    <row r="868" spans="1:7" ht="12.75" customHeight="1">
      <c r="A868" s="557"/>
      <c r="B868" s="1758"/>
      <c r="C868" s="558"/>
      <c r="D868" s="2011"/>
      <c r="E868" s="2011"/>
      <c r="F868" s="2011"/>
      <c r="G868" s="1746"/>
    </row>
    <row r="869" spans="1:7" ht="12.75" customHeight="1">
      <c r="A869" s="715"/>
      <c r="B869" s="678"/>
      <c r="C869" s="557"/>
      <c r="D869" s="1876" t="s">
        <v>2299</v>
      </c>
      <c r="E869" s="1876"/>
      <c r="F869" s="1876"/>
      <c r="G869" s="1746"/>
    </row>
    <row r="870" spans="1:7" ht="12.75" customHeight="1">
      <c r="A870" s="715"/>
      <c r="B870" s="715"/>
      <c r="C870" s="557"/>
      <c r="D870" s="1876"/>
      <c r="E870" s="1876"/>
      <c r="F870" s="1876"/>
      <c r="G870" s="1746"/>
    </row>
    <row r="871" spans="1:7" ht="12.75" customHeight="1">
      <c r="A871" s="715"/>
      <c r="B871" s="715"/>
      <c r="C871" s="557"/>
      <c r="D871" s="1876"/>
      <c r="E871" s="1876"/>
      <c r="F871" s="1876"/>
      <c r="G871" s="1746"/>
    </row>
    <row r="872" spans="1:7" ht="12.75" customHeight="1">
      <c r="A872" s="715"/>
      <c r="B872" s="715"/>
      <c r="C872" s="557"/>
      <c r="D872" s="1876"/>
      <c r="E872" s="1876"/>
      <c r="F872" s="1876"/>
      <c r="G872" s="1746"/>
    </row>
    <row r="873" spans="1:7" ht="12.75" customHeight="1">
      <c r="A873" s="715"/>
      <c r="B873" s="715"/>
      <c r="C873" s="557"/>
      <c r="D873" s="1876"/>
      <c r="E873" s="1876"/>
      <c r="F873" s="1876"/>
      <c r="G873" s="1746"/>
    </row>
    <row r="874" spans="1:7" ht="12.75" customHeight="1">
      <c r="A874" s="715"/>
      <c r="B874" s="715"/>
      <c r="C874" s="557"/>
      <c r="D874" s="1876"/>
      <c r="E874" s="1876"/>
      <c r="F874" s="1876"/>
      <c r="G874" s="1746"/>
    </row>
    <row r="875" spans="1:7" ht="12.75" customHeight="1">
      <c r="A875" s="715"/>
      <c r="B875" s="715"/>
      <c r="C875" s="557"/>
      <c r="D875" s="1713"/>
      <c r="E875" s="1745"/>
      <c r="F875" s="1745"/>
      <c r="G875" s="1746"/>
    </row>
    <row r="876" spans="1:7" ht="12.75" customHeight="1">
      <c r="A876" s="715"/>
      <c r="B876" s="799" t="s">
        <v>2611</v>
      </c>
      <c r="C876" s="557"/>
      <c r="D876" s="1903" t="s">
        <v>2300</v>
      </c>
      <c r="E876" s="1903"/>
      <c r="F876" s="1903"/>
      <c r="G876" s="1746"/>
    </row>
    <row r="877" spans="1:7" ht="12.75" customHeight="1">
      <c r="A877" s="715"/>
      <c r="B877" s="715"/>
      <c r="C877" s="557"/>
      <c r="D877" s="1903" t="s">
        <v>2301</v>
      </c>
      <c r="E877" s="1903"/>
      <c r="F877" s="1903"/>
      <c r="G877" s="1746"/>
    </row>
    <row r="878" spans="1:7" ht="12.75" customHeight="1">
      <c r="A878" s="715"/>
      <c r="B878" s="715"/>
      <c r="C878" s="557"/>
      <c r="D878" s="5" t="s">
        <v>1512</v>
      </c>
      <c r="E878" s="2012" t="s">
        <v>2302</v>
      </c>
      <c r="F878" s="2012"/>
      <c r="G878" s="1746"/>
    </row>
    <row r="879" spans="1:7" ht="12.75" customHeight="1">
      <c r="A879" s="715"/>
      <c r="B879" s="715"/>
      <c r="C879" s="557"/>
      <c r="D879" s="1713"/>
      <c r="E879" s="1745"/>
      <c r="F879" s="1745"/>
      <c r="G879" s="1746"/>
    </row>
    <row r="880" spans="1:7" ht="12.75" customHeight="1">
      <c r="A880" s="715"/>
      <c r="B880" s="799" t="s">
        <v>2611</v>
      </c>
      <c r="C880" s="557"/>
      <c r="D880" s="1874" t="s">
        <v>2303</v>
      </c>
      <c r="E880" s="1874"/>
      <c r="F880" s="1874"/>
      <c r="G880" s="1746"/>
    </row>
    <row r="881" spans="1:7" ht="12.75" customHeight="1">
      <c r="A881" s="715"/>
      <c r="B881" s="715"/>
      <c r="C881" s="557"/>
      <c r="D881" s="1874"/>
      <c r="E881" s="1874"/>
      <c r="F881" s="1874"/>
      <c r="G881" s="1746"/>
    </row>
    <row r="882" spans="1:7" ht="12.75" customHeight="1">
      <c r="A882" s="715"/>
      <c r="B882" s="715"/>
      <c r="C882" s="557"/>
      <c r="D882" s="1874"/>
      <c r="E882" s="1874"/>
      <c r="F882" s="1874"/>
      <c r="G882" s="1746"/>
    </row>
    <row r="883" spans="1:7" ht="12.75" customHeight="1">
      <c r="A883" s="715"/>
      <c r="B883" s="715"/>
      <c r="C883" s="557"/>
      <c r="D883" s="1874"/>
      <c r="E883" s="1874"/>
      <c r="F883" s="1874"/>
      <c r="G883" s="1746"/>
    </row>
    <row r="884" spans="1:7" ht="12.75" customHeight="1">
      <c r="A884" s="1714"/>
      <c r="B884" s="1714"/>
      <c r="C884" s="1747"/>
      <c r="D884" s="1745"/>
      <c r="E884" s="1745"/>
      <c r="F884" s="1745"/>
      <c r="G884" s="1746"/>
    </row>
    <row r="885" spans="1:7" ht="12.75" customHeight="1">
      <c r="A885" s="1909" t="s">
        <v>2385</v>
      </c>
      <c r="B885" s="1909"/>
      <c r="C885" s="1909"/>
      <c r="D885" s="1909"/>
      <c r="E885" s="1909"/>
      <c r="F885" s="1909"/>
      <c r="G885" s="1909"/>
    </row>
    <row r="886" spans="1:7" s="1790" customFormat="1" ht="12.75" customHeight="1">
      <c r="A886" s="93"/>
      <c r="B886" s="93"/>
      <c r="C886" s="93"/>
      <c r="D886" s="93"/>
      <c r="E886" s="93"/>
      <c r="F886" s="93"/>
      <c r="G886" s="93"/>
    </row>
    <row r="887" spans="1:7" s="1790" customFormat="1" ht="12.75" customHeight="1">
      <c r="A887" s="93"/>
      <c r="B887" s="93"/>
      <c r="C887" s="93"/>
      <c r="D887" s="1918" t="s">
        <v>2391</v>
      </c>
      <c r="E887" s="1918"/>
      <c r="F887" s="1918"/>
      <c r="G887" s="93"/>
    </row>
    <row r="888" spans="1:7" s="1790" customFormat="1" ht="12.75" customHeight="1">
      <c r="A888" s="93"/>
      <c r="B888" s="93"/>
      <c r="C888" s="93"/>
      <c r="D888" s="1723"/>
      <c r="E888" s="1723"/>
      <c r="F888" s="1723"/>
      <c r="G888" s="93"/>
    </row>
    <row r="889" spans="1:7" s="1790" customFormat="1" ht="12.75" customHeight="1">
      <c r="A889" s="93"/>
      <c r="B889" s="1793" t="s">
        <v>2612</v>
      </c>
      <c r="C889" s="93"/>
      <c r="D889" s="1729" t="s">
        <v>2392</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18" t="s">
        <v>2386</v>
      </c>
      <c r="E891" s="1918"/>
      <c r="F891" s="1918"/>
      <c r="G891" s="1746"/>
    </row>
    <row r="892" spans="1:7" ht="12.75" customHeight="1">
      <c r="A892" s="1721"/>
      <c r="B892" s="1721"/>
      <c r="C892" s="1753"/>
      <c r="D892" s="1899" t="s">
        <v>2309</v>
      </c>
      <c r="E892" s="1899"/>
      <c r="F892" s="1899"/>
      <c r="G892" s="1746"/>
    </row>
    <row r="893" spans="1:7" ht="12.75" customHeight="1">
      <c r="A893" s="1721"/>
      <c r="B893" s="1721"/>
      <c r="C893" s="1753"/>
      <c r="D893" s="6"/>
      <c r="E893" s="6"/>
      <c r="F893" s="1745"/>
      <c r="G893" s="1746"/>
    </row>
    <row r="894" spans="1:7" ht="12.75" customHeight="1">
      <c r="A894" s="404"/>
      <c r="B894" s="799" t="s">
        <v>2612</v>
      </c>
      <c r="C894" s="487"/>
      <c r="D894" s="2007" t="s">
        <v>2310</v>
      </c>
      <c r="E894" s="2007"/>
      <c r="F894" s="2007"/>
      <c r="G894" s="1746"/>
    </row>
    <row r="895" spans="1:7" ht="12.75" customHeight="1">
      <c r="A895" s="404"/>
      <c r="B895" s="404"/>
      <c r="C895" s="487"/>
      <c r="D895" s="2007"/>
      <c r="E895" s="2007"/>
      <c r="F895" s="2007"/>
      <c r="G895" s="1746"/>
    </row>
    <row r="896" spans="1:7" ht="12.75" customHeight="1">
      <c r="A896" s="404"/>
      <c r="B896" s="404"/>
      <c r="C896" s="487"/>
      <c r="D896" s="2007"/>
      <c r="E896" s="2007"/>
      <c r="F896" s="2007"/>
      <c r="G896" s="1746"/>
    </row>
    <row r="897" spans="1:7" ht="12.75" customHeight="1">
      <c r="A897" s="404"/>
      <c r="B897" s="404"/>
      <c r="C897" s="487"/>
      <c r="D897" s="2007"/>
      <c r="E897" s="2007"/>
      <c r="F897" s="2007"/>
      <c r="G897" s="1746"/>
    </row>
    <row r="898" spans="1:7" ht="12.75" customHeight="1">
      <c r="A898" s="488"/>
      <c r="B898" s="488"/>
      <c r="C898" s="487"/>
      <c r="D898" s="2007"/>
      <c r="E898" s="2007"/>
      <c r="F898" s="2007"/>
      <c r="G898" s="1746"/>
    </row>
    <row r="899" spans="1:7" ht="12.75" customHeight="1">
      <c r="A899" s="488"/>
      <c r="B899" s="488"/>
      <c r="C899" s="487"/>
      <c r="D899" s="2007"/>
      <c r="E899" s="2007"/>
      <c r="F899" s="2007"/>
      <c r="G899" s="1746"/>
    </row>
    <row r="900" spans="1:7" ht="12.75" customHeight="1">
      <c r="A900" s="488"/>
      <c r="B900" s="488"/>
      <c r="C900" s="487"/>
      <c r="D900" s="2007"/>
      <c r="E900" s="2007"/>
      <c r="F900" s="2007"/>
      <c r="G900" s="1746"/>
    </row>
    <row r="901" spans="1:7" ht="12.75" customHeight="1">
      <c r="A901" s="488"/>
      <c r="B901" s="488"/>
      <c r="C901" s="487"/>
      <c r="D901" s="183"/>
      <c r="E901" s="679"/>
      <c r="F901" s="1746"/>
      <c r="G901" s="1746"/>
    </row>
    <row r="902" spans="1:7" ht="12.75" customHeight="1">
      <c r="A902" s="1759"/>
      <c r="B902" s="799" t="s">
        <v>2611</v>
      </c>
      <c r="C902" s="1760"/>
      <c r="D902" s="2007" t="s">
        <v>2311</v>
      </c>
      <c r="E902" s="2007"/>
      <c r="F902" s="2007"/>
      <c r="G902" s="1761"/>
    </row>
    <row r="903" spans="1:7" ht="12.75" customHeight="1">
      <c r="A903" s="1759"/>
      <c r="B903" s="1759"/>
      <c r="C903" s="1760"/>
      <c r="D903" s="2007"/>
      <c r="E903" s="2007"/>
      <c r="F903" s="2007"/>
      <c r="G903" s="1761"/>
    </row>
    <row r="904" spans="1:7" ht="12.75" customHeight="1">
      <c r="A904" s="1759"/>
      <c r="B904" s="1759"/>
      <c r="C904" s="1760"/>
      <c r="D904" s="2007"/>
      <c r="E904" s="2007"/>
      <c r="F904" s="2007"/>
      <c r="G904" s="1761"/>
    </row>
    <row r="905" spans="1:7" ht="12.75" customHeight="1">
      <c r="A905" s="1759"/>
      <c r="B905" s="1759"/>
      <c r="C905" s="1760"/>
      <c r="D905" s="2007"/>
      <c r="E905" s="2007"/>
      <c r="F905" s="2007"/>
      <c r="G905" s="1761"/>
    </row>
    <row r="906" spans="1:7" ht="12.75" customHeight="1">
      <c r="A906" s="1759"/>
      <c r="B906" s="1759"/>
      <c r="C906" s="1760"/>
      <c r="D906" s="2007"/>
      <c r="E906" s="2007"/>
      <c r="F906" s="2007"/>
      <c r="G906" s="1761"/>
    </row>
    <row r="907" spans="1:7" ht="12.75" customHeight="1">
      <c r="A907" s="1759"/>
      <c r="B907" s="1759"/>
      <c r="C907" s="1760"/>
      <c r="D907" s="2007"/>
      <c r="E907" s="2007"/>
      <c r="F907" s="2007"/>
      <c r="G907" s="1761"/>
    </row>
    <row r="908" spans="1:7" ht="12.75" customHeight="1">
      <c r="A908" s="1759"/>
      <c r="B908" s="1759"/>
      <c r="C908" s="1760"/>
      <c r="D908" s="2007"/>
      <c r="E908" s="2007"/>
      <c r="F908" s="2007"/>
      <c r="G908" s="1761"/>
    </row>
    <row r="909" spans="1:7" ht="12.75" customHeight="1">
      <c r="A909" s="1759"/>
      <c r="B909" s="1759"/>
      <c r="C909" s="1760"/>
      <c r="D909" s="2007"/>
      <c r="E909" s="2007"/>
      <c r="F909" s="2007"/>
      <c r="G909" s="1761"/>
    </row>
    <row r="910" spans="1:7" ht="12.75" customHeight="1">
      <c r="A910" s="1759"/>
      <c r="B910" s="1759"/>
      <c r="C910" s="1760"/>
      <c r="D910" s="2007"/>
      <c r="E910" s="2007"/>
      <c r="F910" s="2007"/>
      <c r="G910" s="1761"/>
    </row>
    <row r="911" spans="1:7" ht="12.75" customHeight="1">
      <c r="A911" s="488"/>
      <c r="B911" s="488"/>
      <c r="C911" s="487"/>
      <c r="D911" s="183"/>
      <c r="E911" s="679"/>
      <c r="F911" s="1746"/>
      <c r="G911" s="1746"/>
    </row>
    <row r="912" spans="1:7" ht="12.75" customHeight="1">
      <c r="A912" s="404"/>
      <c r="B912" s="799" t="s">
        <v>2611</v>
      </c>
      <c r="C912" s="487"/>
      <c r="D912" s="2009" t="s">
        <v>2312</v>
      </c>
      <c r="E912" s="2009"/>
      <c r="F912" s="2009"/>
      <c r="G912" s="1746"/>
    </row>
    <row r="913" spans="1:7" ht="12.75" customHeight="1">
      <c r="A913" s="404"/>
      <c r="B913" s="404"/>
      <c r="C913" s="487"/>
      <c r="D913" s="2009"/>
      <c r="E913" s="2009"/>
      <c r="F913" s="2009"/>
      <c r="G913" s="1746"/>
    </row>
    <row r="914" spans="1:7" ht="12.75" customHeight="1">
      <c r="A914" s="404"/>
      <c r="B914" s="404"/>
      <c r="C914" s="487"/>
      <c r="D914" s="2009"/>
      <c r="E914" s="2009"/>
      <c r="F914" s="2009"/>
      <c r="G914" s="1746"/>
    </row>
    <row r="915" spans="1:7" ht="12.75" customHeight="1">
      <c r="A915" s="404"/>
      <c r="B915" s="404"/>
      <c r="C915" s="487"/>
      <c r="D915" s="2009"/>
      <c r="E915" s="2009"/>
      <c r="F915" s="2009"/>
      <c r="G915" s="1746"/>
    </row>
    <row r="916" spans="1:7" ht="12.75" customHeight="1">
      <c r="A916" s="404"/>
      <c r="B916" s="404"/>
      <c r="C916" s="487"/>
      <c r="D916" s="2009"/>
      <c r="E916" s="2009"/>
      <c r="F916" s="2009"/>
      <c r="G916" s="1746"/>
    </row>
    <row r="917" spans="1:7" ht="12.75" customHeight="1">
      <c r="A917" s="404"/>
      <c r="B917" s="404"/>
      <c r="C917" s="487"/>
      <c r="D917" s="2009"/>
      <c r="E917" s="2009"/>
      <c r="F917" s="2009"/>
      <c r="G917" s="1746"/>
    </row>
    <row r="918" spans="1:7" ht="12.75" customHeight="1">
      <c r="A918" s="404"/>
      <c r="B918" s="404"/>
      <c r="C918" s="487"/>
      <c r="D918" s="2009"/>
      <c r="E918" s="2009"/>
      <c r="F918" s="2009"/>
      <c r="G918" s="1746"/>
    </row>
    <row r="919" spans="1:7" ht="12.75" customHeight="1">
      <c r="A919" s="404"/>
      <c r="B919" s="404"/>
      <c r="C919" s="487"/>
      <c r="D919" s="1762"/>
      <c r="E919" s="679"/>
      <c r="F919" s="1746"/>
      <c r="G919" s="1746"/>
    </row>
    <row r="920" spans="1:7" ht="12.75" customHeight="1">
      <c r="A920" s="404"/>
      <c r="B920" s="799" t="s">
        <v>2611</v>
      </c>
      <c r="C920" s="487"/>
      <c r="D920" s="2007" t="s">
        <v>2313</v>
      </c>
      <c r="E920" s="2007"/>
      <c r="F920" s="2007"/>
      <c r="G920" s="1746"/>
    </row>
    <row r="921" spans="1:7" ht="12.75" customHeight="1">
      <c r="A921" s="404"/>
      <c r="B921" s="404"/>
      <c r="C921" s="487"/>
      <c r="D921" s="2007"/>
      <c r="E921" s="2007"/>
      <c r="F921" s="2007"/>
      <c r="G921" s="1746"/>
    </row>
    <row r="922" spans="1:7" ht="12.75" customHeight="1">
      <c r="A922" s="404"/>
      <c r="B922" s="404"/>
      <c r="C922" s="487"/>
      <c r="D922" s="2007"/>
      <c r="E922" s="2007"/>
      <c r="F922" s="2007"/>
      <c r="G922" s="1746"/>
    </row>
    <row r="923" spans="1:7" ht="12.75" customHeight="1">
      <c r="A923" s="404"/>
      <c r="B923" s="404"/>
      <c r="C923" s="487"/>
      <c r="D923" s="2007"/>
      <c r="E923" s="2007"/>
      <c r="F923" s="2007"/>
      <c r="G923" s="1746"/>
    </row>
    <row r="924" spans="1:7" ht="12.75" customHeight="1">
      <c r="A924" s="404"/>
      <c r="B924" s="404"/>
      <c r="C924" s="487"/>
      <c r="D924" s="183"/>
      <c r="E924" s="679"/>
      <c r="F924" s="1746"/>
      <c r="G924" s="1746"/>
    </row>
    <row r="925" spans="1:7" ht="12.75" customHeight="1">
      <c r="A925" s="1732"/>
      <c r="B925" s="1732"/>
      <c r="C925" s="1747"/>
      <c r="D925" s="1874" t="s">
        <v>2314</v>
      </c>
      <c r="E925" s="1874"/>
      <c r="F925" s="1874"/>
      <c r="G925" s="1746"/>
    </row>
    <row r="926" spans="1:7" ht="12.75" customHeight="1">
      <c r="A926" s="1763"/>
      <c r="B926" s="1763"/>
      <c r="C926" s="1747"/>
      <c r="D926" s="1874"/>
      <c r="E926" s="1874"/>
      <c r="F926" s="1874"/>
      <c r="G926" s="1746"/>
    </row>
    <row r="927" spans="1:7" ht="12.75" customHeight="1">
      <c r="A927" s="1763"/>
      <c r="B927" s="1763"/>
      <c r="C927" s="1747"/>
      <c r="D927" s="5"/>
      <c r="E927" s="1745"/>
      <c r="F927" s="1745"/>
      <c r="G927" s="1746"/>
    </row>
    <row r="928" spans="1:7" ht="12.75" customHeight="1">
      <c r="A928" s="715"/>
      <c r="B928" s="799" t="s">
        <v>2612</v>
      </c>
      <c r="C928" s="557"/>
      <c r="D928" s="1874" t="s">
        <v>2315</v>
      </c>
      <c r="E928" s="1874"/>
      <c r="F928" s="1874"/>
      <c r="G928" s="679"/>
    </row>
    <row r="929" spans="1:7" ht="12.75" customHeight="1">
      <c r="A929" s="1749"/>
      <c r="B929" s="1749"/>
      <c r="C929" s="557"/>
      <c r="D929" s="1874"/>
      <c r="E929" s="1874"/>
      <c r="F929" s="1874"/>
      <c r="G929" s="679"/>
    </row>
    <row r="930" spans="1:7" ht="12.75" customHeight="1">
      <c r="A930" s="1763"/>
      <c r="B930" s="1763"/>
      <c r="C930" s="1747"/>
      <c r="D930" s="5"/>
      <c r="E930" s="1745"/>
      <c r="F930" s="1745"/>
      <c r="G930" s="1746"/>
    </row>
    <row r="931" spans="1:7" ht="12.75" customHeight="1">
      <c r="A931" s="721"/>
      <c r="B931" s="721"/>
      <c r="C931" s="314"/>
      <c r="D931" s="1918" t="s">
        <v>2316</v>
      </c>
      <c r="E931" s="1918"/>
      <c r="F931" s="1918"/>
      <c r="G931" s="1746"/>
    </row>
    <row r="932" spans="1:7" ht="12.75" customHeight="1">
      <c r="A932" s="721"/>
      <c r="B932" s="721"/>
      <c r="C932" s="314"/>
      <c r="D932" s="1717"/>
      <c r="E932" s="6"/>
      <c r="F932" s="1745"/>
      <c r="G932" s="1746"/>
    </row>
    <row r="933" spans="1:7" ht="12.75" customHeight="1">
      <c r="A933" s="715"/>
      <c r="B933" s="799" t="s">
        <v>2612</v>
      </c>
      <c r="C933" s="1747"/>
      <c r="D933" s="1923" t="s">
        <v>2317</v>
      </c>
      <c r="E933" s="1923"/>
      <c r="F933" s="1923"/>
      <c r="G933" s="1746"/>
    </row>
    <row r="934" spans="1:7" ht="12.75" customHeight="1">
      <c r="A934" s="1763"/>
      <c r="B934" s="1763"/>
      <c r="C934" s="1747"/>
      <c r="D934" s="1923"/>
      <c r="E934" s="1923"/>
      <c r="F934" s="1923"/>
      <c r="G934" s="1746"/>
    </row>
    <row r="935" spans="1:7" ht="12.75" customHeight="1">
      <c r="A935" s="1763"/>
      <c r="B935" s="1763"/>
      <c r="C935" s="1747"/>
      <c r="D935" s="1923"/>
      <c r="E935" s="1923"/>
      <c r="F935" s="1923"/>
      <c r="G935" s="1746"/>
    </row>
    <row r="936" spans="1:7" ht="12.75" customHeight="1">
      <c r="A936" s="1763"/>
      <c r="B936" s="1763"/>
      <c r="C936" s="1747"/>
      <c r="D936" s="1923"/>
      <c r="E936" s="1923"/>
      <c r="F936" s="1923"/>
      <c r="G936" s="1746"/>
    </row>
    <row r="937" spans="1:7" ht="12.75" customHeight="1">
      <c r="A937" s="1763"/>
      <c r="B937" s="1763"/>
      <c r="C937" s="1747"/>
      <c r="D937" s="1923"/>
      <c r="E937" s="1923"/>
      <c r="F937" s="1923"/>
      <c r="G937" s="1746"/>
    </row>
    <row r="938" spans="1:7" ht="12.75" customHeight="1">
      <c r="A938" s="1763"/>
      <c r="B938" s="1763"/>
      <c r="C938" s="1747"/>
      <c r="D938" s="1923"/>
      <c r="E938" s="1923"/>
      <c r="F938" s="1923"/>
      <c r="G938" s="1746"/>
    </row>
    <row r="939" spans="1:7" ht="12.75" customHeight="1">
      <c r="A939" s="1763"/>
      <c r="B939" s="1763"/>
      <c r="C939" s="1747"/>
      <c r="D939" s="1715"/>
      <c r="E939" s="1715"/>
      <c r="F939" s="1715"/>
      <c r="G939" s="1746"/>
    </row>
    <row r="940" spans="1:7" ht="12.75" customHeight="1">
      <c r="A940" s="715"/>
      <c r="B940" s="799" t="s">
        <v>2611</v>
      </c>
      <c r="C940" s="1747"/>
      <c r="D940" s="1923" t="s">
        <v>2318</v>
      </c>
      <c r="E940" s="1923"/>
      <c r="F940" s="1923"/>
      <c r="G940" s="1746"/>
    </row>
    <row r="941" spans="1:7" ht="12.75" customHeight="1">
      <c r="A941" s="1763"/>
      <c r="B941" s="1763"/>
      <c r="C941" s="1747"/>
      <c r="D941" s="1923"/>
      <c r="E941" s="1923"/>
      <c r="F941" s="1923"/>
      <c r="G941" s="1746"/>
    </row>
    <row r="942" spans="1:7" ht="12.75" customHeight="1">
      <c r="A942" s="1763"/>
      <c r="B942" s="1763"/>
      <c r="C942" s="1747"/>
      <c r="D942" s="1923"/>
      <c r="E942" s="1923"/>
      <c r="F942" s="1923"/>
      <c r="G942" s="1746"/>
    </row>
    <row r="943" spans="1:7" ht="12.75" customHeight="1">
      <c r="A943" s="1763"/>
      <c r="B943" s="1763"/>
      <c r="C943" s="1747"/>
      <c r="D943" s="1923"/>
      <c r="E943" s="1923"/>
      <c r="F943" s="1923"/>
      <c r="G943" s="1746"/>
    </row>
    <row r="944" spans="1:7" ht="12.75" customHeight="1">
      <c r="A944" s="1763"/>
      <c r="B944" s="1763"/>
      <c r="C944" s="1747"/>
      <c r="D944" s="1923"/>
      <c r="E944" s="1923"/>
      <c r="F944" s="1923"/>
      <c r="G944" s="1746"/>
    </row>
    <row r="945" spans="1:7" ht="12.75" customHeight="1">
      <c r="A945" s="1763"/>
      <c r="B945" s="1763"/>
      <c r="C945" s="1747"/>
      <c r="D945" s="1764"/>
      <c r="E945" s="1745"/>
      <c r="F945" s="1745"/>
      <c r="G945" s="1746"/>
    </row>
    <row r="946" spans="1:7" ht="12.75" customHeight="1">
      <c r="A946" s="715"/>
      <c r="B946" s="799" t="s">
        <v>2611</v>
      </c>
      <c r="C946" s="1747"/>
      <c r="D946" s="1923" t="s">
        <v>2319</v>
      </c>
      <c r="E946" s="1923"/>
      <c r="F946" s="1923"/>
      <c r="G946" s="1746"/>
    </row>
    <row r="947" spans="1:7" ht="12.75" customHeight="1">
      <c r="A947" s="1763"/>
      <c r="B947" s="1763"/>
      <c r="C947" s="1747"/>
      <c r="D947" s="1923"/>
      <c r="E947" s="1923"/>
      <c r="F947" s="1923"/>
      <c r="G947" s="1746"/>
    </row>
    <row r="948" spans="1:7" ht="12.75" customHeight="1">
      <c r="A948" s="1763"/>
      <c r="B948" s="1763"/>
      <c r="C948" s="1747"/>
      <c r="D948" s="1923"/>
      <c r="E948" s="1923"/>
      <c r="F948" s="1923"/>
      <c r="G948" s="1746"/>
    </row>
    <row r="949" spans="1:7" ht="12.75" customHeight="1">
      <c r="A949" s="1763"/>
      <c r="B949" s="1763"/>
      <c r="C949" s="1747"/>
      <c r="D949" s="1923"/>
      <c r="E949" s="1923"/>
      <c r="F949" s="1923"/>
      <c r="G949" s="1746"/>
    </row>
    <row r="950" spans="1:7" ht="12.75" customHeight="1">
      <c r="A950" s="1763"/>
      <c r="B950" s="1763"/>
      <c r="C950" s="1747"/>
      <c r="D950" s="1923"/>
      <c r="E950" s="1923"/>
      <c r="F950" s="1923"/>
      <c r="G950" s="1746"/>
    </row>
    <row r="951" spans="1:7" ht="12.75" customHeight="1">
      <c r="A951" s="1763"/>
      <c r="B951" s="1763"/>
      <c r="C951" s="1747"/>
      <c r="D951" s="1764"/>
      <c r="E951" s="1745"/>
      <c r="F951" s="1745"/>
      <c r="G951" s="1746"/>
    </row>
    <row r="952" spans="1:7" ht="12.75" customHeight="1">
      <c r="A952" s="715"/>
      <c r="B952" s="799" t="s">
        <v>2611</v>
      </c>
      <c r="C952" s="1747"/>
      <c r="D952" s="1923" t="s">
        <v>2320</v>
      </c>
      <c r="E952" s="1923"/>
      <c r="F952" s="1923"/>
      <c r="G952" s="1746"/>
    </row>
    <row r="953" spans="1:7" ht="12.75" customHeight="1">
      <c r="A953" s="1763"/>
      <c r="B953" s="1763"/>
      <c r="C953" s="1747"/>
      <c r="D953" s="1923"/>
      <c r="E953" s="1923"/>
      <c r="F953" s="1923"/>
      <c r="G953" s="1746"/>
    </row>
    <row r="954" spans="1:7" ht="12.75" customHeight="1">
      <c r="A954" s="1763"/>
      <c r="B954" s="1763"/>
      <c r="C954" s="1747"/>
      <c r="D954" s="1923"/>
      <c r="E954" s="1923"/>
      <c r="F954" s="1923"/>
      <c r="G954" s="1746"/>
    </row>
    <row r="955" spans="1:7" ht="12.75" customHeight="1">
      <c r="A955" s="1763"/>
      <c r="B955" s="1763"/>
      <c r="C955" s="1747"/>
      <c r="D955" s="1715"/>
      <c r="E955" s="1715"/>
      <c r="F955" s="1715"/>
      <c r="G955" s="1746"/>
    </row>
    <row r="956" spans="1:7" ht="12.75" customHeight="1">
      <c r="A956" s="715"/>
      <c r="B956" s="799" t="s">
        <v>2611</v>
      </c>
      <c r="C956" s="1747"/>
      <c r="D956" s="1923" t="s">
        <v>2321</v>
      </c>
      <c r="E956" s="1923"/>
      <c r="F956" s="1923"/>
      <c r="G956" s="1746"/>
    </row>
    <row r="957" spans="1:7" ht="12.75" customHeight="1">
      <c r="A957" s="1763"/>
      <c r="B957" s="1763"/>
      <c r="C957" s="1747"/>
      <c r="D957" s="1923"/>
      <c r="E957" s="1923"/>
      <c r="F957" s="1923"/>
      <c r="G957" s="1746"/>
    </row>
    <row r="958" spans="1:7" ht="12.75" customHeight="1">
      <c r="A958" s="1763"/>
      <c r="B958" s="1763"/>
      <c r="C958" s="1747"/>
      <c r="D958" s="1764"/>
      <c r="E958" s="1745"/>
      <c r="F958" s="1745"/>
      <c r="G958" s="1746"/>
    </row>
    <row r="959" spans="1:7" ht="12.75" customHeight="1">
      <c r="A959" s="1763"/>
      <c r="B959" s="799" t="s">
        <v>2611</v>
      </c>
      <c r="C959" s="1747"/>
      <c r="D959" s="1874" t="s">
        <v>2322</v>
      </c>
      <c r="E959" s="1874"/>
      <c r="F959" s="1874"/>
      <c r="G959" s="1746"/>
    </row>
    <row r="960" spans="1:7" ht="12.75" customHeight="1">
      <c r="A960" s="1763"/>
      <c r="B960" s="1763"/>
      <c r="C960" s="1747"/>
      <c r="D960" s="1874"/>
      <c r="E960" s="1874"/>
      <c r="F960" s="1874"/>
      <c r="G960" s="1746"/>
    </row>
    <row r="961" spans="1:7" ht="12.75" customHeight="1">
      <c r="A961" s="1763"/>
      <c r="B961" s="1763"/>
      <c r="C961" s="1747"/>
      <c r="D961" s="1745"/>
      <c r="E961" s="1745"/>
      <c r="F961" s="1745"/>
      <c r="G961" s="1746"/>
    </row>
    <row r="962" spans="1:7" ht="12.75" customHeight="1">
      <c r="A962" s="1763"/>
      <c r="B962" s="799" t="s">
        <v>2612</v>
      </c>
      <c r="C962" s="1747"/>
      <c r="D962" s="1932" t="s">
        <v>2323</v>
      </c>
      <c r="E962" s="1932"/>
      <c r="F962" s="1932"/>
      <c r="G962" s="1746"/>
    </row>
    <row r="963" spans="1:7" ht="12.75" customHeight="1">
      <c r="A963" s="1763"/>
      <c r="B963" s="1763"/>
      <c r="C963" s="1747"/>
      <c r="D963" s="1932"/>
      <c r="E963" s="1932"/>
      <c r="F963" s="1932"/>
      <c r="G963" s="1746"/>
    </row>
    <row r="964" spans="1:7" ht="12.75" customHeight="1">
      <c r="A964" s="1763"/>
      <c r="B964" s="1763"/>
      <c r="C964" s="1747"/>
      <c r="D964" s="1932"/>
      <c r="E964" s="1932"/>
      <c r="F964" s="1932"/>
      <c r="G964" s="1746"/>
    </row>
    <row r="965" spans="1:7" ht="12.75" customHeight="1">
      <c r="A965" s="1763"/>
      <c r="B965" s="1763"/>
      <c r="C965" s="1747"/>
      <c r="D965" s="1932"/>
      <c r="E965" s="1932"/>
      <c r="F965" s="1932"/>
      <c r="G965" s="1746"/>
    </row>
    <row r="966" spans="1:7" ht="12.75" customHeight="1">
      <c r="A966" s="1763"/>
      <c r="B966" s="1763"/>
      <c r="C966" s="1747"/>
      <c r="D966" s="1713"/>
      <c r="E966" s="1745"/>
      <c r="F966" s="1745"/>
      <c r="G966" s="1746"/>
    </row>
    <row r="967" spans="1:7" ht="12.75" customHeight="1">
      <c r="A967" s="1763"/>
      <c r="B967" s="799" t="s">
        <v>2611</v>
      </c>
      <c r="C967" s="1747"/>
      <c r="D967" s="1899" t="s">
        <v>2324</v>
      </c>
      <c r="E967" s="1899"/>
      <c r="F967" s="1899"/>
      <c r="G967" s="1746"/>
    </row>
    <row r="968" spans="1:7" ht="12.75" customHeight="1">
      <c r="A968" s="1763"/>
      <c r="B968" s="1763"/>
      <c r="C968" s="1747"/>
      <c r="D968" s="1713"/>
      <c r="E968" s="1745"/>
      <c r="F968" s="1745"/>
      <c r="G968" s="1746"/>
    </row>
    <row r="969" spans="1:7" ht="12.75" customHeight="1">
      <c r="A969" s="1763"/>
      <c r="B969" s="799" t="s">
        <v>2611</v>
      </c>
      <c r="C969" s="1747"/>
      <c r="D969" s="1899" t="s">
        <v>2325</v>
      </c>
      <c r="E969" s="1899"/>
      <c r="F969" s="1899"/>
      <c r="G969" s="1746"/>
    </row>
    <row r="970" spans="1:7" ht="12.75" customHeight="1">
      <c r="A970" s="1763"/>
      <c r="B970" s="1763"/>
      <c r="C970" s="1747"/>
      <c r="D970" s="1745"/>
      <c r="E970" s="1745"/>
      <c r="F970" s="1745"/>
      <c r="G970" s="1746"/>
    </row>
    <row r="971" spans="1:7" ht="12.75" customHeight="1">
      <c r="A971" s="1763"/>
      <c r="B971" s="557"/>
      <c r="C971" s="1747"/>
      <c r="D971" s="1898" t="s">
        <v>2326</v>
      </c>
      <c r="E971" s="1898"/>
      <c r="F971" s="1898"/>
      <c r="G971" s="1746"/>
    </row>
    <row r="972" spans="1:7" ht="12.75" customHeight="1">
      <c r="A972" s="1763"/>
      <c r="B972" s="557"/>
      <c r="C972" s="1747"/>
      <c r="D972" s="1717"/>
      <c r="E972" s="1745"/>
      <c r="F972" s="1745"/>
      <c r="G972" s="1746"/>
    </row>
    <row r="973" spans="1:7" ht="12.75" customHeight="1">
      <c r="A973" s="715"/>
      <c r="B973" s="799" t="s">
        <v>2612</v>
      </c>
      <c r="C973" s="1747"/>
      <c r="D973" s="1876" t="s">
        <v>2327</v>
      </c>
      <c r="E973" s="1876"/>
      <c r="F973" s="1876"/>
      <c r="G973" s="1746"/>
    </row>
    <row r="974" spans="1:7" ht="12.75" customHeight="1">
      <c r="A974" s="1763"/>
      <c r="B974" s="1763"/>
      <c r="C974" s="1747"/>
      <c r="D974" s="1876"/>
      <c r="E974" s="1876"/>
      <c r="F974" s="1876"/>
      <c r="G974" s="1746"/>
    </row>
    <row r="975" spans="1:7" ht="12.75" customHeight="1">
      <c r="A975" s="1763"/>
      <c r="B975" s="1763"/>
      <c r="C975" s="1747"/>
      <c r="D975" s="1876"/>
      <c r="E975" s="1876"/>
      <c r="F975" s="1876"/>
      <c r="G975" s="1746"/>
    </row>
    <row r="976" spans="1:7" ht="12.75" customHeight="1">
      <c r="A976" s="1763"/>
      <c r="B976" s="1763"/>
      <c r="C976" s="1747"/>
      <c r="D976" s="1876"/>
      <c r="E976" s="1876"/>
      <c r="F976" s="1876"/>
      <c r="G976" s="1746"/>
    </row>
    <row r="977" spans="1:7" ht="12.75" customHeight="1">
      <c r="A977" s="1763"/>
      <c r="B977" s="1763"/>
      <c r="C977" s="1747"/>
      <c r="D977" s="1876"/>
      <c r="E977" s="1876"/>
      <c r="F977" s="1876"/>
      <c r="G977" s="1746"/>
    </row>
    <row r="978" spans="1:7" ht="12.75" customHeight="1">
      <c r="A978" s="1763"/>
      <c r="B978" s="1763"/>
      <c r="C978" s="1747"/>
      <c r="D978" s="679"/>
      <c r="E978" s="6"/>
      <c r="F978" s="6"/>
      <c r="G978" s="1746"/>
    </row>
    <row r="979" spans="1:7" ht="12.75" customHeight="1">
      <c r="A979" s="715"/>
      <c r="B979" s="799" t="s">
        <v>2611</v>
      </c>
      <c r="C979" s="1747"/>
      <c r="D979" s="1876" t="s">
        <v>2328</v>
      </c>
      <c r="E979" s="1876"/>
      <c r="F979" s="1876"/>
      <c r="G979" s="1746"/>
    </row>
    <row r="980" spans="1:7" ht="12.75" customHeight="1">
      <c r="A980" s="1763"/>
      <c r="B980" s="1763"/>
      <c r="C980" s="1747"/>
      <c r="D980" s="1876"/>
      <c r="E980" s="1876"/>
      <c r="F980" s="1876"/>
      <c r="G980" s="1746"/>
    </row>
    <row r="981" spans="1:7" ht="12.75" customHeight="1">
      <c r="A981" s="1763"/>
      <c r="B981" s="1763"/>
      <c r="C981" s="1747"/>
      <c r="D981" s="1876"/>
      <c r="E981" s="1876"/>
      <c r="F981" s="1876"/>
      <c r="G981" s="1746"/>
    </row>
    <row r="982" spans="1:7" ht="12.75" customHeight="1">
      <c r="A982" s="1763"/>
      <c r="B982" s="1763"/>
      <c r="C982" s="1747"/>
      <c r="D982" s="1876"/>
      <c r="E982" s="1876"/>
      <c r="F982" s="1876"/>
      <c r="G982" s="1746"/>
    </row>
    <row r="983" spans="1:7" ht="12.75" customHeight="1">
      <c r="A983" s="1763"/>
      <c r="B983" s="1763"/>
      <c r="C983" s="1747"/>
      <c r="D983" s="1876"/>
      <c r="E983" s="1876"/>
      <c r="F983" s="1876"/>
      <c r="G983" s="1746"/>
    </row>
    <row r="984" spans="1:7" ht="12.75" customHeight="1">
      <c r="A984" s="1763"/>
      <c r="B984" s="1763"/>
      <c r="C984" s="1747"/>
      <c r="D984" s="1745"/>
      <c r="E984" s="1745"/>
      <c r="F984" s="1745"/>
      <c r="G984" s="1746"/>
    </row>
    <row r="985" spans="1:7" ht="12.75" customHeight="1">
      <c r="A985" s="1763"/>
      <c r="B985" s="1763"/>
      <c r="C985" s="1747"/>
      <c r="D985" s="1898" t="s">
        <v>2329</v>
      </c>
      <c r="E985" s="1898"/>
      <c r="F985" s="1898"/>
      <c r="G985" s="1746"/>
    </row>
    <row r="986" spans="1:7" ht="12.75" customHeight="1">
      <c r="A986" s="1763"/>
      <c r="B986" s="1763"/>
      <c r="C986" s="1747"/>
      <c r="D986" s="1717"/>
      <c r="E986" s="1745"/>
      <c r="F986" s="1745"/>
      <c r="G986" s="1746"/>
    </row>
    <row r="987" spans="1:7" ht="12.75" customHeight="1">
      <c r="A987" s="715"/>
      <c r="B987" s="799" t="s">
        <v>2612</v>
      </c>
      <c r="C987" s="1747"/>
      <c r="D987" s="1876" t="s">
        <v>2330</v>
      </c>
      <c r="E987" s="1876"/>
      <c r="F987" s="1876"/>
      <c r="G987" s="1746"/>
    </row>
    <row r="988" spans="1:7" ht="12.75" customHeight="1">
      <c r="A988" s="1763"/>
      <c r="B988" s="1763"/>
      <c r="C988" s="1747"/>
      <c r="D988" s="1876"/>
      <c r="E988" s="1876"/>
      <c r="F988" s="1876"/>
      <c r="G988" s="1746"/>
    </row>
    <row r="989" spans="1:7" ht="12.75" customHeight="1">
      <c r="A989" s="1763"/>
      <c r="B989" s="1763"/>
      <c r="C989" s="1747"/>
      <c r="D989" s="1876"/>
      <c r="E989" s="1876"/>
      <c r="F989" s="1876"/>
      <c r="G989" s="1746"/>
    </row>
    <row r="990" spans="1:7" ht="12.75" customHeight="1">
      <c r="A990" s="1763"/>
      <c r="B990" s="1763"/>
      <c r="C990" s="1747"/>
      <c r="D990" s="679"/>
      <c r="E990" s="6"/>
      <c r="F990" s="6"/>
      <c r="G990" s="1746"/>
    </row>
    <row r="991" spans="1:7" ht="12.75" customHeight="1">
      <c r="A991" s="715"/>
      <c r="B991" s="799" t="s">
        <v>2611</v>
      </c>
      <c r="C991" s="1747"/>
      <c r="D991" s="1876" t="s">
        <v>2331</v>
      </c>
      <c r="E991" s="1876"/>
      <c r="F991" s="1876"/>
      <c r="G991" s="1746"/>
    </row>
    <row r="992" spans="1:7" ht="12.75" customHeight="1">
      <c r="A992" s="1763"/>
      <c r="B992" s="1763"/>
      <c r="C992" s="1747"/>
      <c r="D992" s="1876"/>
      <c r="E992" s="1876"/>
      <c r="F992" s="1876"/>
      <c r="G992" s="1746"/>
    </row>
    <row r="993" spans="1:7" ht="12.75" customHeight="1">
      <c r="A993" s="1763"/>
      <c r="B993" s="1763"/>
      <c r="C993" s="1747"/>
      <c r="D993" s="1876"/>
      <c r="E993" s="1876"/>
      <c r="F993" s="1876"/>
      <c r="G993" s="1746"/>
    </row>
    <row r="994" spans="1:7" ht="12.75" customHeight="1">
      <c r="A994" s="1763"/>
      <c r="B994" s="1763"/>
      <c r="C994" s="1747"/>
      <c r="D994" s="1713"/>
      <c r="E994" s="1745"/>
      <c r="F994" s="1745"/>
      <c r="G994" s="1746"/>
    </row>
    <row r="995" spans="1:7" ht="12.75" customHeight="1">
      <c r="A995" s="1763"/>
      <c r="B995" s="1763"/>
      <c r="C995" s="1747"/>
      <c r="D995" s="1898" t="s">
        <v>2332</v>
      </c>
      <c r="E995" s="1898"/>
      <c r="F995" s="1898"/>
      <c r="G995" s="1746"/>
    </row>
    <row r="996" spans="1:7" ht="12.75" customHeight="1">
      <c r="A996" s="1763"/>
      <c r="B996" s="1763"/>
      <c r="C996" s="1747"/>
      <c r="D996" s="1717"/>
      <c r="E996" s="1745"/>
      <c r="F996" s="1745"/>
      <c r="G996" s="1746"/>
    </row>
    <row r="997" spans="1:7" ht="12.75" customHeight="1">
      <c r="A997" s="715"/>
      <c r="B997" s="799" t="s">
        <v>2611</v>
      </c>
      <c r="C997" s="1747"/>
      <c r="D997" s="2013" t="s">
        <v>2333</v>
      </c>
      <c r="E997" s="2013"/>
      <c r="F997" s="2013"/>
      <c r="G997" s="1765"/>
    </row>
    <row r="998" spans="1:7" ht="12.75" customHeight="1">
      <c r="A998" s="1763"/>
      <c r="B998" s="1763"/>
      <c r="C998" s="1747"/>
      <c r="D998" s="2013"/>
      <c r="E998" s="2013"/>
      <c r="F998" s="2013"/>
      <c r="G998" s="1765"/>
    </row>
    <row r="999" spans="1:7" ht="12.75" customHeight="1">
      <c r="A999" s="1763"/>
      <c r="B999" s="1763"/>
      <c r="C999" s="1747"/>
      <c r="D999" s="2013"/>
      <c r="E999" s="2013"/>
      <c r="F999" s="2013"/>
      <c r="G999" s="1765"/>
    </row>
    <row r="1000" spans="1:7" ht="12.75" customHeight="1">
      <c r="A1000" s="1763"/>
      <c r="B1000" s="1763"/>
      <c r="C1000" s="1747"/>
      <c r="D1000" s="1766"/>
      <c r="E1000" s="1766"/>
      <c r="F1000" s="1766"/>
      <c r="G1000" s="1766"/>
    </row>
    <row r="1001" spans="1:7" ht="12.75" customHeight="1">
      <c r="A1001" s="1763"/>
      <c r="B1001" s="799" t="s">
        <v>2611</v>
      </c>
      <c r="C1001" s="1747"/>
      <c r="D1001" s="2013" t="s">
        <v>2334</v>
      </c>
      <c r="E1001" s="2013"/>
      <c r="F1001" s="2013"/>
      <c r="G1001" s="1766"/>
    </row>
    <row r="1002" spans="1:7" ht="12.75" customHeight="1">
      <c r="A1002" s="1763"/>
      <c r="B1002" s="1763"/>
      <c r="C1002" s="1747"/>
      <c r="D1002" s="2013"/>
      <c r="E1002" s="2013"/>
      <c r="F1002" s="2013"/>
      <c r="G1002" s="1766"/>
    </row>
    <row r="1003" spans="1:7" ht="12.75" customHeight="1">
      <c r="A1003" s="1763"/>
      <c r="B1003" s="1763"/>
      <c r="C1003" s="1747"/>
      <c r="D1003" s="2013"/>
      <c r="E1003" s="2013"/>
      <c r="F1003" s="2013"/>
      <c r="G1003" s="1766"/>
    </row>
    <row r="1004" spans="1:7" ht="12.75" customHeight="1">
      <c r="A1004" s="1763"/>
      <c r="B1004" s="1763"/>
      <c r="C1004" s="1747"/>
      <c r="D1004" s="1713"/>
      <c r="E1004" s="1745"/>
      <c r="F1004" s="1745"/>
      <c r="G1004" s="1746"/>
    </row>
    <row r="1005" spans="1:7" ht="12.75" customHeight="1">
      <c r="A1005" s="1763"/>
      <c r="B1005" s="799" t="s">
        <v>2611</v>
      </c>
      <c r="C1005" s="1747"/>
      <c r="D1005" s="2014" t="s">
        <v>2335</v>
      </c>
      <c r="E1005" s="2014"/>
      <c r="F1005" s="2014"/>
      <c r="G1005" s="1767"/>
    </row>
    <row r="1006" spans="1:7" ht="12.75" customHeight="1">
      <c r="A1006" s="1763"/>
      <c r="B1006" s="1763"/>
      <c r="C1006" s="1747"/>
      <c r="D1006" s="2014"/>
      <c r="E1006" s="2014"/>
      <c r="F1006" s="2014"/>
      <c r="G1006" s="1767"/>
    </row>
    <row r="1007" spans="1:7" ht="12.75" customHeight="1">
      <c r="A1007" s="1763"/>
      <c r="B1007" s="1763"/>
      <c r="C1007" s="1747"/>
      <c r="D1007" s="2014"/>
      <c r="E1007" s="2014"/>
      <c r="F1007" s="2014"/>
      <c r="G1007" s="1767"/>
    </row>
    <row r="1008" spans="1:7" ht="12.75" customHeight="1">
      <c r="A1008" s="1763"/>
      <c r="B1008" s="1763"/>
      <c r="C1008" s="1747"/>
      <c r="D1008" s="1745"/>
      <c r="E1008" s="1745"/>
      <c r="F1008" s="1745"/>
      <c r="G1008" s="1746"/>
    </row>
    <row r="1009" spans="1:7" ht="12.75" customHeight="1">
      <c r="A1009" s="1763"/>
      <c r="B1009" s="799" t="s">
        <v>2611</v>
      </c>
      <c r="C1009" s="1747"/>
      <c r="D1009" s="2013" t="s">
        <v>2336</v>
      </c>
      <c r="E1009" s="2013"/>
      <c r="F1009" s="2013"/>
      <c r="G1009" s="1767"/>
    </row>
    <row r="1010" spans="1:7" ht="12.75" customHeight="1">
      <c r="A1010" s="1763"/>
      <c r="B1010" s="1763"/>
      <c r="C1010" s="1747"/>
      <c r="D1010" s="2013"/>
      <c r="E1010" s="2013"/>
      <c r="F1010" s="2013"/>
      <c r="G1010" s="1767"/>
    </row>
    <row r="1011" spans="1:7" ht="12.75" customHeight="1">
      <c r="A1011" s="1763"/>
      <c r="B1011" s="1763"/>
      <c r="C1011" s="1747"/>
      <c r="D1011" s="2013"/>
      <c r="E1011" s="2013"/>
      <c r="F1011" s="2013"/>
      <c r="G1011" s="1767"/>
    </row>
    <row r="1012" spans="1:7" ht="12.75" customHeight="1">
      <c r="A1012" s="715"/>
      <c r="B1012" s="715"/>
      <c r="C1012" s="1747"/>
      <c r="D1012" s="1713"/>
      <c r="E1012" s="1745"/>
      <c r="F1012" s="1745"/>
      <c r="G1012" s="1746"/>
    </row>
    <row r="1013" spans="1:7" ht="12.75" customHeight="1">
      <c r="A1013" s="1763"/>
      <c r="B1013" s="799" t="s">
        <v>2611</v>
      </c>
      <c r="C1013" s="1747"/>
      <c r="D1013" s="2013" t="s">
        <v>2337</v>
      </c>
      <c r="E1013" s="2013"/>
      <c r="F1013" s="2013"/>
      <c r="G1013" s="1767"/>
    </row>
    <row r="1014" spans="1:7" ht="12.75" customHeight="1">
      <c r="A1014" s="1763"/>
      <c r="B1014" s="1763"/>
      <c r="C1014" s="1747"/>
      <c r="D1014" s="2013"/>
      <c r="E1014" s="2013"/>
      <c r="F1014" s="2013"/>
      <c r="G1014" s="1767"/>
    </row>
    <row r="1015" spans="1:7" ht="12.75" customHeight="1">
      <c r="A1015" s="1763"/>
      <c r="B1015" s="1763"/>
      <c r="C1015" s="1747"/>
      <c r="D1015" s="2013"/>
      <c r="E1015" s="2013"/>
      <c r="F1015" s="2013"/>
      <c r="G1015" s="1767"/>
    </row>
    <row r="1016" spans="1:7" ht="12.75" customHeight="1">
      <c r="A1016" s="1763"/>
      <c r="B1016" s="1763"/>
      <c r="C1016" s="1747"/>
      <c r="D1016" s="1713"/>
      <c r="E1016" s="1745"/>
      <c r="F1016" s="1745"/>
      <c r="G1016" s="1746"/>
    </row>
    <row r="1017" spans="1:7" ht="12.75" customHeight="1">
      <c r="A1017" s="1763"/>
      <c r="B1017" s="799" t="s">
        <v>2611</v>
      </c>
      <c r="C1017" s="1747"/>
      <c r="D1017" s="2013" t="s">
        <v>2338</v>
      </c>
      <c r="E1017" s="2013"/>
      <c r="F1017" s="2013"/>
      <c r="G1017" s="1765"/>
    </row>
    <row r="1018" spans="1:7" ht="12.75" customHeight="1">
      <c r="A1018" s="1763"/>
      <c r="B1018" s="1763"/>
      <c r="C1018" s="1747"/>
      <c r="D1018" s="2013"/>
      <c r="E1018" s="2013"/>
      <c r="F1018" s="2013"/>
      <c r="G1018" s="1765"/>
    </row>
    <row r="1019" spans="1:7" ht="12.75" customHeight="1">
      <c r="A1019" s="1763"/>
      <c r="B1019" s="1763"/>
      <c r="C1019" s="1747"/>
      <c r="D1019" s="2013"/>
      <c r="E1019" s="2013"/>
      <c r="F1019" s="2013"/>
      <c r="G1019" s="1765"/>
    </row>
    <row r="1020" spans="1:7" ht="12.75" customHeight="1">
      <c r="A1020" s="1763"/>
      <c r="B1020" s="1763"/>
      <c r="C1020" s="1747"/>
      <c r="D1020" s="1765"/>
      <c r="E1020" s="1765"/>
      <c r="F1020" s="1765"/>
      <c r="G1020" s="1765"/>
    </row>
    <row r="1021" spans="1:7" ht="12.75" customHeight="1">
      <c r="A1021" s="1763"/>
      <c r="B1021" s="799" t="s">
        <v>2611</v>
      </c>
      <c r="C1021" s="1747"/>
      <c r="D1021" s="2013" t="s">
        <v>2339</v>
      </c>
      <c r="E1021" s="2013"/>
      <c r="F1021" s="2013"/>
      <c r="G1021" s="1765"/>
    </row>
    <row r="1022" spans="1:7" ht="12.75" customHeight="1">
      <c r="A1022" s="1763"/>
      <c r="B1022" s="1763"/>
      <c r="C1022" s="1747"/>
      <c r="D1022" s="2013"/>
      <c r="E1022" s="2013"/>
      <c r="F1022" s="2013"/>
      <c r="G1022" s="1765"/>
    </row>
    <row r="1023" spans="1:7" ht="12.75" customHeight="1">
      <c r="A1023" s="1763"/>
      <c r="B1023" s="1763"/>
      <c r="C1023" s="1747"/>
      <c r="D1023" s="2013"/>
      <c r="E1023" s="2013"/>
      <c r="F1023" s="2013"/>
      <c r="G1023" s="1765"/>
    </row>
    <row r="1024" spans="1:7" ht="12.75" customHeight="1">
      <c r="A1024" s="1763"/>
      <c r="B1024" s="1763"/>
      <c r="C1024" s="1747"/>
      <c r="D1024" s="1768"/>
      <c r="E1024" s="1768"/>
      <c r="F1024" s="1768"/>
      <c r="G1024" s="1769"/>
    </row>
    <row r="1025" spans="1:7" ht="12.75" customHeight="1">
      <c r="A1025" s="1770"/>
      <c r="B1025" s="799" t="s">
        <v>2611</v>
      </c>
      <c r="C1025" s="1751"/>
      <c r="D1025" s="2015" t="s">
        <v>2340</v>
      </c>
      <c r="E1025" s="2015"/>
      <c r="F1025" s="2015"/>
      <c r="G1025" s="1771"/>
    </row>
    <row r="1026" spans="1:7" ht="12.75" customHeight="1">
      <c r="A1026" s="1770"/>
      <c r="B1026" s="1770"/>
      <c r="C1026" s="1751"/>
      <c r="D1026" s="2015"/>
      <c r="E1026" s="2015"/>
      <c r="F1026" s="2015"/>
      <c r="G1026" s="1771"/>
    </row>
    <row r="1027" spans="1:7" ht="12.75" customHeight="1">
      <c r="A1027" s="1770"/>
      <c r="B1027" s="1770"/>
      <c r="C1027" s="1751"/>
      <c r="D1027" s="2015"/>
      <c r="E1027" s="2015"/>
      <c r="F1027" s="2015"/>
      <c r="G1027" s="1771"/>
    </row>
    <row r="1028" spans="1:7" ht="12.75" customHeight="1">
      <c r="A1028" s="1770"/>
      <c r="B1028" s="1770"/>
      <c r="C1028" s="1751"/>
      <c r="D1028" s="2015"/>
      <c r="E1028" s="2015"/>
      <c r="F1028" s="2015"/>
      <c r="G1028" s="1771"/>
    </row>
    <row r="1029" spans="1:7" ht="12.75" customHeight="1">
      <c r="A1029" s="1770"/>
      <c r="B1029" s="1770"/>
      <c r="C1029" s="1751"/>
      <c r="D1029" s="2015"/>
      <c r="E1029" s="2015"/>
      <c r="F1029" s="2015"/>
      <c r="G1029" s="1771"/>
    </row>
    <row r="1030" spans="1:7" ht="12.75" customHeight="1">
      <c r="A1030" s="1770"/>
      <c r="B1030" s="1770"/>
      <c r="C1030" s="1751"/>
      <c r="D1030" s="2015"/>
      <c r="E1030" s="2015"/>
      <c r="F1030" s="2015"/>
      <c r="G1030" s="1771"/>
    </row>
    <row r="1031" spans="1:7" ht="12.75" customHeight="1">
      <c r="A1031" s="1770"/>
      <c r="B1031" s="1770"/>
      <c r="C1031" s="1751"/>
      <c r="D1031" s="2015"/>
      <c r="E1031" s="2015"/>
      <c r="F1031" s="2015"/>
      <c r="G1031" s="1771"/>
    </row>
    <row r="1032" spans="1:7" ht="12.75" customHeight="1">
      <c r="A1032" s="1770"/>
      <c r="B1032" s="1770"/>
      <c r="C1032" s="1751"/>
      <c r="D1032" s="2015"/>
      <c r="E1032" s="2015"/>
      <c r="F1032" s="2015"/>
      <c r="G1032" s="1771"/>
    </row>
    <row r="1033" spans="1:7" ht="12.75" customHeight="1">
      <c r="A1033" s="1770"/>
      <c r="B1033" s="1770"/>
      <c r="C1033" s="1751"/>
      <c r="D1033" s="2015"/>
      <c r="E1033" s="2015"/>
      <c r="F1033" s="2015"/>
      <c r="G1033" s="1771"/>
    </row>
    <row r="1034" spans="1:7" ht="12.75" customHeight="1">
      <c r="A1034" s="1770"/>
      <c r="B1034" s="1770"/>
      <c r="C1034" s="1751"/>
      <c r="D1034" s="2015"/>
      <c r="E1034" s="2015"/>
      <c r="F1034" s="2015"/>
      <c r="G1034" s="1771"/>
    </row>
    <row r="1035" spans="1:7" ht="12.75" customHeight="1">
      <c r="A1035" s="1770"/>
      <c r="B1035" s="1770"/>
      <c r="C1035" s="1751"/>
      <c r="D1035" s="2015"/>
      <c r="E1035" s="2015"/>
      <c r="F1035" s="2015"/>
      <c r="G1035" s="1771"/>
    </row>
    <row r="1036" spans="1:7" ht="12.75" customHeight="1">
      <c r="A1036" s="1770"/>
      <c r="B1036" s="1770"/>
      <c r="C1036" s="1751"/>
      <c r="D1036" s="1709"/>
      <c r="E1036" s="1709"/>
      <c r="F1036" s="1709"/>
      <c r="G1036" s="1709"/>
    </row>
    <row r="1037" spans="1:7" ht="12.75" customHeight="1">
      <c r="A1037" s="1763"/>
      <c r="B1037" s="1763"/>
      <c r="C1037" s="1747"/>
      <c r="D1037" s="1898" t="s">
        <v>2341</v>
      </c>
      <c r="E1037" s="1898"/>
      <c r="F1037" s="1898"/>
      <c r="G1037" s="1709"/>
    </row>
    <row r="1038" spans="1:7" ht="12.75" customHeight="1">
      <c r="A1038" s="1763"/>
      <c r="B1038" s="1763"/>
      <c r="C1038" s="1747"/>
      <c r="D1038" s="1717"/>
      <c r="E1038" s="1711"/>
      <c r="F1038" s="1711"/>
      <c r="G1038" s="1709"/>
    </row>
    <row r="1039" spans="1:7" ht="12.75" customHeight="1">
      <c r="A1039" s="715"/>
      <c r="B1039" s="799" t="s">
        <v>2611</v>
      </c>
      <c r="C1039" s="1747"/>
      <c r="D1039" s="1874" t="s">
        <v>2342</v>
      </c>
      <c r="E1039" s="1874"/>
      <c r="F1039" s="1874"/>
      <c r="G1039" s="1746"/>
    </row>
    <row r="1040" spans="1:7" ht="12.75" customHeight="1">
      <c r="A1040" s="1763"/>
      <c r="B1040" s="1763"/>
      <c r="C1040" s="1747"/>
      <c r="D1040" s="1874"/>
      <c r="E1040" s="1874"/>
      <c r="F1040" s="1874"/>
      <c r="G1040" s="1746"/>
    </row>
    <row r="1041" spans="1:7" ht="12.75" customHeight="1">
      <c r="A1041" s="1763"/>
      <c r="B1041" s="1763"/>
      <c r="C1041" s="1747"/>
      <c r="D1041" s="1874"/>
      <c r="E1041" s="1874"/>
      <c r="F1041" s="1874"/>
      <c r="G1041" s="1746"/>
    </row>
    <row r="1042" spans="1:7" ht="12.75" customHeight="1">
      <c r="A1042" s="1763"/>
      <c r="B1042" s="1763"/>
      <c r="C1042" s="1747"/>
      <c r="D1042" s="1874"/>
      <c r="E1042" s="1874"/>
      <c r="F1042" s="1874"/>
      <c r="G1042" s="1746"/>
    </row>
    <row r="1043" spans="1:7" ht="12.75" customHeight="1">
      <c r="A1043" s="1763"/>
      <c r="B1043" s="1763"/>
      <c r="C1043" s="1747"/>
      <c r="D1043" s="1745"/>
      <c r="E1043" s="1745"/>
      <c r="F1043" s="1745"/>
      <c r="G1043" s="1746"/>
    </row>
    <row r="1044" spans="1:7" ht="12.75" customHeight="1">
      <c r="A1044" s="715"/>
      <c r="B1044" s="799" t="s">
        <v>2611</v>
      </c>
      <c r="C1044" s="1747"/>
      <c r="D1044" s="1874" t="s">
        <v>2343</v>
      </c>
      <c r="E1044" s="1874"/>
      <c r="F1044" s="1874"/>
      <c r="G1044" s="1746"/>
    </row>
    <row r="1045" spans="1:7" ht="12.75" customHeight="1">
      <c r="A1045" s="1763"/>
      <c r="B1045" s="1763"/>
      <c r="C1045" s="1747"/>
      <c r="D1045" s="1874"/>
      <c r="E1045" s="1874"/>
      <c r="F1045" s="1874"/>
      <c r="G1045" s="1746"/>
    </row>
    <row r="1046" spans="1:7" ht="12.75" customHeight="1">
      <c r="A1046" s="1763"/>
      <c r="B1046" s="1763"/>
      <c r="C1046" s="1747"/>
      <c r="D1046" s="1874"/>
      <c r="E1046" s="1874"/>
      <c r="F1046" s="1874"/>
      <c r="G1046" s="1746"/>
    </row>
    <row r="1047" spans="1:7" ht="12.75" customHeight="1">
      <c r="A1047" s="1763"/>
      <c r="B1047" s="1763"/>
      <c r="C1047" s="1747"/>
      <c r="D1047" s="1874"/>
      <c r="E1047" s="1874"/>
      <c r="F1047" s="1874"/>
      <c r="G1047" s="1746"/>
    </row>
    <row r="1048" spans="1:7" ht="12.75" customHeight="1">
      <c r="A1048" s="1763"/>
      <c r="B1048" s="1763"/>
      <c r="C1048" s="1747"/>
      <c r="D1048" s="1745"/>
      <c r="E1048" s="1745"/>
      <c r="F1048" s="1745"/>
      <c r="G1048" s="1746"/>
    </row>
    <row r="1049" spans="1:7" ht="12.75" customHeight="1">
      <c r="A1049" s="1763"/>
      <c r="B1049" s="799" t="s">
        <v>2611</v>
      </c>
      <c r="C1049" s="1747"/>
      <c r="D1049" s="2016" t="s">
        <v>2344</v>
      </c>
      <c r="E1049" s="2016"/>
      <c r="F1049" s="2016"/>
      <c r="G1049" s="1746"/>
    </row>
    <row r="1050" spans="1:7" ht="12.75" customHeight="1">
      <c r="A1050" s="1763"/>
      <c r="B1050" s="1763"/>
      <c r="C1050" s="1747"/>
      <c r="D1050" s="2016"/>
      <c r="E1050" s="2016"/>
      <c r="F1050" s="2016"/>
      <c r="G1050" s="1746"/>
    </row>
    <row r="1051" spans="1:7" ht="12.75" customHeight="1">
      <c r="A1051" s="1763"/>
      <c r="B1051" s="1763"/>
      <c r="C1051" s="1747"/>
      <c r="D1051" s="2016"/>
      <c r="E1051" s="2016"/>
      <c r="F1051" s="2016"/>
      <c r="G1051" s="1746"/>
    </row>
    <row r="1052" spans="1:7" ht="12.75" customHeight="1">
      <c r="A1052" s="1763"/>
      <c r="B1052" s="1763"/>
      <c r="C1052" s="1747"/>
      <c r="D1052" s="1745"/>
      <c r="E1052" s="1745"/>
      <c r="F1052" s="1745"/>
      <c r="G1052" s="1746"/>
    </row>
    <row r="1053" spans="1:7" ht="12.75" customHeight="1">
      <c r="A1053" s="715"/>
      <c r="B1053" s="799" t="s">
        <v>2611</v>
      </c>
      <c r="C1053" s="1772"/>
      <c r="D1053" s="1933" t="s">
        <v>2345</v>
      </c>
      <c r="E1053" s="1933"/>
      <c r="F1053" s="1933"/>
      <c r="G1053" s="1773"/>
    </row>
    <row r="1054" spans="1:7" ht="12.75" customHeight="1">
      <c r="A1054" s="1774"/>
      <c r="B1054" s="1774"/>
      <c r="C1054" s="1772"/>
      <c r="D1054" s="1933"/>
      <c r="E1054" s="1933"/>
      <c r="F1054" s="1933"/>
      <c r="G1054" s="1773"/>
    </row>
    <row r="1055" spans="1:7" ht="12.75" customHeight="1">
      <c r="A1055" s="1774"/>
      <c r="B1055" s="1774"/>
      <c r="C1055" s="1772"/>
      <c r="D1055" s="1933"/>
      <c r="E1055" s="1933"/>
      <c r="F1055" s="1933"/>
      <c r="G1055" s="1773"/>
    </row>
    <row r="1056" spans="1:7" ht="12.75" customHeight="1">
      <c r="A1056" s="1763"/>
      <c r="B1056" s="1763"/>
      <c r="C1056" s="1747"/>
      <c r="D1056" s="1745"/>
      <c r="E1056" s="1745"/>
      <c r="F1056" s="1745"/>
      <c r="G1056" s="1746"/>
    </row>
    <row r="1057" spans="1:7" ht="12.75" customHeight="1">
      <c r="A1057" s="557"/>
      <c r="B1057" s="557"/>
      <c r="C1057" s="1747"/>
      <c r="D1057" s="1898" t="s">
        <v>2346</v>
      </c>
      <c r="E1057" s="1898"/>
      <c r="F1057" s="1898"/>
      <c r="G1057" s="1746"/>
    </row>
    <row r="1058" spans="1:7" ht="12.75" customHeight="1">
      <c r="A1058" s="557"/>
      <c r="B1058" s="557"/>
      <c r="C1058" s="1747"/>
      <c r="D1058" s="1717"/>
      <c r="E1058" s="1745"/>
      <c r="F1058" s="1745"/>
      <c r="G1058" s="1746"/>
    </row>
    <row r="1059" spans="1:7" ht="12.75" customHeight="1">
      <c r="A1059" s="1763"/>
      <c r="B1059" s="799" t="s">
        <v>2611</v>
      </c>
      <c r="C1059" s="1747"/>
      <c r="D1059" s="1876" t="s">
        <v>2347</v>
      </c>
      <c r="E1059" s="1876"/>
      <c r="F1059" s="1876"/>
      <c r="G1059" s="1746"/>
    </row>
    <row r="1060" spans="1:7" ht="12.75" customHeight="1">
      <c r="A1060" s="1763"/>
      <c r="B1060" s="1763"/>
      <c r="C1060" s="1747"/>
      <c r="D1060" s="1876"/>
      <c r="E1060" s="1876"/>
      <c r="F1060" s="1876"/>
      <c r="G1060" s="1746"/>
    </row>
    <row r="1061" spans="1:7" ht="12.75" customHeight="1">
      <c r="A1061" s="1763"/>
      <c r="B1061" s="1763"/>
      <c r="C1061" s="1747"/>
      <c r="D1061" s="1876"/>
      <c r="E1061" s="1876"/>
      <c r="F1061" s="1876"/>
      <c r="G1061" s="1746"/>
    </row>
    <row r="1062" spans="1:7" ht="12.75" customHeight="1">
      <c r="A1062" s="1763"/>
      <c r="B1062" s="1763"/>
      <c r="C1062" s="1747"/>
      <c r="D1062" s="1746"/>
      <c r="E1062" s="1745"/>
      <c r="F1062" s="1745"/>
      <c r="G1062" s="1746"/>
    </row>
    <row r="1063" spans="1:7" ht="12.75" customHeight="1">
      <c r="A1063" s="715"/>
      <c r="B1063" s="799" t="s">
        <v>2611</v>
      </c>
      <c r="C1063" s="1747"/>
      <c r="D1063" s="1876" t="s">
        <v>2348</v>
      </c>
      <c r="E1063" s="1876"/>
      <c r="F1063" s="1876"/>
      <c r="G1063" s="1746"/>
    </row>
    <row r="1064" spans="1:7" ht="12.75" customHeight="1">
      <c r="A1064" s="1763"/>
      <c r="B1064" s="1763"/>
      <c r="C1064" s="1747"/>
      <c r="D1064" s="1876"/>
      <c r="E1064" s="1876"/>
      <c r="F1064" s="1876"/>
      <c r="G1064" s="1746"/>
    </row>
    <row r="1065" spans="1:7" ht="12.75" customHeight="1">
      <c r="A1065" s="1763"/>
      <c r="B1065" s="1763"/>
      <c r="C1065" s="1747"/>
      <c r="D1065" s="1876"/>
      <c r="E1065" s="1876"/>
      <c r="F1065" s="1876"/>
      <c r="G1065" s="1746"/>
    </row>
    <row r="1066" spans="1:7" ht="12.75" customHeight="1">
      <c r="A1066" s="1763"/>
      <c r="B1066" s="1763"/>
      <c r="C1066" s="1747"/>
      <c r="D1066" s="1745"/>
      <c r="E1066" s="1745"/>
      <c r="F1066" s="1745"/>
      <c r="G1066" s="1746"/>
    </row>
    <row r="1067" spans="1:7" ht="12.75" customHeight="1">
      <c r="A1067" s="1763"/>
      <c r="B1067" s="1763"/>
      <c r="C1067" s="1747"/>
      <c r="D1067" s="1898" t="s">
        <v>2349</v>
      </c>
      <c r="E1067" s="1898"/>
      <c r="F1067" s="1898"/>
      <c r="G1067" s="1746"/>
    </row>
    <row r="1068" spans="1:7" ht="12.75" customHeight="1">
      <c r="A1068" s="1763"/>
      <c r="B1068" s="1763"/>
      <c r="C1068" s="1747"/>
      <c r="D1068" s="1899" t="s">
        <v>2350</v>
      </c>
      <c r="E1068" s="1899"/>
      <c r="F1068" s="1899"/>
      <c r="G1068" s="1746"/>
    </row>
    <row r="1069" spans="1:7" ht="12.75" customHeight="1">
      <c r="A1069" s="1763"/>
      <c r="B1069" s="1763"/>
      <c r="C1069" s="1747"/>
      <c r="D1069" s="1775"/>
      <c r="E1069" s="1745"/>
      <c r="F1069" s="1745"/>
      <c r="G1069" s="1746"/>
    </row>
    <row r="1070" spans="1:7" ht="12.75" customHeight="1">
      <c r="A1070" s="715"/>
      <c r="B1070" s="1793" t="s">
        <v>2611</v>
      </c>
      <c r="C1070" s="1747"/>
      <c r="D1070" s="1874" t="s">
        <v>2351</v>
      </c>
      <c r="E1070" s="1874"/>
      <c r="F1070" s="1874"/>
      <c r="G1070" s="1746"/>
    </row>
    <row r="1071" spans="1:7" ht="12.75" customHeight="1">
      <c r="A1071" s="1763"/>
      <c r="B1071" s="1763"/>
      <c r="C1071" s="1747"/>
      <c r="D1071" s="1874"/>
      <c r="E1071" s="1874"/>
      <c r="F1071" s="1874"/>
      <c r="G1071" s="1746"/>
    </row>
    <row r="1072" spans="1:7" ht="12.75" customHeight="1">
      <c r="A1072" s="1763"/>
      <c r="B1072" s="1763"/>
      <c r="C1072" s="1747"/>
      <c r="D1072" s="1745"/>
      <c r="E1072" s="1745"/>
      <c r="F1072" s="1745"/>
      <c r="G1072" s="1746"/>
    </row>
    <row r="1073" spans="1:7" ht="12.75" customHeight="1">
      <c r="A1073" s="715"/>
      <c r="B1073" s="1793" t="s">
        <v>2611</v>
      </c>
      <c r="C1073" s="1747"/>
      <c r="D1073" s="1874" t="s">
        <v>2352</v>
      </c>
      <c r="E1073" s="1874"/>
      <c r="F1073" s="1874"/>
      <c r="G1073" s="1746"/>
    </row>
    <row r="1074" spans="1:7" ht="12.75" customHeight="1">
      <c r="A1074" s="1763"/>
      <c r="B1074" s="1763"/>
      <c r="C1074" s="1747"/>
      <c r="D1074" s="1874"/>
      <c r="E1074" s="1874"/>
      <c r="F1074" s="1874"/>
      <c r="G1074" s="1746"/>
    </row>
    <row r="1075" spans="1:7" ht="12.75" customHeight="1">
      <c r="A1075" s="1763"/>
      <c r="B1075" s="1763"/>
      <c r="C1075" s="1747"/>
      <c r="D1075" s="6"/>
      <c r="E1075" s="1745"/>
      <c r="F1075" s="1745"/>
      <c r="G1075" s="1746"/>
    </row>
    <row r="1076" spans="1:7" ht="12.75" customHeight="1">
      <c r="A1076" s="1763"/>
      <c r="B1076" s="1763"/>
      <c r="C1076" s="1747"/>
      <c r="D1076" s="1898" t="s">
        <v>2353</v>
      </c>
      <c r="E1076" s="1898"/>
      <c r="F1076" s="1898"/>
      <c r="G1076" s="1746"/>
    </row>
    <row r="1077" spans="1:7" ht="12.75" customHeight="1">
      <c r="A1077" s="1763"/>
      <c r="B1077" s="1763"/>
      <c r="C1077" s="1747"/>
      <c r="D1077" s="1717"/>
      <c r="E1077" s="1745"/>
      <c r="F1077" s="1745"/>
      <c r="G1077" s="1746"/>
    </row>
    <row r="1078" spans="1:7" ht="12.75" customHeight="1">
      <c r="A1078" s="715"/>
      <c r="B1078" s="1793" t="s">
        <v>2611</v>
      </c>
      <c r="C1078" s="1747"/>
      <c r="D1078" s="1874" t="s">
        <v>2354</v>
      </c>
      <c r="E1078" s="1874"/>
      <c r="F1078" s="1874"/>
      <c r="G1078" s="1746"/>
    </row>
    <row r="1079" spans="1:7" ht="12.75" customHeight="1">
      <c r="A1079" s="1763"/>
      <c r="B1079" s="1763"/>
      <c r="C1079" s="1747"/>
      <c r="D1079" s="1874"/>
      <c r="E1079" s="1874"/>
      <c r="F1079" s="1874"/>
      <c r="G1079" s="1746"/>
    </row>
    <row r="1080" spans="1:7" ht="12.75" customHeight="1">
      <c r="A1080" s="1763"/>
      <c r="B1080" s="1763"/>
      <c r="C1080" s="1747"/>
      <c r="D1080" s="1874"/>
      <c r="E1080" s="1874"/>
      <c r="F1080" s="1874"/>
      <c r="G1080" s="1746"/>
    </row>
    <row r="1081" spans="1:7" ht="12.75" customHeight="1">
      <c r="A1081" s="1763"/>
      <c r="B1081" s="1763"/>
      <c r="C1081" s="1747"/>
      <c r="D1081" s="1874"/>
      <c r="E1081" s="1874"/>
      <c r="F1081" s="1874"/>
      <c r="G1081" s="1746"/>
    </row>
    <row r="1082" spans="1:7" ht="12.75" customHeight="1">
      <c r="A1082" s="1763"/>
      <c r="B1082" s="1763"/>
      <c r="C1082" s="1747"/>
      <c r="D1082" s="1874"/>
      <c r="E1082" s="1874"/>
      <c r="F1082" s="1874"/>
      <c r="G1082" s="1746"/>
    </row>
    <row r="1083" spans="1:7" ht="12.75" customHeight="1">
      <c r="A1083" s="1763"/>
      <c r="B1083" s="1763"/>
      <c r="C1083" s="1747"/>
      <c r="D1083" s="1874"/>
      <c r="E1083" s="1874"/>
      <c r="F1083" s="1874"/>
      <c r="G1083" s="1746"/>
    </row>
    <row r="1084" spans="1:7" ht="12.75" customHeight="1">
      <c r="A1084" s="1763"/>
      <c r="B1084" s="1763"/>
      <c r="C1084" s="1747"/>
      <c r="D1084" s="1874"/>
      <c r="E1084" s="1874"/>
      <c r="F1084" s="1874"/>
      <c r="G1084" s="1746"/>
    </row>
    <row r="1085" spans="1:7" ht="12.75" customHeight="1">
      <c r="A1085" s="1763"/>
      <c r="B1085" s="1763"/>
      <c r="C1085" s="1747"/>
      <c r="D1085" s="1745"/>
      <c r="E1085" s="1745"/>
      <c r="F1085" s="1745"/>
      <c r="G1085" s="1746"/>
    </row>
    <row r="1086" spans="1:7" ht="12.75" customHeight="1">
      <c r="A1086" s="715"/>
      <c r="B1086" s="1793" t="s">
        <v>2611</v>
      </c>
      <c r="C1086" s="1747"/>
      <c r="D1086" s="1874" t="s">
        <v>2355</v>
      </c>
      <c r="E1086" s="1874"/>
      <c r="F1086" s="1874"/>
      <c r="G1086" s="1746"/>
    </row>
    <row r="1087" spans="1:7" ht="12.75" customHeight="1">
      <c r="A1087" s="1763"/>
      <c r="B1087" s="1763"/>
      <c r="C1087" s="1747"/>
      <c r="D1087" s="1874"/>
      <c r="E1087" s="1874"/>
      <c r="F1087" s="1874"/>
      <c r="G1087" s="1746"/>
    </row>
    <row r="1088" spans="1:7" ht="12.75" customHeight="1">
      <c r="A1088" s="1763"/>
      <c r="B1088" s="1763"/>
      <c r="C1088" s="1747"/>
      <c r="D1088" s="1874"/>
      <c r="E1088" s="1874"/>
      <c r="F1088" s="1874"/>
      <c r="G1088" s="1746"/>
    </row>
    <row r="1089" spans="1:7" ht="12.75" customHeight="1">
      <c r="A1089" s="1763"/>
      <c r="B1089" s="1763"/>
      <c r="C1089" s="1747"/>
      <c r="D1089" s="1874"/>
      <c r="E1089" s="1874"/>
      <c r="F1089" s="1874"/>
      <c r="G1089" s="1746"/>
    </row>
    <row r="1090" spans="1:7" ht="12.75" customHeight="1">
      <c r="A1090" s="1763"/>
      <c r="B1090" s="1763"/>
      <c r="C1090" s="1747"/>
      <c r="D1090" s="1874"/>
      <c r="E1090" s="1874"/>
      <c r="F1090" s="1874"/>
      <c r="G1090" s="1746"/>
    </row>
    <row r="1091" spans="1:7" ht="12.75" customHeight="1">
      <c r="A1091" s="1763"/>
      <c r="B1091" s="1763"/>
      <c r="C1091" s="1747"/>
      <c r="D1091" s="1874"/>
      <c r="E1091" s="1874"/>
      <c r="F1091" s="1874"/>
      <c r="G1091" s="1746"/>
    </row>
    <row r="1092" spans="1:7" ht="12.75" customHeight="1">
      <c r="A1092" s="1763"/>
      <c r="B1092" s="1763"/>
      <c r="C1092" s="1747"/>
      <c r="D1092" s="1874"/>
      <c r="E1092" s="1874"/>
      <c r="F1092" s="1874"/>
      <c r="G1092" s="1746"/>
    </row>
    <row r="1093" spans="1:7" ht="12.75" customHeight="1">
      <c r="A1093" s="1763"/>
      <c r="B1093" s="1763"/>
      <c r="C1093" s="1747"/>
      <c r="D1093" s="1707"/>
      <c r="E1093" s="1707"/>
      <c r="F1093" s="1707"/>
      <c r="G1093" s="1746"/>
    </row>
    <row r="1094" spans="1:7" ht="12.75" customHeight="1">
      <c r="A1094" s="1763"/>
      <c r="B1094" s="1793" t="s">
        <v>2611</v>
      </c>
      <c r="C1094" s="1747"/>
      <c r="D1094" s="2016" t="s">
        <v>2356</v>
      </c>
      <c r="E1094" s="2016"/>
      <c r="F1094" s="2016"/>
      <c r="G1094" s="1746"/>
    </row>
    <row r="1095" spans="1:7" ht="12.75" customHeight="1">
      <c r="A1095" s="1763"/>
      <c r="B1095" s="1763"/>
      <c r="C1095" s="1747"/>
      <c r="D1095" s="2016"/>
      <c r="E1095" s="2016"/>
      <c r="F1095" s="2016"/>
      <c r="G1095" s="1746"/>
    </row>
    <row r="1096" spans="1:7" ht="12.75" customHeight="1">
      <c r="A1096" s="1763"/>
      <c r="B1096" s="1763"/>
      <c r="C1096" s="1747"/>
      <c r="D1096" s="2016"/>
      <c r="E1096" s="2016"/>
      <c r="F1096" s="2016"/>
      <c r="G1096" s="1746"/>
    </row>
    <row r="1097" spans="1:7" ht="12.75" customHeight="1">
      <c r="A1097" s="1763"/>
      <c r="B1097" s="1763"/>
      <c r="C1097" s="1747"/>
      <c r="D1097" s="1776"/>
      <c r="E1097" s="1776"/>
      <c r="F1097" s="1776"/>
      <c r="G1097" s="1746"/>
    </row>
    <row r="1098" spans="1:7" ht="12.75" customHeight="1">
      <c r="A1098" s="1749"/>
      <c r="B1098" s="1749"/>
      <c r="C1098" s="557"/>
      <c r="D1098" s="1898" t="s">
        <v>2357</v>
      </c>
      <c r="E1098" s="1898"/>
      <c r="F1098" s="1898"/>
      <c r="G1098" s="679"/>
    </row>
    <row r="1099" spans="1:7" ht="12.75" customHeight="1">
      <c r="A1099" s="1749"/>
      <c r="B1099" s="1749"/>
      <c r="C1099" s="557"/>
      <c r="D1099" s="1717"/>
      <c r="E1099" s="6"/>
      <c r="F1099" s="6"/>
      <c r="G1099" s="679"/>
    </row>
    <row r="1100" spans="1:7" ht="12.75" customHeight="1">
      <c r="A1100" s="715"/>
      <c r="B1100" s="799" t="s">
        <v>2612</v>
      </c>
      <c r="C1100" s="557"/>
      <c r="D1100" s="1876" t="s">
        <v>2358</v>
      </c>
      <c r="E1100" s="1876"/>
      <c r="F1100" s="1876"/>
      <c r="G1100" s="679"/>
    </row>
    <row r="1101" spans="1:7" ht="12.75" customHeight="1">
      <c r="A1101" s="1749"/>
      <c r="B1101" s="1749"/>
      <c r="C1101" s="557"/>
      <c r="D1101" s="1876"/>
      <c r="E1101" s="1876"/>
      <c r="F1101" s="1876"/>
      <c r="G1101" s="679"/>
    </row>
    <row r="1102" spans="1:7" ht="12.75" customHeight="1">
      <c r="A1102" s="1749"/>
      <c r="B1102" s="1749"/>
      <c r="C1102" s="557"/>
      <c r="D1102" s="679"/>
      <c r="E1102" s="6"/>
      <c r="F1102" s="6"/>
      <c r="G1102" s="679"/>
    </row>
    <row r="1103" spans="1:7" ht="12.75" customHeight="1">
      <c r="A1103" s="715"/>
      <c r="B1103" s="1793" t="s">
        <v>2611</v>
      </c>
      <c r="C1103" s="557"/>
      <c r="D1103" s="1876" t="s">
        <v>2359</v>
      </c>
      <c r="E1103" s="1876"/>
      <c r="F1103" s="1876"/>
      <c r="G1103" s="679"/>
    </row>
    <row r="1104" spans="1:7" ht="12.75" customHeight="1">
      <c r="A1104" s="1749"/>
      <c r="B1104" s="1749"/>
      <c r="C1104" s="557"/>
      <c r="D1104" s="1876"/>
      <c r="E1104" s="1876"/>
      <c r="F1104" s="1876"/>
      <c r="G1104" s="679"/>
    </row>
    <row r="1105" spans="1:7" ht="12.75" customHeight="1">
      <c r="A1105" s="1749"/>
      <c r="B1105" s="1749"/>
      <c r="C1105" s="557"/>
      <c r="D1105" s="6"/>
      <c r="E1105" s="6"/>
      <c r="F1105" s="6"/>
      <c r="G1105" s="679"/>
    </row>
    <row r="1106" spans="1:7" ht="12.75" customHeight="1">
      <c r="A1106" s="1749"/>
      <c r="B1106" s="1749"/>
      <c r="C1106" s="557"/>
      <c r="D1106" s="1898" t="s">
        <v>2360</v>
      </c>
      <c r="E1106" s="1898"/>
      <c r="F1106" s="1898"/>
      <c r="G1106" s="679"/>
    </row>
    <row r="1107" spans="1:7" ht="12.75" customHeight="1">
      <c r="A1107" s="1749"/>
      <c r="B1107" s="1749"/>
      <c r="C1107" s="557"/>
      <c r="D1107" s="1717"/>
      <c r="E1107" s="6"/>
      <c r="F1107" s="6"/>
      <c r="G1107" s="679"/>
    </row>
    <row r="1108" spans="1:7" ht="12.75" customHeight="1">
      <c r="A1108" s="715"/>
      <c r="B1108" s="1793" t="s">
        <v>2611</v>
      </c>
      <c r="C1108" s="557"/>
      <c r="D1108" s="1899" t="s">
        <v>2387</v>
      </c>
      <c r="E1108" s="1899"/>
      <c r="F1108" s="1899"/>
      <c r="G1108" s="679"/>
    </row>
    <row r="1109" spans="1:7" ht="12.75" customHeight="1">
      <c r="A1109" s="1749"/>
      <c r="B1109" s="1749"/>
      <c r="C1109" s="557"/>
      <c r="D1109" s="6"/>
      <c r="E1109" s="6"/>
      <c r="F1109" s="6"/>
      <c r="G1109" s="679"/>
    </row>
    <row r="1110" spans="1:7" ht="12.75" customHeight="1">
      <c r="A1110" s="715"/>
      <c r="B1110" s="1793" t="s">
        <v>2611</v>
      </c>
      <c r="C1110" s="557"/>
      <c r="D1110" s="1874" t="s">
        <v>2361</v>
      </c>
      <c r="E1110" s="1874"/>
      <c r="F1110" s="1874"/>
      <c r="G1110" s="679"/>
    </row>
    <row r="1111" spans="1:7" ht="12.75" customHeight="1">
      <c r="A1111" s="715"/>
      <c r="B1111" s="715"/>
      <c r="C1111" s="557"/>
      <c r="D1111" s="1874"/>
      <c r="E1111" s="1874"/>
      <c r="F1111" s="1874"/>
      <c r="G1111" s="679"/>
    </row>
    <row r="1112" spans="1:7" ht="12.75" customHeight="1">
      <c r="A1112" s="715"/>
      <c r="B1112" s="715"/>
      <c r="C1112" s="557"/>
      <c r="D1112" s="1707"/>
      <c r="E1112" s="1707"/>
      <c r="F1112" s="1707"/>
      <c r="G1112" s="678"/>
    </row>
    <row r="1113" spans="1:7" ht="12.75" customHeight="1">
      <c r="A1113" s="1749"/>
      <c r="B1113" s="1749"/>
      <c r="C1113" s="557"/>
      <c r="D1113" s="1898" t="s">
        <v>2362</v>
      </c>
      <c r="E1113" s="1898"/>
      <c r="F1113" s="1898"/>
      <c r="G1113" s="678"/>
    </row>
    <row r="1114" spans="1:7" ht="12.75" customHeight="1">
      <c r="A1114" s="1749"/>
      <c r="B1114" s="1749"/>
      <c r="C1114" s="557"/>
      <c r="D1114" s="1717"/>
      <c r="E1114" s="6"/>
      <c r="F1114" s="6"/>
      <c r="G1114" s="678"/>
    </row>
    <row r="1115" spans="1:7" ht="12.75" customHeight="1">
      <c r="A1115" s="715"/>
      <c r="B1115" s="1793" t="s">
        <v>2611</v>
      </c>
      <c r="C1115" s="557"/>
      <c r="D1115" s="1874" t="s">
        <v>2363</v>
      </c>
      <c r="E1115" s="1874"/>
      <c r="F1115" s="1874"/>
      <c r="G1115" s="678"/>
    </row>
    <row r="1116" spans="1:7" ht="12.75" customHeight="1">
      <c r="A1116" s="715"/>
      <c r="B1116" s="715"/>
      <c r="C1116" s="557"/>
      <c r="D1116" s="1874"/>
      <c r="E1116" s="1874"/>
      <c r="F1116" s="1874"/>
      <c r="G1116" s="678"/>
    </row>
    <row r="1117" spans="1:7" ht="12.75" customHeight="1">
      <c r="A1117" s="715"/>
      <c r="B1117" s="715"/>
      <c r="C1117" s="557"/>
      <c r="D1117" s="1874"/>
      <c r="E1117" s="1874"/>
      <c r="F1117" s="1874"/>
      <c r="G1117" s="678"/>
    </row>
    <row r="1118" spans="1:7" ht="12.75" customHeight="1">
      <c r="A1118" s="715"/>
      <c r="B1118" s="715"/>
      <c r="C1118" s="557"/>
      <c r="D1118" s="1874"/>
      <c r="E1118" s="1874"/>
      <c r="F1118" s="1874"/>
      <c r="G1118" s="678"/>
    </row>
    <row r="1119" spans="1:7" ht="12.75" customHeight="1">
      <c r="A1119" s="715"/>
      <c r="B1119" s="715"/>
      <c r="C1119" s="557"/>
      <c r="D1119" s="1874"/>
      <c r="E1119" s="1874"/>
      <c r="F1119" s="1874"/>
      <c r="G1119" s="678"/>
    </row>
    <row r="1120" spans="1:7" ht="12.75" customHeight="1">
      <c r="A1120" s="715"/>
      <c r="B1120" s="715"/>
      <c r="C1120" s="557"/>
      <c r="D1120" s="1874"/>
      <c r="E1120" s="1874"/>
      <c r="F1120" s="1874"/>
      <c r="G1120" s="678"/>
    </row>
    <row r="1121" spans="1:7" ht="12.75" customHeight="1">
      <c r="A1121" s="715"/>
      <c r="B1121" s="715"/>
      <c r="C1121" s="557"/>
      <c r="D1121" s="1874"/>
      <c r="E1121" s="1874"/>
      <c r="F1121" s="1874"/>
      <c r="G1121" s="678"/>
    </row>
    <row r="1122" spans="1:7" ht="12.75" customHeight="1">
      <c r="A1122" s="715"/>
      <c r="B1122" s="715"/>
      <c r="C1122" s="557"/>
      <c r="D1122" s="1874"/>
      <c r="E1122" s="1874"/>
      <c r="F1122" s="1874"/>
      <c r="G1122" s="678"/>
    </row>
    <row r="1123" spans="1:7" ht="12.75" customHeight="1">
      <c r="A1123" s="715"/>
      <c r="B1123" s="715"/>
      <c r="C1123" s="557"/>
      <c r="D1123" s="1874"/>
      <c r="E1123" s="1874"/>
      <c r="F1123" s="1874"/>
      <c r="G1123" s="678"/>
    </row>
    <row r="1124" spans="1:7" ht="12.75" customHeight="1">
      <c r="A1124" s="715"/>
      <c r="B1124" s="715"/>
      <c r="C1124" s="557"/>
      <c r="D1124" s="1874"/>
      <c r="E1124" s="1874"/>
      <c r="F1124" s="1874"/>
      <c r="G1124" s="678"/>
    </row>
    <row r="1125" spans="1:7" ht="12.75" customHeight="1">
      <c r="A1125" s="715"/>
      <c r="B1125" s="715"/>
      <c r="C1125" s="557"/>
      <c r="D1125" s="1874"/>
      <c r="E1125" s="1874"/>
      <c r="F1125" s="1874"/>
      <c r="G1125" s="678"/>
    </row>
    <row r="1126" spans="1:7" ht="12.75" customHeight="1">
      <c r="A1126" s="715"/>
      <c r="B1126" s="715"/>
      <c r="C1126" s="557"/>
      <c r="D1126" s="1874"/>
      <c r="E1126" s="1874"/>
      <c r="F1126" s="1874"/>
      <c r="G1126" s="678"/>
    </row>
    <row r="1127" spans="1:7" ht="12.75" customHeight="1">
      <c r="A1127" s="715"/>
      <c r="B1127" s="715"/>
      <c r="C1127" s="557"/>
      <c r="D1127" s="1874"/>
      <c r="E1127" s="1874"/>
      <c r="F1127" s="1874"/>
      <c r="G1127" s="678"/>
    </row>
    <row r="1128" spans="1:7" ht="12.75" customHeight="1">
      <c r="A1128" s="715"/>
      <c r="B1128" s="715"/>
      <c r="C1128" s="557"/>
      <c r="D1128" s="1874"/>
      <c r="E1128" s="1874"/>
      <c r="F1128" s="1874"/>
      <c r="G1128" s="679"/>
    </row>
    <row r="1129" spans="1:7" ht="12.75" customHeight="1">
      <c r="A1129" s="1749"/>
      <c r="B1129" s="1749"/>
      <c r="C1129" s="557"/>
      <c r="D1129" s="6"/>
      <c r="E1129" s="6"/>
      <c r="F1129" s="6"/>
      <c r="G1129" s="679"/>
    </row>
    <row r="1130" spans="1:7" ht="12.75" customHeight="1">
      <c r="A1130" s="1909" t="s">
        <v>2364</v>
      </c>
      <c r="B1130" s="1909"/>
      <c r="C1130" s="1909"/>
      <c r="D1130" s="1909"/>
      <c r="E1130" s="1909"/>
      <c r="F1130" s="1909"/>
      <c r="G1130" s="1909"/>
    </row>
    <row r="1131" spans="1:7" ht="12.75" customHeight="1">
      <c r="A1131" s="1714"/>
      <c r="B1131" s="1714"/>
      <c r="C1131" s="557"/>
      <c r="D1131" s="6"/>
      <c r="E1131" s="6"/>
      <c r="F1131" s="6"/>
      <c r="G1131" s="679"/>
    </row>
    <row r="1132" spans="1:7" ht="12.75" customHeight="1">
      <c r="A1132" s="1749"/>
      <c r="B1132" s="1749"/>
      <c r="C1132" s="1747"/>
      <c r="D1132" s="1898" t="s">
        <v>2388</v>
      </c>
      <c r="E1132" s="1898"/>
      <c r="F1132" s="1898"/>
      <c r="G1132" s="679"/>
    </row>
    <row r="1133" spans="1:7" ht="12.75" customHeight="1">
      <c r="A1133" s="1721"/>
      <c r="B1133" s="1721"/>
      <c r="C1133" s="1753"/>
      <c r="D1133" s="1899" t="s">
        <v>2365</v>
      </c>
      <c r="E1133" s="1899"/>
      <c r="F1133" s="1899"/>
      <c r="G1133" s="679"/>
    </row>
    <row r="1134" spans="1:7" ht="12.75" customHeight="1">
      <c r="A1134" s="1721"/>
      <c r="B1134" s="1721"/>
      <c r="C1134" s="1753"/>
      <c r="D1134" s="6"/>
      <c r="E1134" s="6"/>
      <c r="F1134" s="1745"/>
      <c r="G1134" s="678"/>
    </row>
    <row r="1135" spans="1:7" ht="12.75" customHeight="1">
      <c r="A1135" s="1749"/>
      <c r="B1135" s="799" t="s">
        <v>2612</v>
      </c>
      <c r="C1135" s="557"/>
      <c r="D1135" s="1878" t="s">
        <v>2366</v>
      </c>
      <c r="E1135" s="1878"/>
      <c r="F1135" s="1878"/>
      <c r="G1135" s="678"/>
    </row>
    <row r="1136" spans="1:7" ht="12.75" customHeight="1">
      <c r="A1136" s="1749"/>
      <c r="B1136" s="1749"/>
      <c r="C1136" s="557"/>
      <c r="D1136" s="1878"/>
      <c r="E1136" s="1878"/>
      <c r="F1136" s="1878"/>
      <c r="G1136" s="678"/>
    </row>
    <row r="1137" spans="1:7" ht="12.75" customHeight="1">
      <c r="A1137" s="1749"/>
      <c r="B1137" s="1749"/>
      <c r="C1137" s="557"/>
      <c r="D1137" s="1878"/>
      <c r="E1137" s="1878"/>
      <c r="F1137" s="1878"/>
      <c r="G1137" s="678"/>
    </row>
    <row r="1138" spans="1:7" ht="12.75" customHeight="1">
      <c r="A1138" s="1749"/>
      <c r="B1138" s="1749"/>
      <c r="C1138" s="557"/>
      <c r="D1138" s="1878"/>
      <c r="E1138" s="1878"/>
      <c r="F1138" s="1878"/>
      <c r="G1138" s="678"/>
    </row>
    <row r="1139" spans="1:7" ht="12.75" customHeight="1">
      <c r="A1139" s="1733"/>
      <c r="B1139" s="1733"/>
      <c r="C1139" s="558"/>
      <c r="D1139" s="1878"/>
      <c r="E1139" s="1878"/>
      <c r="F1139" s="1878"/>
      <c r="G1139" s="678"/>
    </row>
    <row r="1140" spans="1:7" ht="12.75" customHeight="1">
      <c r="A1140" s="1733"/>
      <c r="B1140" s="1733"/>
      <c r="C1140" s="558"/>
      <c r="D1140" s="1878"/>
      <c r="E1140" s="1878"/>
      <c r="F1140" s="1878"/>
      <c r="G1140" s="678"/>
    </row>
    <row r="1141" spans="1:7" ht="12.75" customHeight="1">
      <c r="A1141" s="721"/>
      <c r="B1141" s="721"/>
      <c r="C1141" s="314"/>
      <c r="D1141" s="1878"/>
      <c r="E1141" s="1878"/>
      <c r="F1141" s="1878"/>
      <c r="G1141" s="678"/>
    </row>
    <row r="1142" spans="1:7" ht="12.75" customHeight="1">
      <c r="A1142" s="721"/>
      <c r="B1142" s="721"/>
      <c r="C1142" s="314"/>
      <c r="D1142" s="1878"/>
      <c r="E1142" s="1878"/>
      <c r="F1142" s="1878"/>
      <c r="G1142" s="678"/>
    </row>
    <row r="1143" spans="1:7" ht="12.75" customHeight="1">
      <c r="A1143" s="721"/>
      <c r="B1143" s="721"/>
      <c r="C1143" s="314"/>
      <c r="D1143" s="1710"/>
      <c r="E1143" s="1710"/>
      <c r="F1143" s="1710"/>
      <c r="G1143" s="678"/>
    </row>
    <row r="1144" spans="1:7" ht="12.75" customHeight="1">
      <c r="A1144" s="721"/>
      <c r="B1144" s="799" t="s">
        <v>2612</v>
      </c>
      <c r="C1144" s="314"/>
      <c r="D1144" s="1876" t="s">
        <v>2367</v>
      </c>
      <c r="E1144" s="1876"/>
      <c r="F1144" s="1876"/>
      <c r="G1144" s="678"/>
    </row>
    <row r="1145" spans="1:7" ht="12.75" customHeight="1">
      <c r="A1145" s="721"/>
      <c r="B1145" s="721"/>
      <c r="C1145" s="314"/>
      <c r="D1145" s="1876"/>
      <c r="E1145" s="1876"/>
      <c r="F1145" s="1876"/>
      <c r="G1145" s="678"/>
    </row>
    <row r="1146" spans="1:7" ht="12.75" customHeight="1">
      <c r="A1146" s="721"/>
      <c r="B1146" s="721"/>
      <c r="C1146" s="314"/>
      <c r="D1146" s="1876"/>
      <c r="E1146" s="1876"/>
      <c r="F1146" s="1876"/>
      <c r="G1146" s="678"/>
    </row>
    <row r="1147" spans="1:7" ht="12.75" customHeight="1">
      <c r="A1147" s="721"/>
      <c r="B1147" s="721"/>
      <c r="C1147" s="314"/>
      <c r="D1147" s="1876"/>
      <c r="E1147" s="1876"/>
      <c r="F1147" s="1876"/>
      <c r="G1147" s="678"/>
    </row>
    <row r="1148" spans="1:7" ht="12.75" customHeight="1">
      <c r="A1148" s="721"/>
      <c r="B1148" s="721"/>
      <c r="C1148" s="314"/>
      <c r="D1148" s="1708"/>
      <c r="E1148" s="1708"/>
      <c r="F1148" s="1708"/>
      <c r="G1148" s="678"/>
    </row>
    <row r="1149" spans="1:7" ht="12.75" customHeight="1">
      <c r="A1149" s="721"/>
      <c r="B1149" s="799" t="s">
        <v>2611</v>
      </c>
      <c r="C1149" s="314"/>
      <c r="D1149" s="1876" t="s">
        <v>2368</v>
      </c>
      <c r="E1149" s="1876"/>
      <c r="F1149" s="1876"/>
      <c r="G1149" s="678"/>
    </row>
    <row r="1150" spans="1:7" ht="12.75" customHeight="1">
      <c r="A1150" s="721"/>
      <c r="B1150" s="721"/>
      <c r="C1150" s="314"/>
      <c r="D1150" s="1876"/>
      <c r="E1150" s="1876"/>
      <c r="F1150" s="1876"/>
      <c r="G1150" s="678"/>
    </row>
    <row r="1151" spans="1:7" ht="12.75" customHeight="1">
      <c r="A1151" s="721"/>
      <c r="B1151" s="721"/>
      <c r="C1151" s="314"/>
      <c r="D1151" s="1708"/>
      <c r="E1151" s="1708"/>
      <c r="F1151" s="1708"/>
      <c r="G1151" s="678"/>
    </row>
    <row r="1152" spans="1:7" ht="12.75" customHeight="1">
      <c r="A1152" s="715"/>
      <c r="B1152" s="799" t="s">
        <v>2612</v>
      </c>
      <c r="C1152" s="557"/>
      <c r="D1152" s="1899" t="s">
        <v>2369</v>
      </c>
      <c r="E1152" s="1899"/>
      <c r="F1152" s="1899"/>
      <c r="G1152" s="678"/>
    </row>
    <row r="1153" spans="1:7" ht="12.75" customHeight="1">
      <c r="A1153" s="1749"/>
      <c r="B1153" s="1749"/>
      <c r="C1153" s="557"/>
      <c r="D1153" s="6"/>
      <c r="E1153" s="6"/>
      <c r="F1153" s="6"/>
      <c r="G1153" s="678"/>
    </row>
    <row r="1154" spans="1:7" ht="12.75" customHeight="1">
      <c r="A1154" s="715"/>
      <c r="B1154" s="799" t="s">
        <v>2611</v>
      </c>
      <c r="C1154" s="557"/>
      <c r="D1154" s="1899" t="s">
        <v>2370</v>
      </c>
      <c r="E1154" s="1899"/>
      <c r="F1154" s="1899"/>
      <c r="G1154" s="678"/>
    </row>
    <row r="1155" spans="1:7" ht="12.75" customHeight="1">
      <c r="A1155" s="1749"/>
      <c r="B1155" s="1749"/>
      <c r="C1155" s="557"/>
      <c r="D1155" s="1713"/>
      <c r="E1155" s="6"/>
      <c r="F1155" s="6"/>
      <c r="G1155" s="678"/>
    </row>
    <row r="1156" spans="1:7" ht="12.75" customHeight="1">
      <c r="A1156" s="715"/>
      <c r="B1156" s="799" t="s">
        <v>2612</v>
      </c>
      <c r="C1156" s="557"/>
      <c r="D1156" s="1899" t="s">
        <v>2371</v>
      </c>
      <c r="E1156" s="1899"/>
      <c r="F1156" s="1899"/>
      <c r="G1156" s="678"/>
    </row>
    <row r="1157" spans="1:7" ht="12.75" customHeight="1">
      <c r="A1157" s="1749"/>
      <c r="B1157" s="1749"/>
      <c r="C1157" s="557"/>
      <c r="D1157" s="1713"/>
      <c r="E1157" s="6"/>
      <c r="F1157" s="6"/>
      <c r="G1157" s="678"/>
    </row>
    <row r="1158" spans="1:7" ht="12.75" customHeight="1">
      <c r="A1158" s="715"/>
      <c r="B1158" s="799" t="s">
        <v>2611</v>
      </c>
      <c r="C1158" s="557"/>
      <c r="D1158" s="1874" t="s">
        <v>2372</v>
      </c>
      <c r="E1158" s="1874"/>
      <c r="F1158" s="1874"/>
      <c r="G1158" s="678"/>
    </row>
    <row r="1159" spans="1:7" ht="12.75" customHeight="1">
      <c r="A1159" s="715"/>
      <c r="B1159" s="715"/>
      <c r="C1159" s="557"/>
      <c r="D1159" s="1874"/>
      <c r="E1159" s="1874"/>
      <c r="F1159" s="1874"/>
      <c r="G1159" s="678"/>
    </row>
    <row r="1160" spans="1:7" ht="12.75" customHeight="1">
      <c r="A1160" s="715"/>
      <c r="B1160" s="715"/>
      <c r="C1160" s="557"/>
      <c r="D1160" s="1713"/>
      <c r="E1160" s="6"/>
      <c r="F1160" s="6"/>
      <c r="G1160" s="679"/>
    </row>
    <row r="1161" spans="1:7" ht="12.75" customHeight="1">
      <c r="A1161" s="408"/>
      <c r="B1161" s="799" t="s">
        <v>2611</v>
      </c>
      <c r="C1161" s="1777"/>
      <c r="D1161" s="1917" t="s">
        <v>2373</v>
      </c>
      <c r="E1161" s="1917"/>
      <c r="F1161" s="1917"/>
      <c r="G1161" s="1778"/>
    </row>
    <row r="1162" spans="1:7" ht="12.75" customHeight="1">
      <c r="A1162" s="1777"/>
      <c r="B1162" s="1777"/>
      <c r="C1162" s="1777"/>
      <c r="D1162" s="1917"/>
      <c r="E1162" s="1917"/>
      <c r="F1162" s="1917"/>
      <c r="G1162" s="1778"/>
    </row>
    <row r="1163" spans="1:7" ht="12.75" customHeight="1">
      <c r="A1163" s="1777"/>
      <c r="B1163" s="1777"/>
      <c r="C1163" s="1777"/>
      <c r="D1163" s="1779"/>
      <c r="E1163" s="1780"/>
      <c r="F1163" s="1780"/>
      <c r="G1163" s="1778"/>
    </row>
    <row r="1164" spans="1:7" ht="12.75" customHeight="1">
      <c r="A1164" s="408"/>
      <c r="B1164" s="799" t="s">
        <v>2611</v>
      </c>
      <c r="C1164" s="1777"/>
      <c r="D1164" s="2022" t="s">
        <v>2374</v>
      </c>
      <c r="E1164" s="2022"/>
      <c r="F1164" s="2022"/>
      <c r="G1164" s="1778"/>
    </row>
    <row r="1165" spans="1:7" ht="12.75" customHeight="1">
      <c r="A1165" s="1777"/>
      <c r="B1165" s="1777"/>
      <c r="C1165" s="1777"/>
      <c r="D1165" s="1779"/>
      <c r="E1165" s="1780"/>
      <c r="F1165" s="1780"/>
      <c r="G1165" s="1778"/>
    </row>
    <row r="1166" spans="1:7" ht="12.75" customHeight="1">
      <c r="A1166" s="715"/>
      <c r="B1166" s="799" t="s">
        <v>2611</v>
      </c>
      <c r="C1166" s="557"/>
      <c r="D1166" s="1899" t="s">
        <v>2375</v>
      </c>
      <c r="E1166" s="1899"/>
      <c r="F1166" s="1899"/>
      <c r="G1166" s="679"/>
    </row>
    <row r="1167" spans="1:7" ht="12.75" customHeight="1">
      <c r="A1167" s="715"/>
      <c r="B1167" s="715"/>
      <c r="C1167" s="557"/>
      <c r="D1167" s="1713"/>
      <c r="E1167" s="6"/>
      <c r="F1167" s="6"/>
      <c r="G1167" s="679"/>
    </row>
    <row r="1168" spans="1:7" ht="12.75" customHeight="1">
      <c r="A1168" s="715"/>
      <c r="B1168" s="799" t="s">
        <v>2611</v>
      </c>
      <c r="C1168" s="557"/>
      <c r="D1168" s="1874" t="s">
        <v>2376</v>
      </c>
      <c r="E1168" s="1874"/>
      <c r="F1168" s="1874"/>
      <c r="G1168" s="679"/>
    </row>
    <row r="1169" spans="1:7" ht="12.75" customHeight="1">
      <c r="A1169" s="715"/>
      <c r="B1169" s="715"/>
      <c r="C1169" s="557"/>
      <c r="D1169" s="1874"/>
      <c r="E1169" s="1874"/>
      <c r="F1169" s="1874"/>
      <c r="G1169" s="679"/>
    </row>
    <row r="1170" spans="1:7" ht="12.75" customHeight="1">
      <c r="A1170" s="1749"/>
      <c r="B1170" s="1749"/>
      <c r="C1170" s="557"/>
      <c r="D1170" s="6"/>
      <c r="E1170" s="6"/>
      <c r="F1170" s="6"/>
      <c r="G1170" s="679"/>
    </row>
    <row r="1171" spans="1:7" ht="12.75" customHeight="1">
      <c r="A1171" s="1909" t="s">
        <v>2377</v>
      </c>
      <c r="B1171" s="1909"/>
      <c r="C1171" s="1909"/>
      <c r="D1171" s="1909"/>
      <c r="E1171" s="1909"/>
      <c r="F1171" s="1909"/>
      <c r="G1171" s="1909"/>
    </row>
    <row r="1172" spans="1:7" ht="12.75" customHeight="1">
      <c r="A1172" s="1749"/>
      <c r="B1172" s="1749"/>
      <c r="C1172" s="557"/>
      <c r="D1172" s="6"/>
      <c r="E1172" s="6"/>
      <c r="F1172" s="6"/>
      <c r="G1172" s="679"/>
    </row>
    <row r="1173" spans="1:7" ht="12.75" customHeight="1">
      <c r="A1173" s="1733"/>
      <c r="B1173" s="1733"/>
      <c r="C1173" s="558"/>
      <c r="D1173" s="1918" t="s">
        <v>2378</v>
      </c>
      <c r="E1173" s="1918"/>
      <c r="F1173" s="1918"/>
      <c r="G1173" s="679"/>
    </row>
    <row r="1174" spans="1:7" ht="12.75" customHeight="1">
      <c r="A1174" s="1733"/>
      <c r="B1174" s="1733"/>
      <c r="C1174" s="558"/>
      <c r="D1174" s="2021" t="s">
        <v>2379</v>
      </c>
      <c r="E1174" s="2021"/>
      <c r="F1174" s="2021"/>
      <c r="G1174" s="679"/>
    </row>
    <row r="1175" spans="1:7" ht="12.75" customHeight="1">
      <c r="A1175" s="675"/>
      <c r="B1175" s="675"/>
      <c r="C1175" s="1722"/>
      <c r="D1175" s="679"/>
      <c r="E1175" s="679"/>
      <c r="F1175" s="679"/>
      <c r="G1175" s="679"/>
    </row>
    <row r="1176" spans="1:7" ht="12.75" customHeight="1">
      <c r="A1176" s="715"/>
      <c r="B1176" s="715"/>
      <c r="C1176" s="314"/>
      <c r="D1176" s="1918" t="s">
        <v>2393</v>
      </c>
      <c r="E1176" s="1918"/>
      <c r="F1176" s="1918"/>
      <c r="G1176" s="679"/>
    </row>
    <row r="1177" spans="1:7" ht="12.75" customHeight="1">
      <c r="A1177" s="1749"/>
      <c r="B1177" s="799" t="s">
        <v>2612</v>
      </c>
      <c r="C1177" s="557"/>
      <c r="D1177" s="2021" t="s">
        <v>1513</v>
      </c>
      <c r="E1177" s="2021"/>
      <c r="F1177" s="2021"/>
      <c r="G1177" s="679"/>
    </row>
    <row r="1178" spans="1:7" s="1790" customFormat="1" ht="12.75" customHeight="1">
      <c r="A1178" s="1749"/>
      <c r="B1178" s="715"/>
      <c r="C1178" s="557"/>
      <c r="D1178" s="2017" t="s">
        <v>2380</v>
      </c>
      <c r="E1178" s="2017"/>
      <c r="F1178" s="2017"/>
      <c r="G1178" s="679"/>
    </row>
    <row r="1179" spans="1:7" ht="12.75" customHeight="1">
      <c r="A1179" s="1749"/>
      <c r="B1179" s="1749"/>
      <c r="C1179" s="557"/>
      <c r="D1179" s="2021"/>
      <c r="E1179" s="2021"/>
      <c r="F1179" s="2021"/>
      <c r="G1179" s="679"/>
    </row>
    <row r="1180" spans="1:7" ht="12.75" customHeight="1">
      <c r="A1180" s="2018" t="s">
        <v>2389</v>
      </c>
      <c r="B1180" s="2018"/>
      <c r="C1180" s="2018"/>
      <c r="D1180" s="2018"/>
      <c r="E1180" s="2018"/>
      <c r="F1180" s="2018"/>
      <c r="G1180" s="2018"/>
    </row>
    <row r="1181" spans="1:7" ht="12.75" customHeight="1">
      <c r="A1181" s="254"/>
      <c r="B1181" s="254"/>
      <c r="C1181" s="1741"/>
      <c r="D1181" s="687"/>
      <c r="E1181" s="687"/>
      <c r="F1181" s="687"/>
      <c r="G1181" s="687"/>
    </row>
    <row r="1182" spans="1:7" ht="12.75" customHeight="1">
      <c r="A1182" s="254"/>
      <c r="B1182" s="1787"/>
      <c r="C1182" s="1794"/>
      <c r="D1182" s="1912" t="s">
        <v>1514</v>
      </c>
      <c r="E1182" s="1912"/>
      <c r="F1182" s="1912"/>
      <c r="G1182" s="687"/>
    </row>
    <row r="1183" spans="1:7" ht="12.75" customHeight="1">
      <c r="A1183" s="254"/>
      <c r="B1183" s="1793" t="s">
        <v>2612</v>
      </c>
      <c r="C1183" s="1794"/>
      <c r="D1183" s="1891" t="s">
        <v>1513</v>
      </c>
      <c r="E1183" s="1891"/>
      <c r="F1183" s="1891"/>
      <c r="G1183" s="687"/>
    </row>
    <row r="1184" spans="1:7" ht="12.75" customHeight="1">
      <c r="A1184" s="254"/>
      <c r="B1184" s="1790"/>
      <c r="C1184" s="1794"/>
      <c r="D1184" s="1891" t="s">
        <v>2390</v>
      </c>
      <c r="E1184" s="1891"/>
      <c r="F1184" s="1891"/>
      <c r="G1184" s="687"/>
    </row>
    <row r="1185" spans="1:7" s="1790" customFormat="1" ht="12.75" customHeight="1">
      <c r="A1185" s="254"/>
      <c r="C1185" s="1794"/>
      <c r="D1185" s="1788"/>
      <c r="E1185" s="1788"/>
      <c r="F1185" s="1788"/>
      <c r="G1185" s="687"/>
    </row>
    <row r="1186" spans="1:7" ht="12.75" customHeight="1">
      <c r="A1186" s="254"/>
      <c r="B1186" s="254"/>
      <c r="C1186" s="1741"/>
      <c r="D1186" s="2019" t="s">
        <v>1188</v>
      </c>
      <c r="E1186" s="2019"/>
      <c r="F1186" s="2019"/>
      <c r="G1186" s="687"/>
    </row>
    <row r="1187" spans="1:7" ht="12.75" customHeight="1">
      <c r="A1187" s="504"/>
      <c r="B1187" s="504"/>
      <c r="C1187" s="503"/>
      <c r="D1187" s="2020" t="s">
        <v>1205</v>
      </c>
      <c r="E1187" s="2020"/>
      <c r="F1187" s="2020"/>
      <c r="G1187" s="1781"/>
    </row>
    <row r="1188" spans="1:7" ht="12.75" customHeight="1">
      <c r="A1188" s="715"/>
      <c r="B1188" s="1793" t="s">
        <v>2611</v>
      </c>
      <c r="C1188" s="558"/>
      <c r="D1188" s="1903" t="s">
        <v>1073</v>
      </c>
      <c r="E1188" s="1903"/>
      <c r="F1188" s="1903"/>
      <c r="G1188" s="679"/>
    </row>
    <row r="1189" spans="1:7" ht="12.75" customHeight="1">
      <c r="A1189" s="1733"/>
      <c r="B1189" s="1733"/>
      <c r="C1189" s="558"/>
      <c r="D1189" s="6"/>
      <c r="E1189" s="2004" t="s">
        <v>1189</v>
      </c>
      <c r="F1189" s="2004"/>
      <c r="G1189" s="679"/>
    </row>
    <row r="1190" spans="1:7">
      <c r="A1190" s="791"/>
      <c r="B1190" s="791"/>
      <c r="C1190" s="791"/>
      <c r="D1190" s="791"/>
      <c r="E1190" s="791"/>
      <c r="F1190" s="791"/>
      <c r="G1190" s="791"/>
    </row>
    <row r="1191" spans="1:7" ht="13">
      <c r="A1191" s="2018" t="s">
        <v>2415</v>
      </c>
      <c r="B1191" s="2018"/>
      <c r="C1191" s="2018"/>
      <c r="D1191" s="2018"/>
      <c r="E1191" s="2018"/>
      <c r="F1191" s="2018"/>
      <c r="G1191" s="2018"/>
    </row>
    <row r="1192" spans="1:7">
      <c r="A1192" s="791"/>
      <c r="B1192" s="791"/>
      <c r="C1192" s="791"/>
      <c r="D1192" s="791"/>
      <c r="E1192" s="791"/>
      <c r="F1192" s="791"/>
      <c r="G1192" s="791"/>
    </row>
    <row r="1193" spans="1:7" ht="13">
      <c r="A1193" s="791"/>
      <c r="B1193" s="791"/>
      <c r="C1193" s="791"/>
      <c r="D1193" s="1792" t="s">
        <v>2396</v>
      </c>
      <c r="E1193" s="791"/>
      <c r="F1193" s="791"/>
      <c r="G1193" s="791"/>
    </row>
    <row r="1194" spans="1:7" s="1790" customFormat="1">
      <c r="D1194" s="1789" t="s">
        <v>2395</v>
      </c>
    </row>
    <row r="1195" spans="1:7" s="1790" customFormat="1" ht="13">
      <c r="D1195" s="1792"/>
    </row>
    <row r="1196" spans="1:7">
      <c r="A1196" s="791"/>
      <c r="B1196" s="1793" t="s">
        <v>2611</v>
      </c>
      <c r="C1196" s="791"/>
      <c r="D1196" s="2025" t="s">
        <v>2394</v>
      </c>
      <c r="E1196" s="2025"/>
      <c r="F1196" s="2025"/>
      <c r="G1196" s="791"/>
    </row>
    <row r="1197" spans="1:7">
      <c r="A1197" s="791"/>
      <c r="B1197" s="791"/>
      <c r="C1197" s="791"/>
      <c r="D1197" s="2025"/>
      <c r="E1197" s="2025"/>
      <c r="F1197" s="2025"/>
      <c r="G1197" s="791"/>
    </row>
    <row r="1198" spans="1:7">
      <c r="A1198" s="791"/>
      <c r="B1198" s="791"/>
      <c r="C1198" s="791"/>
      <c r="D1198" s="2025"/>
      <c r="E1198" s="2025"/>
      <c r="F1198" s="2025"/>
      <c r="G1198" s="791"/>
    </row>
    <row r="1199" spans="1:7">
      <c r="A1199" s="791"/>
      <c r="B1199" s="791"/>
      <c r="C1199" s="791"/>
      <c r="D1199" s="2025"/>
      <c r="E1199" s="2025"/>
      <c r="F1199" s="2025"/>
      <c r="G1199" s="791"/>
    </row>
    <row r="1200" spans="1:7">
      <c r="A1200" s="791"/>
      <c r="B1200" s="791"/>
      <c r="C1200" s="791"/>
      <c r="D1200" s="791"/>
      <c r="E1200" s="791"/>
      <c r="F1200" s="791"/>
      <c r="G1200" s="791"/>
    </row>
    <row r="1201" spans="1:7" ht="13">
      <c r="A1201" s="791"/>
      <c r="B1201" s="1790"/>
      <c r="C1201" s="791"/>
      <c r="D1201" s="1792" t="s">
        <v>1596</v>
      </c>
      <c r="E1201" s="791"/>
      <c r="F1201" s="791"/>
      <c r="G1201" s="791"/>
    </row>
    <row r="1202" spans="1:7">
      <c r="A1202" s="791"/>
      <c r="B1202" s="791"/>
      <c r="C1202" s="791"/>
      <c r="D1202" s="1790" t="s">
        <v>2397</v>
      </c>
      <c r="E1202" s="791"/>
      <c r="F1202" s="791"/>
      <c r="G1202" s="791"/>
    </row>
    <row r="1203" spans="1:7">
      <c r="A1203" s="791"/>
      <c r="B1203" s="791"/>
      <c r="C1203" s="791"/>
      <c r="D1203" s="791"/>
      <c r="E1203" s="791"/>
      <c r="F1203" s="791"/>
      <c r="G1203" s="791"/>
    </row>
    <row r="1204" spans="1:7">
      <c r="A1204" s="791"/>
      <c r="B1204" s="1793" t="s">
        <v>2612</v>
      </c>
      <c r="C1204" s="791"/>
      <c r="D1204" s="1790" t="s">
        <v>2392</v>
      </c>
      <c r="E1204" s="791"/>
      <c r="F1204" s="791"/>
      <c r="G1204" s="791"/>
    </row>
    <row r="1205" spans="1:7">
      <c r="A1205" s="791"/>
      <c r="B1205" s="791"/>
      <c r="C1205" s="791"/>
      <c r="D1205" s="791"/>
      <c r="E1205" s="791"/>
      <c r="F1205" s="791"/>
      <c r="G1205" s="791"/>
    </row>
    <row r="1206" spans="1:7">
      <c r="A1206" s="791"/>
      <c r="B1206" s="1793" t="s">
        <v>2612</v>
      </c>
      <c r="C1206" s="791"/>
      <c r="D1206" s="2025" t="s">
        <v>2398</v>
      </c>
      <c r="E1206" s="2025"/>
      <c r="F1206" s="2025"/>
      <c r="G1206" s="791"/>
    </row>
    <row r="1207" spans="1:7">
      <c r="A1207" s="791"/>
      <c r="B1207" s="791"/>
      <c r="C1207" s="791"/>
      <c r="D1207" s="2025"/>
      <c r="E1207" s="2025"/>
      <c r="F1207" s="2025"/>
      <c r="G1207" s="791"/>
    </row>
    <row r="1208" spans="1:7">
      <c r="A1208" s="791"/>
      <c r="B1208" s="791"/>
      <c r="C1208" s="791"/>
      <c r="D1208" s="2025"/>
      <c r="E1208" s="2025"/>
      <c r="F1208" s="2025"/>
      <c r="G1208" s="791"/>
    </row>
    <row r="1209" spans="1:7">
      <c r="A1209" s="791"/>
      <c r="B1209" s="791"/>
      <c r="C1209" s="791"/>
      <c r="D1209" s="2025"/>
      <c r="E1209" s="2025"/>
      <c r="F1209" s="2025"/>
      <c r="G1209" s="791"/>
    </row>
    <row r="1210" spans="1:7">
      <c r="A1210" s="791"/>
      <c r="B1210" s="791"/>
      <c r="C1210" s="791"/>
      <c r="D1210" s="2025"/>
      <c r="E1210" s="2025"/>
      <c r="F1210" s="2025"/>
      <c r="G1210" s="791"/>
    </row>
    <row r="1211" spans="1:7">
      <c r="A1211" s="791"/>
      <c r="B1211" s="791"/>
      <c r="C1211" s="791"/>
      <c r="D1211" s="791"/>
      <c r="E1211" s="791"/>
      <c r="F1211" s="791"/>
      <c r="G1211" s="791"/>
    </row>
    <row r="1212" spans="1:7" ht="13">
      <c r="A1212" s="2018" t="s">
        <v>2399</v>
      </c>
      <c r="B1212" s="2018"/>
      <c r="C1212" s="2018"/>
      <c r="D1212" s="2018"/>
      <c r="E1212" s="2018"/>
      <c r="F1212" s="2018"/>
      <c r="G1212" s="2018"/>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2612</v>
      </c>
      <c r="C1215" s="791"/>
      <c r="D1215" s="1785" t="s">
        <v>2402</v>
      </c>
      <c r="E1215" s="1789"/>
      <c r="F1215" s="791"/>
      <c r="G1215" s="791"/>
    </row>
    <row r="1216" spans="1:7">
      <c r="A1216" s="791"/>
      <c r="B1216" s="791"/>
      <c r="C1216" s="791"/>
      <c r="D1216" s="1785" t="s">
        <v>2407</v>
      </c>
      <c r="E1216" s="1789"/>
      <c r="F1216" s="791"/>
      <c r="G1216" s="791"/>
    </row>
    <row r="1217" spans="1:7" s="1790" customFormat="1">
      <c r="D1217" s="1785"/>
      <c r="E1217" s="1789"/>
    </row>
    <row r="1218" spans="1:7">
      <c r="A1218" s="791"/>
      <c r="B1218" s="1793" t="s">
        <v>2612</v>
      </c>
      <c r="C1218" s="791"/>
      <c r="D1218" s="1785" t="s">
        <v>2403</v>
      </c>
      <c r="E1218" s="1789"/>
      <c r="F1218" s="791"/>
      <c r="G1218" s="791"/>
    </row>
    <row r="1219" spans="1:7" s="1790" customFormat="1" ht="13">
      <c r="D1219" s="1785"/>
      <c r="E1219" s="1792" t="s">
        <v>2404</v>
      </c>
    </row>
    <row r="1220" spans="1:7" s="1790" customFormat="1">
      <c r="D1220" s="1785" t="s">
        <v>2406</v>
      </c>
      <c r="E1220" s="1789"/>
    </row>
    <row r="1221" spans="1:7" s="1790" customFormat="1">
      <c r="D1221" s="1785"/>
      <c r="E1221" s="1789"/>
    </row>
    <row r="1222" spans="1:7">
      <c r="A1222" s="791"/>
      <c r="B1222" s="1793" t="s">
        <v>2612</v>
      </c>
      <c r="C1222" s="791"/>
      <c r="D1222" s="1785" t="s">
        <v>2408</v>
      </c>
      <c r="E1222" s="1789"/>
      <c r="F1222" s="791"/>
      <c r="G1222" s="791"/>
    </row>
    <row r="1223" spans="1:7" s="1790" customFormat="1">
      <c r="D1223" s="1785" t="s">
        <v>2405</v>
      </c>
      <c r="E1223" s="1789"/>
    </row>
    <row r="1224" spans="1:7" s="1790" customFormat="1">
      <c r="D1224" s="1785"/>
      <c r="E1224" s="1789"/>
    </row>
    <row r="1225" spans="1:7">
      <c r="A1225" s="791"/>
      <c r="B1225" s="1793" t="s">
        <v>2612</v>
      </c>
      <c r="C1225" s="791"/>
      <c r="D1225" s="1785" t="s">
        <v>2410</v>
      </c>
      <c r="E1225" s="1789"/>
      <c r="F1225" s="791"/>
      <c r="G1225" s="791"/>
    </row>
    <row r="1226" spans="1:7" s="1790" customFormat="1">
      <c r="D1226" s="1785" t="s">
        <v>2409</v>
      </c>
      <c r="E1226" s="1789"/>
    </row>
    <row r="1227" spans="1:7" s="1790" customFormat="1">
      <c r="D1227" s="1785"/>
      <c r="E1227" s="1789"/>
    </row>
    <row r="1228" spans="1:7">
      <c r="A1228" s="791"/>
      <c r="B1228" s="1793" t="s">
        <v>2611</v>
      </c>
      <c r="C1228" s="791"/>
      <c r="D1228" s="1784" t="s">
        <v>2413</v>
      </c>
      <c r="E1228" s="1789"/>
      <c r="F1228" s="791"/>
      <c r="G1228" s="791"/>
    </row>
    <row r="1229" spans="1:7" s="1790" customFormat="1">
      <c r="D1229" s="2026" t="s">
        <v>2414</v>
      </c>
      <c r="E1229" s="2026"/>
      <c r="F1229" s="2026"/>
    </row>
    <row r="1230" spans="1:7" s="1790" customFormat="1">
      <c r="D1230" s="2026"/>
      <c r="E1230" s="2026"/>
      <c r="F1230" s="2026"/>
    </row>
    <row r="1231" spans="1:7" s="1790" customFormat="1">
      <c r="D1231" s="2026"/>
      <c r="E1231" s="2026"/>
      <c r="F1231" s="2026"/>
    </row>
    <row r="1232" spans="1:7" s="1790" customFormat="1">
      <c r="D1232" s="2026"/>
      <c r="E1232" s="2026"/>
      <c r="F1232" s="2026"/>
    </row>
    <row r="1233" spans="1:7" s="1790" customFormat="1">
      <c r="D1233" s="1784" t="s">
        <v>2412</v>
      </c>
      <c r="E1233" s="1789"/>
    </row>
    <row r="1234" spans="1:7" s="1790" customFormat="1">
      <c r="D1234" s="1784"/>
      <c r="E1234" s="1789"/>
    </row>
    <row r="1235" spans="1:7">
      <c r="A1235" s="791"/>
      <c r="B1235" s="791"/>
      <c r="C1235" s="791"/>
      <c r="D1235" s="1785" t="s">
        <v>2400</v>
      </c>
      <c r="E1235" s="1789"/>
      <c r="F1235" s="791"/>
      <c r="G1235" s="791"/>
    </row>
    <row r="1236" spans="1:7">
      <c r="A1236" s="791"/>
      <c r="B1236" s="1793" t="s">
        <v>2611</v>
      </c>
      <c r="C1236" s="791"/>
      <c r="D1236" s="2023" t="s">
        <v>2401</v>
      </c>
      <c r="E1236" s="2023"/>
      <c r="F1236" s="2023"/>
      <c r="G1236" s="791"/>
    </row>
    <row r="1237" spans="1:7" s="1790" customFormat="1">
      <c r="D1237" s="2023"/>
      <c r="E1237" s="2023"/>
      <c r="F1237" s="2023"/>
    </row>
    <row r="1238" spans="1:7" s="1790" customFormat="1">
      <c r="D1238" s="2023"/>
      <c r="E1238" s="2023"/>
      <c r="F1238" s="2023"/>
    </row>
    <row r="1239" spans="1:7" s="1790" customFormat="1">
      <c r="D1239" s="2023"/>
      <c r="E1239" s="2023"/>
      <c r="F1239" s="2023"/>
    </row>
    <row r="1240" spans="1:7">
      <c r="A1240" s="791"/>
      <c r="B1240" s="791"/>
      <c r="C1240" s="791"/>
      <c r="D1240" s="2023"/>
      <c r="E1240" s="2023"/>
      <c r="F1240" s="2023"/>
      <c r="G1240" s="791"/>
    </row>
    <row r="1241" spans="1:7">
      <c r="A1241" s="791"/>
      <c r="B1241" s="791"/>
      <c r="C1241" s="791"/>
      <c r="D1241" s="1785" t="s">
        <v>2411</v>
      </c>
      <c r="E1241" s="791"/>
      <c r="F1241" s="791"/>
      <c r="G1241" s="791"/>
    </row>
    <row r="1242" spans="1:7">
      <c r="A1242" s="791"/>
      <c r="B1242" s="791"/>
      <c r="C1242" s="791"/>
      <c r="D1242" s="791"/>
      <c r="E1242" s="791"/>
      <c r="F1242" s="791"/>
      <c r="G1242" s="791"/>
    </row>
    <row r="1243" spans="1:7" ht="13">
      <c r="A1243" s="2018" t="s">
        <v>2416</v>
      </c>
      <c r="B1243" s="2018"/>
      <c r="C1243" s="2018"/>
      <c r="D1243" s="2018"/>
      <c r="E1243" s="2018"/>
      <c r="F1243" s="2018"/>
      <c r="G1243" s="2018"/>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2611</v>
      </c>
      <c r="C1246" s="791"/>
      <c r="D1246" s="2023" t="s">
        <v>2417</v>
      </c>
      <c r="E1246" s="2023"/>
      <c r="F1246" s="2023"/>
      <c r="G1246" s="791"/>
    </row>
    <row r="1247" spans="1:7" s="1790" customFormat="1">
      <c r="D1247" s="2023"/>
      <c r="E1247" s="2023"/>
      <c r="F1247" s="2023"/>
    </row>
    <row r="1248" spans="1:7" s="1790" customFormat="1">
      <c r="D1248" s="2023"/>
      <c r="E1248" s="2023"/>
      <c r="F1248" s="2023"/>
    </row>
    <row r="1249" spans="1:7" s="1790" customFormat="1">
      <c r="D1249" s="1785"/>
    </row>
    <row r="1250" spans="1:7">
      <c r="A1250" s="791"/>
      <c r="B1250" s="1793" t="s">
        <v>2611</v>
      </c>
      <c r="C1250" s="791"/>
      <c r="D1250" s="2023" t="s">
        <v>2418</v>
      </c>
      <c r="E1250" s="2023"/>
      <c r="F1250" s="2023"/>
      <c r="G1250" s="791"/>
    </row>
    <row r="1251" spans="1:7" s="1790" customFormat="1">
      <c r="D1251" s="2023"/>
      <c r="E1251" s="2023"/>
      <c r="F1251" s="2023"/>
    </row>
    <row r="1252" spans="1:7" s="1790" customFormat="1">
      <c r="D1252" s="1785"/>
    </row>
    <row r="1253" spans="1:7">
      <c r="A1253" s="791"/>
      <c r="B1253" s="1793" t="s">
        <v>2611</v>
      </c>
      <c r="C1253" s="791"/>
      <c r="D1253" s="2023" t="s">
        <v>2419</v>
      </c>
      <c r="E1253" s="2023"/>
      <c r="F1253" s="2023"/>
      <c r="G1253" s="791"/>
    </row>
    <row r="1254" spans="1:7" s="1790" customFormat="1">
      <c r="D1254" s="2023"/>
      <c r="E1254" s="2023"/>
      <c r="F1254" s="2023"/>
    </row>
    <row r="1255" spans="1:7" s="1790" customFormat="1">
      <c r="D1255" s="2023"/>
      <c r="E1255" s="2023"/>
      <c r="F1255" s="2023"/>
    </row>
    <row r="1256" spans="1:7" s="1790" customFormat="1">
      <c r="D1256" s="2023"/>
      <c r="E1256" s="2023"/>
      <c r="F1256" s="2023"/>
    </row>
    <row r="1257" spans="1:7" s="1790" customFormat="1">
      <c r="D1257" s="2023"/>
      <c r="E1257" s="2023"/>
      <c r="F1257" s="2023"/>
    </row>
    <row r="1258" spans="1:7" s="1791" customFormat="1">
      <c r="B1258" s="1790"/>
      <c r="D1258" s="1785"/>
    </row>
    <row r="1259" spans="1:7">
      <c r="A1259" s="791"/>
      <c r="B1259" s="1793" t="s">
        <v>2611</v>
      </c>
      <c r="C1259" s="791"/>
      <c r="D1259" s="2023" t="s">
        <v>2420</v>
      </c>
      <c r="E1259" s="2023"/>
      <c r="F1259" s="2023"/>
      <c r="G1259" s="791"/>
    </row>
    <row r="1260" spans="1:7" s="1790" customFormat="1">
      <c r="D1260" s="2023"/>
      <c r="E1260" s="2023"/>
      <c r="F1260" s="2023"/>
    </row>
    <row r="1261" spans="1:7" s="1790" customFormat="1">
      <c r="D1261" s="2023"/>
      <c r="E1261" s="2023"/>
      <c r="F1261" s="2023"/>
    </row>
    <row r="1262" spans="1:7" s="1790" customFormat="1">
      <c r="D1262" s="1785"/>
    </row>
    <row r="1263" spans="1:7">
      <c r="A1263" s="791"/>
      <c r="B1263" s="1793" t="s">
        <v>2612</v>
      </c>
      <c r="C1263" s="791"/>
      <c r="D1263" s="2024" t="s">
        <v>2421</v>
      </c>
      <c r="E1263" s="2024"/>
      <c r="F1263" s="2024"/>
      <c r="G1263" s="791"/>
    </row>
    <row r="1264" spans="1:7">
      <c r="A1264" s="791"/>
      <c r="B1264" s="791"/>
      <c r="C1264" s="791"/>
      <c r="D1264" s="2024"/>
      <c r="E1264" s="2024"/>
      <c r="F1264" s="2024"/>
      <c r="G1264" s="791"/>
    </row>
    <row r="1265" spans="1:7">
      <c r="A1265" s="791"/>
      <c r="B1265" s="791"/>
      <c r="C1265" s="791"/>
      <c r="D1265" s="2024"/>
      <c r="E1265" s="2024"/>
      <c r="F1265" s="2024"/>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ht="13">
      <c r="G1680" s="1890"/>
      <c r="H1680" s="1890"/>
      <c r="I1680" s="1890"/>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130" workbookViewId="0">
      <selection activeCell="AG447" sqref="AG447:AJ447"/>
    </sheetView>
  </sheetViews>
  <sheetFormatPr defaultColWidth="0" defaultRowHeight="0" customHeight="1" zeroHeight="1"/>
  <cols>
    <col min="1" max="36" width="2.453125" style="12" customWidth="1"/>
    <col min="37" max="37" width="2.81640625" style="12" customWidth="1"/>
    <col min="38" max="38" width="2.453125" style="12" customWidth="1"/>
    <col min="39" max="45" width="2.453125" style="39" customWidth="1"/>
    <col min="46" max="51" width="0" style="39" hidden="1"/>
    <col min="52" max="95" width="0" style="12" hidden="1"/>
    <col min="96" max="96" width="0" style="25" hidden="1"/>
    <col min="97" max="16383" width="0" style="12" hidden="1"/>
    <col min="16384" max="16384" width="3.63281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5"/>
    <row r="8" spans="1:96" ht="17.5">
      <c r="A8" s="2451" t="s">
        <v>105</v>
      </c>
      <c r="B8" s="2451"/>
      <c r="C8" s="2451"/>
      <c r="D8" s="2451"/>
      <c r="E8" s="2451"/>
      <c r="F8" s="2451"/>
      <c r="G8" s="2451"/>
      <c r="H8" s="2451"/>
      <c r="I8" s="2451"/>
      <c r="J8" s="2451"/>
      <c r="K8" s="2451"/>
      <c r="L8" s="2451"/>
      <c r="M8" s="2451"/>
      <c r="N8" s="2451"/>
      <c r="O8" s="2451"/>
      <c r="P8" s="2451"/>
      <c r="Q8" s="2451"/>
      <c r="R8" s="2451"/>
      <c r="S8" s="2451"/>
      <c r="T8" s="2451"/>
      <c r="U8" s="2451"/>
      <c r="V8" s="2451"/>
      <c r="W8" s="2451"/>
      <c r="X8" s="2451"/>
      <c r="Y8" s="2451"/>
      <c r="Z8" s="2451"/>
      <c r="AA8" s="2451"/>
      <c r="AB8" s="2451"/>
      <c r="AC8" s="2451"/>
      <c r="AD8" s="2451"/>
      <c r="AE8" s="2451"/>
      <c r="AF8" s="2451"/>
      <c r="AG8" s="2451"/>
      <c r="AH8" s="2451"/>
      <c r="AI8" s="2451"/>
      <c r="AJ8" s="2451"/>
      <c r="AK8" s="2451"/>
      <c r="AL8" s="2451"/>
      <c r="AM8" s="1573"/>
      <c r="AN8" s="1573"/>
      <c r="AO8" s="1573"/>
      <c r="AP8" s="1573"/>
      <c r="AQ8" s="1573"/>
      <c r="AR8" s="1573"/>
      <c r="AS8" s="1573"/>
      <c r="AT8" s="1573"/>
      <c r="AU8" s="1573"/>
      <c r="AV8" s="1573"/>
      <c r="AW8" s="1573"/>
      <c r="AX8" s="1573"/>
      <c r="AY8" s="1573"/>
    </row>
    <row r="9" spans="1:96" s="720" customFormat="1" ht="13">
      <c r="A9" s="2112" t="s">
        <v>2005</v>
      </c>
      <c r="B9" s="2112"/>
      <c r="C9" s="2112"/>
      <c r="D9" s="2112"/>
      <c r="E9" s="2112"/>
      <c r="F9" s="2112"/>
      <c r="G9" s="2112"/>
      <c r="H9" s="2112"/>
      <c r="I9" s="2112"/>
      <c r="J9" s="2112"/>
      <c r="K9" s="2112"/>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1512"/>
      <c r="AN9" s="1512"/>
      <c r="AO9" s="1512"/>
      <c r="AP9" s="1512"/>
      <c r="AQ9" s="1512"/>
      <c r="AR9" s="1512"/>
      <c r="AS9" s="1512"/>
      <c r="AT9" s="1512"/>
      <c r="AU9" s="1512"/>
      <c r="AV9" s="1512"/>
      <c r="AW9" s="1512"/>
      <c r="AX9" s="1512"/>
      <c r="AY9" s="1512"/>
      <c r="CR9" s="25"/>
    </row>
    <row r="10" spans="1:96" ht="15" customHeight="1">
      <c r="A10" s="2259" t="s">
        <v>2006</v>
      </c>
      <c r="B10" s="2259"/>
      <c r="C10" s="2259"/>
      <c r="D10" s="2259"/>
      <c r="E10" s="2259"/>
      <c r="F10" s="2259"/>
      <c r="G10" s="2259"/>
      <c r="H10" s="2259"/>
      <c r="I10" s="2259"/>
      <c r="J10" s="2259"/>
      <c r="K10" s="2259"/>
      <c r="L10" s="2259"/>
      <c r="M10" s="2259"/>
      <c r="N10" s="2259"/>
      <c r="O10" s="2259"/>
      <c r="P10" s="2259"/>
      <c r="Q10" s="2259"/>
      <c r="R10" s="2259"/>
      <c r="S10" s="2259"/>
      <c r="T10" s="2259"/>
      <c r="U10" s="2259"/>
      <c r="V10" s="2259"/>
      <c r="W10" s="2259"/>
      <c r="X10" s="2259"/>
      <c r="Y10" s="2259"/>
      <c r="Z10" s="2259"/>
      <c r="AA10" s="2259"/>
      <c r="AB10" s="2259"/>
      <c r="AC10" s="2259"/>
      <c r="AD10" s="2259"/>
      <c r="AE10" s="2259"/>
      <c r="AF10" s="2259"/>
      <c r="AG10" s="2259"/>
      <c r="AH10" s="2259"/>
      <c r="AI10" s="2259"/>
      <c r="AJ10" s="2259"/>
      <c r="AK10" s="2259"/>
      <c r="AL10" s="2259"/>
      <c r="AM10" s="20"/>
      <c r="AN10" s="20"/>
      <c r="AO10" s="20"/>
      <c r="AP10" s="20"/>
      <c r="AQ10" s="20"/>
      <c r="AR10" s="20"/>
      <c r="AS10" s="20"/>
      <c r="AT10" s="20"/>
      <c r="AU10" s="20"/>
      <c r="AV10" s="20"/>
      <c r="AW10" s="20"/>
      <c r="AX10" s="20"/>
      <c r="AY10" s="20"/>
    </row>
    <row r="11" spans="1:96" ht="15" customHeight="1">
      <c r="A11" s="2112" t="s">
        <v>2026</v>
      </c>
      <c r="B11" s="2112"/>
      <c r="C11" s="2112"/>
      <c r="D11" s="2112"/>
      <c r="E11" s="2112"/>
      <c r="F11" s="2112"/>
      <c r="G11" s="2112"/>
      <c r="H11" s="2112"/>
      <c r="I11" s="2112"/>
      <c r="J11" s="2112"/>
      <c r="K11" s="2112"/>
      <c r="L11" s="2112"/>
      <c r="M11" s="2112"/>
      <c r="N11" s="2112"/>
      <c r="O11" s="2112"/>
      <c r="P11" s="2112"/>
      <c r="Q11" s="2112"/>
      <c r="R11" s="2112"/>
      <c r="S11" s="2112"/>
      <c r="T11" s="2112"/>
      <c r="U11" s="2112"/>
      <c r="V11" s="2112"/>
      <c r="W11" s="2112"/>
      <c r="X11" s="2112"/>
      <c r="Y11" s="2112"/>
      <c r="Z11" s="2112"/>
      <c r="AA11" s="2112"/>
      <c r="AB11" s="2112"/>
      <c r="AC11" s="2112"/>
      <c r="AD11" s="2112"/>
      <c r="AE11" s="2112"/>
      <c r="AF11" s="2112"/>
      <c r="AG11" s="2112"/>
      <c r="AH11" s="2112"/>
      <c r="AI11" s="2112"/>
      <c r="AJ11" s="2112"/>
      <c r="AK11" s="2112"/>
      <c r="AL11" s="2112"/>
      <c r="AM11" s="1512"/>
      <c r="AN11" s="1512"/>
      <c r="AO11" s="1512"/>
      <c r="AP11" s="1512"/>
      <c r="AQ11" s="1512"/>
      <c r="AR11" s="1512"/>
      <c r="AS11" s="1512"/>
      <c r="AT11" s="1512"/>
      <c r="AU11" s="1512"/>
      <c r="AV11" s="1512"/>
      <c r="AW11" s="1512"/>
      <c r="AX11" s="1512"/>
      <c r="AY11" s="1512"/>
    </row>
    <row r="12" spans="1:96" ht="12.5">
      <c r="A12" s="2226" t="s">
        <v>2462</v>
      </c>
      <c r="B12" s="2227"/>
      <c r="C12" s="2227"/>
      <c r="D12" s="2227"/>
      <c r="E12" s="2227"/>
      <c r="F12" s="2227"/>
      <c r="G12" s="2227"/>
      <c r="H12" s="2227"/>
      <c r="I12" s="2227"/>
      <c r="J12" s="2227"/>
      <c r="K12" s="2227"/>
      <c r="L12" s="2227"/>
      <c r="M12" s="2227"/>
      <c r="N12" s="2227"/>
      <c r="O12" s="2227"/>
      <c r="P12" s="2227"/>
      <c r="Q12" s="2227"/>
      <c r="R12" s="2227"/>
      <c r="S12" s="2227"/>
      <c r="T12" s="2227"/>
      <c r="U12" s="2227"/>
      <c r="V12" s="2227"/>
      <c r="W12" s="2227"/>
      <c r="X12" s="2227"/>
      <c r="Y12" s="2227"/>
      <c r="Z12" s="2227"/>
      <c r="AA12" s="2227"/>
      <c r="AB12" s="2227"/>
      <c r="AC12" s="2227"/>
      <c r="AD12" s="2227"/>
      <c r="AE12" s="2227"/>
      <c r="AF12" s="2227"/>
      <c r="AG12" s="2227"/>
      <c r="AH12" s="2227"/>
      <c r="AI12" s="2227"/>
      <c r="AJ12" s="2227"/>
      <c r="AK12" s="2227"/>
      <c r="AL12" s="2227"/>
      <c r="AM12" s="1518"/>
      <c r="AN12" s="1518"/>
      <c r="AO12" s="1518"/>
      <c r="AP12" s="1518"/>
      <c r="AQ12" s="1518"/>
      <c r="AR12" s="1518"/>
      <c r="AS12" s="1518"/>
      <c r="AT12" s="1518"/>
      <c r="AU12" s="1518"/>
      <c r="AV12" s="1518"/>
      <c r="AW12" s="1518"/>
      <c r="AX12" s="1518"/>
      <c r="AY12" s="1518"/>
    </row>
    <row r="13" spans="1:96" ht="13">
      <c r="A13" s="1886" t="s">
        <v>1390</v>
      </c>
      <c r="B13" s="1886"/>
      <c r="C13" s="1886"/>
      <c r="D13" s="1886"/>
      <c r="E13" s="1886"/>
      <c r="F13" s="1886"/>
      <c r="G13" s="1886"/>
      <c r="H13" s="1886"/>
      <c r="I13" s="1886"/>
      <c r="J13" s="1886"/>
      <c r="K13" s="1886"/>
      <c r="L13" s="1886"/>
      <c r="M13" s="1886"/>
      <c r="N13" s="1886"/>
      <c r="O13" s="1886"/>
      <c r="P13" s="1886"/>
      <c r="Q13" s="1886"/>
      <c r="R13" s="1886"/>
      <c r="S13" s="1886"/>
      <c r="T13" s="1886"/>
      <c r="U13" s="1886"/>
      <c r="V13" s="1886"/>
      <c r="W13" s="1886"/>
      <c r="X13" s="1886"/>
      <c r="Y13" s="1886"/>
      <c r="Z13" s="1886"/>
      <c r="AA13" s="1886"/>
      <c r="AB13" s="1886"/>
      <c r="AC13" s="1886"/>
      <c r="AD13" s="1886"/>
      <c r="AE13" s="1886"/>
      <c r="AF13" s="1886"/>
      <c r="AG13" s="1886"/>
      <c r="AH13" s="1886"/>
      <c r="AI13" s="1886"/>
      <c r="AJ13" s="1886"/>
      <c r="AK13" s="1886"/>
      <c r="AL13" s="1886"/>
      <c r="AM13" s="1574"/>
      <c r="AN13" s="1574"/>
      <c r="AO13" s="1574"/>
      <c r="AP13" s="1574"/>
      <c r="AQ13" s="1574"/>
      <c r="AR13" s="1574"/>
      <c r="AS13" s="1574"/>
      <c r="AT13" s="1574"/>
      <c r="AU13" s="1574"/>
      <c r="AV13" s="1574"/>
      <c r="AW13" s="1574"/>
      <c r="AX13" s="1574"/>
      <c r="AY13" s="1574"/>
    </row>
    <row r="14" spans="1:96" ht="12.75" customHeight="1" thickBot="1">
      <c r="A14" s="1887"/>
      <c r="B14" s="1887"/>
      <c r="C14" s="1887"/>
      <c r="D14" s="1887"/>
      <c r="E14" s="1887"/>
      <c r="F14" s="1887"/>
      <c r="G14" s="1887"/>
      <c r="H14" s="1887"/>
      <c r="I14" s="1887"/>
      <c r="J14" s="1887"/>
      <c r="K14" s="1887"/>
      <c r="L14" s="1887"/>
      <c r="M14" s="1887"/>
      <c r="N14" s="1887"/>
      <c r="O14" s="1887"/>
      <c r="P14" s="1887"/>
      <c r="Q14" s="1887"/>
      <c r="R14" s="1887"/>
      <c r="S14" s="1887"/>
      <c r="T14" s="1887"/>
      <c r="U14" s="1887"/>
      <c r="V14" s="1887"/>
      <c r="W14" s="1887"/>
      <c r="X14" s="1887"/>
      <c r="Y14" s="1887"/>
      <c r="Z14" s="1887"/>
      <c r="AA14" s="1887"/>
      <c r="AB14" s="1887"/>
      <c r="AC14" s="1887"/>
      <c r="AD14" s="1887"/>
      <c r="AE14" s="1887"/>
      <c r="AF14" s="1887"/>
      <c r="AG14" s="1887"/>
      <c r="AH14" s="1887"/>
      <c r="AI14" s="1887"/>
      <c r="AJ14" s="1887"/>
      <c r="AK14" s="1887"/>
      <c r="AL14" s="1887"/>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1377</v>
      </c>
      <c r="C16" s="7"/>
      <c r="D16" s="7"/>
      <c r="E16" s="7"/>
      <c r="F16" s="7"/>
      <c r="G16" s="7"/>
      <c r="H16" s="2233" t="s">
        <v>2614</v>
      </c>
      <c r="I16" s="2232"/>
      <c r="J16" s="2232"/>
      <c r="K16" s="2232"/>
      <c r="L16" s="2232"/>
      <c r="M16" s="2232"/>
      <c r="N16" s="2232"/>
      <c r="O16" s="2232"/>
      <c r="P16" s="2232"/>
      <c r="Q16" s="2232"/>
      <c r="R16" s="2232"/>
      <c r="S16" s="2232"/>
      <c r="T16" s="2232"/>
      <c r="U16" s="2232"/>
      <c r="V16" s="2232"/>
      <c r="W16" s="2232"/>
      <c r="X16" s="2232"/>
      <c r="Y16" s="2232"/>
      <c r="Z16" s="2232"/>
      <c r="AA16" s="2232"/>
      <c r="AB16" s="2232"/>
      <c r="AC16" s="2232"/>
      <c r="AD16" s="2232"/>
      <c r="AE16" s="2232"/>
      <c r="AF16" s="2232"/>
      <c r="AG16" s="2232"/>
      <c r="AH16" s="2232"/>
      <c r="AI16" s="2232"/>
      <c r="AJ16" s="2232"/>
    </row>
    <row r="17" spans="1:96" ht="12.75" customHeight="1"/>
    <row r="18" spans="1:96" ht="12.75" customHeight="1">
      <c r="A18" s="134" t="s">
        <v>106</v>
      </c>
      <c r="C18" s="7"/>
      <c r="D18" s="7"/>
      <c r="E18" s="7"/>
      <c r="F18" s="7"/>
      <c r="G18" s="7"/>
      <c r="H18" s="2062" t="s">
        <v>2466</v>
      </c>
      <c r="I18" s="2235"/>
      <c r="J18" s="2235"/>
      <c r="K18" s="2235"/>
      <c r="L18" s="2235"/>
      <c r="M18" s="2235"/>
      <c r="N18" s="2235"/>
      <c r="O18" s="2235"/>
      <c r="P18" s="2235"/>
      <c r="Q18" s="2235"/>
      <c r="R18" s="2235"/>
      <c r="S18" s="2235"/>
      <c r="T18" s="2235"/>
      <c r="U18" s="2235"/>
      <c r="V18" s="2235"/>
      <c r="W18" s="2235"/>
      <c r="X18" s="2235"/>
      <c r="Y18" s="2235"/>
      <c r="Z18" s="2235"/>
      <c r="AA18" s="2235"/>
      <c r="AB18" s="2235"/>
      <c r="AC18" s="2235"/>
      <c r="AD18" s="2235"/>
      <c r="AE18" s="2235"/>
      <c r="AF18" s="2235"/>
      <c r="AG18" s="2235"/>
      <c r="AH18" s="2235"/>
      <c r="AI18" s="2235"/>
      <c r="AJ18" s="2235"/>
    </row>
    <row r="19" spans="1:96" ht="12.75" customHeight="1"/>
    <row r="20" spans="1:96" ht="14.25" customHeight="1">
      <c r="A20" s="2261" t="s">
        <v>940</v>
      </c>
      <c r="B20" s="2261"/>
      <c r="C20" s="2261"/>
      <c r="D20" s="2261"/>
      <c r="E20" s="2261"/>
      <c r="F20" s="2261"/>
      <c r="G20" s="2261"/>
      <c r="H20" s="2261"/>
      <c r="I20" s="2261"/>
      <c r="J20" s="2261"/>
      <c r="K20" s="2261"/>
      <c r="L20" s="2261"/>
      <c r="M20" s="2261"/>
      <c r="N20" s="2261"/>
      <c r="O20" s="2261"/>
      <c r="P20" s="2261"/>
      <c r="Q20" s="2261"/>
      <c r="R20" s="2261"/>
      <c r="S20" s="2261"/>
      <c r="T20" s="2261"/>
      <c r="U20" s="2261"/>
      <c r="V20" s="2261"/>
      <c r="W20" s="2261"/>
      <c r="X20" s="2261"/>
      <c r="Y20" s="2261"/>
      <c r="Z20" s="2261"/>
      <c r="AA20" s="2261"/>
      <c r="AB20" s="2261"/>
      <c r="AC20" s="2261"/>
      <c r="AD20" s="2261"/>
      <c r="AE20" s="2261"/>
      <c r="AF20" s="2261"/>
      <c r="AG20" s="2261"/>
      <c r="AH20" s="2261"/>
      <c r="AI20" s="2261"/>
      <c r="AJ20" s="2261"/>
      <c r="AK20" s="2261"/>
      <c r="AL20" s="2261"/>
      <c r="AM20" s="1576"/>
      <c r="AN20" s="1576"/>
      <c r="AO20" s="1576"/>
      <c r="AP20" s="1576"/>
      <c r="AQ20" s="1576"/>
      <c r="AR20" s="1576"/>
      <c r="AS20" s="1576"/>
      <c r="AT20" s="1576"/>
      <c r="AU20" s="1576"/>
      <c r="AV20" s="1576"/>
      <c r="AW20" s="1576"/>
      <c r="AX20" s="1576"/>
      <c r="AY20" s="1576"/>
    </row>
    <row r="21" spans="1:96" ht="12.75" customHeight="1">
      <c r="A21" s="2234" t="s">
        <v>1119</v>
      </c>
      <c r="B21" s="2234"/>
      <c r="C21" s="2234"/>
      <c r="D21" s="2234"/>
      <c r="E21" s="2234"/>
      <c r="F21" s="2234"/>
      <c r="G21" s="2234"/>
      <c r="H21" s="2234"/>
      <c r="I21" s="2234"/>
      <c r="J21" s="2234"/>
      <c r="K21" s="2234"/>
      <c r="L21" s="2234"/>
      <c r="M21" s="2234"/>
      <c r="N21" s="2234"/>
      <c r="O21" s="2234"/>
      <c r="P21" s="2234"/>
      <c r="Q21" s="2234"/>
      <c r="R21" s="2234"/>
      <c r="S21" s="2234"/>
      <c r="T21" s="2234"/>
      <c r="U21" s="2234"/>
      <c r="V21" s="2234"/>
      <c r="W21" s="2234"/>
      <c r="X21" s="2234"/>
      <c r="Y21" s="2234"/>
      <c r="Z21" s="2234"/>
      <c r="AA21" s="2234"/>
      <c r="AB21" s="2234"/>
      <c r="AC21" s="2234"/>
      <c r="AD21" s="2234"/>
      <c r="AE21" s="2234"/>
      <c r="AF21" s="2234"/>
      <c r="AG21" s="2234"/>
      <c r="AH21" s="2234"/>
      <c r="AI21" s="2234"/>
      <c r="AJ21" s="2234"/>
      <c r="AK21" s="2234"/>
      <c r="AL21" s="2234"/>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1">
        <f>'Basis &amp; Credits'!AB56</f>
        <v>3267254</v>
      </c>
      <c r="N26" s="2231"/>
      <c r="O26" s="2231"/>
      <c r="P26" s="2231"/>
      <c r="Q26" s="2231"/>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301">
        <f>'Basis &amp; Credits'!AB77</f>
        <v>2464125</v>
      </c>
      <c r="N27" s="2301"/>
      <c r="O27" s="2301"/>
      <c r="P27" s="2301"/>
      <c r="Q27" s="2301"/>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1522</v>
      </c>
      <c r="C33" s="900"/>
      <c r="D33" s="900"/>
      <c r="E33" s="900"/>
      <c r="F33" s="900"/>
      <c r="G33" s="900"/>
      <c r="H33" s="900"/>
      <c r="I33" s="900"/>
      <c r="J33" s="900"/>
      <c r="K33" s="900"/>
      <c r="L33" s="900"/>
      <c r="M33" s="900"/>
      <c r="N33" s="900"/>
      <c r="O33" s="2069" t="s">
        <v>580</v>
      </c>
      <c r="P33" s="2069"/>
      <c r="Q33" s="900" t="s">
        <v>1523</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1525</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1524</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1526</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1527</v>
      </c>
      <c r="AZ37" s="31"/>
    </row>
    <row r="38" spans="1:96" ht="12.75" customHeight="1">
      <c r="A38" s="58" t="s">
        <v>1528</v>
      </c>
      <c r="AZ38" s="31"/>
    </row>
    <row r="39" spans="1:96" ht="12.75" customHeight="1">
      <c r="AZ39" s="31"/>
    </row>
    <row r="40" spans="1:96" ht="12.75" customHeight="1">
      <c r="A40" s="900" t="s">
        <v>1557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1559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5">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5">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5">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5">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5">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5">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5">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5">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5">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5">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817</v>
      </c>
      <c r="B117" s="35"/>
      <c r="C117" s="35"/>
    </row>
    <row r="118" spans="1:96" ht="12.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228" t="s">
        <v>2075</v>
      </c>
      <c r="H122" s="2228"/>
      <c r="I122" s="239" t="s">
        <v>187</v>
      </c>
      <c r="L122" s="2228" t="s">
        <v>2613</v>
      </c>
      <c r="M122" s="2228"/>
      <c r="N122" s="2228"/>
      <c r="O122" s="913" t="s">
        <v>2470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5">
      <c r="A124" s="58"/>
      <c r="B124" s="58"/>
      <c r="C124" s="2237" t="s">
        <v>2469</v>
      </c>
      <c r="D124" s="2237"/>
      <c r="E124" s="2237"/>
      <c r="F124" s="2237"/>
      <c r="G124" s="2237"/>
      <c r="H124" s="2237"/>
      <c r="I124" s="2237"/>
      <c r="J124" s="2237"/>
      <c r="K124" s="2237"/>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665</v>
      </c>
      <c r="Y126" s="2228" t="s">
        <v>2640</v>
      </c>
      <c r="Z126" s="2228"/>
      <c r="AA126" s="2228"/>
      <c r="AB126" s="2228"/>
      <c r="AC126" s="2228"/>
      <c r="AD126" s="2228"/>
      <c r="AE126" s="2228"/>
      <c r="AF126" s="2228"/>
      <c r="AG126" s="2228"/>
      <c r="AH126" s="2228"/>
      <c r="AI126" s="2228"/>
      <c r="AJ126" s="2228"/>
      <c r="AK126" s="2228"/>
    </row>
    <row r="127" spans="1:96" ht="12.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5">
      <c r="A129" s="698"/>
      <c r="B129" s="150"/>
      <c r="R129" s="265"/>
      <c r="S129" s="265"/>
      <c r="T129" s="265"/>
      <c r="U129" s="265"/>
      <c r="V129" s="265"/>
      <c r="W129" s="265"/>
      <c r="X129" s="58"/>
      <c r="Y129" s="2229" t="s">
        <v>2467</v>
      </c>
      <c r="Z129" s="2229"/>
      <c r="AA129" s="2229"/>
      <c r="AB129" s="2229"/>
      <c r="AC129" s="2229"/>
      <c r="AD129" s="2229"/>
      <c r="AE129" s="2229"/>
      <c r="AF129" s="2229"/>
      <c r="AG129" s="2229"/>
      <c r="AH129" s="2229"/>
      <c r="AI129" s="2229"/>
      <c r="AJ129" s="2229"/>
      <c r="AK129" s="2229"/>
      <c r="AL129" s="698"/>
      <c r="AM129" s="1581"/>
      <c r="AN129" s="1581"/>
      <c r="AO129" s="1581"/>
      <c r="AP129" s="1581"/>
      <c r="AQ129" s="1581"/>
      <c r="AR129" s="1581"/>
      <c r="AS129" s="1581"/>
      <c r="AT129" s="1581"/>
      <c r="AU129" s="1581"/>
      <c r="AV129" s="1581"/>
      <c r="AW129" s="1581"/>
      <c r="AX129" s="1581"/>
      <c r="AY129" s="1581"/>
    </row>
    <row r="130" spans="1:96" ht="12.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29" t="s">
        <v>2468</v>
      </c>
      <c r="Z132" s="2229"/>
      <c r="AA132" s="2229"/>
      <c r="AB132" s="2229"/>
      <c r="AC132" s="2229"/>
      <c r="AD132" s="2229"/>
      <c r="AE132" s="2229"/>
      <c r="AF132" s="2229"/>
      <c r="AG132" s="2229"/>
      <c r="AH132" s="2229"/>
      <c r="AI132" s="2229"/>
      <c r="AJ132" s="2229"/>
      <c r="AK132" s="222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47"/>
      <c r="G150" s="2147"/>
      <c r="H150" s="2147"/>
      <c r="I150" s="2147"/>
      <c r="J150" s="2147"/>
      <c r="K150" s="2147"/>
      <c r="L150" s="2147"/>
      <c r="M150" s="2147"/>
      <c r="N150" s="2147"/>
      <c r="O150" s="2147"/>
      <c r="P150" s="2147"/>
      <c r="Q150" s="2147"/>
      <c r="R150" s="2147"/>
      <c r="S150" s="2147"/>
      <c r="T150" s="214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682</v>
      </c>
      <c r="F153" s="32"/>
      <c r="G153" s="32"/>
      <c r="H153" s="32"/>
      <c r="I153" s="32"/>
      <c r="J153" s="32"/>
      <c r="K153" s="32"/>
      <c r="L153" s="32"/>
      <c r="M153" s="32"/>
      <c r="N153" s="32"/>
      <c r="O153" s="2062" t="s">
        <v>2471</v>
      </c>
      <c r="P153" s="2235"/>
      <c r="Q153" s="2235"/>
      <c r="R153" s="2235"/>
      <c r="S153" s="2235"/>
      <c r="T153" s="2235"/>
      <c r="U153" s="2235"/>
      <c r="V153" s="2235"/>
      <c r="W153" s="2235"/>
      <c r="X153" s="2235"/>
      <c r="Y153" s="2235"/>
      <c r="Z153" s="2235"/>
      <c r="AA153" s="2235"/>
      <c r="AB153" s="2235"/>
      <c r="AC153" s="2235"/>
      <c r="AD153" s="2235"/>
      <c r="AE153" s="2235"/>
      <c r="AF153" s="2235"/>
      <c r="AG153" s="2235"/>
      <c r="AH153" s="2235"/>
    </row>
    <row r="154" spans="1:96" ht="12.75" customHeight="1">
      <c r="D154" s="467" t="s">
        <v>464</v>
      </c>
      <c r="F154" s="32"/>
      <c r="G154" s="32"/>
      <c r="H154" s="32"/>
      <c r="I154" s="32"/>
      <c r="J154" s="32"/>
      <c r="K154" s="32"/>
      <c r="L154" s="32"/>
      <c r="M154" s="32"/>
      <c r="N154" s="32"/>
      <c r="O154" s="2109" t="s">
        <v>2472</v>
      </c>
      <c r="P154" s="2172"/>
      <c r="Q154" s="2172"/>
      <c r="R154" s="2172"/>
      <c r="S154" s="2172"/>
      <c r="T154" s="2172"/>
      <c r="U154" s="2172"/>
      <c r="V154" s="2172"/>
      <c r="W154" s="2172"/>
      <c r="X154" s="2172"/>
      <c r="Y154" s="2172"/>
      <c r="Z154" s="2172"/>
      <c r="AA154" s="2172"/>
      <c r="AB154" s="2172"/>
      <c r="AC154" s="2172"/>
      <c r="AD154" s="2172"/>
      <c r="AE154" s="2172"/>
      <c r="AF154" s="2172"/>
      <c r="AG154" s="2172"/>
      <c r="AH154" s="2172"/>
      <c r="AZ154" s="25"/>
    </row>
    <row r="155" spans="1:96" ht="12.5">
      <c r="D155" s="13" t="s">
        <v>466</v>
      </c>
      <c r="F155" s="13"/>
      <c r="G155" s="13"/>
      <c r="H155" s="13"/>
      <c r="I155" s="13"/>
      <c r="J155" s="13"/>
      <c r="K155" s="13"/>
      <c r="L155" s="13"/>
      <c r="M155" s="13"/>
      <c r="N155" s="13"/>
      <c r="O155" s="2262" t="s">
        <v>465</v>
      </c>
      <c r="P155" s="2262"/>
      <c r="Q155" s="2262"/>
      <c r="R155" s="2262"/>
      <c r="S155" s="2262"/>
      <c r="T155" s="2262"/>
      <c r="U155" s="2262"/>
      <c r="V155" s="2262"/>
      <c r="W155" s="2262"/>
      <c r="X155" s="2262"/>
      <c r="Y155" s="2262"/>
      <c r="Z155" s="2262"/>
      <c r="AA155" s="2262"/>
      <c r="AB155" s="2262"/>
      <c r="AC155" s="2262"/>
      <c r="AD155" s="2262"/>
      <c r="AE155" s="2262"/>
      <c r="AF155" s="2262"/>
      <c r="AG155" s="2262"/>
      <c r="AH155" s="2262"/>
      <c r="AZ155" s="25"/>
    </row>
    <row r="156" spans="1:96" ht="12.5">
      <c r="D156" s="32" t="s">
        <v>324</v>
      </c>
      <c r="F156" s="32"/>
      <c r="G156" s="32"/>
      <c r="H156" s="32"/>
      <c r="I156" s="32"/>
      <c r="J156" s="32"/>
      <c r="K156" s="32"/>
      <c r="L156" s="32"/>
      <c r="M156" s="32"/>
      <c r="N156" s="32"/>
      <c r="O156" s="2049" t="s">
        <v>2473</v>
      </c>
      <c r="P156" s="2049"/>
      <c r="Q156" s="2049"/>
      <c r="R156" s="2049"/>
      <c r="S156" s="2049"/>
      <c r="T156" s="2049"/>
      <c r="U156" s="2049"/>
      <c r="V156" s="2049"/>
      <c r="W156" s="2049"/>
      <c r="X156" s="2049"/>
      <c r="Y156" s="2049"/>
      <c r="Z156" s="2049"/>
      <c r="AA156" s="2049"/>
      <c r="AB156" s="2049"/>
      <c r="AC156" s="2049"/>
      <c r="AD156" s="2049"/>
      <c r="AE156" s="2049"/>
      <c r="AF156" s="2049"/>
      <c r="AG156" s="2049"/>
      <c r="AH156" s="2049"/>
      <c r="BT156" s="12" t="s">
        <v>318</v>
      </c>
    </row>
    <row r="157" spans="1:96" ht="13">
      <c r="D157" s="32" t="s">
        <v>325</v>
      </c>
      <c r="F157" s="32"/>
      <c r="G157" s="32"/>
      <c r="H157" s="32"/>
      <c r="I157" s="32"/>
      <c r="J157" s="32"/>
      <c r="K157" s="32"/>
      <c r="L157" s="32"/>
      <c r="M157" s="32"/>
      <c r="N157" s="32"/>
      <c r="O157" s="2062" t="s">
        <v>2469</v>
      </c>
      <c r="P157" s="2235"/>
      <c r="Q157" s="2235"/>
      <c r="R157" s="2235"/>
      <c r="S157" s="2235"/>
      <c r="T157" s="2235"/>
      <c r="U157" s="2235"/>
      <c r="V157" s="2235"/>
      <c r="W157" s="2235"/>
      <c r="X157" s="2235"/>
      <c r="Y157" s="14"/>
      <c r="Z157" s="14"/>
      <c r="AA157" s="14"/>
      <c r="AB157" s="14"/>
      <c r="AC157" s="14"/>
      <c r="AD157" s="14"/>
      <c r="AE157" s="14"/>
      <c r="AF157" s="14"/>
      <c r="BN157" s="36" t="s">
        <v>673</v>
      </c>
      <c r="BT157" s="12" t="s">
        <v>511</v>
      </c>
    </row>
    <row r="158" spans="1:96" ht="13">
      <c r="D158" s="32" t="s">
        <v>326</v>
      </c>
      <c r="F158" s="32"/>
      <c r="G158" s="32"/>
      <c r="H158" s="32"/>
      <c r="I158" s="32"/>
      <c r="J158" s="32"/>
      <c r="K158" s="32"/>
      <c r="L158" s="32"/>
      <c r="M158" s="32"/>
      <c r="N158" s="32"/>
      <c r="O158" s="2263">
        <v>95113</v>
      </c>
      <c r="P158" s="2263"/>
      <c r="Q158" s="2263"/>
      <c r="R158" s="2263"/>
      <c r="S158" s="15"/>
      <c r="T158" s="15"/>
      <c r="U158" s="15"/>
      <c r="V158" s="15"/>
      <c r="W158" s="15"/>
      <c r="X158" s="15"/>
      <c r="Y158" s="15"/>
      <c r="Z158" s="15"/>
      <c r="AA158" s="15"/>
      <c r="AB158" s="15"/>
      <c r="AC158" s="15"/>
      <c r="AD158" s="15"/>
      <c r="AE158" s="15"/>
      <c r="AF158" s="15"/>
      <c r="BN158" s="36" t="s">
        <v>674</v>
      </c>
      <c r="BT158" s="12" t="s">
        <v>512</v>
      </c>
    </row>
    <row r="159" spans="1:96" ht="13">
      <c r="D159" s="32" t="s">
        <v>327</v>
      </c>
      <c r="F159" s="32"/>
      <c r="G159" s="32"/>
      <c r="H159" s="32"/>
      <c r="I159" s="32"/>
      <c r="J159" s="32"/>
      <c r="K159" s="32"/>
      <c r="L159" s="32"/>
      <c r="M159" s="32"/>
      <c r="N159" s="32"/>
      <c r="O159" s="2236" t="s">
        <v>2474</v>
      </c>
      <c r="P159" s="2236"/>
      <c r="Q159" s="2236"/>
      <c r="R159" s="2236"/>
      <c r="S159" s="2236"/>
      <c r="T159" s="2236"/>
      <c r="V159" s="146" t="s">
        <v>279</v>
      </c>
      <c r="W159" s="2264"/>
      <c r="X159" s="2264"/>
      <c r="Y159" s="16"/>
      <c r="Z159" s="16"/>
      <c r="AA159" s="16"/>
      <c r="AB159" s="16"/>
      <c r="AC159" s="16"/>
      <c r="AD159" s="16"/>
      <c r="AE159" s="16"/>
      <c r="AF159" s="16"/>
      <c r="BN159" s="36" t="s">
        <v>351</v>
      </c>
      <c r="BT159" s="12" t="s">
        <v>513</v>
      </c>
    </row>
    <row r="160" spans="1:96" ht="13">
      <c r="D160" s="32" t="s">
        <v>328</v>
      </c>
      <c r="F160" s="32"/>
      <c r="G160" s="32"/>
      <c r="H160" s="32"/>
      <c r="I160" s="32"/>
      <c r="J160" s="32"/>
      <c r="K160" s="32"/>
      <c r="L160" s="32"/>
      <c r="M160" s="32"/>
      <c r="N160" s="32"/>
      <c r="O160" s="2236" t="s">
        <v>2475</v>
      </c>
      <c r="P160" s="2236"/>
      <c r="Q160" s="2236"/>
      <c r="R160" s="2236"/>
      <c r="S160" s="2236"/>
      <c r="T160" s="2236"/>
      <c r="U160" s="16"/>
      <c r="V160" s="16"/>
      <c r="W160" s="16"/>
      <c r="X160" s="16"/>
      <c r="Y160" s="16"/>
      <c r="Z160" s="16"/>
      <c r="AA160" s="16"/>
      <c r="AB160" s="16"/>
      <c r="AC160" s="16"/>
      <c r="AD160" s="16"/>
      <c r="AE160" s="16"/>
      <c r="AF160" s="16"/>
      <c r="BN160" s="36" t="s">
        <v>699</v>
      </c>
      <c r="BT160" s="12" t="s">
        <v>514</v>
      </c>
    </row>
    <row r="161" spans="1:72" ht="13">
      <c r="D161" s="32" t="s">
        <v>329</v>
      </c>
      <c r="F161" s="32"/>
      <c r="G161" s="32"/>
      <c r="H161" s="32"/>
      <c r="I161" s="32"/>
      <c r="J161" s="32"/>
      <c r="K161" s="32"/>
      <c r="L161" s="32"/>
      <c r="M161" s="32"/>
      <c r="N161" s="32"/>
      <c r="O161" s="2230" t="s">
        <v>2476</v>
      </c>
      <c r="P161" s="2230"/>
      <c r="Q161" s="2230"/>
      <c r="R161" s="2230"/>
      <c r="S161" s="2230"/>
      <c r="T161" s="2230"/>
      <c r="U161" s="2230"/>
      <c r="V161" s="2230"/>
      <c r="W161" s="2230"/>
      <c r="X161" s="2230"/>
      <c r="Y161" s="2230"/>
      <c r="Z161" s="2230"/>
      <c r="AA161" s="2230"/>
      <c r="AB161" s="2230"/>
      <c r="AC161" s="2230"/>
      <c r="AD161" s="2230"/>
      <c r="AE161" s="2230"/>
      <c r="AF161" s="2230"/>
      <c r="AG161" s="2230"/>
      <c r="AH161" s="2230"/>
      <c r="BJ161" s="12" t="s">
        <v>708</v>
      </c>
      <c r="BN161" s="36" t="s">
        <v>700</v>
      </c>
      <c r="BT161" s="12" t="s">
        <v>515</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3">
      <c r="C164" s="141"/>
      <c r="D164" s="2243" t="s">
        <v>1464</v>
      </c>
      <c r="E164" s="2243"/>
      <c r="F164" s="2243"/>
      <c r="G164" s="2243"/>
      <c r="H164" s="2243"/>
      <c r="I164" s="2243"/>
      <c r="J164" s="2243"/>
      <c r="K164" s="2243"/>
      <c r="L164" s="2243"/>
      <c r="M164" s="2243"/>
      <c r="N164" s="2243"/>
      <c r="O164" s="2243"/>
      <c r="P164" s="2243"/>
      <c r="Q164" s="2243"/>
      <c r="R164" s="2243"/>
      <c r="S164" s="2243"/>
      <c r="T164" s="2243"/>
      <c r="U164" s="2243"/>
      <c r="V164" s="2243"/>
      <c r="W164" s="2243"/>
      <c r="X164" s="2243"/>
      <c r="Y164" s="2243"/>
      <c r="Z164" s="2243"/>
      <c r="AA164" s="2243"/>
      <c r="AB164" s="2243"/>
      <c r="AC164" s="2243"/>
      <c r="AD164" s="2243"/>
      <c r="AE164" s="2243"/>
      <c r="AF164" s="2243"/>
      <c r="AG164" s="2243"/>
      <c r="AH164" s="2243"/>
      <c r="AI164" s="39"/>
      <c r="AJ164" s="39"/>
      <c r="AK164" s="39"/>
      <c r="AL164" s="39"/>
      <c r="BN164" s="36" t="s">
        <v>703</v>
      </c>
      <c r="BT164" s="12" t="s">
        <v>518</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3">
      <c r="A169" s="2202" t="s">
        <v>574</v>
      </c>
      <c r="B169" s="2202"/>
      <c r="C169" s="2202"/>
      <c r="D169" s="2202"/>
      <c r="E169" s="2202"/>
      <c r="F169" s="2202"/>
      <c r="G169" s="2202"/>
      <c r="H169" s="2202"/>
      <c r="I169" s="2202"/>
      <c r="J169" s="2202"/>
      <c r="K169" s="2202"/>
      <c r="L169" s="2202"/>
      <c r="M169" s="2202"/>
      <c r="N169" s="2202"/>
      <c r="O169" s="2202"/>
      <c r="P169" s="2202"/>
      <c r="Q169" s="2202"/>
      <c r="R169" s="2202"/>
      <c r="S169" s="2202"/>
      <c r="T169" s="2202"/>
      <c r="U169" s="2202"/>
      <c r="V169" s="2202"/>
      <c r="W169" s="2202"/>
      <c r="X169" s="2202"/>
      <c r="Y169" s="2202"/>
      <c r="Z169" s="2202"/>
      <c r="AA169" s="2202"/>
      <c r="AB169" s="2202"/>
      <c r="AC169" s="2202"/>
      <c r="AD169" s="2202"/>
      <c r="AE169" s="2202"/>
      <c r="AF169" s="2202"/>
      <c r="AG169" s="2202"/>
      <c r="AH169" s="2202"/>
      <c r="AI169" s="2202"/>
      <c r="AJ169" s="2202"/>
      <c r="AK169" s="2202"/>
      <c r="AL169" s="2202"/>
      <c r="AM169" s="144"/>
      <c r="AN169" s="144"/>
      <c r="AO169" s="144"/>
      <c r="AP169" s="144"/>
      <c r="AQ169" s="144"/>
      <c r="AR169" s="144"/>
      <c r="AS169" s="144"/>
      <c r="AT169" s="144"/>
      <c r="AU169" s="144"/>
      <c r="AV169" s="144"/>
      <c r="AW169" s="144"/>
      <c r="AX169" s="144"/>
      <c r="AY169" s="144"/>
      <c r="BN169" s="36" t="s">
        <v>712</v>
      </c>
      <c r="BT169" s="12" t="s">
        <v>523</v>
      </c>
    </row>
    <row r="170" spans="1:72" ht="13.5" thickBot="1">
      <c r="A170" s="2203"/>
      <c r="B170" s="2203"/>
      <c r="C170" s="2203"/>
      <c r="D170" s="2203"/>
      <c r="E170" s="2203"/>
      <c r="F170" s="2203"/>
      <c r="G170" s="2203"/>
      <c r="H170" s="2203"/>
      <c r="I170" s="2203"/>
      <c r="J170" s="2203"/>
      <c r="K170" s="2203"/>
      <c r="L170" s="2203"/>
      <c r="M170" s="2203"/>
      <c r="N170" s="2203"/>
      <c r="O170" s="2203"/>
      <c r="P170" s="2203"/>
      <c r="Q170" s="2203"/>
      <c r="R170" s="2203"/>
      <c r="S170" s="2203"/>
      <c r="T170" s="2203"/>
      <c r="U170" s="2203"/>
      <c r="V170" s="2203"/>
      <c r="W170" s="2203"/>
      <c r="X170" s="2203"/>
      <c r="Y170" s="2203"/>
      <c r="Z170" s="2203"/>
      <c r="AA170" s="2203"/>
      <c r="AB170" s="2203"/>
      <c r="AC170" s="2203"/>
      <c r="AD170" s="2203"/>
      <c r="AE170" s="2203"/>
      <c r="AF170" s="2203"/>
      <c r="AG170" s="2203"/>
      <c r="AH170" s="2203"/>
      <c r="AI170" s="2203"/>
      <c r="AJ170" s="2203"/>
      <c r="AK170" s="2203"/>
      <c r="AL170" s="2203"/>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3">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3">
      <c r="A173" s="25"/>
      <c r="C173" s="38"/>
      <c r="D173" s="39" t="s">
        <v>332</v>
      </c>
      <c r="J173" s="2254" t="s">
        <v>391</v>
      </c>
      <c r="K173" s="2254"/>
      <c r="L173" s="2254"/>
      <c r="M173" s="2254"/>
      <c r="N173" s="2254"/>
      <c r="O173" s="2254"/>
      <c r="P173" s="2254"/>
      <c r="Q173" s="2254"/>
      <c r="R173" s="2254"/>
      <c r="S173" s="2254"/>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3">
      <c r="A174" s="25"/>
      <c r="C174" s="38"/>
      <c r="D174" s="58" t="s">
        <v>1416</v>
      </c>
      <c r="E174" s="25"/>
      <c r="F174" s="25"/>
      <c r="G174" s="25"/>
      <c r="H174" s="25"/>
      <c r="I174" s="25"/>
      <c r="J174" s="2063" t="s">
        <v>2477</v>
      </c>
      <c r="K174" s="2063"/>
      <c r="L174" s="2063"/>
      <c r="M174" s="2063"/>
      <c r="N174" s="2063"/>
      <c r="O174" s="2063"/>
      <c r="P174" s="2063"/>
      <c r="Q174" s="2063"/>
      <c r="R174" s="2063"/>
      <c r="S174" s="2063"/>
      <c r="T174" s="2063"/>
      <c r="U174" s="2063"/>
      <c r="V174" s="2063"/>
      <c r="W174" s="2063"/>
      <c r="X174" s="2063"/>
      <c r="Y174" s="2063"/>
      <c r="Z174" s="2063"/>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3">
      <c r="A175" s="25"/>
      <c r="C175" s="13"/>
      <c r="D175" s="58" t="s">
        <v>333</v>
      </c>
      <c r="F175" s="720"/>
      <c r="G175" s="720"/>
      <c r="H175" s="720"/>
      <c r="I175" s="720"/>
      <c r="J175" s="720"/>
      <c r="K175" s="720"/>
      <c r="L175" s="720"/>
      <c r="M175" s="720"/>
      <c r="N175" s="720"/>
      <c r="O175" s="42"/>
      <c r="Q175" s="25"/>
      <c r="R175" s="25"/>
      <c r="T175" s="720"/>
      <c r="U175" s="2069" t="s">
        <v>708</v>
      </c>
      <c r="V175" s="2069"/>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3">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185"/>
      <c r="V176" s="2185"/>
      <c r="W176" s="4" t="s">
        <v>317</v>
      </c>
      <c r="X176" s="2251"/>
      <c r="Y176" s="2251"/>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3">
      <c r="A177" s="25"/>
      <c r="B177" s="12"/>
      <c r="C177" s="43"/>
      <c r="D177" s="25" t="s">
        <v>257</v>
      </c>
      <c r="E177" s="12"/>
      <c r="F177" s="12"/>
      <c r="G177" s="12"/>
      <c r="H177" s="12"/>
      <c r="I177" s="12"/>
      <c r="J177" s="12"/>
      <c r="K177" s="12"/>
      <c r="L177" s="12"/>
      <c r="M177" s="25"/>
      <c r="N177" s="12"/>
      <c r="O177" s="12"/>
      <c r="P177" s="12"/>
      <c r="Q177" s="12"/>
      <c r="R177" s="2069" t="s">
        <v>708</v>
      </c>
      <c r="S177" s="2069"/>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3">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458"/>
      <c r="AG178" s="2458"/>
      <c r="AH178" s="4" t="s">
        <v>317</v>
      </c>
      <c r="AI178" s="2220"/>
      <c r="AJ178" s="2220"/>
      <c r="AK178" s="2220"/>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3">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3">
      <c r="A180" s="25"/>
      <c r="B180" s="12"/>
      <c r="C180" s="43"/>
      <c r="D180" s="682" t="s">
        <v>467</v>
      </c>
      <c r="E180" s="25"/>
      <c r="X180" s="2069" t="s">
        <v>708</v>
      </c>
      <c r="Y180" s="2069"/>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3"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3">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3">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3">
      <c r="A184" s="25"/>
      <c r="C184" s="45"/>
      <c r="D184" s="25" t="s">
        <v>615</v>
      </c>
      <c r="E184" s="25"/>
      <c r="F184" s="25"/>
      <c r="G184" s="25"/>
      <c r="H184" s="25"/>
      <c r="I184" s="2173" t="str">
        <f>H18</f>
        <v>Roosevelt Park Apartments</v>
      </c>
      <c r="J184" s="2173"/>
      <c r="K184" s="2173"/>
      <c r="L184" s="2173"/>
      <c r="M184" s="2173"/>
      <c r="N184" s="2173"/>
      <c r="O184" s="2173"/>
      <c r="P184" s="2173"/>
      <c r="Q184" s="2173"/>
      <c r="R184" s="2173"/>
      <c r="S184" s="2173"/>
      <c r="T184" s="2173"/>
      <c r="U184" s="2173"/>
      <c r="V184" s="2173"/>
      <c r="W184" s="2173"/>
      <c r="X184" s="2173"/>
      <c r="Y184" s="2173"/>
      <c r="Z184" s="2173"/>
      <c r="AA184" s="2173"/>
      <c r="AB184" s="2173"/>
      <c r="AC184" s="2173"/>
      <c r="AD184" s="2173"/>
      <c r="AE184" s="2173"/>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3">
      <c r="A185" s="25"/>
      <c r="C185" s="45"/>
      <c r="D185" s="25" t="s">
        <v>616</v>
      </c>
      <c r="E185" s="25"/>
      <c r="F185" s="25"/>
      <c r="G185" s="25"/>
      <c r="H185" s="25"/>
      <c r="I185" s="2110" t="s">
        <v>2478</v>
      </c>
      <c r="J185" s="2110"/>
      <c r="K185" s="2110"/>
      <c r="L185" s="2110"/>
      <c r="M185" s="2110"/>
      <c r="N185" s="2110"/>
      <c r="O185" s="2110"/>
      <c r="P185" s="2110"/>
      <c r="Q185" s="2110"/>
      <c r="R185" s="2110"/>
      <c r="S185" s="2110"/>
      <c r="T185" s="2110"/>
      <c r="U185" s="2110"/>
      <c r="V185" s="2110"/>
      <c r="W185" s="2110"/>
      <c r="X185" s="2110"/>
      <c r="Y185" s="2110"/>
      <c r="Z185" s="2110"/>
      <c r="AA185" s="2110"/>
      <c r="AB185" s="2110"/>
      <c r="AC185" s="2110"/>
      <c r="AD185" s="2110"/>
      <c r="AE185" s="2110"/>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3">
      <c r="A187" s="25"/>
      <c r="C187" s="45"/>
      <c r="D187" s="25"/>
      <c r="E187" s="2176"/>
      <c r="F187" s="2176"/>
      <c r="G187" s="2176"/>
      <c r="H187" s="2176"/>
      <c r="I187" s="2176"/>
      <c r="J187" s="2176"/>
      <c r="K187" s="2176"/>
      <c r="L187" s="2176"/>
      <c r="M187" s="2176"/>
      <c r="N187" s="2176"/>
      <c r="O187" s="2176"/>
      <c r="P187" s="2176"/>
      <c r="Q187" s="2176"/>
      <c r="R187" s="2176"/>
      <c r="S187" s="2176"/>
      <c r="T187" s="2176"/>
      <c r="U187" s="2176"/>
      <c r="V187" s="2176"/>
      <c r="W187" s="2176"/>
      <c r="X187" s="2176"/>
      <c r="Y187" s="2176"/>
      <c r="Z187" s="2176"/>
      <c r="AA187" s="2176"/>
      <c r="AB187" s="2176"/>
      <c r="AC187" s="2176"/>
      <c r="AD187" s="2176"/>
      <c r="AE187" s="2176"/>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3">
      <c r="A188" s="25"/>
      <c r="C188" s="45"/>
      <c r="D188" s="25"/>
      <c r="E188" s="2177"/>
      <c r="F188" s="2177"/>
      <c r="G188" s="2177"/>
      <c r="H188" s="2177"/>
      <c r="I188" s="2177"/>
      <c r="J188" s="2177"/>
      <c r="K188" s="2177"/>
      <c r="L188" s="2177"/>
      <c r="M188" s="2177"/>
      <c r="N188" s="2177"/>
      <c r="O188" s="2177"/>
      <c r="P188" s="2177"/>
      <c r="Q188" s="2177"/>
      <c r="R188" s="2177"/>
      <c r="S188" s="2177"/>
      <c r="T188" s="2177"/>
      <c r="U188" s="2177"/>
      <c r="V188" s="2177"/>
      <c r="W188" s="2177"/>
      <c r="X188" s="2177"/>
      <c r="Y188" s="2177"/>
      <c r="Z188" s="2177"/>
      <c r="AA188" s="2177"/>
      <c r="AB188" s="2177"/>
      <c r="AC188" s="2177"/>
      <c r="AD188" s="2177"/>
      <c r="AE188" s="2177"/>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3">
      <c r="A189" s="25"/>
      <c r="C189" s="45"/>
      <c r="D189" s="25" t="s">
        <v>617</v>
      </c>
      <c r="E189" s="25"/>
      <c r="I189" s="2063" t="s">
        <v>2469</v>
      </c>
      <c r="J189" s="2063"/>
      <c r="K189" s="2063"/>
      <c r="L189" s="2063"/>
      <c r="M189" s="2063"/>
      <c r="N189" s="2063"/>
      <c r="O189" s="2063"/>
      <c r="P189" s="2063"/>
      <c r="Q189" s="25" t="s">
        <v>619</v>
      </c>
      <c r="T189" s="2063" t="s">
        <v>198</v>
      </c>
      <c r="U189" s="2063"/>
      <c r="V189" s="2063"/>
      <c r="W189" s="2063"/>
      <c r="X189" s="2063"/>
      <c r="Y189" s="2063"/>
      <c r="Z189" s="2063"/>
      <c r="AA189" s="2063"/>
      <c r="AB189" s="2063"/>
      <c r="AC189" s="2063"/>
      <c r="AD189" s="2063"/>
      <c r="AE189" s="2063"/>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3">
      <c r="A190" s="25"/>
      <c r="C190" s="46"/>
      <c r="D190" s="25" t="s">
        <v>620</v>
      </c>
      <c r="E190" s="25"/>
      <c r="F190" s="25"/>
      <c r="G190" s="25"/>
      <c r="I190" s="2110">
        <v>95116</v>
      </c>
      <c r="J190" s="2110"/>
      <c r="K190" s="2110"/>
      <c r="L190" s="2110"/>
      <c r="M190" s="2110"/>
      <c r="N190" s="2110"/>
      <c r="O190" s="25" t="s">
        <v>622</v>
      </c>
      <c r="P190" s="25"/>
      <c r="Q190" s="25"/>
      <c r="R190" s="25"/>
      <c r="S190" s="25"/>
      <c r="T190" s="2249">
        <v>5014.01</v>
      </c>
      <c r="U190" s="2249"/>
      <c r="V190" s="2249"/>
      <c r="W190" s="2249"/>
      <c r="X190" s="2249"/>
      <c r="Y190" s="2249"/>
      <c r="Z190" s="2249"/>
      <c r="AA190" s="2249"/>
      <c r="AB190" s="2249"/>
      <c r="AC190" s="2249"/>
      <c r="AD190" s="2249"/>
      <c r="AE190" s="2249"/>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672</v>
      </c>
      <c r="BT190" s="12" t="s">
        <v>71</v>
      </c>
    </row>
    <row r="191" spans="1:96" ht="13">
      <c r="A191" s="25"/>
      <c r="C191" s="46"/>
      <c r="D191" s="25" t="s">
        <v>497</v>
      </c>
      <c r="E191" s="25"/>
      <c r="F191" s="25"/>
      <c r="G191" s="25"/>
      <c r="H191" s="25"/>
      <c r="I191" s="25"/>
      <c r="J191" s="25"/>
      <c r="K191" s="25"/>
      <c r="L191" s="25"/>
      <c r="M191" s="25"/>
      <c r="N191" s="2176" t="s">
        <v>2479</v>
      </c>
      <c r="O191" s="2176"/>
      <c r="P191" s="2176"/>
      <c r="Q191" s="2176"/>
      <c r="R191" s="2176"/>
      <c r="S191" s="2176"/>
      <c r="T191" s="2176"/>
      <c r="U191" s="2176"/>
      <c r="V191" s="2176"/>
      <c r="W191" s="2176"/>
      <c r="X191" s="2176"/>
      <c r="Y191" s="2176"/>
      <c r="Z191" s="2176"/>
      <c r="AA191" s="2176"/>
      <c r="AB191" s="2176"/>
      <c r="AC191" s="2176"/>
      <c r="AD191" s="2176"/>
      <c r="AE191" s="2176"/>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728</v>
      </c>
      <c r="BT191" s="12" t="s">
        <v>772</v>
      </c>
    </row>
    <row r="192" spans="1:96" ht="13">
      <c r="A192" s="25"/>
      <c r="C192" s="46"/>
      <c r="D192" s="25"/>
      <c r="E192" s="25"/>
      <c r="F192" s="25"/>
      <c r="G192" s="25"/>
      <c r="H192" s="25"/>
      <c r="I192" s="25"/>
      <c r="J192" s="25"/>
      <c r="K192" s="25"/>
      <c r="L192" s="25"/>
      <c r="M192" s="170"/>
      <c r="N192" s="2177"/>
      <c r="O192" s="2177"/>
      <c r="P192" s="2177"/>
      <c r="Q192" s="2177"/>
      <c r="R192" s="2177"/>
      <c r="S192" s="2177"/>
      <c r="T192" s="2177"/>
      <c r="U192" s="2177"/>
      <c r="V192" s="2177"/>
      <c r="W192" s="2177"/>
      <c r="X192" s="2177"/>
      <c r="Y192" s="2177"/>
      <c r="Z192" s="2177"/>
      <c r="AA192" s="2177"/>
      <c r="AB192" s="2177"/>
      <c r="AC192" s="2177"/>
      <c r="AD192" s="2177"/>
      <c r="AE192" s="2177"/>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1990</v>
      </c>
      <c r="BN192" s="36" t="s">
        <v>729</v>
      </c>
      <c r="BT192" s="12" t="s">
        <v>773</v>
      </c>
    </row>
    <row r="193" spans="1:96" ht="13">
      <c r="A193" s="25"/>
      <c r="B193" s="720"/>
      <c r="C193" s="46"/>
      <c r="D193" s="688" t="s">
        <v>2028</v>
      </c>
      <c r="E193" s="25"/>
      <c r="F193" s="25"/>
      <c r="G193" s="25"/>
      <c r="H193" s="25"/>
      <c r="I193" s="25"/>
      <c r="J193" s="25"/>
      <c r="K193" s="25"/>
      <c r="L193" s="25"/>
      <c r="M193" s="170"/>
      <c r="N193" s="1520"/>
      <c r="O193" s="1520"/>
      <c r="P193" s="1520"/>
      <c r="Q193" s="1520"/>
      <c r="R193" s="1520"/>
      <c r="S193" s="1520"/>
      <c r="T193" s="2252" t="s">
        <v>2480</v>
      </c>
      <c r="U193" s="2252"/>
      <c r="V193" s="2252"/>
      <c r="W193" s="2252"/>
      <c r="X193" s="2252"/>
      <c r="Y193" s="2252"/>
      <c r="Z193" s="2252"/>
      <c r="AA193" s="2252"/>
      <c r="AB193" s="2252"/>
      <c r="AC193" s="2252"/>
      <c r="AD193" s="2252"/>
      <c r="AE193" s="2252"/>
      <c r="AF193" s="2252"/>
      <c r="AG193" s="2252"/>
      <c r="AH193" s="2252"/>
      <c r="AI193" s="2252"/>
      <c r="AJ193" s="682"/>
      <c r="AK193" s="682"/>
      <c r="AL193" s="682"/>
      <c r="AM193" s="682"/>
      <c r="AN193" s="682"/>
      <c r="AO193" s="682"/>
      <c r="AP193" s="682"/>
      <c r="AQ193" s="682"/>
      <c r="AR193" s="682"/>
      <c r="AS193" s="682"/>
      <c r="AT193" s="682"/>
      <c r="AU193" s="682"/>
      <c r="AV193" s="682"/>
      <c r="AW193" s="682"/>
      <c r="AX193" s="682"/>
      <c r="AY193" s="682"/>
      <c r="BC193" s="720" t="s">
        <v>1159</v>
      </c>
      <c r="BH193" s="58" t="s">
        <v>1991</v>
      </c>
      <c r="BN193" s="36" t="s">
        <v>730</v>
      </c>
      <c r="BT193" s="12" t="s">
        <v>774</v>
      </c>
    </row>
    <row r="194" spans="1:96" ht="13">
      <c r="A194" s="25"/>
      <c r="C194" s="46"/>
      <c r="D194" s="25" t="s">
        <v>342</v>
      </c>
      <c r="E194" s="25"/>
      <c r="F194" s="25"/>
      <c r="G194" s="25"/>
      <c r="H194" s="25"/>
      <c r="I194" s="25"/>
      <c r="J194" s="25"/>
      <c r="K194" s="25"/>
      <c r="L194" s="25"/>
      <c r="M194" s="25"/>
      <c r="N194" s="25"/>
      <c r="O194" s="25"/>
      <c r="P194" s="25"/>
      <c r="Q194" s="25"/>
      <c r="R194" s="25"/>
      <c r="T194" s="2069" t="s">
        <v>708</v>
      </c>
      <c r="U194" s="2069"/>
      <c r="W194" s="25" t="s">
        <v>724</v>
      </c>
      <c r="X194" s="25"/>
      <c r="Y194" s="25"/>
      <c r="Z194" s="25"/>
      <c r="AA194" s="25"/>
      <c r="AB194" s="25"/>
      <c r="AC194" s="25"/>
      <c r="AD194" s="25"/>
      <c r="AE194" s="25"/>
      <c r="AF194" s="25"/>
      <c r="AG194" s="25"/>
      <c r="AH194" s="2069">
        <v>19</v>
      </c>
      <c r="AI194" s="2069"/>
      <c r="AJ194" s="3"/>
      <c r="AK194" s="3"/>
      <c r="AL194" s="3"/>
      <c r="AM194" s="682"/>
      <c r="AN194" s="682"/>
      <c r="AO194" s="682"/>
      <c r="AP194" s="682"/>
      <c r="AQ194" s="682"/>
      <c r="AR194" s="682"/>
      <c r="AS194" s="682"/>
      <c r="AT194" s="682"/>
      <c r="AU194" s="682"/>
      <c r="AV194" s="682"/>
      <c r="AW194" s="682"/>
      <c r="AX194" s="682"/>
      <c r="AY194" s="682"/>
      <c r="BC194" s="720" t="s">
        <v>1647</v>
      </c>
      <c r="BN194" s="36" t="s">
        <v>731</v>
      </c>
      <c r="BT194" s="12" t="s">
        <v>775</v>
      </c>
    </row>
    <row r="195" spans="1:96" s="720" customFormat="1" ht="13">
      <c r="A195" s="25"/>
      <c r="B195" s="12"/>
      <c r="C195" s="46"/>
      <c r="D195" s="25" t="s">
        <v>406</v>
      </c>
      <c r="E195" s="25"/>
      <c r="F195" s="25"/>
      <c r="G195" s="25"/>
      <c r="H195" s="25"/>
      <c r="I195" s="25"/>
      <c r="J195" s="25"/>
      <c r="K195" s="25"/>
      <c r="L195" s="25"/>
      <c r="M195" s="25"/>
      <c r="N195" s="25"/>
      <c r="O195" s="25"/>
      <c r="P195" s="25"/>
      <c r="Q195" s="25"/>
      <c r="R195" s="25"/>
      <c r="S195" s="12"/>
      <c r="T195" s="2060" t="s">
        <v>580</v>
      </c>
      <c r="U195" s="2060"/>
      <c r="V195" s="12"/>
      <c r="W195" s="25" t="s">
        <v>725</v>
      </c>
      <c r="X195" s="25"/>
      <c r="Y195" s="25"/>
      <c r="Z195" s="25"/>
      <c r="AA195" s="25"/>
      <c r="AB195" s="25"/>
      <c r="AC195" s="25"/>
      <c r="AD195" s="25"/>
      <c r="AE195" s="25"/>
      <c r="AF195" s="25"/>
      <c r="AG195" s="25"/>
      <c r="AH195" s="2069">
        <v>27</v>
      </c>
      <c r="AI195" s="2069"/>
      <c r="AJ195" s="3"/>
      <c r="AK195" s="3"/>
      <c r="AL195" s="3"/>
      <c r="AM195" s="682"/>
      <c r="AN195" s="682"/>
      <c r="AO195" s="682"/>
      <c r="AP195" s="682"/>
      <c r="AQ195" s="682"/>
      <c r="AR195" s="682"/>
      <c r="AS195" s="682"/>
      <c r="AT195" s="682"/>
      <c r="AU195" s="682"/>
      <c r="AV195" s="682"/>
      <c r="AW195" s="682"/>
      <c r="AX195" s="682"/>
      <c r="AY195" s="682"/>
      <c r="BC195" s="720" t="s">
        <v>2450</v>
      </c>
      <c r="BN195" s="36" t="s">
        <v>249</v>
      </c>
      <c r="BT195" s="12" t="s">
        <v>776</v>
      </c>
      <c r="CR195" s="25"/>
    </row>
    <row r="196" spans="1:96" ht="13">
      <c r="A196" s="25"/>
      <c r="C196" s="46"/>
      <c r="D196" s="177" t="s">
        <v>174</v>
      </c>
      <c r="E196" s="25"/>
      <c r="F196" s="25"/>
      <c r="G196" s="25"/>
      <c r="H196" s="25"/>
      <c r="I196" s="25"/>
      <c r="J196" s="25"/>
      <c r="K196" s="25"/>
      <c r="L196" s="25"/>
      <c r="M196" s="25"/>
      <c r="N196" s="25"/>
      <c r="O196" s="25"/>
      <c r="P196" s="25"/>
      <c r="Q196" s="25"/>
      <c r="R196" s="25"/>
      <c r="T196" s="2060" t="s">
        <v>708</v>
      </c>
      <c r="U196" s="2060"/>
      <c r="W196" s="25" t="s">
        <v>726</v>
      </c>
      <c r="X196" s="25"/>
      <c r="Y196" s="25"/>
      <c r="Z196" s="25"/>
      <c r="AA196" s="25"/>
      <c r="AB196" s="25"/>
      <c r="AC196" s="25"/>
      <c r="AD196" s="25"/>
      <c r="AE196" s="25"/>
      <c r="AF196" s="25"/>
      <c r="AG196" s="25"/>
      <c r="AH196" s="2069">
        <v>15</v>
      </c>
      <c r="AI196" s="2069"/>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2020</v>
      </c>
      <c r="E197" s="25"/>
      <c r="F197" s="25"/>
      <c r="G197" s="25"/>
      <c r="H197" s="25"/>
      <c r="I197" s="25"/>
      <c r="J197" s="25"/>
      <c r="K197" s="25"/>
      <c r="L197" s="25"/>
      <c r="M197" s="25"/>
      <c r="N197" s="25"/>
      <c r="O197" s="25"/>
      <c r="P197" s="25"/>
      <c r="Q197" s="25"/>
      <c r="R197" s="25"/>
      <c r="S197" s="720"/>
      <c r="T197" s="2060"/>
      <c r="U197" s="2060"/>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69" t="s">
        <v>708</v>
      </c>
      <c r="Z198" s="2069"/>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742</v>
      </c>
      <c r="BO200" s="12"/>
      <c r="BP200" s="12"/>
      <c r="BQ200" s="12"/>
      <c r="BR200" s="12"/>
      <c r="BS200" s="12"/>
      <c r="BT200" s="54" t="s">
        <v>199</v>
      </c>
      <c r="BU200" s="12"/>
      <c r="CR200" s="112"/>
    </row>
    <row r="201" spans="1:96" s="51" customFormat="1" ht="13">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744</v>
      </c>
      <c r="BO202" s="51"/>
      <c r="BP202" s="54"/>
      <c r="BQ202" s="54"/>
      <c r="BR202" s="54"/>
      <c r="BS202" s="54"/>
      <c r="BT202" s="55" t="s">
        <v>201</v>
      </c>
    </row>
    <row r="203" spans="1:96" ht="12.75" customHeight="1">
      <c r="A203" s="25"/>
      <c r="C203" s="25"/>
      <c r="D203" s="2173" t="s">
        <v>405</v>
      </c>
      <c r="E203" s="2173"/>
      <c r="F203" s="2173"/>
      <c r="G203" s="2173"/>
      <c r="H203" s="2173"/>
      <c r="I203" s="2173"/>
      <c r="J203" s="2173"/>
      <c r="K203" s="2173"/>
      <c r="L203" s="2173"/>
      <c r="M203" s="2173"/>
      <c r="P203" s="2260">
        <f>M26</f>
        <v>3267254</v>
      </c>
      <c r="Q203" s="2258"/>
      <c r="R203" s="2258"/>
      <c r="S203" s="2258"/>
      <c r="T203" s="2258"/>
      <c r="U203" s="2258"/>
      <c r="V203" s="25"/>
      <c r="W203" s="25"/>
      <c r="X203" s="25"/>
      <c r="Y203" s="25"/>
      <c r="Z203" s="2255" t="s">
        <v>2637</v>
      </c>
      <c r="AA203" s="2255"/>
      <c r="AB203" s="2255"/>
      <c r="AC203" s="2255"/>
      <c r="AD203" s="2255"/>
      <c r="AE203" s="2255"/>
      <c r="AF203" s="2255"/>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745</v>
      </c>
      <c r="BO203" s="51"/>
      <c r="BP203" s="54"/>
      <c r="BQ203" s="54"/>
      <c r="BR203" s="54"/>
      <c r="BS203" s="55"/>
      <c r="BT203" s="55" t="s">
        <v>202</v>
      </c>
    </row>
    <row r="204" spans="1:96" ht="12.75" customHeight="1">
      <c r="A204" s="25"/>
      <c r="C204" s="45"/>
      <c r="D204" s="2240" t="s">
        <v>1486</v>
      </c>
      <c r="E204" s="2173"/>
      <c r="F204" s="2173"/>
      <c r="G204" s="2173"/>
      <c r="H204" s="2173"/>
      <c r="I204" s="2173"/>
      <c r="J204" s="2173"/>
      <c r="K204" s="2173"/>
      <c r="L204" s="2173"/>
      <c r="M204" s="2173"/>
      <c r="P204" s="2258">
        <f>M27</f>
        <v>2464125</v>
      </c>
      <c r="Q204" s="2258"/>
      <c r="R204" s="2258"/>
      <c r="S204" s="2258"/>
      <c r="T204" s="2258"/>
      <c r="U204" s="2258"/>
      <c r="V204" s="47"/>
      <c r="W204" s="58" t="s">
        <v>2234</v>
      </c>
      <c r="Z204" s="2255"/>
      <c r="AA204" s="2255"/>
      <c r="AB204" s="2255"/>
      <c r="AC204" s="2255"/>
      <c r="AD204" s="2255"/>
      <c r="AE204" s="2255"/>
      <c r="AF204" s="2255"/>
      <c r="AG204" s="25" t="s">
        <v>1487</v>
      </c>
      <c r="AH204" s="25"/>
      <c r="AI204" s="25"/>
      <c r="AJ204" s="25"/>
      <c r="AK204" s="25"/>
      <c r="AL204" s="25"/>
      <c r="AM204" s="25"/>
      <c r="AN204" s="25"/>
      <c r="AO204" s="25"/>
      <c r="AP204" s="2069" t="s">
        <v>708</v>
      </c>
      <c r="AQ204" s="2069"/>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56"/>
      <c r="AA205" s="2256"/>
      <c r="AB205" s="2256"/>
      <c r="AC205" s="2256"/>
      <c r="AD205" s="2256"/>
      <c r="AE205" s="2256"/>
      <c r="AF205" s="2256"/>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179</v>
      </c>
      <c r="BU205" s="51"/>
    </row>
    <row r="206" spans="1:96" ht="13">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204</v>
      </c>
      <c r="BU206" s="56"/>
    </row>
    <row r="207" spans="1:96" ht="13">
      <c r="A207" s="25"/>
      <c r="C207" s="45"/>
      <c r="D207" s="2235" t="s">
        <v>2481</v>
      </c>
      <c r="E207" s="2235"/>
      <c r="F207" s="2235"/>
      <c r="G207" s="2235"/>
      <c r="H207" s="2235"/>
      <c r="I207" s="2235"/>
      <c r="J207" s="2235"/>
      <c r="K207" s="2235"/>
      <c r="L207" s="2235"/>
      <c r="M207" s="223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205</v>
      </c>
    </row>
    <row r="208" spans="1:96" ht="13">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206</v>
      </c>
    </row>
    <row r="209" spans="1:96" ht="13">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3">
      <c r="C210" s="45"/>
      <c r="D210" s="2235" t="s">
        <v>1160</v>
      </c>
      <c r="E210" s="2235"/>
      <c r="F210" s="2235"/>
      <c r="G210" s="2235"/>
      <c r="H210" s="2235"/>
      <c r="I210" s="2235"/>
      <c r="J210" s="2235"/>
      <c r="K210" s="2235"/>
      <c r="L210" s="2235"/>
      <c r="M210" s="2235"/>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3">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2069">
        <v>50</v>
      </c>
      <c r="Z211" s="2069"/>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3">
      <c r="D212" s="58" t="s">
        <v>1989</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3">
      <c r="D213" s="2113" t="s">
        <v>1158</v>
      </c>
      <c r="E213" s="2113"/>
      <c r="F213" s="2113"/>
      <c r="G213" s="2113"/>
      <c r="H213" s="2113"/>
      <c r="I213" s="2113"/>
      <c r="J213" s="2113"/>
      <c r="K213" s="2113"/>
      <c r="L213" s="2113"/>
      <c r="M213" s="2113"/>
      <c r="N213" s="2113"/>
      <c r="O213" s="2113"/>
      <c r="P213" s="2113"/>
      <c r="Q213" s="2113"/>
      <c r="R213" s="2113"/>
      <c r="S213" s="2113"/>
      <c r="T213" s="2113"/>
      <c r="U213" s="2113"/>
      <c r="V213" s="2113"/>
      <c r="W213" s="2113"/>
      <c r="X213" s="2113"/>
      <c r="Y213" s="2113"/>
      <c r="Z213" s="2113"/>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3">
      <c r="A214" s="720"/>
      <c r="B214" s="720"/>
      <c r="C214" s="720"/>
      <c r="D214" s="58" t="s">
        <v>2021</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74"/>
      <c r="AC214" s="2074"/>
      <c r="AD214" s="2074"/>
      <c r="AE214" s="2074"/>
      <c r="AF214" s="2074"/>
      <c r="AG214" s="2074"/>
      <c r="AH214" s="2074"/>
      <c r="AI214" s="2074"/>
      <c r="AJ214" s="2074"/>
      <c r="AK214" s="2074"/>
      <c r="AL214" s="2074"/>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2019</v>
      </c>
      <c r="Z215" s="69"/>
      <c r="AB215" s="2074"/>
      <c r="AC215" s="2074"/>
      <c r="AD215" s="2074"/>
      <c r="AE215" s="2074"/>
      <c r="AF215" s="2074"/>
      <c r="AG215" s="2074"/>
      <c r="AH215" s="2074"/>
      <c r="AI215" s="2074"/>
      <c r="AJ215" s="2074"/>
      <c r="AK215" s="2074"/>
      <c r="AL215" s="2074"/>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3">
      <c r="A217" s="505" t="s">
        <v>629</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3">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235" t="s">
        <v>1142</v>
      </c>
      <c r="E219" s="2235"/>
      <c r="F219" s="2235"/>
      <c r="G219" s="2235"/>
      <c r="H219" s="2235"/>
      <c r="I219" s="2235"/>
      <c r="J219" s="2235"/>
      <c r="K219" s="2235"/>
      <c r="L219" s="2235"/>
      <c r="M219" s="2235"/>
      <c r="N219" s="2235"/>
      <c r="O219" s="2235"/>
      <c r="P219" s="2235"/>
      <c r="Q219" s="2235"/>
      <c r="R219" s="2235"/>
      <c r="S219" s="2235"/>
      <c r="T219" s="2235"/>
      <c r="U219" s="2235"/>
      <c r="V219" s="2235"/>
      <c r="W219" s="2235"/>
      <c r="X219" s="2235"/>
      <c r="Y219" s="2235"/>
      <c r="Z219" s="2235"/>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3">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3">
      <c r="A221" s="2202" t="s">
        <v>575</v>
      </c>
      <c r="B221" s="2202"/>
      <c r="C221" s="2202"/>
      <c r="D221" s="2202"/>
      <c r="E221" s="2202"/>
      <c r="F221" s="2202"/>
      <c r="G221" s="2202"/>
      <c r="H221" s="2202"/>
      <c r="I221" s="2202"/>
      <c r="J221" s="2202"/>
      <c r="K221" s="2202"/>
      <c r="L221" s="2202"/>
      <c r="M221" s="2202"/>
      <c r="N221" s="2202"/>
      <c r="O221" s="2202"/>
      <c r="P221" s="2202"/>
      <c r="Q221" s="2202"/>
      <c r="R221" s="2202"/>
      <c r="S221" s="2202"/>
      <c r="T221" s="2202"/>
      <c r="U221" s="2202"/>
      <c r="V221" s="2202"/>
      <c r="W221" s="2202"/>
      <c r="X221" s="2202"/>
      <c r="Y221" s="2202"/>
      <c r="Z221" s="2202"/>
      <c r="AA221" s="2202"/>
      <c r="AB221" s="2202"/>
      <c r="AC221" s="2202"/>
      <c r="AD221" s="2202"/>
      <c r="AE221" s="2202"/>
      <c r="AF221" s="2202"/>
      <c r="AG221" s="2202"/>
      <c r="AH221" s="2202"/>
      <c r="AI221" s="2202"/>
      <c r="AJ221" s="2202"/>
      <c r="AK221" s="2202"/>
      <c r="AL221" s="2202"/>
      <c r="AM221" s="144"/>
      <c r="AN221" s="144"/>
      <c r="AO221" s="144"/>
      <c r="AP221" s="144"/>
      <c r="AQ221" s="144"/>
      <c r="AR221" s="144"/>
      <c r="AS221" s="144"/>
      <c r="AT221" s="144"/>
      <c r="AU221" s="144"/>
      <c r="AV221" s="144"/>
      <c r="AW221" s="144"/>
      <c r="AX221" s="144"/>
      <c r="AY221" s="144"/>
      <c r="BA221" s="58"/>
    </row>
    <row r="222" spans="1:96" ht="13.5" thickBot="1">
      <c r="A222" s="2203"/>
      <c r="B222" s="2203"/>
      <c r="C222" s="2203"/>
      <c r="D222" s="2203"/>
      <c r="E222" s="2203"/>
      <c r="F222" s="2203"/>
      <c r="G222" s="2203"/>
      <c r="H222" s="2203"/>
      <c r="I222" s="2203"/>
      <c r="J222" s="2203"/>
      <c r="K222" s="2203"/>
      <c r="L222" s="2203"/>
      <c r="M222" s="2203"/>
      <c r="N222" s="2203"/>
      <c r="O222" s="2203"/>
      <c r="P222" s="2203"/>
      <c r="Q222" s="2203"/>
      <c r="R222" s="2203"/>
      <c r="S222" s="2203"/>
      <c r="T222" s="2203"/>
      <c r="U222" s="2203"/>
      <c r="V222" s="2203"/>
      <c r="W222" s="2203"/>
      <c r="X222" s="2203"/>
      <c r="Y222" s="2203"/>
      <c r="Z222" s="2203"/>
      <c r="AA222" s="2203"/>
      <c r="AB222" s="2203"/>
      <c r="AC222" s="2203"/>
      <c r="AD222" s="2203"/>
      <c r="AE222" s="2203"/>
      <c r="AF222" s="2203"/>
      <c r="AG222" s="2203"/>
      <c r="AH222" s="2203"/>
      <c r="AI222" s="2203"/>
      <c r="AJ222" s="2203"/>
      <c r="AK222" s="2203"/>
      <c r="AL222" s="2203"/>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69" t="s">
        <v>580</v>
      </c>
      <c r="AJ225" s="2069"/>
      <c r="AL225" s="58"/>
      <c r="AM225" s="239"/>
      <c r="AN225" s="239"/>
      <c r="AO225" s="239"/>
      <c r="AP225" s="239"/>
      <c r="AQ225" s="239"/>
      <c r="AR225" s="239"/>
      <c r="AS225" s="239"/>
      <c r="AT225" s="239"/>
      <c r="AU225" s="239"/>
      <c r="AV225" s="239"/>
      <c r="AW225" s="239"/>
      <c r="AX225" s="239"/>
      <c r="AY225" s="239"/>
      <c r="BO225" s="61"/>
    </row>
    <row r="226" spans="1:69" ht="12.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69" t="s">
        <v>628</v>
      </c>
      <c r="AJ226" s="2069"/>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69" t="s">
        <v>580</v>
      </c>
      <c r="AJ227" s="2069"/>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69" t="s">
        <v>628</v>
      </c>
      <c r="AJ228" s="2069"/>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3">
      <c r="A230" s="50" t="s">
        <v>613</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5">
      <c r="D231" s="57" t="s">
        <v>505</v>
      </c>
      <c r="E231" s="57"/>
      <c r="F231" s="57"/>
      <c r="G231" s="57"/>
      <c r="H231" s="57"/>
      <c r="I231" s="57"/>
      <c r="J231" s="57"/>
      <c r="K231" s="7"/>
      <c r="M231" s="2246" t="str">
        <f>H16</f>
        <v xml:space="preserve"> 21 N 21st Street, LP &amp; First Community Housing</v>
      </c>
      <c r="N231" s="2246"/>
      <c r="O231" s="2246"/>
      <c r="P231" s="2246"/>
      <c r="Q231" s="2246"/>
      <c r="R231" s="2246"/>
      <c r="S231" s="2246"/>
      <c r="T231" s="2246"/>
      <c r="U231" s="2246"/>
      <c r="V231" s="2246"/>
      <c r="W231" s="2246"/>
      <c r="X231" s="2246"/>
      <c r="Y231" s="2246"/>
      <c r="Z231" s="2246"/>
      <c r="AA231" s="2246"/>
      <c r="AB231" s="2246"/>
      <c r="AC231" s="2246"/>
      <c r="AD231" s="2246"/>
      <c r="AE231" s="2246"/>
      <c r="AF231" s="2246"/>
      <c r="AG231" s="2246"/>
      <c r="AH231" s="2246"/>
      <c r="AI231" s="2246"/>
      <c r="AJ231" s="2246"/>
      <c r="AK231" s="2246"/>
      <c r="BA231" s="58"/>
      <c r="BB231" s="385"/>
      <c r="BG231" s="388"/>
      <c r="BQ231" s="61"/>
    </row>
    <row r="232" spans="1:69" ht="13">
      <c r="D232" s="57" t="s">
        <v>90</v>
      </c>
      <c r="E232" s="57"/>
      <c r="F232" s="57"/>
      <c r="G232" s="57"/>
      <c r="H232" s="57"/>
      <c r="I232" s="57"/>
      <c r="J232" s="57"/>
      <c r="K232" s="7"/>
      <c r="M232" s="2062" t="s">
        <v>2478</v>
      </c>
      <c r="N232" s="2235"/>
      <c r="O232" s="2235"/>
      <c r="P232" s="2235"/>
      <c r="Q232" s="2235"/>
      <c r="R232" s="2235"/>
      <c r="S232" s="2235"/>
      <c r="T232" s="2235"/>
      <c r="U232" s="2235"/>
      <c r="V232" s="2235"/>
      <c r="W232" s="2235"/>
      <c r="X232" s="2235"/>
      <c r="Y232" s="2235"/>
      <c r="Z232" s="2235"/>
      <c r="AA232" s="2235"/>
      <c r="AB232" s="2235"/>
      <c r="AC232" s="2235"/>
      <c r="AD232" s="2235"/>
      <c r="AE232" s="2235"/>
      <c r="AZ232" s="7"/>
      <c r="BA232" s="58"/>
      <c r="BB232" s="335" t="s">
        <v>573</v>
      </c>
      <c r="BG232" s="390">
        <f>IF(AND(AND($M$248="nonprofit",$M$256="nonprofit",$M$264="for profit")),2,0)</f>
        <v>0</v>
      </c>
      <c r="BQ232" s="61"/>
    </row>
    <row r="233" spans="1:69" ht="13">
      <c r="D233" s="57" t="s">
        <v>617</v>
      </c>
      <c r="E233" s="57"/>
      <c r="M233" s="2062" t="s">
        <v>2469</v>
      </c>
      <c r="N233" s="2235"/>
      <c r="O233" s="2235"/>
      <c r="P233" s="2235"/>
      <c r="Q233" s="2235"/>
      <c r="R233" s="2235"/>
      <c r="S233" s="2235"/>
      <c r="T233" s="2235"/>
      <c r="V233" s="59" t="s">
        <v>91</v>
      </c>
      <c r="W233" s="2109" t="s">
        <v>2482</v>
      </c>
      <c r="X233" s="2172"/>
      <c r="Y233" s="57" t="s">
        <v>620</v>
      </c>
      <c r="AC233" s="2235">
        <v>95116</v>
      </c>
      <c r="AD233" s="2235"/>
      <c r="AE233" s="2235"/>
      <c r="BB233" s="335" t="s">
        <v>573</v>
      </c>
      <c r="BG233" s="390">
        <f>IF(AND(AND($M$248="nonprofit",$M$256="for profit",$M$264="nonprofit")),2,0)</f>
        <v>0</v>
      </c>
    </row>
    <row r="234" spans="1:69" ht="13">
      <c r="D234" s="60" t="s">
        <v>92</v>
      </c>
      <c r="E234" s="7"/>
      <c r="F234" s="7"/>
      <c r="G234" s="7"/>
      <c r="H234" s="7"/>
      <c r="I234" s="7"/>
      <c r="J234" s="7"/>
      <c r="K234" s="29"/>
      <c r="M234" s="2062" t="s">
        <v>2483</v>
      </c>
      <c r="N234" s="2235"/>
      <c r="O234" s="2235"/>
      <c r="P234" s="2235"/>
      <c r="Q234" s="2235"/>
      <c r="R234" s="2235"/>
      <c r="S234" s="2235"/>
      <c r="T234" s="2235"/>
      <c r="U234" s="2235"/>
      <c r="V234" s="2235"/>
      <c r="W234" s="2235"/>
      <c r="X234" s="2235"/>
      <c r="Y234" s="2235"/>
      <c r="Z234" s="2235"/>
      <c r="AA234" s="2235"/>
      <c r="AB234" s="2235"/>
      <c r="AC234" s="2235"/>
      <c r="AD234" s="2235"/>
      <c r="AE234" s="2235"/>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3">
      <c r="D235" s="60" t="s">
        <v>93</v>
      </c>
      <c r="E235" s="7"/>
      <c r="F235" s="7"/>
      <c r="M235" s="2181" t="s">
        <v>2484</v>
      </c>
      <c r="N235" s="2087"/>
      <c r="O235" s="2087"/>
      <c r="P235" s="2087"/>
      <c r="Q235" s="2087"/>
      <c r="R235" s="2087"/>
      <c r="S235" s="7" t="s">
        <v>212</v>
      </c>
      <c r="T235" s="7"/>
      <c r="U235" s="2172">
        <v>27</v>
      </c>
      <c r="V235" s="2172"/>
      <c r="W235" s="2172"/>
      <c r="X235" s="7" t="s">
        <v>94</v>
      </c>
      <c r="Z235" s="2087"/>
      <c r="AA235" s="2087"/>
      <c r="AB235" s="2087"/>
      <c r="AC235" s="2087"/>
      <c r="AD235" s="2087"/>
      <c r="AE235" s="2087"/>
      <c r="BB235" s="386"/>
      <c r="BG235" s="387"/>
    </row>
    <row r="236" spans="1:69" ht="12.5">
      <c r="D236" s="60" t="s">
        <v>95</v>
      </c>
      <c r="E236" s="7"/>
      <c r="F236" s="7"/>
      <c r="M236" s="2241" t="s">
        <v>2485</v>
      </c>
      <c r="N236" s="2241"/>
      <c r="O236" s="2241"/>
      <c r="P236" s="2241"/>
      <c r="Q236" s="2241"/>
      <c r="R236" s="2241"/>
      <c r="S236" s="2241"/>
      <c r="T236" s="2241"/>
      <c r="U236" s="2241"/>
      <c r="V236" s="2241"/>
      <c r="W236" s="2241"/>
      <c r="X236" s="2241"/>
      <c r="Y236" s="2241"/>
      <c r="Z236" s="2241"/>
      <c r="AA236" s="2241"/>
      <c r="AB236" s="2241"/>
      <c r="AC236" s="2241"/>
      <c r="AD236" s="2241"/>
      <c r="AE236" s="224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3">
      <c r="A237" s="50" t="s">
        <v>623</v>
      </c>
      <c r="C237" s="37" t="s">
        <v>560</v>
      </c>
      <c r="M237" s="2110" t="s">
        <v>563</v>
      </c>
      <c r="N237" s="2110"/>
      <c r="O237" s="2110"/>
      <c r="P237" s="2110"/>
      <c r="Q237" s="2110"/>
      <c r="R237" s="2110"/>
      <c r="S237" s="2110"/>
      <c r="T237" s="2110"/>
      <c r="U237" s="388" t="s">
        <v>979</v>
      </c>
      <c r="V237" s="326"/>
      <c r="W237" s="326"/>
      <c r="X237" s="326"/>
      <c r="Y237" s="326"/>
      <c r="Z237" s="326"/>
      <c r="AA237" s="2247" t="s">
        <v>2486</v>
      </c>
      <c r="AB237" s="2248"/>
      <c r="AC237" s="2248"/>
      <c r="AD237" s="2248"/>
      <c r="AE237" s="2248"/>
      <c r="AF237" s="2248"/>
      <c r="AG237" s="2248"/>
      <c r="AH237" s="2248"/>
      <c r="AI237" s="2248"/>
      <c r="AJ237" s="2248"/>
      <c r="AK237" s="2248"/>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5">
      <c r="D238" s="12" t="s">
        <v>566</v>
      </c>
      <c r="M238" s="2063"/>
      <c r="N238" s="2063"/>
      <c r="O238" s="2063"/>
      <c r="P238" s="2063"/>
      <c r="Q238" s="2063"/>
      <c r="R238" s="2063"/>
      <c r="S238" s="2063"/>
      <c r="T238" s="2063"/>
      <c r="U238" s="2063"/>
      <c r="V238" s="2063"/>
      <c r="W238" s="2063"/>
      <c r="X238" s="2063"/>
      <c r="Y238" s="2063"/>
      <c r="Z238" s="2063"/>
      <c r="AA238" s="2063"/>
      <c r="AB238" s="2063"/>
      <c r="AC238" s="2063"/>
      <c r="AD238" s="2063"/>
      <c r="AE238" s="206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1</v>
      </c>
      <c r="BN238" s="61"/>
    </row>
    <row r="239" spans="1:69" ht="12.5">
      <c r="D239" s="60"/>
      <c r="K239" s="3"/>
      <c r="BB239" s="384" t="s">
        <v>946</v>
      </c>
      <c r="BG239" s="390">
        <f>IF(AND(AND($M$248="for profit",$M$256="for profit",$M$264="(select one)")),3,0)</f>
        <v>0</v>
      </c>
    </row>
    <row r="240" spans="1:69" ht="13">
      <c r="A240" s="50" t="s">
        <v>626</v>
      </c>
      <c r="C240" s="50" t="s">
        <v>1386</v>
      </c>
      <c r="D240" s="60"/>
      <c r="K240" s="3"/>
      <c r="L240" s="14"/>
      <c r="M240" s="14"/>
      <c r="N240" s="14"/>
      <c r="BB240" s="384" t="s">
        <v>946</v>
      </c>
      <c r="BG240" s="390">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3">
      <c r="A242" s="29"/>
      <c r="B242" s="7"/>
      <c r="C242" s="136" t="s">
        <v>508</v>
      </c>
      <c r="D242" s="57" t="s">
        <v>567</v>
      </c>
      <c r="E242" s="57"/>
      <c r="F242" s="57"/>
      <c r="G242" s="57"/>
      <c r="H242" s="57"/>
      <c r="I242" s="57"/>
      <c r="J242" s="57"/>
      <c r="K242" s="57"/>
      <c r="L242" s="7"/>
      <c r="M242" s="2233" t="s">
        <v>2487</v>
      </c>
      <c r="N242" s="2232"/>
      <c r="O242" s="2232"/>
      <c r="P242" s="2232"/>
      <c r="Q242" s="2232"/>
      <c r="R242" s="2232"/>
      <c r="S242" s="2232"/>
      <c r="T242" s="2232"/>
      <c r="U242" s="2232"/>
      <c r="V242" s="2232"/>
      <c r="W242" s="2232"/>
      <c r="X242" s="2232"/>
      <c r="Y242" s="2232"/>
      <c r="Z242" s="2232"/>
      <c r="AA242" s="2232"/>
      <c r="AB242" s="2232"/>
      <c r="AC242" s="2232"/>
      <c r="AD242" s="2232"/>
      <c r="AE242" s="2232"/>
      <c r="AF242" s="2232" t="s">
        <v>2488</v>
      </c>
      <c r="AG242" s="2232"/>
      <c r="AH242" s="2232"/>
      <c r="AI242" s="2232"/>
      <c r="AJ242" s="2232"/>
      <c r="AK242" s="2232"/>
      <c r="BM242" s="25"/>
      <c r="BN242" s="3"/>
      <c r="BO242" s="391"/>
      <c r="BP242" s="381"/>
      <c r="BQ242" s="381"/>
      <c r="BR242" s="381"/>
      <c r="BS242" s="381"/>
      <c r="BT242" s="25"/>
    </row>
    <row r="243" spans="1:72" ht="12.5">
      <c r="A243" s="29"/>
      <c r="B243" s="7"/>
      <c r="C243" s="7"/>
      <c r="D243" s="57" t="s">
        <v>90</v>
      </c>
      <c r="E243" s="57"/>
      <c r="F243" s="57"/>
      <c r="G243" s="57"/>
      <c r="H243" s="57"/>
      <c r="I243" s="57"/>
      <c r="J243" s="57"/>
      <c r="K243" s="57"/>
      <c r="L243" s="7"/>
      <c r="M243" s="2242" t="s">
        <v>2489</v>
      </c>
      <c r="N243" s="2242"/>
      <c r="O243" s="2242"/>
      <c r="P243" s="2242"/>
      <c r="Q243" s="2242"/>
      <c r="R243" s="2242"/>
      <c r="S243" s="2242"/>
      <c r="T243" s="2242"/>
      <c r="U243" s="2242"/>
      <c r="V243" s="2242"/>
      <c r="W243" s="2242"/>
      <c r="X243" s="2242"/>
      <c r="Y243" s="2242"/>
      <c r="Z243" s="2242"/>
      <c r="AA243" s="2242"/>
      <c r="AB243" s="2242"/>
      <c r="AC243" s="2242"/>
      <c r="AD243" s="2242"/>
      <c r="AE243" s="2242"/>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5">
      <c r="A244" s="29"/>
      <c r="B244" s="7"/>
      <c r="C244" s="7"/>
      <c r="D244" s="57" t="s">
        <v>617</v>
      </c>
      <c r="E244" s="57"/>
      <c r="M244" s="2062" t="s">
        <v>2469</v>
      </c>
      <c r="N244" s="2235"/>
      <c r="O244" s="2235"/>
      <c r="P244" s="2235"/>
      <c r="Q244" s="2235"/>
      <c r="R244" s="2235"/>
      <c r="S244" s="2235"/>
      <c r="T244" s="2235"/>
      <c r="V244" s="59" t="s">
        <v>91</v>
      </c>
      <c r="W244" s="2109" t="s">
        <v>2482</v>
      </c>
      <c r="X244" s="2172"/>
      <c r="Y244" s="57" t="s">
        <v>620</v>
      </c>
      <c r="AC244" s="2235">
        <v>95113</v>
      </c>
      <c r="AD244" s="2235"/>
      <c r="AE244" s="2235"/>
      <c r="AF244" s="58" t="s">
        <v>1383</v>
      </c>
      <c r="AG244" s="720"/>
      <c r="AH244" s="720"/>
      <c r="AI244" s="720"/>
      <c r="AJ244" s="720"/>
      <c r="AK244" s="720"/>
      <c r="BB244" s="12" t="s">
        <v>318</v>
      </c>
      <c r="BG244" s="12">
        <v>1</v>
      </c>
      <c r="BH244" s="12" t="s">
        <v>569</v>
      </c>
      <c r="BM244" s="25"/>
      <c r="BN244" s="3"/>
      <c r="BO244" s="3"/>
    </row>
    <row r="245" spans="1:72" ht="12.5">
      <c r="A245" s="29"/>
      <c r="B245" s="7"/>
      <c r="C245" s="7"/>
      <c r="D245" s="60" t="s">
        <v>92</v>
      </c>
      <c r="E245" s="7"/>
      <c r="F245" s="7"/>
      <c r="G245" s="7"/>
      <c r="H245" s="7"/>
      <c r="I245" s="7"/>
      <c r="J245" s="7"/>
      <c r="K245" s="7"/>
      <c r="L245" s="29"/>
      <c r="M245" s="2062" t="s">
        <v>2483</v>
      </c>
      <c r="N245" s="2235"/>
      <c r="O245" s="2235"/>
      <c r="P245" s="2235"/>
      <c r="Q245" s="2235"/>
      <c r="R245" s="2235"/>
      <c r="S245" s="2235"/>
      <c r="T245" s="2235"/>
      <c r="U245" s="2235"/>
      <c r="V245" s="2235"/>
      <c r="W245" s="2235"/>
      <c r="X245" s="2235"/>
      <c r="Y245" s="2235"/>
      <c r="Z245" s="2235"/>
      <c r="AA245" s="2235"/>
      <c r="AB245" s="2235"/>
      <c r="AC245" s="2235"/>
      <c r="AD245" s="2235"/>
      <c r="AE245" s="2235"/>
      <c r="AH245" s="2124">
        <v>1E-4</v>
      </c>
      <c r="AI245" s="2125"/>
      <c r="AJ245" s="2125"/>
      <c r="AK245" s="2125"/>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Nonprofit</v>
      </c>
    </row>
    <row r="246" spans="1:72" ht="12.5">
      <c r="A246" s="29"/>
      <c r="B246" s="7"/>
      <c r="C246" s="7"/>
      <c r="D246" s="60" t="s">
        <v>93</v>
      </c>
      <c r="E246" s="7"/>
      <c r="F246" s="7"/>
      <c r="M246" s="2181" t="s">
        <v>2484</v>
      </c>
      <c r="N246" s="2087"/>
      <c r="O246" s="2087"/>
      <c r="P246" s="2087"/>
      <c r="Q246" s="2087"/>
      <c r="R246" s="2087"/>
      <c r="S246" s="7" t="s">
        <v>212</v>
      </c>
      <c r="T246" s="7"/>
      <c r="U246" s="2172">
        <v>27</v>
      </c>
      <c r="V246" s="2172"/>
      <c r="W246" s="2172"/>
      <c r="X246" s="7" t="s">
        <v>94</v>
      </c>
      <c r="Z246" s="2087"/>
      <c r="AA246" s="2087"/>
      <c r="AB246" s="2087"/>
      <c r="AC246" s="2087"/>
      <c r="AD246" s="2087"/>
      <c r="AE246" s="2087"/>
      <c r="BB246" s="7" t="s">
        <v>178</v>
      </c>
      <c r="BG246" s="12">
        <v>3</v>
      </c>
      <c r="BH246" s="12" t="s">
        <v>571</v>
      </c>
      <c r="BN246" s="391"/>
      <c r="BO246" s="39"/>
    </row>
    <row r="247" spans="1:72" ht="12.5">
      <c r="A247" s="29"/>
      <c r="B247" s="7"/>
      <c r="C247" s="7"/>
      <c r="D247" s="60" t="s">
        <v>95</v>
      </c>
      <c r="E247" s="7"/>
      <c r="F247" s="7"/>
      <c r="M247" s="2230" t="s">
        <v>2485</v>
      </c>
      <c r="N247" s="2230"/>
      <c r="O247" s="2230"/>
      <c r="P247" s="2230"/>
      <c r="Q247" s="2230"/>
      <c r="R247" s="2230"/>
      <c r="S247" s="2230"/>
      <c r="T247" s="2230"/>
      <c r="U247" s="2230"/>
      <c r="V247" s="2230"/>
      <c r="W247" s="2230"/>
      <c r="X247" s="2230"/>
      <c r="Y247" s="2230"/>
      <c r="Z247" s="2230"/>
      <c r="AA247" s="2230"/>
      <c r="AB247" s="2230"/>
      <c r="AC247" s="2230"/>
      <c r="AD247" s="2230"/>
      <c r="AE247" s="223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570</v>
      </c>
      <c r="E248" s="7"/>
      <c r="F248" s="7"/>
      <c r="G248" s="7"/>
      <c r="H248" s="7"/>
      <c r="I248" s="7"/>
      <c r="J248" s="7"/>
      <c r="K248" s="7"/>
      <c r="L248" s="7"/>
      <c r="M248" s="2110" t="s">
        <v>569</v>
      </c>
      <c r="N248" s="2110"/>
      <c r="O248" s="2110"/>
      <c r="P248" s="2110"/>
      <c r="Q248" s="2110"/>
      <c r="R248" s="2110"/>
      <c r="S248" s="2110"/>
      <c r="T248" s="2110"/>
      <c r="U248" s="388" t="s">
        <v>979</v>
      </c>
      <c r="V248" s="326"/>
      <c r="W248" s="326"/>
      <c r="X248" s="326"/>
      <c r="Y248" s="326"/>
      <c r="Z248" s="326"/>
      <c r="AA248" s="2247" t="s">
        <v>2486</v>
      </c>
      <c r="AB248" s="2248"/>
      <c r="AC248" s="2248"/>
      <c r="AD248" s="2248"/>
      <c r="AE248" s="2248"/>
      <c r="AF248" s="2248"/>
      <c r="AG248" s="2248"/>
      <c r="AH248" s="2248"/>
      <c r="AI248" s="2248"/>
      <c r="AJ248" s="2248"/>
      <c r="AK248" s="2248"/>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1038</v>
      </c>
      <c r="E250" s="57"/>
      <c r="F250" s="57"/>
      <c r="G250" s="57"/>
      <c r="H250" s="57"/>
      <c r="I250" s="57"/>
      <c r="J250" s="57"/>
      <c r="K250" s="57"/>
      <c r="L250" s="7"/>
      <c r="M250" s="2232"/>
      <c r="N250" s="2232"/>
      <c r="O250" s="2232"/>
      <c r="P250" s="2232"/>
      <c r="Q250" s="2232"/>
      <c r="R250" s="2232"/>
      <c r="S250" s="2232"/>
      <c r="T250" s="2232"/>
      <c r="U250" s="2232"/>
      <c r="V250" s="2232"/>
      <c r="W250" s="2232"/>
      <c r="X250" s="2232"/>
      <c r="Y250" s="2232"/>
      <c r="Z250" s="2232"/>
      <c r="AA250" s="2232"/>
      <c r="AB250" s="2232"/>
      <c r="AC250" s="2232"/>
      <c r="AD250" s="2232"/>
      <c r="AE250" s="2232"/>
      <c r="AF250" s="2232" t="s">
        <v>318</v>
      </c>
      <c r="AG250" s="2232"/>
      <c r="AH250" s="2232"/>
      <c r="AI250" s="2232"/>
      <c r="AJ250" s="2232"/>
      <c r="AK250" s="2232"/>
      <c r="BN250" s="61"/>
    </row>
    <row r="251" spans="1:72" ht="12.5">
      <c r="A251" s="29"/>
      <c r="B251" s="7"/>
      <c r="C251" s="7"/>
      <c r="D251" s="57" t="s">
        <v>90</v>
      </c>
      <c r="E251" s="57"/>
      <c r="F251" s="57"/>
      <c r="G251" s="57"/>
      <c r="H251" s="57"/>
      <c r="I251" s="57"/>
      <c r="J251" s="57"/>
      <c r="K251" s="57"/>
      <c r="L251" s="7"/>
      <c r="M251" s="2235"/>
      <c r="N251" s="2235"/>
      <c r="O251" s="2235"/>
      <c r="P251" s="2235"/>
      <c r="Q251" s="2235"/>
      <c r="R251" s="2235"/>
      <c r="S251" s="2235"/>
      <c r="T251" s="2235"/>
      <c r="U251" s="2235"/>
      <c r="V251" s="2235"/>
      <c r="W251" s="2235"/>
      <c r="X251" s="2235"/>
      <c r="Y251" s="2235"/>
      <c r="Z251" s="2235"/>
      <c r="AA251" s="2235"/>
      <c r="AB251" s="2235"/>
      <c r="AC251" s="2235"/>
      <c r="AD251" s="2235"/>
      <c r="AE251" s="2235"/>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617</v>
      </c>
      <c r="E252" s="57"/>
      <c r="M252" s="2235"/>
      <c r="N252" s="2235"/>
      <c r="O252" s="2235"/>
      <c r="P252" s="2235"/>
      <c r="Q252" s="2235"/>
      <c r="R252" s="2235"/>
      <c r="S252" s="2235"/>
      <c r="T252" s="2235"/>
      <c r="V252" s="59" t="s">
        <v>91</v>
      </c>
      <c r="W252" s="2172"/>
      <c r="X252" s="2172"/>
      <c r="Y252" s="57" t="s">
        <v>620</v>
      </c>
      <c r="AC252" s="2235"/>
      <c r="AD252" s="2235"/>
      <c r="AE252" s="2235"/>
      <c r="AF252" s="58" t="s">
        <v>1383</v>
      </c>
      <c r="AG252" s="720"/>
      <c r="AH252" s="720"/>
      <c r="AI252" s="720"/>
      <c r="AJ252" s="720"/>
      <c r="AK252" s="720"/>
      <c r="BN252" s="61"/>
    </row>
    <row r="253" spans="1:72" ht="12.5">
      <c r="A253" s="29"/>
      <c r="B253" s="7"/>
      <c r="C253" s="7"/>
      <c r="D253" s="60" t="s">
        <v>92</v>
      </c>
      <c r="E253" s="7"/>
      <c r="F253" s="7"/>
      <c r="G253" s="7"/>
      <c r="H253" s="7"/>
      <c r="I253" s="7"/>
      <c r="J253" s="7"/>
      <c r="K253" s="7"/>
      <c r="L253" s="29"/>
      <c r="M253" s="2235"/>
      <c r="N253" s="2235"/>
      <c r="O253" s="2235"/>
      <c r="P253" s="2235"/>
      <c r="Q253" s="2235"/>
      <c r="R253" s="2235"/>
      <c r="S253" s="2235"/>
      <c r="T253" s="2235"/>
      <c r="U253" s="2235"/>
      <c r="V253" s="2235"/>
      <c r="W253" s="2235"/>
      <c r="X253" s="2235"/>
      <c r="Y253" s="2235"/>
      <c r="Z253" s="2235"/>
      <c r="AA253" s="2235"/>
      <c r="AB253" s="2235"/>
      <c r="AC253" s="2235"/>
      <c r="AD253" s="2235"/>
      <c r="AE253" s="2235"/>
      <c r="AF253" s="720"/>
      <c r="AG253" s="720"/>
      <c r="AH253" s="2125"/>
      <c r="AI253" s="2125"/>
      <c r="AJ253" s="2125"/>
      <c r="AK253" s="2125"/>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087"/>
      <c r="N254" s="2087"/>
      <c r="O254" s="2087"/>
      <c r="P254" s="2087"/>
      <c r="Q254" s="2087"/>
      <c r="R254" s="2087"/>
      <c r="S254" s="7" t="s">
        <v>212</v>
      </c>
      <c r="T254" s="7"/>
      <c r="U254" s="2172"/>
      <c r="V254" s="2172"/>
      <c r="W254" s="2172"/>
      <c r="X254" s="7" t="s">
        <v>94</v>
      </c>
      <c r="Z254" s="2087"/>
      <c r="AA254" s="2087"/>
      <c r="AB254" s="2087"/>
      <c r="AC254" s="2087"/>
      <c r="AD254" s="2087"/>
      <c r="AE254" s="2087"/>
    </row>
    <row r="255" spans="1:72" ht="12.5">
      <c r="A255" s="29"/>
      <c r="B255" s="7"/>
      <c r="C255" s="7"/>
      <c r="D255" s="60" t="s">
        <v>95</v>
      </c>
      <c r="E255" s="7"/>
      <c r="F255" s="7"/>
      <c r="M255" s="2230"/>
      <c r="N255" s="2230"/>
      <c r="O255" s="2230"/>
      <c r="P255" s="2230"/>
      <c r="Q255" s="2230"/>
      <c r="R255" s="2230"/>
      <c r="S255" s="2230"/>
      <c r="T255" s="2230"/>
      <c r="U255" s="2230"/>
      <c r="V255" s="2230"/>
      <c r="W255" s="2230"/>
      <c r="X255" s="2230"/>
      <c r="Y255" s="2230"/>
      <c r="Z255" s="2230"/>
      <c r="AA255" s="2230"/>
      <c r="AB255" s="2230"/>
      <c r="AC255" s="2230"/>
      <c r="AD255" s="2230"/>
      <c r="AE255" s="223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570</v>
      </c>
      <c r="E256" s="7"/>
      <c r="F256" s="7"/>
      <c r="G256" s="7"/>
      <c r="H256" s="7"/>
      <c r="I256" s="7"/>
      <c r="J256" s="7"/>
      <c r="K256" s="7"/>
      <c r="L256" s="7"/>
      <c r="M256" s="2110" t="s">
        <v>318</v>
      </c>
      <c r="N256" s="2110"/>
      <c r="O256" s="2110"/>
      <c r="P256" s="2110"/>
      <c r="Q256" s="2110"/>
      <c r="R256" s="2110"/>
      <c r="S256" s="2110"/>
      <c r="T256" s="2110"/>
      <c r="U256" s="388" t="s">
        <v>979</v>
      </c>
      <c r="V256" s="326"/>
      <c r="W256" s="326"/>
      <c r="X256" s="326"/>
      <c r="Y256" s="326"/>
      <c r="Z256" s="326"/>
      <c r="AA256" s="2248"/>
      <c r="AB256" s="2248"/>
      <c r="AC256" s="2248"/>
      <c r="AD256" s="2248"/>
      <c r="AE256" s="2248"/>
      <c r="AF256" s="2248"/>
      <c r="AG256" s="2248"/>
      <c r="AH256" s="2248"/>
      <c r="AI256" s="2248"/>
      <c r="AJ256" s="2248"/>
      <c r="AK256" s="224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232"/>
      <c r="N258" s="2232"/>
      <c r="O258" s="2232"/>
      <c r="P258" s="2232"/>
      <c r="Q258" s="2232"/>
      <c r="R258" s="2232"/>
      <c r="S258" s="2232"/>
      <c r="T258" s="2232"/>
      <c r="U258" s="2232"/>
      <c r="V258" s="2232"/>
      <c r="W258" s="2232"/>
      <c r="X258" s="2232"/>
      <c r="Y258" s="2232"/>
      <c r="Z258" s="2232"/>
      <c r="AA258" s="2232"/>
      <c r="AB258" s="2232"/>
      <c r="AC258" s="2232"/>
      <c r="AD258" s="2232"/>
      <c r="AE258" s="2232"/>
      <c r="AF258" s="2232" t="s">
        <v>318</v>
      </c>
      <c r="AG258" s="2232"/>
      <c r="AH258" s="2232"/>
      <c r="AI258" s="2232"/>
      <c r="AJ258" s="2232"/>
      <c r="AK258" s="223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35"/>
      <c r="N259" s="2235"/>
      <c r="O259" s="2235"/>
      <c r="P259" s="2235"/>
      <c r="Q259" s="2235"/>
      <c r="R259" s="2235"/>
      <c r="S259" s="2235"/>
      <c r="T259" s="2235"/>
      <c r="U259" s="2235"/>
      <c r="V259" s="2235"/>
      <c r="W259" s="2235"/>
      <c r="X259" s="2235"/>
      <c r="Y259" s="2235"/>
      <c r="Z259" s="2235"/>
      <c r="AA259" s="2235"/>
      <c r="AB259" s="2235"/>
      <c r="AC259" s="2235"/>
      <c r="AD259" s="2235"/>
      <c r="AE259" s="2235"/>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235"/>
      <c r="N260" s="2235"/>
      <c r="O260" s="2235"/>
      <c r="P260" s="2235"/>
      <c r="Q260" s="2235"/>
      <c r="R260" s="2235"/>
      <c r="S260" s="2235"/>
      <c r="T260" s="2235"/>
      <c r="V260" s="59" t="s">
        <v>91</v>
      </c>
      <c r="W260" s="2172"/>
      <c r="X260" s="2172"/>
      <c r="Y260" s="57" t="s">
        <v>620</v>
      </c>
      <c r="AC260" s="2235"/>
      <c r="AD260" s="2235"/>
      <c r="AE260" s="2235"/>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35"/>
      <c r="N261" s="2235"/>
      <c r="O261" s="2235"/>
      <c r="P261" s="2235"/>
      <c r="Q261" s="2235"/>
      <c r="R261" s="2235"/>
      <c r="S261" s="2235"/>
      <c r="T261" s="2235"/>
      <c r="U261" s="2235"/>
      <c r="V261" s="2235"/>
      <c r="W261" s="2235"/>
      <c r="X261" s="2235"/>
      <c r="Y261" s="2235"/>
      <c r="Z261" s="2235"/>
      <c r="AA261" s="2235"/>
      <c r="AB261" s="2235"/>
      <c r="AC261" s="2235"/>
      <c r="AD261" s="2235"/>
      <c r="AE261" s="2235"/>
      <c r="AF261" s="720"/>
      <c r="AG261" s="720"/>
      <c r="AH261" s="2125"/>
      <c r="AI261" s="2125"/>
      <c r="AJ261" s="2125"/>
      <c r="AK261" s="2125"/>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87"/>
      <c r="N262" s="2087"/>
      <c r="O262" s="2087"/>
      <c r="P262" s="2087"/>
      <c r="Q262" s="2087"/>
      <c r="R262" s="2087"/>
      <c r="S262" s="7" t="s">
        <v>212</v>
      </c>
      <c r="T262" s="7"/>
      <c r="U262" s="2172"/>
      <c r="V262" s="2172"/>
      <c r="W262" s="2172"/>
      <c r="X262" s="7" t="s">
        <v>94</v>
      </c>
      <c r="Z262" s="2087"/>
      <c r="AA262" s="2087"/>
      <c r="AB262" s="2087"/>
      <c r="AC262" s="2087"/>
      <c r="AD262" s="2087"/>
      <c r="AE262" s="2087"/>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30"/>
      <c r="N263" s="2230"/>
      <c r="O263" s="2230"/>
      <c r="P263" s="2230"/>
      <c r="Q263" s="2230"/>
      <c r="R263" s="2230"/>
      <c r="S263" s="2230"/>
      <c r="T263" s="2230"/>
      <c r="U263" s="2230"/>
      <c r="V263" s="2230"/>
      <c r="W263" s="2230"/>
      <c r="X263" s="2230"/>
      <c r="Y263" s="2230"/>
      <c r="Z263" s="2230"/>
      <c r="AA263" s="2244"/>
      <c r="AB263" s="2244"/>
      <c r="AC263" s="2244"/>
      <c r="AD263" s="2244"/>
      <c r="AE263" s="224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570</v>
      </c>
      <c r="E264" s="7"/>
      <c r="F264" s="7"/>
      <c r="G264" s="7"/>
      <c r="H264" s="7"/>
      <c r="I264" s="7"/>
      <c r="J264" s="7"/>
      <c r="K264" s="7"/>
      <c r="L264" s="7"/>
      <c r="M264" s="2110" t="s">
        <v>318</v>
      </c>
      <c r="N264" s="2110"/>
      <c r="O264" s="2110"/>
      <c r="P264" s="2110"/>
      <c r="Q264" s="2110"/>
      <c r="R264" s="2110"/>
      <c r="S264" s="2110"/>
      <c r="T264" s="2110"/>
      <c r="U264" s="388" t="s">
        <v>979</v>
      </c>
      <c r="V264" s="326"/>
      <c r="W264" s="326"/>
      <c r="X264" s="326"/>
      <c r="Y264" s="326"/>
      <c r="Z264" s="326"/>
      <c r="AA264" s="2245"/>
      <c r="AB264" s="2245"/>
      <c r="AC264" s="2245"/>
      <c r="AD264" s="2245"/>
      <c r="AE264" s="2245"/>
      <c r="AF264" s="2245"/>
      <c r="AG264" s="2245"/>
      <c r="AH264" s="2245"/>
      <c r="AI264" s="2245"/>
      <c r="AJ264" s="2245"/>
      <c r="AK264" s="2245"/>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627</v>
      </c>
      <c r="B266" s="7"/>
      <c r="C266" s="50" t="s">
        <v>305</v>
      </c>
      <c r="D266" s="7"/>
      <c r="E266" s="7"/>
      <c r="F266" s="7"/>
      <c r="G266" s="7"/>
      <c r="H266" s="7"/>
      <c r="I266" s="7"/>
      <c r="J266" s="7"/>
      <c r="K266" s="7"/>
      <c r="L266" s="7"/>
      <c r="M266" s="147"/>
      <c r="N266" s="147"/>
      <c r="O266" s="147"/>
      <c r="P266" s="147"/>
      <c r="Q266" s="147"/>
      <c r="T266" s="2250" t="str">
        <f>BO245</f>
        <v>Nonprofit</v>
      </c>
      <c r="U266" s="2250"/>
      <c r="V266" s="2250"/>
      <c r="W266" s="2250"/>
      <c r="X266" s="2250"/>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3">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3">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5">
      <c r="A269" s="57"/>
      <c r="B269" s="63">
        <v>0</v>
      </c>
      <c r="D269" s="2235" t="s">
        <v>288</v>
      </c>
      <c r="E269" s="2235"/>
      <c r="F269" s="2235"/>
      <c r="G269" s="2235"/>
      <c r="H269" s="2235"/>
      <c r="J269" s="12" t="s">
        <v>287</v>
      </c>
      <c r="X269" s="2257"/>
      <c r="Y269" s="2257"/>
      <c r="Z269" s="2257"/>
      <c r="AA269" s="2257"/>
      <c r="AB269" s="2257"/>
      <c r="AC269" s="2257"/>
      <c r="BN269" s="61"/>
    </row>
    <row r="270" spans="1:66" ht="12.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5">
      <c r="D273" s="57" t="s">
        <v>306</v>
      </c>
      <c r="E273" s="57"/>
      <c r="F273" s="57"/>
      <c r="G273" s="57"/>
      <c r="H273" s="57"/>
      <c r="I273" s="57"/>
      <c r="J273" s="57"/>
      <c r="K273" s="7"/>
      <c r="L273" s="2253" t="s">
        <v>2486</v>
      </c>
      <c r="M273" s="2253"/>
      <c r="N273" s="2253"/>
      <c r="O273" s="2253"/>
      <c r="P273" s="2253"/>
      <c r="Q273" s="2253"/>
      <c r="R273" s="2253"/>
      <c r="S273" s="2253"/>
      <c r="T273" s="2253"/>
      <c r="U273" s="2253"/>
      <c r="V273" s="2253"/>
      <c r="W273" s="2253"/>
      <c r="X273" s="2253"/>
      <c r="Y273" s="2253"/>
      <c r="Z273" s="2253"/>
      <c r="AA273" s="2253"/>
      <c r="AB273" s="2253"/>
      <c r="AC273" s="2253"/>
      <c r="AD273" s="2253"/>
      <c r="AE273" s="2253"/>
      <c r="AF273" s="2253"/>
      <c r="AG273" s="2253"/>
      <c r="AH273" s="2253"/>
      <c r="AI273" s="2253"/>
      <c r="AJ273" s="2253"/>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242" t="s">
        <v>2489</v>
      </c>
      <c r="M274" s="2242"/>
      <c r="N274" s="2242"/>
      <c r="O274" s="2242"/>
      <c r="P274" s="2242"/>
      <c r="Q274" s="2242"/>
      <c r="R274" s="2242"/>
      <c r="S274" s="2242"/>
      <c r="T274" s="2242"/>
      <c r="U274" s="2242"/>
      <c r="V274" s="2242"/>
      <c r="W274" s="2242"/>
      <c r="X274" s="2242"/>
      <c r="Y274" s="2242"/>
      <c r="Z274" s="2242"/>
      <c r="AA274" s="2242"/>
      <c r="AB274" s="2242"/>
      <c r="AC274" s="2242"/>
      <c r="AD274" s="2242"/>
      <c r="AK274" s="58"/>
      <c r="AL274" s="58"/>
      <c r="AM274" s="239"/>
      <c r="AN274" s="239"/>
      <c r="AO274" s="239"/>
      <c r="AP274" s="239"/>
      <c r="AQ274" s="239"/>
      <c r="AR274" s="239"/>
      <c r="AS274" s="239"/>
      <c r="AT274" s="239"/>
      <c r="AU274" s="239"/>
      <c r="AV274" s="239"/>
      <c r="AW274" s="239"/>
      <c r="AX274" s="239"/>
      <c r="AY274" s="239"/>
      <c r="BN274" s="61"/>
    </row>
    <row r="275" spans="1:66" ht="12.5">
      <c r="D275" s="57" t="s">
        <v>617</v>
      </c>
      <c r="E275" s="57"/>
      <c r="L275" s="2062" t="s">
        <v>2469</v>
      </c>
      <c r="M275" s="2235"/>
      <c r="N275" s="2235"/>
      <c r="O275" s="2235"/>
      <c r="P275" s="2235"/>
      <c r="Q275" s="2235"/>
      <c r="R275" s="2235"/>
      <c r="S275" s="2235"/>
      <c r="U275" s="59" t="s">
        <v>91</v>
      </c>
      <c r="V275" s="2109" t="s">
        <v>2482</v>
      </c>
      <c r="W275" s="2172"/>
      <c r="X275" s="57" t="s">
        <v>620</v>
      </c>
      <c r="AB275" s="2235">
        <v>95113</v>
      </c>
      <c r="AC275" s="2235"/>
      <c r="AD275" s="223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62" t="s">
        <v>2483</v>
      </c>
      <c r="M276" s="2235"/>
      <c r="N276" s="2235"/>
      <c r="O276" s="2235"/>
      <c r="P276" s="2235"/>
      <c r="Q276" s="2235"/>
      <c r="R276" s="2235"/>
      <c r="S276" s="2235"/>
      <c r="T276" s="2235"/>
      <c r="U276" s="2235"/>
      <c r="V276" s="2235"/>
      <c r="W276" s="2235"/>
      <c r="X276" s="2235"/>
      <c r="Y276" s="2235"/>
      <c r="Z276" s="2235"/>
      <c r="AA276" s="2235"/>
      <c r="AB276" s="2235"/>
      <c r="AC276" s="2235"/>
      <c r="AD276" s="2235"/>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181" t="s">
        <v>2484</v>
      </c>
      <c r="M277" s="2087"/>
      <c r="N277" s="2087"/>
      <c r="O277" s="2087"/>
      <c r="P277" s="2087"/>
      <c r="Q277" s="2087"/>
      <c r="R277" s="7" t="s">
        <v>212</v>
      </c>
      <c r="S277" s="7"/>
      <c r="T277" s="2172">
        <v>27</v>
      </c>
      <c r="U277" s="2172"/>
      <c r="V277" s="2172"/>
      <c r="W277" s="7" t="s">
        <v>94</v>
      </c>
      <c r="Y277" s="2087"/>
      <c r="Z277" s="2087"/>
      <c r="AA277" s="2087"/>
      <c r="AB277" s="2087"/>
      <c r="AC277" s="2087"/>
      <c r="AD277" s="2087"/>
      <c r="BN277" s="61"/>
    </row>
    <row r="278" spans="1:66" ht="12.5">
      <c r="D278" s="60" t="s">
        <v>95</v>
      </c>
      <c r="E278" s="7"/>
      <c r="F278" s="7"/>
      <c r="L278" s="2241" t="s">
        <v>2485</v>
      </c>
      <c r="M278" s="2241"/>
      <c r="N278" s="2241"/>
      <c r="O278" s="2241"/>
      <c r="P278" s="2241"/>
      <c r="Q278" s="2241"/>
      <c r="R278" s="2241"/>
      <c r="S278" s="2241"/>
      <c r="T278" s="2241"/>
      <c r="U278" s="2241"/>
      <c r="V278" s="2241"/>
      <c r="W278" s="2241"/>
      <c r="X278" s="2241"/>
      <c r="Y278" s="2241"/>
      <c r="Z278" s="2241"/>
      <c r="AA278" s="2241"/>
      <c r="AB278" s="2241"/>
      <c r="AC278" s="2241"/>
      <c r="AD278" s="2241"/>
      <c r="AF278" s="7"/>
      <c r="AG278" s="7"/>
      <c r="AH278" s="7"/>
      <c r="AI278" s="7"/>
      <c r="AJ278" s="7"/>
      <c r="BN278" s="61"/>
    </row>
    <row r="279" spans="1:66" ht="12.5">
      <c r="D279" s="58" t="s">
        <v>660</v>
      </c>
      <c r="E279" s="58"/>
      <c r="F279" s="58"/>
      <c r="G279" s="58"/>
      <c r="H279" s="58"/>
      <c r="I279" s="58"/>
      <c r="L279" s="2109" t="s">
        <v>2490</v>
      </c>
      <c r="M279" s="2109"/>
      <c r="N279" s="2109"/>
      <c r="O279" s="2109"/>
      <c r="P279" s="2109"/>
      <c r="Q279" s="2109"/>
      <c r="R279" s="2109"/>
      <c r="S279" s="2109"/>
      <c r="T279" s="2109"/>
      <c r="U279" s="2109"/>
      <c r="V279" s="2109"/>
      <c r="W279" s="2109"/>
      <c r="X279" s="2109"/>
      <c r="Y279" s="2109"/>
      <c r="Z279" s="2109"/>
      <c r="AA279" s="2109"/>
      <c r="AB279" s="2109"/>
      <c r="AC279" s="2109"/>
      <c r="AD279" s="2109"/>
      <c r="AK279" s="58"/>
      <c r="AL279" s="58"/>
      <c r="AM279" s="239"/>
      <c r="AN279" s="239"/>
      <c r="AO279" s="239"/>
      <c r="AP279" s="239"/>
      <c r="AQ279" s="239"/>
      <c r="AR279" s="239"/>
      <c r="AS279" s="239"/>
      <c r="AT279" s="239"/>
      <c r="AU279" s="239"/>
      <c r="AV279" s="239"/>
      <c r="AW279" s="239"/>
      <c r="AX279" s="239"/>
      <c r="AY279" s="239"/>
      <c r="BN279" s="61"/>
    </row>
    <row r="280" spans="1:66" ht="12.5">
      <c r="L280" s="35" t="s">
        <v>661</v>
      </c>
      <c r="BN280" s="61"/>
    </row>
    <row r="281" spans="1:66" ht="13">
      <c r="A281" s="2202" t="s">
        <v>576</v>
      </c>
      <c r="B281" s="2202"/>
      <c r="C281" s="2202"/>
      <c r="D281" s="2202"/>
      <c r="E281" s="2202"/>
      <c r="F281" s="2202"/>
      <c r="G281" s="2202"/>
      <c r="H281" s="2202"/>
      <c r="I281" s="2202"/>
      <c r="J281" s="2202"/>
      <c r="K281" s="2202"/>
      <c r="L281" s="2202"/>
      <c r="M281" s="2202"/>
      <c r="N281" s="2202"/>
      <c r="O281" s="2202"/>
      <c r="P281" s="2202"/>
      <c r="Q281" s="2202"/>
      <c r="R281" s="2202"/>
      <c r="S281" s="2202"/>
      <c r="T281" s="2202"/>
      <c r="U281" s="2202"/>
      <c r="V281" s="2202"/>
      <c r="W281" s="2202"/>
      <c r="X281" s="2202"/>
      <c r="Y281" s="2202"/>
      <c r="Z281" s="2202"/>
      <c r="AA281" s="2202"/>
      <c r="AB281" s="2202"/>
      <c r="AC281" s="2202"/>
      <c r="AD281" s="2202"/>
      <c r="AE281" s="2202"/>
      <c r="AF281" s="2202"/>
      <c r="AG281" s="2202"/>
      <c r="AH281" s="2202"/>
      <c r="AI281" s="2202"/>
      <c r="AJ281" s="2202"/>
      <c r="AK281" s="2202"/>
      <c r="AL281" s="2202"/>
      <c r="AM281" s="144"/>
      <c r="AN281" s="144"/>
      <c r="AO281" s="144"/>
      <c r="AP281" s="144"/>
      <c r="AQ281" s="144"/>
      <c r="AR281" s="144"/>
      <c r="AS281" s="144"/>
      <c r="AT281" s="144"/>
      <c r="AU281" s="144"/>
      <c r="AV281" s="144"/>
      <c r="AW281" s="144"/>
      <c r="AX281" s="144"/>
      <c r="AY281" s="144"/>
      <c r="BN281" s="61"/>
    </row>
    <row r="282" spans="1:66" ht="13.5" thickBot="1">
      <c r="A282" s="2203"/>
      <c r="B282" s="2203"/>
      <c r="C282" s="2203"/>
      <c r="D282" s="2203"/>
      <c r="E282" s="2203"/>
      <c r="F282" s="2203"/>
      <c r="G282" s="2203"/>
      <c r="H282" s="2203"/>
      <c r="I282" s="2203"/>
      <c r="J282" s="2203"/>
      <c r="K282" s="2203"/>
      <c r="L282" s="2203"/>
      <c r="M282" s="2203"/>
      <c r="N282" s="2203"/>
      <c r="O282" s="2203"/>
      <c r="P282" s="2203"/>
      <c r="Q282" s="2203"/>
      <c r="R282" s="2203"/>
      <c r="S282" s="2203"/>
      <c r="T282" s="2203"/>
      <c r="U282" s="2203"/>
      <c r="V282" s="2203"/>
      <c r="W282" s="2203"/>
      <c r="X282" s="2203"/>
      <c r="Y282" s="2203"/>
      <c r="Z282" s="2203"/>
      <c r="AA282" s="2203"/>
      <c r="AB282" s="2203"/>
      <c r="AC282" s="2203"/>
      <c r="AD282" s="2203"/>
      <c r="AE282" s="2203"/>
      <c r="AF282" s="2203"/>
      <c r="AG282" s="2203"/>
      <c r="AH282" s="2203"/>
      <c r="AI282" s="2203"/>
      <c r="AJ282" s="2203"/>
      <c r="AK282" s="2203"/>
      <c r="AL282" s="2203"/>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663</v>
      </c>
      <c r="C286" s="58"/>
      <c r="D286" s="58"/>
      <c r="E286" s="58"/>
      <c r="F286" s="58"/>
      <c r="H286" s="2049" t="s">
        <v>2486</v>
      </c>
      <c r="I286" s="2049"/>
      <c r="J286" s="2049"/>
      <c r="K286" s="2049"/>
      <c r="L286" s="2049"/>
      <c r="M286" s="2049"/>
      <c r="N286" s="2049"/>
      <c r="O286" s="2049"/>
      <c r="P286" s="2049"/>
      <c r="Q286" s="2049"/>
      <c r="R286" s="2049"/>
      <c r="T286" s="58" t="s">
        <v>602</v>
      </c>
      <c r="V286" s="58"/>
      <c r="W286" s="58"/>
      <c r="X286" s="58"/>
      <c r="Y286" s="58"/>
      <c r="AA286" s="2049" t="s">
        <v>2493</v>
      </c>
      <c r="AB286" s="2049"/>
      <c r="AC286" s="2049"/>
      <c r="AD286" s="2049"/>
      <c r="AE286" s="2049"/>
      <c r="AF286" s="2049"/>
      <c r="AG286" s="2049"/>
      <c r="AH286" s="2049"/>
      <c r="AI286" s="2049"/>
      <c r="AJ286" s="2049"/>
      <c r="AK286" s="2049"/>
      <c r="BN286" s="61"/>
    </row>
    <row r="287" spans="1:66" ht="12.5">
      <c r="B287" s="58" t="s">
        <v>506</v>
      </c>
      <c r="C287" s="58"/>
      <c r="D287" s="58"/>
      <c r="E287" s="58"/>
      <c r="F287" s="58"/>
      <c r="H287" s="2050" t="s">
        <v>2491</v>
      </c>
      <c r="I287" s="2050"/>
      <c r="J287" s="2050"/>
      <c r="K287" s="2050"/>
      <c r="L287" s="2050"/>
      <c r="M287" s="2050"/>
      <c r="N287" s="2050"/>
      <c r="O287" s="2050"/>
      <c r="P287" s="2050"/>
      <c r="Q287" s="2050"/>
      <c r="R287" s="2050"/>
      <c r="T287" s="58" t="s">
        <v>506</v>
      </c>
      <c r="V287" s="58"/>
      <c r="W287" s="58"/>
      <c r="X287" s="58"/>
      <c r="Y287" s="58"/>
      <c r="AA287" s="2050" t="s">
        <v>2494</v>
      </c>
      <c r="AB287" s="2050"/>
      <c r="AC287" s="2050"/>
      <c r="AD287" s="2050"/>
      <c r="AE287" s="2050"/>
      <c r="AF287" s="2050"/>
      <c r="AG287" s="2050"/>
      <c r="AH287" s="2050"/>
      <c r="AI287" s="2050"/>
      <c r="AJ287" s="2050"/>
      <c r="AK287" s="2050"/>
      <c r="BN287" s="61"/>
    </row>
    <row r="288" spans="1:66" ht="12.5">
      <c r="B288" s="58" t="s">
        <v>507</v>
      </c>
      <c r="C288" s="58"/>
      <c r="D288" s="58"/>
      <c r="E288" s="58"/>
      <c r="F288" s="58"/>
      <c r="H288" s="2050" t="s">
        <v>2492</v>
      </c>
      <c r="I288" s="2050"/>
      <c r="J288" s="2050"/>
      <c r="K288" s="2050"/>
      <c r="L288" s="2050"/>
      <c r="M288" s="2050"/>
      <c r="N288" s="2050"/>
      <c r="O288" s="2050"/>
      <c r="P288" s="2050"/>
      <c r="Q288" s="2050"/>
      <c r="R288" s="2050"/>
      <c r="T288" s="58" t="s">
        <v>79</v>
      </c>
      <c r="V288" s="58"/>
      <c r="W288" s="58"/>
      <c r="X288" s="58"/>
      <c r="Y288" s="58"/>
      <c r="AA288" s="2050" t="s">
        <v>2495</v>
      </c>
      <c r="AB288" s="2050"/>
      <c r="AC288" s="2050"/>
      <c r="AD288" s="2050"/>
      <c r="AE288" s="2050"/>
      <c r="AF288" s="2050"/>
      <c r="AG288" s="2050"/>
      <c r="AH288" s="2050"/>
      <c r="AI288" s="2050"/>
      <c r="AJ288" s="2050"/>
      <c r="AK288" s="2050"/>
      <c r="BN288" s="61"/>
    </row>
    <row r="289" spans="2:66" ht="12.75" customHeight="1">
      <c r="B289" s="58" t="s">
        <v>92</v>
      </c>
      <c r="C289" s="58"/>
      <c r="D289" s="58"/>
      <c r="E289" s="58"/>
      <c r="F289" s="58"/>
      <c r="H289" s="2050" t="s">
        <v>2483</v>
      </c>
      <c r="I289" s="2050"/>
      <c r="J289" s="2050"/>
      <c r="K289" s="2050"/>
      <c r="L289" s="2050"/>
      <c r="M289" s="2050"/>
      <c r="N289" s="2050"/>
      <c r="O289" s="2050"/>
      <c r="P289" s="2050"/>
      <c r="Q289" s="2050"/>
      <c r="R289" s="2050"/>
      <c r="T289" s="58" t="s">
        <v>92</v>
      </c>
      <c r="V289" s="58"/>
      <c r="W289" s="58"/>
      <c r="X289" s="58"/>
      <c r="Y289" s="58"/>
      <c r="AA289" s="2050" t="s">
        <v>2523</v>
      </c>
      <c r="AB289" s="2050"/>
      <c r="AC289" s="2050"/>
      <c r="AD289" s="2050"/>
      <c r="AE289" s="2050"/>
      <c r="AF289" s="2050"/>
      <c r="AG289" s="2050"/>
      <c r="AH289" s="2050"/>
      <c r="AI289" s="2050"/>
      <c r="AJ289" s="2050"/>
      <c r="AK289" s="2050"/>
      <c r="BN289" s="61"/>
    </row>
    <row r="290" spans="2:66" ht="12.75" customHeight="1">
      <c r="B290" s="58" t="s">
        <v>93</v>
      </c>
      <c r="C290" s="58"/>
      <c r="D290" s="58"/>
      <c r="E290" s="58"/>
      <c r="F290" s="58"/>
      <c r="G290" s="58"/>
      <c r="H290" s="2238" t="s">
        <v>2484</v>
      </c>
      <c r="I290" s="2239"/>
      <c r="J290" s="2239"/>
      <c r="K290" s="2239"/>
      <c r="L290" s="2239"/>
      <c r="M290" s="2239"/>
      <c r="N290" s="7" t="s">
        <v>212</v>
      </c>
      <c r="O290" s="7"/>
      <c r="P290" s="2235">
        <v>27</v>
      </c>
      <c r="Q290" s="2235"/>
      <c r="R290" s="2235"/>
      <c r="S290" s="58"/>
      <c r="T290" s="58" t="s">
        <v>93</v>
      </c>
      <c r="V290" s="58"/>
      <c r="W290" s="58"/>
      <c r="X290" s="58"/>
      <c r="Y290" s="58"/>
      <c r="AA290" s="2238" t="s">
        <v>2496</v>
      </c>
      <c r="AB290" s="2239"/>
      <c r="AC290" s="2239"/>
      <c r="AD290" s="2239"/>
      <c r="AE290" s="2239"/>
      <c r="AF290" s="2239"/>
      <c r="AG290" s="7" t="s">
        <v>212</v>
      </c>
      <c r="AH290" s="7"/>
      <c r="AI290" s="2235">
        <v>10</v>
      </c>
      <c r="AJ290" s="2235"/>
      <c r="AK290" s="2235"/>
      <c r="BN290" s="61"/>
    </row>
    <row r="291" spans="2:66" ht="12.75" customHeight="1">
      <c r="B291" s="58" t="s">
        <v>94</v>
      </c>
      <c r="C291" s="58"/>
      <c r="D291" s="58"/>
      <c r="E291" s="58"/>
      <c r="F291" s="58"/>
      <c r="G291" s="58"/>
      <c r="H291" s="2087"/>
      <c r="I291" s="2087"/>
      <c r="J291" s="2087"/>
      <c r="K291" s="2087"/>
      <c r="L291" s="2087"/>
      <c r="M291" s="2087"/>
      <c r="N291" s="60"/>
      <c r="O291" s="60"/>
      <c r="P291" s="62"/>
      <c r="Q291" s="62"/>
      <c r="R291" s="62"/>
      <c r="S291" s="58"/>
      <c r="T291" s="58" t="s">
        <v>94</v>
      </c>
      <c r="V291" s="58"/>
      <c r="W291" s="58"/>
      <c r="X291" s="58"/>
      <c r="Y291" s="58"/>
      <c r="AA291" s="2087"/>
      <c r="AB291" s="2087"/>
      <c r="AC291" s="2087"/>
      <c r="AD291" s="2087"/>
      <c r="AE291" s="2087"/>
      <c r="AF291" s="2087"/>
      <c r="AG291" s="60"/>
      <c r="AH291" s="60"/>
      <c r="AI291" s="62"/>
      <c r="AJ291" s="62"/>
      <c r="AK291" s="62"/>
      <c r="BN291" s="61"/>
    </row>
    <row r="292" spans="2:66" ht="12.75" customHeight="1">
      <c r="B292" s="58" t="s">
        <v>80</v>
      </c>
      <c r="C292" s="58"/>
      <c r="D292" s="58"/>
      <c r="E292" s="58"/>
      <c r="F292" s="58"/>
      <c r="G292" s="58"/>
      <c r="H292" s="2050" t="s">
        <v>2485</v>
      </c>
      <c r="I292" s="2050"/>
      <c r="J292" s="2050"/>
      <c r="K292" s="2050"/>
      <c r="L292" s="2050"/>
      <c r="M292" s="2050"/>
      <c r="N292" s="2049"/>
      <c r="O292" s="2049"/>
      <c r="P292" s="2049"/>
      <c r="Q292" s="2049"/>
      <c r="R292" s="2049"/>
      <c r="S292" s="58"/>
      <c r="T292" s="58" t="s">
        <v>80</v>
      </c>
      <c r="V292" s="58"/>
      <c r="W292" s="58"/>
      <c r="X292" s="58"/>
      <c r="Y292" s="58"/>
      <c r="AA292" s="2110" t="s">
        <v>2524</v>
      </c>
      <c r="AB292" s="2110"/>
      <c r="AC292" s="2110"/>
      <c r="AD292" s="2110"/>
      <c r="AE292" s="2110"/>
      <c r="AF292" s="2110"/>
      <c r="AG292" s="2063"/>
      <c r="AH292" s="2063"/>
      <c r="AI292" s="2063"/>
      <c r="AJ292" s="2063"/>
      <c r="AK292" s="2063"/>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334</v>
      </c>
      <c r="C294" s="58"/>
      <c r="D294" s="58"/>
      <c r="E294" s="58"/>
      <c r="F294" s="58"/>
      <c r="H294" s="1857" t="s">
        <v>2497</v>
      </c>
      <c r="I294" s="1857"/>
      <c r="J294" s="1857"/>
      <c r="K294" s="1857"/>
      <c r="L294" s="1857"/>
      <c r="M294" s="1857"/>
      <c r="N294" s="1857"/>
      <c r="O294" s="1857"/>
      <c r="P294" s="1857"/>
      <c r="Q294" s="1857"/>
      <c r="R294" s="1857"/>
      <c r="T294" s="58" t="s">
        <v>376</v>
      </c>
      <c r="V294" s="58"/>
      <c r="W294" s="58"/>
      <c r="X294" s="58"/>
      <c r="Y294" s="58"/>
      <c r="AA294" s="2063" t="s">
        <v>2525</v>
      </c>
      <c r="AB294" s="2063"/>
      <c r="AC294" s="2063"/>
      <c r="AD294" s="2063"/>
      <c r="AE294" s="2063"/>
      <c r="AF294" s="2063"/>
      <c r="AG294" s="2063"/>
      <c r="AH294" s="2063"/>
      <c r="AI294" s="2063"/>
      <c r="AJ294" s="2063"/>
      <c r="AK294" s="2063"/>
      <c r="BN294" s="61"/>
    </row>
    <row r="295" spans="2:66" ht="12.5">
      <c r="B295" s="58" t="s">
        <v>506</v>
      </c>
      <c r="C295" s="58"/>
      <c r="D295" s="58"/>
      <c r="E295" s="58"/>
      <c r="F295" s="58"/>
      <c r="H295" s="1856" t="s">
        <v>2498</v>
      </c>
      <c r="I295" s="1856"/>
      <c r="J295" s="1856"/>
      <c r="K295" s="1856"/>
      <c r="L295" s="1856"/>
      <c r="M295" s="1856"/>
      <c r="N295" s="1856"/>
      <c r="O295" s="1856"/>
      <c r="P295" s="1856"/>
      <c r="Q295" s="1856"/>
      <c r="R295" s="1856"/>
      <c r="T295" s="58" t="s">
        <v>506</v>
      </c>
      <c r="V295" s="58"/>
      <c r="W295" s="58"/>
      <c r="X295" s="58"/>
      <c r="Y295" s="58"/>
      <c r="AA295" s="2110" t="s">
        <v>2526</v>
      </c>
      <c r="AB295" s="2110"/>
      <c r="AC295" s="2110"/>
      <c r="AD295" s="2110"/>
      <c r="AE295" s="2110"/>
      <c r="AF295" s="2110"/>
      <c r="AG295" s="2110"/>
      <c r="AH295" s="2110"/>
      <c r="AI295" s="2110"/>
      <c r="AJ295" s="2110"/>
      <c r="AK295" s="2110"/>
      <c r="BN295" s="61"/>
    </row>
    <row r="296" spans="2:66" ht="12.5">
      <c r="B296" s="58" t="s">
        <v>507</v>
      </c>
      <c r="C296" s="58"/>
      <c r="D296" s="58"/>
      <c r="E296" s="58"/>
      <c r="F296" s="58"/>
      <c r="H296" s="1856" t="s">
        <v>2499</v>
      </c>
      <c r="I296" s="1856"/>
      <c r="J296" s="1856"/>
      <c r="K296" s="1856"/>
      <c r="L296" s="1856"/>
      <c r="M296" s="1856"/>
      <c r="N296" s="1856"/>
      <c r="O296" s="1856"/>
      <c r="P296" s="1856"/>
      <c r="Q296" s="1856"/>
      <c r="R296" s="1856"/>
      <c r="T296" s="58" t="s">
        <v>79</v>
      </c>
      <c r="V296" s="58"/>
      <c r="W296" s="58"/>
      <c r="X296" s="58"/>
      <c r="Y296" s="58"/>
      <c r="AA296" s="2110" t="s">
        <v>2527</v>
      </c>
      <c r="AB296" s="2110"/>
      <c r="AC296" s="2110"/>
      <c r="AD296" s="2110"/>
      <c r="AE296" s="2110"/>
      <c r="AF296" s="2110"/>
      <c r="AG296" s="2110"/>
      <c r="AH296" s="2110"/>
      <c r="AI296" s="2110"/>
      <c r="AJ296" s="2110"/>
      <c r="AK296" s="2110"/>
      <c r="BN296" s="61"/>
    </row>
    <row r="297" spans="2:66" ht="12.5">
      <c r="B297" s="58" t="s">
        <v>92</v>
      </c>
      <c r="C297" s="58"/>
      <c r="D297" s="58"/>
      <c r="E297" s="58"/>
      <c r="F297" s="58"/>
      <c r="H297" s="1856" t="s">
        <v>2500</v>
      </c>
      <c r="I297" s="1856"/>
      <c r="J297" s="1856"/>
      <c r="K297" s="1856"/>
      <c r="L297" s="1856"/>
      <c r="M297" s="1856"/>
      <c r="N297" s="1856"/>
      <c r="O297" s="1856"/>
      <c r="P297" s="1856"/>
      <c r="Q297" s="1856"/>
      <c r="R297" s="1856"/>
      <c r="T297" s="58" t="s">
        <v>92</v>
      </c>
      <c r="V297" s="58"/>
      <c r="W297" s="58"/>
      <c r="X297" s="58"/>
      <c r="Y297" s="58"/>
      <c r="AA297" s="2110" t="s">
        <v>2528</v>
      </c>
      <c r="AB297" s="2110"/>
      <c r="AC297" s="2110"/>
      <c r="AD297" s="2110"/>
      <c r="AE297" s="2110"/>
      <c r="AF297" s="2110"/>
      <c r="AG297" s="2110"/>
      <c r="AH297" s="2110"/>
      <c r="AI297" s="2110"/>
      <c r="AJ297" s="2110"/>
      <c r="AK297" s="2110"/>
      <c r="BN297" s="61"/>
    </row>
    <row r="298" spans="2:66" ht="12.5">
      <c r="B298" s="58" t="s">
        <v>93</v>
      </c>
      <c r="C298" s="58"/>
      <c r="D298" s="58"/>
      <c r="E298" s="58"/>
      <c r="F298" s="58"/>
      <c r="G298" s="58"/>
      <c r="H298" s="2048" t="s">
        <v>2531</v>
      </c>
      <c r="I298" s="2048"/>
      <c r="J298" s="2048"/>
      <c r="K298" s="2048"/>
      <c r="L298" s="2048"/>
      <c r="M298" s="2048"/>
      <c r="N298" s="7" t="s">
        <v>212</v>
      </c>
      <c r="O298" s="7"/>
      <c r="P298" s="2235"/>
      <c r="Q298" s="2235"/>
      <c r="R298" s="2235"/>
      <c r="S298" s="58"/>
      <c r="T298" s="58" t="s">
        <v>93</v>
      </c>
      <c r="V298" s="58"/>
      <c r="W298" s="58"/>
      <c r="X298" s="58"/>
      <c r="Y298" s="58"/>
      <c r="AA298" s="2238" t="s">
        <v>2529</v>
      </c>
      <c r="AB298" s="2239"/>
      <c r="AC298" s="2239"/>
      <c r="AD298" s="2239"/>
      <c r="AE298" s="2239"/>
      <c r="AF298" s="2239"/>
      <c r="AG298" s="7" t="s">
        <v>212</v>
      </c>
      <c r="AH298" s="7"/>
      <c r="AI298" s="2235"/>
      <c r="AJ298" s="2235"/>
      <c r="AK298" s="2235"/>
      <c r="BN298" s="61"/>
    </row>
    <row r="299" spans="2:66" ht="12.75" customHeight="1">
      <c r="B299" s="58" t="s">
        <v>94</v>
      </c>
      <c r="C299" s="58"/>
      <c r="D299" s="58"/>
      <c r="E299" s="58"/>
      <c r="F299" s="58"/>
      <c r="G299" s="58"/>
      <c r="H299" s="2087"/>
      <c r="I299" s="2087"/>
      <c r="J299" s="2087"/>
      <c r="K299" s="2087"/>
      <c r="L299" s="2087"/>
      <c r="M299" s="2087"/>
      <c r="N299" s="60"/>
      <c r="O299" s="60"/>
      <c r="P299" s="62"/>
      <c r="Q299" s="62"/>
      <c r="R299" s="62"/>
      <c r="S299" s="58"/>
      <c r="T299" s="58" t="s">
        <v>94</v>
      </c>
      <c r="V299" s="58"/>
      <c r="W299" s="58"/>
      <c r="X299" s="58"/>
      <c r="Y299" s="58"/>
      <c r="AA299" s="2087"/>
      <c r="AB299" s="2087"/>
      <c r="AC299" s="2087"/>
      <c r="AD299" s="2087"/>
      <c r="AE299" s="2087"/>
      <c r="AF299" s="2087"/>
      <c r="AG299" s="60"/>
      <c r="AH299" s="60"/>
      <c r="AI299" s="62"/>
      <c r="AJ299" s="62"/>
      <c r="AK299" s="62"/>
      <c r="BN299" s="61"/>
    </row>
    <row r="300" spans="2:66" ht="12.75" customHeight="1">
      <c r="B300" s="58" t="s">
        <v>80</v>
      </c>
      <c r="C300" s="58"/>
      <c r="D300" s="58"/>
      <c r="E300" s="58"/>
      <c r="F300" s="58"/>
      <c r="G300" s="58"/>
      <c r="H300" s="1858" t="s">
        <v>2502</v>
      </c>
      <c r="I300" s="1858"/>
      <c r="J300" s="1858"/>
      <c r="K300" s="1858"/>
      <c r="L300" s="1858"/>
      <c r="M300" s="1858"/>
      <c r="N300" s="1859"/>
      <c r="O300" s="1859"/>
      <c r="P300" s="1859"/>
      <c r="Q300" s="1859"/>
      <c r="R300" s="1859"/>
      <c r="S300" s="58"/>
      <c r="T300" s="58" t="s">
        <v>80</v>
      </c>
      <c r="V300" s="58"/>
      <c r="W300" s="58"/>
      <c r="X300" s="58"/>
      <c r="Y300" s="58"/>
      <c r="AA300" s="2110" t="s">
        <v>2530</v>
      </c>
      <c r="AB300" s="2110"/>
      <c r="AC300" s="2110"/>
      <c r="AD300" s="2110"/>
      <c r="AE300" s="2110"/>
      <c r="AF300" s="2110"/>
      <c r="AG300" s="2063"/>
      <c r="AH300" s="2063"/>
      <c r="AI300" s="2063"/>
      <c r="AJ300" s="2063"/>
      <c r="AK300" s="2063"/>
      <c r="BN300" s="61"/>
    </row>
    <row r="301" spans="2:66" ht="12.75" customHeight="1">
      <c r="BN301" s="61"/>
    </row>
    <row r="302" spans="2:66" ht="12.75" customHeight="1">
      <c r="B302" s="58" t="s">
        <v>81</v>
      </c>
      <c r="C302" s="58"/>
      <c r="D302" s="58"/>
      <c r="E302" s="58"/>
      <c r="F302" s="58"/>
      <c r="H302" s="1861" t="s">
        <v>2497</v>
      </c>
      <c r="I302" s="1861"/>
      <c r="J302" s="1861"/>
      <c r="K302" s="1861"/>
      <c r="L302" s="1861"/>
      <c r="M302" s="1861"/>
      <c r="N302" s="1861"/>
      <c r="O302" s="1861"/>
      <c r="P302" s="1861"/>
      <c r="Q302" s="1861"/>
      <c r="R302" s="1861"/>
      <c r="T302" s="7" t="s">
        <v>947</v>
      </c>
      <c r="V302" s="58"/>
      <c r="W302" s="58"/>
      <c r="X302" s="58"/>
      <c r="Y302" s="58"/>
      <c r="AA302" s="2049" t="s">
        <v>2519</v>
      </c>
      <c r="AB302" s="2049"/>
      <c r="AC302" s="2049"/>
      <c r="AD302" s="2049"/>
      <c r="AE302" s="2049"/>
      <c r="AF302" s="2049"/>
      <c r="AG302" s="2049"/>
      <c r="AH302" s="2049"/>
      <c r="AI302" s="2049"/>
      <c r="AJ302" s="2049"/>
      <c r="AK302" s="2049"/>
      <c r="BN302" s="61"/>
    </row>
    <row r="303" spans="2:66" ht="12.5">
      <c r="B303" s="58" t="s">
        <v>506</v>
      </c>
      <c r="C303" s="58"/>
      <c r="D303" s="58"/>
      <c r="E303" s="58"/>
      <c r="F303" s="58"/>
      <c r="H303" s="1860" t="s">
        <v>2498</v>
      </c>
      <c r="I303" s="1860"/>
      <c r="J303" s="1860"/>
      <c r="K303" s="1860"/>
      <c r="L303" s="1860"/>
      <c r="M303" s="1860"/>
      <c r="N303" s="1860"/>
      <c r="O303" s="1860"/>
      <c r="P303" s="1860"/>
      <c r="Q303" s="1860"/>
      <c r="R303" s="1860"/>
      <c r="T303" s="58" t="s">
        <v>506</v>
      </c>
      <c r="V303" s="58"/>
      <c r="W303" s="58"/>
      <c r="X303" s="58"/>
      <c r="Y303" s="58"/>
      <c r="AA303" s="2050" t="s">
        <v>2520</v>
      </c>
      <c r="AB303" s="2050"/>
      <c r="AC303" s="2050"/>
      <c r="AD303" s="2050"/>
      <c r="AE303" s="2050"/>
      <c r="AF303" s="2050"/>
      <c r="AG303" s="2050"/>
      <c r="AH303" s="2050"/>
      <c r="AI303" s="2050"/>
      <c r="AJ303" s="2050"/>
      <c r="AK303" s="2050"/>
      <c r="BN303" s="61"/>
    </row>
    <row r="304" spans="2:66" ht="12.5">
      <c r="B304" s="58" t="s">
        <v>507</v>
      </c>
      <c r="C304" s="58"/>
      <c r="D304" s="58"/>
      <c r="E304" s="58"/>
      <c r="F304" s="58"/>
      <c r="H304" s="1860" t="s">
        <v>2499</v>
      </c>
      <c r="I304" s="1860"/>
      <c r="J304" s="1860"/>
      <c r="K304" s="1860"/>
      <c r="L304" s="1860"/>
      <c r="M304" s="1860"/>
      <c r="N304" s="1860"/>
      <c r="O304" s="1860"/>
      <c r="P304" s="1860"/>
      <c r="Q304" s="1860"/>
      <c r="R304" s="1860"/>
      <c r="T304" s="58" t="s">
        <v>79</v>
      </c>
      <c r="V304" s="58"/>
      <c r="W304" s="58"/>
      <c r="X304" s="58"/>
      <c r="Y304" s="58"/>
      <c r="AA304" s="2050" t="s">
        <v>2521</v>
      </c>
      <c r="AB304" s="2050"/>
      <c r="AC304" s="2050"/>
      <c r="AD304" s="2050"/>
      <c r="AE304" s="2050"/>
      <c r="AF304" s="2050"/>
      <c r="AG304" s="2050"/>
      <c r="AH304" s="2050"/>
      <c r="AI304" s="2050"/>
      <c r="AJ304" s="2050"/>
      <c r="AK304" s="2050"/>
      <c r="BN304" s="61"/>
    </row>
    <row r="305" spans="2:66" ht="12.5">
      <c r="B305" s="58" t="s">
        <v>92</v>
      </c>
      <c r="C305" s="58"/>
      <c r="D305" s="58"/>
      <c r="E305" s="58"/>
      <c r="F305" s="58"/>
      <c r="H305" s="1860" t="s">
        <v>2503</v>
      </c>
      <c r="I305" s="1860"/>
      <c r="J305" s="1860"/>
      <c r="K305" s="1860"/>
      <c r="L305" s="1860"/>
      <c r="M305" s="1860"/>
      <c r="N305" s="1860"/>
      <c r="O305" s="1860"/>
      <c r="P305" s="1860"/>
      <c r="Q305" s="1860"/>
      <c r="R305" s="1860"/>
      <c r="T305" s="58" t="s">
        <v>92</v>
      </c>
      <c r="V305" s="58"/>
      <c r="W305" s="58"/>
      <c r="X305" s="58"/>
      <c r="Y305" s="58"/>
      <c r="AA305" s="2110" t="s">
        <v>2532</v>
      </c>
      <c r="AB305" s="2110"/>
      <c r="AC305" s="2110"/>
      <c r="AD305" s="2110"/>
      <c r="AE305" s="2110"/>
      <c r="AF305" s="2110"/>
      <c r="AG305" s="2110"/>
      <c r="AH305" s="2110"/>
      <c r="AI305" s="2110"/>
      <c r="AJ305" s="2110"/>
      <c r="AK305" s="2110"/>
      <c r="BN305" s="61"/>
    </row>
    <row r="306" spans="2:66" ht="12.5">
      <c r="B306" s="58" t="s">
        <v>93</v>
      </c>
      <c r="C306" s="58"/>
      <c r="D306" s="58"/>
      <c r="E306" s="58"/>
      <c r="F306" s="58"/>
      <c r="G306" s="58"/>
      <c r="H306" s="2048" t="s">
        <v>2501</v>
      </c>
      <c r="I306" s="2048"/>
      <c r="J306" s="2048"/>
      <c r="K306" s="2048"/>
      <c r="L306" s="2048"/>
      <c r="M306" s="2048"/>
      <c r="N306" s="7" t="s">
        <v>212</v>
      </c>
      <c r="O306" s="7"/>
      <c r="P306" s="2235"/>
      <c r="Q306" s="2235"/>
      <c r="R306" s="2235"/>
      <c r="S306" s="58"/>
      <c r="T306" s="58" t="s">
        <v>93</v>
      </c>
      <c r="V306" s="58"/>
      <c r="W306" s="58"/>
      <c r="X306" s="58"/>
      <c r="Y306" s="58"/>
      <c r="AA306" s="2238" t="s">
        <v>2533</v>
      </c>
      <c r="AB306" s="2239"/>
      <c r="AC306" s="2239"/>
      <c r="AD306" s="2239"/>
      <c r="AE306" s="2239"/>
      <c r="AF306" s="2239"/>
      <c r="AG306" s="7" t="s">
        <v>212</v>
      </c>
      <c r="AH306" s="7"/>
      <c r="AI306" s="2235"/>
      <c r="AJ306" s="2235"/>
      <c r="AK306" s="2235"/>
      <c r="BN306" s="61"/>
    </row>
    <row r="307" spans="2:66" ht="12.5">
      <c r="B307" s="58" t="s">
        <v>94</v>
      </c>
      <c r="C307" s="58"/>
      <c r="D307" s="58"/>
      <c r="E307" s="58"/>
      <c r="F307" s="58"/>
      <c r="G307" s="58"/>
      <c r="H307" s="2087"/>
      <c r="I307" s="2087"/>
      <c r="J307" s="2087"/>
      <c r="K307" s="2087"/>
      <c r="L307" s="2087"/>
      <c r="M307" s="2087"/>
      <c r="N307" s="60"/>
      <c r="O307" s="60"/>
      <c r="P307" s="62"/>
      <c r="Q307" s="62"/>
      <c r="R307" s="62"/>
      <c r="S307" s="58"/>
      <c r="T307" s="58" t="s">
        <v>94</v>
      </c>
      <c r="V307" s="58"/>
      <c r="W307" s="58"/>
      <c r="X307" s="58"/>
      <c r="Y307" s="58"/>
      <c r="AA307" s="2087"/>
      <c r="AB307" s="2087"/>
      <c r="AC307" s="2087"/>
      <c r="AD307" s="2087"/>
      <c r="AE307" s="2087"/>
      <c r="AF307" s="2087"/>
      <c r="AG307" s="60"/>
      <c r="AH307" s="60"/>
      <c r="AI307" s="62"/>
      <c r="AJ307" s="62"/>
      <c r="AK307" s="62"/>
      <c r="BN307" s="61"/>
    </row>
    <row r="308" spans="2:66" ht="12.5">
      <c r="B308" s="58" t="s">
        <v>80</v>
      </c>
      <c r="C308" s="58"/>
      <c r="D308" s="58"/>
      <c r="E308" s="58"/>
      <c r="F308" s="58"/>
      <c r="G308" s="58"/>
      <c r="H308" s="2050" t="s">
        <v>2504</v>
      </c>
      <c r="I308" s="2050"/>
      <c r="J308" s="2050"/>
      <c r="K308" s="2050"/>
      <c r="L308" s="2050"/>
      <c r="M308" s="2050"/>
      <c r="N308" s="2049"/>
      <c r="O308" s="2049"/>
      <c r="P308" s="2049"/>
      <c r="Q308" s="2049"/>
      <c r="R308" s="2049"/>
      <c r="S308" s="58"/>
      <c r="T308" s="58" t="s">
        <v>80</v>
      </c>
      <c r="V308" s="58"/>
      <c r="W308" s="58"/>
      <c r="X308" s="58"/>
      <c r="Y308" s="58"/>
      <c r="AA308" s="2110" t="s">
        <v>2534</v>
      </c>
      <c r="AB308" s="2110"/>
      <c r="AC308" s="2110"/>
      <c r="AD308" s="2110"/>
      <c r="AE308" s="2110"/>
      <c r="AF308" s="2110"/>
      <c r="AG308" s="2063"/>
      <c r="AH308" s="2063"/>
      <c r="AI308" s="2063"/>
      <c r="AJ308" s="2063"/>
      <c r="AK308" s="2063"/>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980</v>
      </c>
      <c r="C310" s="58"/>
      <c r="D310" s="58"/>
      <c r="E310" s="58"/>
      <c r="F310" s="58"/>
      <c r="H310" s="1863" t="s">
        <v>2505</v>
      </c>
      <c r="I310" s="1863"/>
      <c r="J310" s="1863"/>
      <c r="K310" s="1863"/>
      <c r="L310" s="1863"/>
      <c r="M310" s="1863"/>
      <c r="N310" s="1863"/>
      <c r="O310" s="1863"/>
      <c r="P310" s="1863"/>
      <c r="Q310" s="1863"/>
      <c r="R310" s="1863"/>
      <c r="S310" s="58"/>
      <c r="T310" s="58" t="s">
        <v>377</v>
      </c>
      <c r="V310" s="58"/>
      <c r="W310" s="58"/>
      <c r="X310" s="58"/>
      <c r="Y310" s="58"/>
      <c r="AA310" s="2063" t="s">
        <v>2522</v>
      </c>
      <c r="AB310" s="2063"/>
      <c r="AC310" s="2063"/>
      <c r="AD310" s="2063"/>
      <c r="AE310" s="2063"/>
      <c r="AF310" s="2063"/>
      <c r="AG310" s="2063"/>
      <c r="AH310" s="2063"/>
      <c r="AI310" s="2063"/>
      <c r="AJ310" s="2063"/>
      <c r="AK310" s="2063"/>
      <c r="BN310" s="61"/>
    </row>
    <row r="311" spans="2:66" ht="12.5">
      <c r="B311" s="58" t="s">
        <v>506</v>
      </c>
      <c r="C311" s="58"/>
      <c r="D311" s="58"/>
      <c r="E311" s="58"/>
      <c r="F311" s="58"/>
      <c r="H311" s="1862" t="s">
        <v>2506</v>
      </c>
      <c r="I311" s="1862"/>
      <c r="J311" s="1862"/>
      <c r="K311" s="1862"/>
      <c r="L311" s="1862"/>
      <c r="M311" s="1862"/>
      <c r="N311" s="1862"/>
      <c r="O311" s="1862"/>
      <c r="P311" s="1862"/>
      <c r="Q311" s="1862"/>
      <c r="R311" s="1862"/>
      <c r="S311" s="58"/>
      <c r="T311" s="58" t="s">
        <v>506</v>
      </c>
      <c r="V311" s="58"/>
      <c r="W311" s="58"/>
      <c r="X311" s="58"/>
      <c r="Y311" s="58"/>
      <c r="AA311" s="2110"/>
      <c r="AB311" s="2110"/>
      <c r="AC311" s="2110"/>
      <c r="AD311" s="2110"/>
      <c r="AE311" s="2110"/>
      <c r="AF311" s="2110"/>
      <c r="AG311" s="2110"/>
      <c r="AH311" s="2110"/>
      <c r="AI311" s="2110"/>
      <c r="AJ311" s="2110"/>
      <c r="AK311" s="2110"/>
      <c r="BN311" s="61"/>
    </row>
    <row r="312" spans="2:66" ht="12.75" customHeight="1">
      <c r="B312" s="58" t="s">
        <v>507</v>
      </c>
      <c r="C312" s="58"/>
      <c r="D312" s="58"/>
      <c r="E312" s="58"/>
      <c r="F312" s="58"/>
      <c r="H312" s="1862" t="s">
        <v>2492</v>
      </c>
      <c r="I312" s="1862"/>
      <c r="J312" s="1862"/>
      <c r="K312" s="1862"/>
      <c r="L312" s="1862"/>
      <c r="M312" s="1862"/>
      <c r="N312" s="1862"/>
      <c r="O312" s="1862"/>
      <c r="P312" s="1862"/>
      <c r="Q312" s="1862"/>
      <c r="R312" s="1862"/>
      <c r="S312" s="58"/>
      <c r="T312" s="58" t="s">
        <v>79</v>
      </c>
      <c r="V312" s="58"/>
      <c r="W312" s="58"/>
      <c r="X312" s="58"/>
      <c r="Y312" s="58"/>
      <c r="AA312" s="2110"/>
      <c r="AB312" s="2110"/>
      <c r="AC312" s="2110"/>
      <c r="AD312" s="2110"/>
      <c r="AE312" s="2110"/>
      <c r="AF312" s="2110"/>
      <c r="AG312" s="2110"/>
      <c r="AH312" s="2110"/>
      <c r="AI312" s="2110"/>
      <c r="AJ312" s="2110"/>
      <c r="AK312" s="2110"/>
      <c r="BN312" s="61"/>
    </row>
    <row r="313" spans="2:66" ht="12.5">
      <c r="B313" s="58" t="s">
        <v>92</v>
      </c>
      <c r="C313" s="58"/>
      <c r="D313" s="58"/>
      <c r="E313" s="58"/>
      <c r="F313" s="58"/>
      <c r="H313" s="1862" t="s">
        <v>2507</v>
      </c>
      <c r="I313" s="1862"/>
      <c r="J313" s="1862"/>
      <c r="K313" s="1862"/>
      <c r="L313" s="1862"/>
      <c r="M313" s="1862"/>
      <c r="N313" s="1862"/>
      <c r="O313" s="1862"/>
      <c r="P313" s="1862"/>
      <c r="Q313" s="1862"/>
      <c r="R313" s="1862"/>
      <c r="S313" s="58"/>
      <c r="T313" s="58" t="s">
        <v>92</v>
      </c>
      <c r="V313" s="58"/>
      <c r="W313" s="58"/>
      <c r="X313" s="58"/>
      <c r="Y313" s="58"/>
      <c r="AA313" s="2110"/>
      <c r="AB313" s="2110"/>
      <c r="AC313" s="2110"/>
      <c r="AD313" s="2110"/>
      <c r="AE313" s="2110"/>
      <c r="AF313" s="2110"/>
      <c r="AG313" s="2110"/>
      <c r="AH313" s="2110"/>
      <c r="AI313" s="2110"/>
      <c r="AJ313" s="2110"/>
      <c r="AK313" s="2110"/>
      <c r="BN313" s="61"/>
    </row>
    <row r="314" spans="2:66" ht="12.5">
      <c r="B314" s="58" t="s">
        <v>93</v>
      </c>
      <c r="C314" s="58"/>
      <c r="D314" s="58"/>
      <c r="E314" s="58"/>
      <c r="F314" s="58"/>
      <c r="G314" s="58"/>
      <c r="H314" s="2048" t="s">
        <v>2508</v>
      </c>
      <c r="I314" s="2048"/>
      <c r="J314" s="2048"/>
      <c r="K314" s="2048"/>
      <c r="L314" s="2048"/>
      <c r="M314" s="2048"/>
      <c r="N314" s="7" t="s">
        <v>212</v>
      </c>
      <c r="O314" s="7"/>
      <c r="P314" s="2235"/>
      <c r="Q314" s="2235"/>
      <c r="R314" s="2235"/>
      <c r="S314" s="58"/>
      <c r="T314" s="58" t="s">
        <v>93</v>
      </c>
      <c r="V314" s="58"/>
      <c r="W314" s="58"/>
      <c r="X314" s="58"/>
      <c r="Y314" s="58"/>
      <c r="AA314" s="2239"/>
      <c r="AB314" s="2239"/>
      <c r="AC314" s="2239"/>
      <c r="AD314" s="2239"/>
      <c r="AE314" s="2239"/>
      <c r="AF314" s="2239"/>
      <c r="AG314" s="7" t="s">
        <v>212</v>
      </c>
      <c r="AH314" s="7"/>
      <c r="AI314" s="2235"/>
      <c r="AJ314" s="2235"/>
      <c r="AK314" s="2235"/>
      <c r="BN314" s="61"/>
    </row>
    <row r="315" spans="2:66" ht="12.5">
      <c r="B315" s="58" t="s">
        <v>94</v>
      </c>
      <c r="C315" s="58"/>
      <c r="D315" s="58"/>
      <c r="E315" s="58"/>
      <c r="F315" s="58"/>
      <c r="G315" s="58"/>
      <c r="H315" s="2087"/>
      <c r="I315" s="2087"/>
      <c r="J315" s="2087"/>
      <c r="K315" s="2087"/>
      <c r="L315" s="2087"/>
      <c r="M315" s="2087"/>
      <c r="N315" s="60"/>
      <c r="O315" s="60"/>
      <c r="P315" s="62"/>
      <c r="Q315" s="62"/>
      <c r="R315" s="62"/>
      <c r="S315" s="58"/>
      <c r="T315" s="58" t="s">
        <v>94</v>
      </c>
      <c r="V315" s="58"/>
      <c r="W315" s="58"/>
      <c r="X315" s="58"/>
      <c r="Y315" s="58"/>
      <c r="AA315" s="2087"/>
      <c r="AB315" s="2087"/>
      <c r="AC315" s="2087"/>
      <c r="AD315" s="2087"/>
      <c r="AE315" s="2087"/>
      <c r="AF315" s="2087"/>
      <c r="AG315" s="60"/>
      <c r="AH315" s="60"/>
      <c r="AI315" s="62"/>
      <c r="AJ315" s="62"/>
      <c r="AK315" s="62"/>
      <c r="BN315" s="61"/>
    </row>
    <row r="316" spans="2:66" ht="12.5">
      <c r="B316" s="58" t="s">
        <v>80</v>
      </c>
      <c r="C316" s="58"/>
      <c r="D316" s="58"/>
      <c r="E316" s="58"/>
      <c r="F316" s="58"/>
      <c r="G316" s="58"/>
      <c r="H316" s="1864" t="s">
        <v>2509</v>
      </c>
      <c r="I316" s="1864"/>
      <c r="J316" s="1864"/>
      <c r="K316" s="1864"/>
      <c r="L316" s="1864"/>
      <c r="M316" s="1864"/>
      <c r="N316" s="1865"/>
      <c r="O316" s="1865"/>
      <c r="P316" s="1865"/>
      <c r="Q316" s="1865"/>
      <c r="R316" s="1865"/>
      <c r="S316" s="58"/>
      <c r="T316" s="58" t="s">
        <v>80</v>
      </c>
      <c r="V316" s="58"/>
      <c r="W316" s="58"/>
      <c r="X316" s="58"/>
      <c r="Y316" s="58"/>
      <c r="AA316" s="2110"/>
      <c r="AB316" s="2110"/>
      <c r="AC316" s="2110"/>
      <c r="AD316" s="2110"/>
      <c r="AE316" s="2110"/>
      <c r="AF316" s="2110"/>
      <c r="AG316" s="2063"/>
      <c r="AH316" s="2063"/>
      <c r="AI316" s="2063"/>
      <c r="AJ316" s="2063"/>
      <c r="AK316" s="2063"/>
      <c r="BN316" s="61"/>
    </row>
    <row r="317" spans="2:66" ht="12.5">
      <c r="BN317" s="61"/>
    </row>
    <row r="318" spans="2:66" ht="12.5">
      <c r="B318" s="7" t="s">
        <v>981</v>
      </c>
      <c r="C318" s="58"/>
      <c r="D318" s="58"/>
      <c r="E318" s="58"/>
      <c r="F318" s="58"/>
      <c r="H318" s="2049" t="s">
        <v>2510</v>
      </c>
      <c r="I318" s="2049"/>
      <c r="J318" s="2049"/>
      <c r="K318" s="2049"/>
      <c r="L318" s="2049"/>
      <c r="M318" s="2049"/>
      <c r="N318" s="2049"/>
      <c r="O318" s="2049"/>
      <c r="P318" s="2049"/>
      <c r="Q318" s="2049"/>
      <c r="R318" s="2049"/>
      <c r="T318" s="58" t="s">
        <v>378</v>
      </c>
      <c r="V318" s="58"/>
      <c r="W318" s="58"/>
      <c r="X318" s="58"/>
      <c r="Y318" s="58"/>
      <c r="AA318" s="2062" t="s">
        <v>2538</v>
      </c>
      <c r="AB318" s="2063"/>
      <c r="AC318" s="2063"/>
      <c r="AD318" s="2063"/>
      <c r="AE318" s="2063"/>
      <c r="AF318" s="2063"/>
      <c r="AG318" s="2063"/>
      <c r="AH318" s="2063"/>
      <c r="AI318" s="2063"/>
      <c r="AJ318" s="2063"/>
      <c r="AK318" s="2063"/>
      <c r="BN318" s="61"/>
    </row>
    <row r="319" spans="2:66" ht="12.5">
      <c r="B319" s="58" t="s">
        <v>506</v>
      </c>
      <c r="C319" s="58"/>
      <c r="D319" s="58"/>
      <c r="E319" s="58"/>
      <c r="F319" s="58"/>
      <c r="H319" s="2050" t="s">
        <v>2511</v>
      </c>
      <c r="I319" s="2050"/>
      <c r="J319" s="2050"/>
      <c r="K319" s="2050"/>
      <c r="L319" s="2050"/>
      <c r="M319" s="2050"/>
      <c r="N319" s="2050"/>
      <c r="O319" s="2050"/>
      <c r="P319" s="2050"/>
      <c r="Q319" s="2050"/>
      <c r="R319" s="2050"/>
      <c r="T319" s="58" t="s">
        <v>506</v>
      </c>
      <c r="V319" s="58"/>
      <c r="W319" s="58"/>
      <c r="X319" s="58"/>
      <c r="Y319" s="58"/>
      <c r="AA319" s="2109" t="s">
        <v>2539</v>
      </c>
      <c r="AB319" s="2110"/>
      <c r="AC319" s="2110"/>
      <c r="AD319" s="2110"/>
      <c r="AE319" s="2110"/>
      <c r="AF319" s="2110"/>
      <c r="AG319" s="2110"/>
      <c r="AH319" s="2110"/>
      <c r="AI319" s="2110"/>
      <c r="AJ319" s="2110"/>
      <c r="AK319" s="2110"/>
      <c r="BN319" s="61"/>
    </row>
    <row r="320" spans="2:66" ht="12.5">
      <c r="B320" s="58" t="s">
        <v>507</v>
      </c>
      <c r="C320" s="58"/>
      <c r="D320" s="58"/>
      <c r="E320" s="58"/>
      <c r="F320" s="58"/>
      <c r="H320" s="2050" t="s">
        <v>2512</v>
      </c>
      <c r="I320" s="2050"/>
      <c r="J320" s="2050"/>
      <c r="K320" s="2050"/>
      <c r="L320" s="2050"/>
      <c r="M320" s="2050"/>
      <c r="N320" s="2050"/>
      <c r="O320" s="2050"/>
      <c r="P320" s="2050"/>
      <c r="Q320" s="2050"/>
      <c r="R320" s="2050"/>
      <c r="T320" s="58" t="s">
        <v>79</v>
      </c>
      <c r="V320" s="58"/>
      <c r="W320" s="58"/>
      <c r="X320" s="58"/>
      <c r="Y320" s="58"/>
      <c r="AA320" s="2109" t="s">
        <v>2540</v>
      </c>
      <c r="AB320" s="2110"/>
      <c r="AC320" s="2110"/>
      <c r="AD320" s="2110"/>
      <c r="AE320" s="2110"/>
      <c r="AF320" s="2110"/>
      <c r="AG320" s="2110"/>
      <c r="AH320" s="2110"/>
      <c r="AI320" s="2110"/>
      <c r="AJ320" s="2110"/>
      <c r="AK320" s="2110"/>
      <c r="BN320" s="61"/>
    </row>
    <row r="321" spans="1:66" ht="12.75" customHeight="1">
      <c r="A321" s="39"/>
      <c r="B321" s="58" t="s">
        <v>92</v>
      </c>
      <c r="C321" s="58"/>
      <c r="D321" s="58"/>
      <c r="E321" s="58"/>
      <c r="F321" s="58"/>
      <c r="H321" s="2051" t="s">
        <v>2535</v>
      </c>
      <c r="I321" s="2050"/>
      <c r="J321" s="2050"/>
      <c r="K321" s="2050"/>
      <c r="L321" s="2050"/>
      <c r="M321" s="2050"/>
      <c r="N321" s="2050"/>
      <c r="O321" s="2050"/>
      <c r="P321" s="2050"/>
      <c r="Q321" s="2050"/>
      <c r="R321" s="2050"/>
      <c r="T321" s="58" t="s">
        <v>92</v>
      </c>
      <c r="V321" s="58"/>
      <c r="W321" s="58"/>
      <c r="X321" s="58"/>
      <c r="Y321" s="58"/>
      <c r="AA321" s="2109" t="s">
        <v>2541</v>
      </c>
      <c r="AB321" s="2110"/>
      <c r="AC321" s="2110"/>
      <c r="AD321" s="2110"/>
      <c r="AE321" s="2110"/>
      <c r="AF321" s="2110"/>
      <c r="AG321" s="2110"/>
      <c r="AH321" s="2110"/>
      <c r="AI321" s="2110"/>
      <c r="AJ321" s="2110"/>
      <c r="AK321" s="2110"/>
      <c r="AL321" s="39"/>
      <c r="BN321" s="61"/>
    </row>
    <row r="322" spans="1:66" ht="12.5">
      <c r="A322" s="39"/>
      <c r="B322" s="58" t="s">
        <v>93</v>
      </c>
      <c r="C322" s="58"/>
      <c r="D322" s="58"/>
      <c r="E322" s="58"/>
      <c r="F322" s="58"/>
      <c r="G322" s="58"/>
      <c r="H322" s="2238" t="s">
        <v>2536</v>
      </c>
      <c r="I322" s="2239"/>
      <c r="J322" s="2239"/>
      <c r="K322" s="2239"/>
      <c r="L322" s="2239"/>
      <c r="M322" s="2239"/>
      <c r="N322" s="7" t="s">
        <v>212</v>
      </c>
      <c r="O322" s="7"/>
      <c r="P322" s="2235"/>
      <c r="Q322" s="2235"/>
      <c r="R322" s="2235"/>
      <c r="S322" s="58"/>
      <c r="T322" s="58" t="s">
        <v>93</v>
      </c>
      <c r="V322" s="58"/>
      <c r="W322" s="58"/>
      <c r="X322" s="58"/>
      <c r="Y322" s="58"/>
      <c r="AA322" s="2238" t="s">
        <v>2542</v>
      </c>
      <c r="AB322" s="2239"/>
      <c r="AC322" s="2239"/>
      <c r="AD322" s="2239"/>
      <c r="AE322" s="2239"/>
      <c r="AF322" s="2239"/>
      <c r="AG322" s="7" t="s">
        <v>212</v>
      </c>
      <c r="AH322" s="7"/>
      <c r="AI322" s="2235"/>
      <c r="AJ322" s="2235"/>
      <c r="AK322" s="2235"/>
      <c r="AL322" s="39"/>
      <c r="BN322" s="61"/>
    </row>
    <row r="323" spans="1:66" ht="12.75" customHeight="1">
      <c r="A323" s="39"/>
      <c r="B323" s="58" t="s">
        <v>94</v>
      </c>
      <c r="C323" s="58"/>
      <c r="D323" s="58"/>
      <c r="E323" s="58"/>
      <c r="F323" s="58"/>
      <c r="G323" s="58"/>
      <c r="H323" s="2087"/>
      <c r="I323" s="2087"/>
      <c r="J323" s="2087"/>
      <c r="K323" s="2087"/>
      <c r="L323" s="2087"/>
      <c r="M323" s="2087"/>
      <c r="N323" s="60"/>
      <c r="O323" s="60"/>
      <c r="P323" s="62"/>
      <c r="Q323" s="62"/>
      <c r="R323" s="62"/>
      <c r="S323" s="58"/>
      <c r="T323" s="58" t="s">
        <v>94</v>
      </c>
      <c r="V323" s="58"/>
      <c r="W323" s="58"/>
      <c r="X323" s="58"/>
      <c r="Y323" s="58"/>
      <c r="AA323" s="2087"/>
      <c r="AB323" s="2087"/>
      <c r="AC323" s="2087"/>
      <c r="AD323" s="2087"/>
      <c r="AE323" s="2087"/>
      <c r="AF323" s="2087"/>
      <c r="AG323" s="60"/>
      <c r="AH323" s="60"/>
      <c r="AI323" s="62"/>
      <c r="AJ323" s="62"/>
      <c r="AK323" s="62"/>
      <c r="AL323" s="39"/>
    </row>
    <row r="324" spans="1:66" ht="12.5">
      <c r="A324" s="39"/>
      <c r="B324" s="58" t="s">
        <v>80</v>
      </c>
      <c r="C324" s="58"/>
      <c r="D324" s="58"/>
      <c r="E324" s="58"/>
      <c r="F324" s="58"/>
      <c r="G324" s="58"/>
      <c r="H324" s="2109" t="s">
        <v>2537</v>
      </c>
      <c r="I324" s="2110"/>
      <c r="J324" s="2110"/>
      <c r="K324" s="2110"/>
      <c r="L324" s="2110"/>
      <c r="M324" s="2110"/>
      <c r="N324" s="2063"/>
      <c r="O324" s="2063"/>
      <c r="P324" s="2063"/>
      <c r="Q324" s="2063"/>
      <c r="R324" s="2063"/>
      <c r="S324" s="58"/>
      <c r="T324" s="58" t="s">
        <v>80</v>
      </c>
      <c r="V324" s="58"/>
      <c r="W324" s="58"/>
      <c r="X324" s="58"/>
      <c r="Y324" s="58"/>
      <c r="AA324" s="2109" t="s">
        <v>2543</v>
      </c>
      <c r="AB324" s="2110"/>
      <c r="AC324" s="2110"/>
      <c r="AD324" s="2110"/>
      <c r="AE324" s="2110"/>
      <c r="AF324" s="2110"/>
      <c r="AG324" s="2063"/>
      <c r="AH324" s="2063"/>
      <c r="AI324" s="2063"/>
      <c r="AJ324" s="2063"/>
      <c r="AK324" s="2063"/>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379</v>
      </c>
      <c r="C326" s="58"/>
      <c r="D326" s="58"/>
      <c r="E326" s="58"/>
      <c r="F326" s="58"/>
      <c r="H326" s="1867" t="s">
        <v>2513</v>
      </c>
      <c r="I326" s="1867"/>
      <c r="J326" s="1867"/>
      <c r="K326" s="1867"/>
      <c r="L326" s="1867"/>
      <c r="M326" s="1867"/>
      <c r="N326" s="1867"/>
      <c r="O326" s="1867"/>
      <c r="P326" s="1867"/>
      <c r="Q326" s="1867"/>
      <c r="R326" s="1867"/>
      <c r="T326" s="58" t="s">
        <v>380</v>
      </c>
      <c r="V326" s="58"/>
      <c r="W326" s="58"/>
      <c r="X326" s="58"/>
      <c r="Y326" s="58"/>
      <c r="AA326" s="2063" t="s">
        <v>628</v>
      </c>
      <c r="AB326" s="2063"/>
      <c r="AC326" s="2063"/>
      <c r="AD326" s="2063"/>
      <c r="AE326" s="2063"/>
      <c r="AF326" s="2063"/>
      <c r="AG326" s="2063"/>
      <c r="AH326" s="2063"/>
      <c r="AI326" s="2063"/>
      <c r="AJ326" s="2063"/>
      <c r="AK326" s="2063"/>
      <c r="AL326" s="39"/>
    </row>
    <row r="327" spans="1:66" ht="12.5">
      <c r="A327" s="39"/>
      <c r="B327" s="58" t="s">
        <v>506</v>
      </c>
      <c r="C327" s="58"/>
      <c r="D327" s="58"/>
      <c r="E327" s="58"/>
      <c r="F327" s="58"/>
      <c r="H327" s="1866" t="s">
        <v>2514</v>
      </c>
      <c r="I327" s="1866"/>
      <c r="J327" s="1866"/>
      <c r="K327" s="1866"/>
      <c r="L327" s="1866"/>
      <c r="M327" s="1866"/>
      <c r="N327" s="1866"/>
      <c r="O327" s="1866"/>
      <c r="P327" s="1866"/>
      <c r="Q327" s="1866"/>
      <c r="R327" s="1866"/>
      <c r="T327" s="58" t="s">
        <v>506</v>
      </c>
      <c r="V327" s="58"/>
      <c r="W327" s="58"/>
      <c r="X327" s="58"/>
      <c r="Y327" s="58"/>
      <c r="AA327" s="2110"/>
      <c r="AB327" s="2110"/>
      <c r="AC327" s="2110"/>
      <c r="AD327" s="2110"/>
      <c r="AE327" s="2110"/>
      <c r="AF327" s="2110"/>
      <c r="AG327" s="2110"/>
      <c r="AH327" s="2110"/>
      <c r="AI327" s="2110"/>
      <c r="AJ327" s="2110"/>
      <c r="AK327" s="2110"/>
      <c r="AL327" s="39"/>
    </row>
    <row r="328" spans="1:66" ht="12.5">
      <c r="A328" s="39"/>
      <c r="B328" s="58" t="s">
        <v>507</v>
      </c>
      <c r="C328" s="58"/>
      <c r="D328" s="58"/>
      <c r="E328" s="58"/>
      <c r="F328" s="58"/>
      <c r="H328" s="1866" t="s">
        <v>2515</v>
      </c>
      <c r="I328" s="1866"/>
      <c r="J328" s="1866"/>
      <c r="K328" s="1866"/>
      <c r="L328" s="1866"/>
      <c r="M328" s="1866"/>
      <c r="N328" s="1866"/>
      <c r="O328" s="1866"/>
      <c r="P328" s="1866"/>
      <c r="Q328" s="1866"/>
      <c r="R328" s="1866"/>
      <c r="T328" s="58" t="s">
        <v>79</v>
      </c>
      <c r="V328" s="58"/>
      <c r="W328" s="58"/>
      <c r="X328" s="58"/>
      <c r="Y328" s="58"/>
      <c r="AA328" s="2110"/>
      <c r="AB328" s="2110"/>
      <c r="AC328" s="2110"/>
      <c r="AD328" s="2110"/>
      <c r="AE328" s="2110"/>
      <c r="AF328" s="2110"/>
      <c r="AG328" s="2110"/>
      <c r="AH328" s="2110"/>
      <c r="AI328" s="2110"/>
      <c r="AJ328" s="2110"/>
      <c r="AK328" s="2110"/>
      <c r="AL328" s="39"/>
    </row>
    <row r="329" spans="1:66" ht="12.5">
      <c r="A329" s="39"/>
      <c r="B329" s="58" t="s">
        <v>92</v>
      </c>
      <c r="C329" s="58"/>
      <c r="D329" s="58"/>
      <c r="E329" s="58"/>
      <c r="F329" s="58"/>
      <c r="H329" s="1866" t="s">
        <v>2516</v>
      </c>
      <c r="I329" s="1866"/>
      <c r="J329" s="1866"/>
      <c r="K329" s="1866"/>
      <c r="L329" s="1866"/>
      <c r="M329" s="1866"/>
      <c r="N329" s="1866"/>
      <c r="O329" s="1866"/>
      <c r="P329" s="1866"/>
      <c r="Q329" s="1866"/>
      <c r="R329" s="1866"/>
      <c r="T329" s="58" t="s">
        <v>92</v>
      </c>
      <c r="V329" s="58"/>
      <c r="W329" s="58"/>
      <c r="X329" s="58"/>
      <c r="Y329" s="58"/>
      <c r="AA329" s="2110"/>
      <c r="AB329" s="2110"/>
      <c r="AC329" s="2110"/>
      <c r="AD329" s="2110"/>
      <c r="AE329" s="2110"/>
      <c r="AF329" s="2110"/>
      <c r="AG329" s="2110"/>
      <c r="AH329" s="2110"/>
      <c r="AI329" s="2110"/>
      <c r="AJ329" s="2110"/>
      <c r="AK329" s="2110"/>
      <c r="AL329" s="39"/>
    </row>
    <row r="330" spans="1:66" ht="12.75" customHeight="1">
      <c r="A330" s="39"/>
      <c r="B330" s="58" t="s">
        <v>93</v>
      </c>
      <c r="C330" s="58"/>
      <c r="D330" s="58"/>
      <c r="E330" s="58"/>
      <c r="F330" s="58"/>
      <c r="G330" s="58"/>
      <c r="H330" s="1868" t="s">
        <v>2517</v>
      </c>
      <c r="I330" s="1868"/>
      <c r="J330" s="1868"/>
      <c r="K330" s="1868"/>
      <c r="L330" s="1868"/>
      <c r="M330" s="1868"/>
      <c r="N330" s="7" t="s">
        <v>212</v>
      </c>
      <c r="O330" s="7"/>
      <c r="P330" s="2235"/>
      <c r="Q330" s="2235"/>
      <c r="R330" s="2235"/>
      <c r="S330" s="58"/>
      <c r="T330" s="58" t="s">
        <v>93</v>
      </c>
      <c r="V330" s="58"/>
      <c r="W330" s="58"/>
      <c r="X330" s="58"/>
      <c r="Y330" s="58"/>
      <c r="AA330" s="2239"/>
      <c r="AB330" s="2239"/>
      <c r="AC330" s="2239"/>
      <c r="AD330" s="2239"/>
      <c r="AE330" s="2239"/>
      <c r="AF330" s="2239"/>
      <c r="AG330" s="7" t="s">
        <v>212</v>
      </c>
      <c r="AH330" s="7"/>
      <c r="AI330" s="2235"/>
      <c r="AJ330" s="2235"/>
      <c r="AK330" s="2235"/>
      <c r="AL330" s="39"/>
    </row>
    <row r="331" spans="1:66" ht="12.5">
      <c r="A331" s="39"/>
      <c r="B331" s="58" t="s">
        <v>94</v>
      </c>
      <c r="C331" s="58"/>
      <c r="D331" s="58"/>
      <c r="E331" s="58"/>
      <c r="F331" s="58"/>
      <c r="G331" s="58"/>
      <c r="H331" s="2087"/>
      <c r="I331" s="2087"/>
      <c r="J331" s="2087"/>
      <c r="K331" s="2087"/>
      <c r="L331" s="2087"/>
      <c r="M331" s="2087"/>
      <c r="N331" s="60"/>
      <c r="O331" s="60"/>
      <c r="P331" s="62"/>
      <c r="Q331" s="62"/>
      <c r="R331" s="62"/>
      <c r="S331" s="58"/>
      <c r="T331" s="58" t="s">
        <v>94</v>
      </c>
      <c r="V331" s="58"/>
      <c r="W331" s="58"/>
      <c r="X331" s="58"/>
      <c r="Y331" s="58"/>
      <c r="AA331" s="2087"/>
      <c r="AB331" s="2087"/>
      <c r="AC331" s="2087"/>
      <c r="AD331" s="2087"/>
      <c r="AE331" s="2087"/>
      <c r="AF331" s="2087"/>
      <c r="AG331" s="60"/>
      <c r="AH331" s="60"/>
      <c r="AI331" s="62"/>
      <c r="AJ331" s="62"/>
      <c r="AK331" s="62"/>
      <c r="AL331" s="39"/>
    </row>
    <row r="332" spans="1:66" ht="12.5">
      <c r="A332" s="39"/>
      <c r="B332" s="58" t="s">
        <v>80</v>
      </c>
      <c r="C332" s="58"/>
      <c r="D332" s="58"/>
      <c r="E332" s="58"/>
      <c r="F332" s="58"/>
      <c r="G332" s="58"/>
      <c r="H332" s="1869" t="s">
        <v>2518</v>
      </c>
      <c r="I332" s="1869"/>
      <c r="J332" s="1869"/>
      <c r="K332" s="1869"/>
      <c r="L332" s="1869"/>
      <c r="M332" s="1869"/>
      <c r="N332" s="1870"/>
      <c r="O332" s="1870"/>
      <c r="P332" s="1870"/>
      <c r="Q332" s="1870"/>
      <c r="R332" s="1870"/>
      <c r="S332" s="58"/>
      <c r="T332" s="58" t="s">
        <v>80</v>
      </c>
      <c r="V332" s="58"/>
      <c r="W332" s="58"/>
      <c r="X332" s="58"/>
      <c r="Y332" s="58"/>
      <c r="AA332" s="2110"/>
      <c r="AB332" s="2110"/>
      <c r="AC332" s="2110"/>
      <c r="AD332" s="2110"/>
      <c r="AE332" s="2110"/>
      <c r="AF332" s="2110"/>
      <c r="AG332" s="2063"/>
      <c r="AH332" s="2063"/>
      <c r="AI332" s="2063"/>
      <c r="AJ332" s="2063"/>
      <c r="AK332" s="206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62" t="s">
        <v>2471</v>
      </c>
      <c r="I334" s="2063"/>
      <c r="J334" s="2063"/>
      <c r="K334" s="2063"/>
      <c r="L334" s="2063"/>
      <c r="M334" s="2063"/>
      <c r="N334" s="2063"/>
      <c r="O334" s="2063"/>
      <c r="P334" s="2063"/>
      <c r="Q334" s="2063"/>
      <c r="R334" s="2063"/>
      <c r="T334" s="406" t="s">
        <v>956</v>
      </c>
      <c r="V334" s="58"/>
      <c r="W334" s="58"/>
      <c r="X334" s="58"/>
      <c r="Y334" s="58"/>
      <c r="AA334" s="2062" t="s">
        <v>2544</v>
      </c>
      <c r="AB334" s="2063"/>
      <c r="AC334" s="2063"/>
      <c r="AD334" s="2063"/>
      <c r="AE334" s="2063"/>
      <c r="AF334" s="2063"/>
      <c r="AG334" s="2063"/>
      <c r="AH334" s="2063"/>
      <c r="AI334" s="2063"/>
      <c r="AJ334" s="2063"/>
      <c r="AK334" s="2063"/>
      <c r="AL334" s="39"/>
    </row>
    <row r="335" spans="1:66" ht="12.75" customHeight="1">
      <c r="B335" s="58" t="s">
        <v>506</v>
      </c>
      <c r="C335" s="240"/>
      <c r="D335" s="240"/>
      <c r="E335" s="240"/>
      <c r="F335" s="240"/>
      <c r="G335" s="3"/>
      <c r="H335" s="2109" t="s">
        <v>2473</v>
      </c>
      <c r="I335" s="2110"/>
      <c r="J335" s="2110"/>
      <c r="K335" s="2110"/>
      <c r="L335" s="2110"/>
      <c r="M335" s="2110"/>
      <c r="N335" s="2110"/>
      <c r="O335" s="2110"/>
      <c r="P335" s="2110"/>
      <c r="Q335" s="2110"/>
      <c r="R335" s="2110"/>
      <c r="T335" s="58" t="s">
        <v>506</v>
      </c>
      <c r="V335" s="58"/>
      <c r="W335" s="58"/>
      <c r="X335" s="58"/>
      <c r="Y335" s="58"/>
      <c r="AA335" s="2109" t="s">
        <v>2545</v>
      </c>
      <c r="AB335" s="2110"/>
      <c r="AC335" s="2110"/>
      <c r="AD335" s="2110"/>
      <c r="AE335" s="2110"/>
      <c r="AF335" s="2110"/>
      <c r="AG335" s="2110"/>
      <c r="AH335" s="2110"/>
      <c r="AI335" s="2110"/>
      <c r="AJ335" s="2110"/>
      <c r="AK335" s="2110"/>
      <c r="AL335" s="39"/>
    </row>
    <row r="336" spans="1:66" ht="12.75" customHeight="1">
      <c r="B336" s="58" t="s">
        <v>79</v>
      </c>
      <c r="C336" s="240"/>
      <c r="D336" s="240"/>
      <c r="E336" s="240"/>
      <c r="F336" s="240"/>
      <c r="G336" s="3"/>
      <c r="H336" s="2109" t="s">
        <v>2492</v>
      </c>
      <c r="I336" s="2110"/>
      <c r="J336" s="2110"/>
      <c r="K336" s="2110"/>
      <c r="L336" s="2110"/>
      <c r="M336" s="2110"/>
      <c r="N336" s="2110"/>
      <c r="O336" s="2110"/>
      <c r="P336" s="2110"/>
      <c r="Q336" s="2110"/>
      <c r="R336" s="2110"/>
      <c r="T336" s="58" t="s">
        <v>79</v>
      </c>
      <c r="V336" s="58"/>
      <c r="W336" s="58"/>
      <c r="X336" s="58"/>
      <c r="Y336" s="58"/>
      <c r="AA336" s="2109" t="s">
        <v>2546</v>
      </c>
      <c r="AB336" s="2110"/>
      <c r="AC336" s="2110"/>
      <c r="AD336" s="2110"/>
      <c r="AE336" s="2110"/>
      <c r="AF336" s="2110"/>
      <c r="AG336" s="2110"/>
      <c r="AH336" s="2110"/>
      <c r="AI336" s="2110"/>
      <c r="AJ336" s="2110"/>
      <c r="AK336" s="2110"/>
      <c r="AL336" s="39"/>
    </row>
    <row r="337" spans="1:66" ht="12.75" customHeight="1">
      <c r="A337" s="39"/>
      <c r="B337" s="58" t="s">
        <v>92</v>
      </c>
      <c r="C337" s="240"/>
      <c r="D337" s="240"/>
      <c r="E337" s="240"/>
      <c r="F337" s="240"/>
      <c r="G337" s="240"/>
      <c r="H337" s="2110" t="s">
        <v>2638</v>
      </c>
      <c r="I337" s="2110"/>
      <c r="J337" s="2110"/>
      <c r="K337" s="2110"/>
      <c r="L337" s="2110"/>
      <c r="M337" s="2110"/>
      <c r="N337" s="2110"/>
      <c r="O337" s="2110"/>
      <c r="P337" s="2110"/>
      <c r="Q337" s="2110"/>
      <c r="R337" s="2110"/>
      <c r="T337" s="58" t="s">
        <v>92</v>
      </c>
      <c r="V337" s="58"/>
      <c r="W337" s="58"/>
      <c r="X337" s="58"/>
      <c r="Y337" s="58"/>
      <c r="AA337" s="2109" t="s">
        <v>2547</v>
      </c>
      <c r="AB337" s="2110"/>
      <c r="AC337" s="2110"/>
      <c r="AD337" s="2110"/>
      <c r="AE337" s="2110"/>
      <c r="AF337" s="2110"/>
      <c r="AG337" s="2110"/>
      <c r="AH337" s="2110"/>
      <c r="AI337" s="2110"/>
      <c r="AJ337" s="2110"/>
      <c r="AK337" s="2110"/>
      <c r="AL337" s="39"/>
    </row>
    <row r="338" spans="1:66" ht="12.75" customHeight="1">
      <c r="A338" s="39"/>
      <c r="B338" s="58" t="s">
        <v>93</v>
      </c>
      <c r="C338" s="240"/>
      <c r="D338" s="240"/>
      <c r="E338" s="240"/>
      <c r="F338" s="240"/>
      <c r="G338" s="240"/>
      <c r="H338" s="2238" t="s">
        <v>2641</v>
      </c>
      <c r="I338" s="2239"/>
      <c r="J338" s="2239"/>
      <c r="K338" s="2239"/>
      <c r="L338" s="2239"/>
      <c r="M338" s="2239"/>
      <c r="N338" s="7" t="s">
        <v>212</v>
      </c>
      <c r="O338" s="7"/>
      <c r="P338" s="2235"/>
      <c r="Q338" s="2235"/>
      <c r="R338" s="2235"/>
      <c r="S338" s="58"/>
      <c r="T338" s="58" t="s">
        <v>93</v>
      </c>
      <c r="V338" s="58"/>
      <c r="W338" s="58"/>
      <c r="X338" s="58"/>
      <c r="Y338" s="58"/>
      <c r="AA338" s="2238" t="s">
        <v>2548</v>
      </c>
      <c r="AB338" s="2239"/>
      <c r="AC338" s="2239"/>
      <c r="AD338" s="2239"/>
      <c r="AE338" s="2239"/>
      <c r="AF338" s="2239"/>
      <c r="AG338" s="7" t="s">
        <v>212</v>
      </c>
      <c r="AH338" s="7"/>
      <c r="AI338" s="2235"/>
      <c r="AJ338" s="2235"/>
      <c r="AK338" s="2235"/>
      <c r="AL338" s="39"/>
    </row>
    <row r="339" spans="1:66" ht="12.5">
      <c r="A339" s="39"/>
      <c r="B339" s="58" t="s">
        <v>94</v>
      </c>
      <c r="C339" s="240"/>
      <c r="D339" s="240"/>
      <c r="E339" s="240"/>
      <c r="F339" s="240"/>
      <c r="G339" s="240"/>
      <c r="H339" s="2087"/>
      <c r="I339" s="2087"/>
      <c r="J339" s="2087"/>
      <c r="K339" s="2087"/>
      <c r="L339" s="2087"/>
      <c r="M339" s="2087"/>
      <c r="N339" s="60"/>
      <c r="O339" s="60"/>
      <c r="P339" s="62"/>
      <c r="Q339" s="62"/>
      <c r="R339" s="62"/>
      <c r="S339" s="58"/>
      <c r="T339" s="58" t="s">
        <v>94</v>
      </c>
      <c r="V339" s="58"/>
      <c r="W339" s="58"/>
      <c r="X339" s="58"/>
      <c r="Y339" s="58"/>
      <c r="AA339" s="2087"/>
      <c r="AB339" s="2087"/>
      <c r="AC339" s="2087"/>
      <c r="AD339" s="2087"/>
      <c r="AE339" s="2087"/>
      <c r="AF339" s="2087"/>
      <c r="AG339" s="60"/>
      <c r="AH339" s="60"/>
      <c r="AI339" s="62"/>
      <c r="AJ339" s="62"/>
      <c r="AK339" s="62"/>
      <c r="AL339" s="39"/>
    </row>
    <row r="340" spans="1:66" ht="12.5">
      <c r="A340" s="39"/>
      <c r="B340" s="58" t="s">
        <v>80</v>
      </c>
      <c r="C340" s="237"/>
      <c r="D340" s="237"/>
      <c r="E340" s="237"/>
      <c r="F340" s="237"/>
      <c r="G340" s="237"/>
      <c r="H340" s="2110" t="s">
        <v>2639</v>
      </c>
      <c r="I340" s="2110"/>
      <c r="J340" s="2110"/>
      <c r="K340" s="2110"/>
      <c r="L340" s="2110"/>
      <c r="M340" s="2110"/>
      <c r="N340" s="2063"/>
      <c r="O340" s="2063"/>
      <c r="P340" s="2063"/>
      <c r="Q340" s="2063"/>
      <c r="R340" s="2063"/>
      <c r="S340" s="58"/>
      <c r="T340" s="58" t="s">
        <v>80</v>
      </c>
      <c r="V340" s="58"/>
      <c r="W340" s="58"/>
      <c r="X340" s="58"/>
      <c r="Y340" s="58"/>
      <c r="AA340" s="2109" t="s">
        <v>2549</v>
      </c>
      <c r="AB340" s="2110"/>
      <c r="AC340" s="2110"/>
      <c r="AD340" s="2110"/>
      <c r="AE340" s="2110"/>
      <c r="AF340" s="2110"/>
      <c r="AG340" s="2063"/>
      <c r="AH340" s="2063"/>
      <c r="AI340" s="2063"/>
      <c r="AJ340" s="2063"/>
      <c r="AK340" s="206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7"/>
      <c r="D342" s="407"/>
      <c r="E342" s="407"/>
      <c r="F342" s="407"/>
      <c r="G342" s="88"/>
      <c r="H342" s="88"/>
      <c r="I342" s="406" t="s">
        <v>957</v>
      </c>
      <c r="P342" s="2063" t="s">
        <v>628</v>
      </c>
      <c r="Q342" s="2063"/>
      <c r="R342" s="2063"/>
      <c r="S342" s="2063"/>
      <c r="T342" s="2063"/>
      <c r="U342" s="2063"/>
      <c r="V342" s="2063"/>
      <c r="W342" s="2063"/>
      <c r="X342" s="2063"/>
      <c r="Y342" s="2063"/>
      <c r="Z342" s="2063"/>
      <c r="AA342" s="2063"/>
      <c r="AB342" s="2063"/>
      <c r="AC342" s="2063"/>
      <c r="AD342" s="2063"/>
      <c r="AE342" s="2063"/>
      <c r="AF342" s="88"/>
      <c r="AG342" s="88"/>
      <c r="AH342" s="88"/>
      <c r="AI342" s="88"/>
      <c r="AJ342" s="88"/>
      <c r="AK342" s="88"/>
      <c r="AL342" s="39"/>
      <c r="BN342" s="12" t="s">
        <v>628</v>
      </c>
    </row>
    <row r="343" spans="1:66" ht="12.5">
      <c r="A343" s="3"/>
      <c r="B343" s="60"/>
      <c r="C343" s="60"/>
      <c r="D343" s="60"/>
      <c r="E343" s="60"/>
      <c r="F343" s="60"/>
      <c r="G343" s="3"/>
      <c r="H343" s="88"/>
      <c r="I343" s="7" t="s">
        <v>506</v>
      </c>
      <c r="P343" s="2110"/>
      <c r="Q343" s="2110"/>
      <c r="R343" s="2110"/>
      <c r="S343" s="2110"/>
      <c r="T343" s="2110"/>
      <c r="U343" s="2110"/>
      <c r="V343" s="2110"/>
      <c r="W343" s="2110"/>
      <c r="X343" s="2110"/>
      <c r="Y343" s="2110"/>
      <c r="Z343" s="2110"/>
      <c r="AA343" s="2110"/>
      <c r="AB343" s="2110"/>
      <c r="AC343" s="2110"/>
      <c r="AD343" s="2110"/>
      <c r="AE343" s="2110"/>
      <c r="AF343" s="88"/>
      <c r="AG343" s="88"/>
      <c r="AH343" s="88"/>
      <c r="AI343" s="88"/>
      <c r="AJ343" s="88"/>
      <c r="AK343" s="88"/>
      <c r="AL343" s="39"/>
      <c r="BN343" s="12" t="s">
        <v>708</v>
      </c>
    </row>
    <row r="344" spans="1:66" ht="12.5">
      <c r="A344" s="3"/>
      <c r="B344" s="60"/>
      <c r="C344" s="60"/>
      <c r="D344" s="60"/>
      <c r="E344" s="60"/>
      <c r="F344" s="60"/>
      <c r="G344" s="3"/>
      <c r="H344" s="88"/>
      <c r="I344" s="7" t="s">
        <v>79</v>
      </c>
      <c r="P344" s="2110"/>
      <c r="Q344" s="2110"/>
      <c r="R344" s="2110"/>
      <c r="S344" s="2110"/>
      <c r="T344" s="2110"/>
      <c r="U344" s="2110"/>
      <c r="V344" s="2110"/>
      <c r="W344" s="2110"/>
      <c r="X344" s="2110"/>
      <c r="Y344" s="2110"/>
      <c r="Z344" s="2110"/>
      <c r="AA344" s="2110"/>
      <c r="AB344" s="2110"/>
      <c r="AC344" s="2110"/>
      <c r="AD344" s="2110"/>
      <c r="AE344" s="2110"/>
      <c r="AF344" s="88"/>
      <c r="AG344" s="88"/>
      <c r="AH344" s="88"/>
      <c r="AI344" s="88"/>
      <c r="AJ344" s="88"/>
      <c r="AK344" s="88"/>
      <c r="AL344" s="39"/>
      <c r="BN344" s="12" t="s">
        <v>580</v>
      </c>
    </row>
    <row r="345" spans="1:66" ht="12.5">
      <c r="A345" s="3"/>
      <c r="B345" s="60"/>
      <c r="C345" s="60"/>
      <c r="D345" s="60"/>
      <c r="E345" s="60"/>
      <c r="F345" s="60"/>
      <c r="G345" s="60"/>
      <c r="H345" s="88"/>
      <c r="I345" s="7" t="s">
        <v>92</v>
      </c>
      <c r="P345" s="2110"/>
      <c r="Q345" s="2110"/>
      <c r="R345" s="2110"/>
      <c r="S345" s="2110"/>
      <c r="T345" s="2110"/>
      <c r="U345" s="2110"/>
      <c r="V345" s="2110"/>
      <c r="W345" s="2110"/>
      <c r="X345" s="2110"/>
      <c r="Y345" s="2110"/>
      <c r="Z345" s="2110"/>
      <c r="AA345" s="2110"/>
      <c r="AB345" s="2110"/>
      <c r="AC345" s="2110"/>
      <c r="AD345" s="2110"/>
      <c r="AE345" s="2110"/>
      <c r="AF345" s="88"/>
      <c r="AG345" s="88"/>
      <c r="AH345" s="88"/>
      <c r="AI345" s="88"/>
      <c r="AJ345" s="88"/>
      <c r="AK345" s="88"/>
      <c r="AL345" s="39"/>
    </row>
    <row r="346" spans="1:66" ht="12.5">
      <c r="A346" s="3"/>
      <c r="B346" s="60"/>
      <c r="C346" s="60"/>
      <c r="D346" s="60"/>
      <c r="E346" s="60"/>
      <c r="F346" s="60"/>
      <c r="G346" s="60"/>
      <c r="H346" s="466"/>
      <c r="I346" s="7" t="s">
        <v>93</v>
      </c>
      <c r="P346" s="2087"/>
      <c r="Q346" s="2087"/>
      <c r="R346" s="2087"/>
      <c r="S346" s="2087"/>
      <c r="T346" s="2087"/>
      <c r="U346" s="2087"/>
      <c r="V346" s="2087"/>
      <c r="W346" s="2087"/>
      <c r="X346" s="2087"/>
      <c r="Y346" s="2087"/>
      <c r="Z346" s="2087"/>
      <c r="AA346" s="7" t="s">
        <v>212</v>
      </c>
      <c r="AB346" s="7"/>
      <c r="AC346" s="2172"/>
      <c r="AD346" s="2172"/>
      <c r="AE346" s="2172"/>
      <c r="AF346" s="466"/>
      <c r="AG346" s="60"/>
      <c r="AH346" s="60"/>
      <c r="AI346" s="407"/>
      <c r="AJ346" s="407"/>
      <c r="AK346" s="407"/>
      <c r="AL346" s="39"/>
    </row>
    <row r="347" spans="1:66" ht="12.75" customHeight="1">
      <c r="A347" s="3"/>
      <c r="B347" s="60"/>
      <c r="C347" s="60"/>
      <c r="D347" s="60"/>
      <c r="E347" s="60"/>
      <c r="F347" s="60"/>
      <c r="G347" s="60"/>
      <c r="H347" s="466"/>
      <c r="I347" s="7" t="s">
        <v>94</v>
      </c>
      <c r="P347" s="2087"/>
      <c r="Q347" s="2087"/>
      <c r="R347" s="2087"/>
      <c r="S347" s="2087"/>
      <c r="T347" s="2087"/>
      <c r="U347" s="2087"/>
      <c r="V347" s="2087"/>
      <c r="W347" s="2087"/>
      <c r="X347" s="2087"/>
      <c r="Y347" s="2087"/>
      <c r="Z347" s="2087"/>
      <c r="AF347" s="466"/>
      <c r="AG347" s="60"/>
      <c r="AH347" s="60"/>
      <c r="AI347" s="62"/>
      <c r="AJ347" s="62"/>
      <c r="AK347" s="62"/>
      <c r="AL347" s="39"/>
    </row>
    <row r="348" spans="1:66" ht="12.5">
      <c r="A348" s="3"/>
      <c r="B348" s="60"/>
      <c r="C348" s="407"/>
      <c r="D348" s="407"/>
      <c r="E348" s="407"/>
      <c r="F348" s="407"/>
      <c r="G348" s="407"/>
      <c r="H348" s="88"/>
      <c r="I348" s="7" t="s">
        <v>80</v>
      </c>
      <c r="P348" s="2063"/>
      <c r="Q348" s="2063"/>
      <c r="R348" s="2063"/>
      <c r="S348" s="2063"/>
      <c r="T348" s="2063"/>
      <c r="U348" s="2063"/>
      <c r="V348" s="2063"/>
      <c r="W348" s="2063"/>
      <c r="X348" s="2063"/>
      <c r="Y348" s="2063"/>
      <c r="Z348" s="2063"/>
      <c r="AA348" s="2063"/>
      <c r="AB348" s="2063"/>
      <c r="AC348" s="2063"/>
      <c r="AD348" s="2063"/>
      <c r="AE348" s="206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202" t="s">
        <v>577</v>
      </c>
      <c r="B350" s="2202"/>
      <c r="C350" s="2202"/>
      <c r="D350" s="2202"/>
      <c r="E350" s="2202"/>
      <c r="F350" s="2202"/>
      <c r="G350" s="2202"/>
      <c r="H350" s="2202"/>
      <c r="I350" s="2202"/>
      <c r="J350" s="2202"/>
      <c r="K350" s="2202"/>
      <c r="L350" s="2202"/>
      <c r="M350" s="2202"/>
      <c r="N350" s="2202"/>
      <c r="O350" s="2202"/>
      <c r="P350" s="2202"/>
      <c r="Q350" s="2202"/>
      <c r="R350" s="2202"/>
      <c r="S350" s="2202"/>
      <c r="T350" s="2202"/>
      <c r="U350" s="2202"/>
      <c r="V350" s="2202"/>
      <c r="W350" s="2202"/>
      <c r="X350" s="2202"/>
      <c r="Y350" s="2202"/>
      <c r="Z350" s="2202"/>
      <c r="AA350" s="2202"/>
      <c r="AB350" s="2202"/>
      <c r="AC350" s="2202"/>
      <c r="AD350" s="2202"/>
      <c r="AE350" s="2202"/>
      <c r="AF350" s="2202"/>
      <c r="AG350" s="2202"/>
      <c r="AH350" s="2202"/>
      <c r="AI350" s="2202"/>
      <c r="AJ350" s="2202"/>
      <c r="AK350" s="2202"/>
      <c r="AL350" s="2202"/>
      <c r="AM350" s="144"/>
      <c r="AN350" s="144"/>
      <c r="AO350" s="144"/>
      <c r="AP350" s="144"/>
      <c r="AQ350" s="144"/>
      <c r="AR350" s="144"/>
      <c r="AS350" s="144"/>
      <c r="AT350" s="144"/>
      <c r="AU350" s="144"/>
      <c r="AV350" s="144"/>
      <c r="AW350" s="144"/>
      <c r="AX350" s="144"/>
      <c r="AY350" s="144"/>
    </row>
    <row r="351" spans="1:66" ht="13.5" thickBot="1">
      <c r="A351" s="2203"/>
      <c r="B351" s="2203"/>
      <c r="C351" s="2203"/>
      <c r="D351" s="2203"/>
      <c r="E351" s="2203"/>
      <c r="F351" s="2203"/>
      <c r="G351" s="2203"/>
      <c r="H351" s="2203"/>
      <c r="I351" s="2203"/>
      <c r="J351" s="2203"/>
      <c r="K351" s="2203"/>
      <c r="L351" s="2203"/>
      <c r="M351" s="2203"/>
      <c r="N351" s="2203"/>
      <c r="O351" s="2203"/>
      <c r="P351" s="2203"/>
      <c r="Q351" s="2203"/>
      <c r="R351" s="2203"/>
      <c r="S351" s="2203"/>
      <c r="T351" s="2203"/>
      <c r="U351" s="2203"/>
      <c r="V351" s="2203"/>
      <c r="W351" s="2203"/>
      <c r="X351" s="2203"/>
      <c r="Y351" s="2203"/>
      <c r="Z351" s="2203"/>
      <c r="AA351" s="2203"/>
      <c r="AB351" s="2203"/>
      <c r="AC351" s="2203"/>
      <c r="AD351" s="2203"/>
      <c r="AE351" s="2203"/>
      <c r="AF351" s="2203"/>
      <c r="AG351" s="2203"/>
      <c r="AH351" s="2203"/>
      <c r="AI351" s="2203"/>
      <c r="AJ351" s="2203"/>
      <c r="AK351" s="2203"/>
      <c r="AL351" s="2203"/>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69" t="s">
        <v>580</v>
      </c>
      <c r="N354" s="2069"/>
      <c r="P354" s="12" t="s">
        <v>2018</v>
      </c>
      <c r="AJ354" s="2069" t="s">
        <v>708</v>
      </c>
      <c r="AK354" s="2069"/>
    </row>
    <row r="355" spans="1:37" ht="12.75" customHeight="1">
      <c r="D355" s="58" t="s">
        <v>2007</v>
      </c>
      <c r="M355" s="2069" t="s">
        <v>628</v>
      </c>
      <c r="N355" s="2069"/>
      <c r="P355" s="58" t="s">
        <v>2233</v>
      </c>
      <c r="AJ355" s="2162"/>
      <c r="AK355" s="2162"/>
    </row>
    <row r="356" spans="1:37" ht="12.75" customHeight="1">
      <c r="D356" s="12" t="s">
        <v>749</v>
      </c>
      <c r="M356" s="2069" t="s">
        <v>628</v>
      </c>
      <c r="N356" s="2069"/>
      <c r="P356" s="720" t="s">
        <v>2017</v>
      </c>
      <c r="AJ356" s="2069" t="s">
        <v>628</v>
      </c>
      <c r="AK356" s="2069"/>
    </row>
    <row r="357" spans="1:37" ht="12.75" customHeight="1">
      <c r="D357" s="12" t="s">
        <v>750</v>
      </c>
      <c r="M357" s="2069" t="s">
        <v>628</v>
      </c>
      <c r="N357" s="2069"/>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69" t="s">
        <v>628</v>
      </c>
      <c r="O362" s="2069"/>
      <c r="P362" s="69"/>
      <c r="Q362" s="69"/>
      <c r="R362" s="69"/>
      <c r="S362" s="69"/>
      <c r="T362" s="69"/>
      <c r="U362" s="69"/>
      <c r="V362" s="69"/>
      <c r="W362" s="69"/>
      <c r="X362" s="69"/>
      <c r="Y362" s="70"/>
      <c r="Z362" s="70"/>
      <c r="AC362" s="69"/>
      <c r="AD362" s="69"/>
      <c r="AE362" s="69"/>
    </row>
    <row r="363" spans="1:37" ht="12.75" customHeight="1">
      <c r="E363" s="12" t="s">
        <v>383</v>
      </c>
      <c r="Y363" s="2069" t="s">
        <v>628</v>
      </c>
      <c r="Z363" s="2069"/>
    </row>
    <row r="364" spans="1:37" ht="12.75" customHeight="1">
      <c r="D364" s="7" t="s">
        <v>1062</v>
      </c>
      <c r="Q364" s="2063" t="s">
        <v>628</v>
      </c>
      <c r="R364" s="2063"/>
      <c r="S364" s="2063"/>
      <c r="T364" s="2063"/>
      <c r="U364" s="2063"/>
      <c r="V364" s="2063"/>
      <c r="W364" s="2063"/>
      <c r="X364" s="2063"/>
      <c r="Y364" s="2063"/>
      <c r="Z364" s="2063"/>
      <c r="AA364" s="2063"/>
      <c r="AB364" s="2063"/>
      <c r="AC364" s="2063"/>
      <c r="AD364" s="2063"/>
      <c r="AE364" s="2063"/>
      <c r="AF364" s="2063"/>
      <c r="AG364" s="206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69" t="s">
        <v>628</v>
      </c>
      <c r="K366" s="2069"/>
      <c r="L366" s="69"/>
      <c r="M366" s="69"/>
      <c r="N366" s="69"/>
      <c r="O366" s="69"/>
      <c r="P366" s="69"/>
      <c r="Q366" s="69"/>
      <c r="R366" s="69"/>
      <c r="S366" s="69"/>
      <c r="T366" s="69"/>
      <c r="U366" s="69"/>
      <c r="V366" s="69"/>
      <c r="W366" s="69"/>
      <c r="X366" s="69"/>
      <c r="Y366" s="69"/>
      <c r="Z366" s="69"/>
      <c r="AC366" s="69"/>
      <c r="AD366" s="69"/>
      <c r="AE366" s="69"/>
    </row>
    <row r="367" spans="1:37" ht="12.75" customHeight="1">
      <c r="E367" s="2430" t="s">
        <v>751</v>
      </c>
      <c r="F367" s="2430"/>
      <c r="G367" s="2430"/>
      <c r="H367" s="2430"/>
      <c r="I367" s="2430"/>
      <c r="J367" s="2430"/>
      <c r="K367" s="2430"/>
      <c r="L367" s="2430"/>
      <c r="M367" s="2430"/>
      <c r="N367" s="2430"/>
      <c r="O367" s="2430"/>
      <c r="P367" s="2430"/>
      <c r="Q367" s="2430"/>
      <c r="R367" s="2430"/>
      <c r="S367" s="2430"/>
      <c r="T367" s="2430"/>
      <c r="U367" s="2430"/>
      <c r="V367" s="2430"/>
      <c r="W367" s="2430"/>
      <c r="X367" s="2430"/>
      <c r="Y367" s="2430"/>
      <c r="Z367" s="2430"/>
      <c r="AA367" s="2430"/>
      <c r="AB367" s="2430"/>
      <c r="AC367" s="2430"/>
      <c r="AD367" s="2430"/>
      <c r="AE367" s="2430"/>
      <c r="AF367" s="2430"/>
      <c r="AG367" s="2430"/>
      <c r="AH367" s="2430"/>
    </row>
    <row r="368" spans="1:37" ht="12.75" customHeight="1">
      <c r="E368" s="2430"/>
      <c r="F368" s="2430"/>
      <c r="G368" s="2430"/>
      <c r="H368" s="2430"/>
      <c r="I368" s="2430"/>
      <c r="J368" s="2430"/>
      <c r="K368" s="2430"/>
      <c r="L368" s="2430"/>
      <c r="M368" s="2430"/>
      <c r="N368" s="2430"/>
      <c r="O368" s="2430"/>
      <c r="P368" s="2430"/>
      <c r="Q368" s="2430"/>
      <c r="R368" s="2430"/>
      <c r="S368" s="2430"/>
      <c r="T368" s="2430"/>
      <c r="U368" s="2430"/>
      <c r="V368" s="2430"/>
      <c r="W368" s="2430"/>
      <c r="X368" s="2430"/>
      <c r="Y368" s="2430"/>
      <c r="Z368" s="2430"/>
      <c r="AA368" s="2430"/>
      <c r="AB368" s="2430"/>
      <c r="AC368" s="2430"/>
      <c r="AD368" s="2430"/>
      <c r="AE368" s="2430"/>
      <c r="AF368" s="2430"/>
      <c r="AG368" s="2430"/>
      <c r="AH368" s="2430"/>
    </row>
    <row r="369" spans="1:36" ht="12.75" customHeight="1">
      <c r="E369" s="7" t="s">
        <v>481</v>
      </c>
      <c r="F369" s="7"/>
      <c r="G369" s="7"/>
      <c r="H369" s="7"/>
      <c r="I369" s="7"/>
      <c r="J369" s="7"/>
      <c r="K369" s="7"/>
      <c r="L369" s="7"/>
      <c r="N369" s="2065"/>
      <c r="O369" s="2065"/>
      <c r="P369" s="2065"/>
      <c r="Q369" s="2065"/>
      <c r="R369" s="7"/>
      <c r="U369" s="7" t="s">
        <v>482</v>
      </c>
      <c r="V369" s="7"/>
      <c r="W369" s="7"/>
      <c r="X369" s="7"/>
      <c r="Y369" s="7"/>
      <c r="Z369" s="7"/>
      <c r="AA369" s="7"/>
      <c r="AB369" s="7"/>
      <c r="AC369" s="2065"/>
      <c r="AD369" s="2065"/>
      <c r="AE369" s="2065"/>
      <c r="AF369" s="2065"/>
    </row>
    <row r="370" spans="1:36" ht="12.75" customHeight="1">
      <c r="E370" s="7" t="s">
        <v>483</v>
      </c>
      <c r="F370" s="7"/>
      <c r="G370" s="7"/>
      <c r="H370" s="7"/>
      <c r="I370" s="7"/>
      <c r="J370" s="7"/>
      <c r="K370" s="7"/>
      <c r="L370" s="7"/>
      <c r="N370" s="2065"/>
      <c r="O370" s="2065"/>
      <c r="P370" s="2065"/>
      <c r="Q370" s="2065"/>
      <c r="R370" s="7"/>
      <c r="U370" s="7" t="s">
        <v>0</v>
      </c>
      <c r="V370" s="7"/>
      <c r="W370" s="7"/>
      <c r="X370" s="7"/>
      <c r="Y370" s="7"/>
      <c r="Z370" s="7"/>
      <c r="AA370" s="7"/>
      <c r="AB370" s="7"/>
      <c r="AC370" s="2065"/>
      <c r="AD370" s="2065"/>
      <c r="AE370" s="2065"/>
      <c r="AF370" s="2065"/>
    </row>
    <row r="371" spans="1:36" ht="12.75" customHeight="1">
      <c r="E371" s="7" t="s">
        <v>1</v>
      </c>
      <c r="F371" s="7"/>
      <c r="G371" s="7"/>
      <c r="H371" s="7"/>
      <c r="I371" s="7"/>
      <c r="J371" s="7"/>
      <c r="K371" s="7"/>
      <c r="L371" s="7"/>
      <c r="N371" s="2065"/>
      <c r="O371" s="2065"/>
      <c r="P371" s="2065"/>
      <c r="Q371" s="2065"/>
      <c r="R371" s="7"/>
      <c r="V371" s="7"/>
      <c r="W371" s="7"/>
      <c r="X371" s="7"/>
      <c r="Y371" s="7"/>
      <c r="Z371" s="7"/>
      <c r="AA371" s="7"/>
      <c r="AB371" s="7"/>
    </row>
    <row r="372" spans="1:36" ht="12.75" customHeight="1">
      <c r="E372" s="7" t="s">
        <v>2</v>
      </c>
      <c r="F372" s="7"/>
      <c r="G372" s="7"/>
      <c r="H372" s="7"/>
      <c r="I372" s="7"/>
      <c r="J372" s="7"/>
      <c r="K372" s="7"/>
      <c r="L372" s="7"/>
      <c r="N372" s="2088"/>
      <c r="O372" s="2088"/>
      <c r="P372" s="2088"/>
      <c r="Q372" s="2088"/>
      <c r="R372" s="2088"/>
      <c r="S372" s="2088"/>
      <c r="T372" s="2088"/>
      <c r="U372" s="2088"/>
      <c r="V372" s="2088"/>
      <c r="W372" s="2088"/>
      <c r="X372" s="2088"/>
      <c r="Y372" s="2088"/>
      <c r="Z372" s="2088"/>
      <c r="AA372" s="2088"/>
      <c r="AB372" s="2088"/>
      <c r="AC372" s="2088"/>
      <c r="AD372" s="2088"/>
      <c r="AE372" s="2088"/>
      <c r="AF372" s="2088"/>
    </row>
    <row r="373" spans="1:36" ht="12.75" customHeight="1">
      <c r="E373" s="7"/>
      <c r="F373" s="7"/>
      <c r="G373" s="7"/>
      <c r="H373" s="7"/>
      <c r="I373" s="7"/>
      <c r="J373" s="7"/>
      <c r="K373" s="7"/>
      <c r="L373" s="7"/>
      <c r="N373" s="2089"/>
      <c r="O373" s="2089"/>
      <c r="P373" s="2089"/>
      <c r="Q373" s="2089"/>
      <c r="R373" s="2089"/>
      <c r="S373" s="2089"/>
      <c r="T373" s="2089"/>
      <c r="U373" s="2089"/>
      <c r="V373" s="2089"/>
      <c r="W373" s="2089"/>
      <c r="X373" s="2089"/>
      <c r="Y373" s="2089"/>
      <c r="Z373" s="2089"/>
      <c r="AA373" s="2089"/>
      <c r="AB373" s="2089"/>
      <c r="AC373" s="2089"/>
      <c r="AD373" s="2089"/>
      <c r="AE373" s="2089"/>
      <c r="AF373" s="2089"/>
    </row>
    <row r="374" spans="1:36" ht="12.75" customHeight="1">
      <c r="C374" s="916"/>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315</v>
      </c>
      <c r="P376" s="25"/>
      <c r="Q376" s="25" t="s">
        <v>316</v>
      </c>
      <c r="S376" s="2174"/>
      <c r="T376" s="2174"/>
      <c r="U376" s="4" t="s">
        <v>317</v>
      </c>
      <c r="V376" s="2174"/>
      <c r="W376" s="2174"/>
      <c r="Y376" s="25" t="s">
        <v>315</v>
      </c>
      <c r="AA376" s="25"/>
      <c r="AB376" s="25" t="s">
        <v>316</v>
      </c>
      <c r="AD376" s="2174"/>
      <c r="AE376" s="2174"/>
      <c r="AF376" s="4" t="s">
        <v>317</v>
      </c>
      <c r="AG376" s="2174"/>
      <c r="AH376" s="2174"/>
    </row>
    <row r="377" spans="1:36" ht="12.75" customHeight="1">
      <c r="E377" s="7" t="s">
        <v>1093</v>
      </c>
      <c r="F377" s="7"/>
      <c r="G377" s="7"/>
      <c r="H377" s="7"/>
      <c r="I377" s="7"/>
      <c r="J377" s="7"/>
      <c r="K377" s="7"/>
      <c r="L377" s="7"/>
      <c r="N377" s="2174"/>
      <c r="O377" s="2174"/>
      <c r="P377" s="2174"/>
    </row>
    <row r="378" spans="1:36" ht="12.75" customHeight="1">
      <c r="E378" s="383" t="s">
        <v>1094</v>
      </c>
      <c r="F378" s="7"/>
      <c r="G378" s="7"/>
      <c r="H378" s="7"/>
      <c r="I378" s="7"/>
      <c r="J378" s="7"/>
      <c r="K378" s="7"/>
      <c r="L378" s="7"/>
      <c r="AG378" s="2220" t="s">
        <v>628</v>
      </c>
      <c r="AH378" s="2220"/>
    </row>
    <row r="379" spans="1:36" ht="12.75" customHeight="1">
      <c r="E379" s="7"/>
      <c r="F379" s="7"/>
      <c r="G379" s="7" t="s">
        <v>1115</v>
      </c>
      <c r="H379" s="7"/>
      <c r="I379" s="7"/>
      <c r="J379" s="7"/>
      <c r="K379" s="7"/>
      <c r="L379" s="7"/>
      <c r="AG379" s="2220" t="s">
        <v>628</v>
      </c>
      <c r="AH379" s="2220"/>
    </row>
    <row r="380" spans="1:36" ht="12.75" customHeight="1">
      <c r="E380" s="7"/>
      <c r="F380" s="7"/>
      <c r="G380" s="510" t="s">
        <v>1095</v>
      </c>
      <c r="H380" s="7"/>
      <c r="I380" s="7"/>
      <c r="J380" s="7"/>
      <c r="K380" s="7"/>
      <c r="L380" s="7"/>
      <c r="V380" s="2069" t="s">
        <v>628</v>
      </c>
      <c r="W380" s="2069"/>
      <c r="Y380" s="35" t="s">
        <v>1064</v>
      </c>
    </row>
    <row r="381" spans="1:36" ht="12.75" customHeight="1">
      <c r="E381" s="7" t="s">
        <v>1065</v>
      </c>
      <c r="F381" s="7"/>
      <c r="G381" s="7"/>
      <c r="H381" s="7"/>
      <c r="I381" s="7"/>
      <c r="J381" s="7"/>
      <c r="K381" s="7"/>
      <c r="L381" s="7"/>
      <c r="V381" s="2069" t="s">
        <v>628</v>
      </c>
      <c r="W381" s="2069"/>
      <c r="Y381" s="7" t="s">
        <v>1066</v>
      </c>
    </row>
    <row r="382" spans="1:36" ht="12.75" customHeight="1"/>
    <row r="383" spans="1:36" ht="12.75" customHeight="1">
      <c r="A383" s="50" t="s">
        <v>82</v>
      </c>
      <c r="B383" s="50"/>
    </row>
    <row r="384" spans="1:36" ht="12.75" customHeight="1">
      <c r="D384" s="12" t="s">
        <v>451</v>
      </c>
      <c r="J384" s="2062" t="s">
        <v>2550</v>
      </c>
      <c r="K384" s="2063"/>
      <c r="L384" s="2063"/>
      <c r="M384" s="2063"/>
      <c r="N384" s="2063"/>
      <c r="O384" s="2063"/>
      <c r="P384" s="2063"/>
      <c r="Q384" s="2063"/>
      <c r="R384" s="2063"/>
      <c r="S384" s="2063"/>
      <c r="T384" s="2063"/>
      <c r="U384" s="2063"/>
      <c r="V384" s="14" t="s">
        <v>88</v>
      </c>
      <c r="W384" s="14"/>
      <c r="X384" s="14"/>
      <c r="Y384" s="14"/>
      <c r="Z384" s="14"/>
      <c r="AA384" s="14"/>
      <c r="AB384" s="14"/>
      <c r="AC384" s="2062" t="s">
        <v>2615</v>
      </c>
      <c r="AD384" s="2063"/>
      <c r="AE384" s="2063"/>
      <c r="AF384" s="2063"/>
      <c r="AG384" s="2063"/>
      <c r="AH384" s="2063"/>
      <c r="AI384" s="2063"/>
      <c r="AJ384" s="2063"/>
    </row>
    <row r="385" spans="1:96" ht="12.75" customHeight="1">
      <c r="A385" s="720"/>
      <c r="B385" s="720"/>
      <c r="C385" s="720"/>
      <c r="D385" s="58" t="s">
        <v>1385</v>
      </c>
      <c r="E385" s="720"/>
      <c r="F385" s="720"/>
      <c r="G385" s="720"/>
      <c r="H385" s="720"/>
      <c r="I385" s="720"/>
      <c r="J385" s="2109" t="s">
        <v>2615</v>
      </c>
      <c r="K385" s="2110"/>
      <c r="L385" s="2110"/>
      <c r="M385" s="2110"/>
      <c r="N385" s="2110"/>
      <c r="O385" s="2110"/>
      <c r="P385" s="2110"/>
      <c r="Q385" s="2110"/>
      <c r="R385" s="2110"/>
      <c r="S385" s="2110"/>
      <c r="T385" s="2110"/>
      <c r="U385" s="2110"/>
      <c r="V385" s="58" t="s">
        <v>1385</v>
      </c>
      <c r="W385" s="14"/>
      <c r="X385" s="14"/>
      <c r="Y385" s="14"/>
      <c r="Z385" s="14"/>
      <c r="AA385" s="14"/>
      <c r="AB385" s="14"/>
      <c r="AC385" s="2062" t="s">
        <v>2552</v>
      </c>
      <c r="AD385" s="2063"/>
      <c r="AE385" s="2063"/>
      <c r="AF385" s="2063"/>
      <c r="AG385" s="2063"/>
      <c r="AH385" s="2063"/>
      <c r="AI385" s="2063"/>
      <c r="AJ385" s="2063"/>
      <c r="AK385" s="720"/>
      <c r="AL385" s="720"/>
    </row>
    <row r="386" spans="1:96" ht="12.75" customHeight="1">
      <c r="A386" s="720"/>
      <c r="B386" s="720"/>
      <c r="C386" s="720"/>
      <c r="D386" s="58" t="s">
        <v>466</v>
      </c>
      <c r="E386" s="720"/>
      <c r="F386" s="720"/>
      <c r="G386" s="720"/>
      <c r="H386" s="720"/>
      <c r="I386" s="720"/>
      <c r="J386" s="2109" t="s">
        <v>2551</v>
      </c>
      <c r="K386" s="2110"/>
      <c r="L386" s="2110"/>
      <c r="M386" s="2110"/>
      <c r="N386" s="2110"/>
      <c r="O386" s="2110"/>
      <c r="P386" s="2110"/>
      <c r="Q386" s="2110"/>
      <c r="R386" s="2110"/>
      <c r="S386" s="2110"/>
      <c r="T386" s="2110"/>
      <c r="U386" s="2110"/>
      <c r="V386" s="58" t="s">
        <v>466</v>
      </c>
      <c r="W386" s="14"/>
      <c r="X386" s="14"/>
      <c r="Y386" s="14"/>
      <c r="Z386" s="14"/>
      <c r="AA386" s="14"/>
      <c r="AB386" s="14"/>
      <c r="AC386" s="2062" t="s">
        <v>2551</v>
      </c>
      <c r="AD386" s="2063"/>
      <c r="AE386" s="2063"/>
      <c r="AF386" s="2063"/>
      <c r="AG386" s="2063"/>
      <c r="AH386" s="2063"/>
      <c r="AI386" s="2063"/>
      <c r="AJ386" s="2063"/>
      <c r="AK386" s="720"/>
      <c r="AL386" s="720"/>
    </row>
    <row r="387" spans="1:96" ht="12.75" customHeight="1">
      <c r="A387" s="720"/>
      <c r="B387" s="720"/>
      <c r="C387" s="720"/>
      <c r="D387" s="480" t="s">
        <v>1381</v>
      </c>
      <c r="E387" s="720"/>
      <c r="F387" s="720"/>
      <c r="G387" s="720"/>
      <c r="H387" s="720"/>
      <c r="I387" s="88"/>
      <c r="J387" s="2060" t="s">
        <v>2616</v>
      </c>
      <c r="K387" s="2060"/>
      <c r="L387" s="2060"/>
      <c r="M387" s="2060"/>
      <c r="N387" s="2060"/>
      <c r="O387" s="2060"/>
      <c r="P387" s="2060"/>
      <c r="Q387" s="2060"/>
      <c r="R387" s="2060"/>
      <c r="S387" s="2060"/>
      <c r="T387" s="2060"/>
      <c r="U387" s="2060"/>
      <c r="V387" s="2063"/>
      <c r="W387" s="2063"/>
      <c r="X387" s="2063"/>
      <c r="Y387" s="2063"/>
      <c r="Z387" s="2063"/>
      <c r="AA387" s="2063"/>
      <c r="AB387" s="2063"/>
      <c r="AC387" s="2063"/>
      <c r="AD387" s="2063"/>
      <c r="AE387" s="2063"/>
      <c r="AF387" s="2063"/>
      <c r="AG387" s="2063"/>
      <c r="AH387" s="2063"/>
      <c r="AI387" s="2063"/>
      <c r="AJ387" s="2063"/>
      <c r="AK387" s="720"/>
      <c r="AL387" s="720"/>
    </row>
    <row r="388" spans="1:96" ht="12.75" customHeight="1">
      <c r="D388" s="12" t="s">
        <v>4</v>
      </c>
      <c r="Q388" s="2267">
        <v>42620</v>
      </c>
      <c r="R388" s="2267"/>
      <c r="S388" s="2267"/>
      <c r="T388" s="2267"/>
      <c r="U388" s="2267"/>
      <c r="V388" s="12" t="s">
        <v>320</v>
      </c>
      <c r="AI388" s="2069" t="s">
        <v>708</v>
      </c>
      <c r="AJ388" s="2069"/>
    </row>
    <row r="389" spans="1:96" ht="12.75" customHeight="1">
      <c r="D389" s="12" t="s">
        <v>5</v>
      </c>
      <c r="Q389" s="2305">
        <v>42985</v>
      </c>
      <c r="R389" s="2429"/>
      <c r="S389" s="2429"/>
      <c r="T389" s="2429"/>
      <c r="U389" s="2429"/>
      <c r="W389" s="33" t="s">
        <v>78</v>
      </c>
      <c r="AG389" s="2102"/>
      <c r="AH389" s="2102"/>
      <c r="AI389" s="2102"/>
      <c r="AJ389" s="2102"/>
    </row>
    <row r="390" spans="1:96" ht="12.75" customHeight="1">
      <c r="D390" s="12" t="s">
        <v>450</v>
      </c>
      <c r="Q390" s="2268">
        <v>4000000</v>
      </c>
      <c r="R390" s="2268"/>
      <c r="S390" s="2268"/>
      <c r="T390" s="2268"/>
      <c r="U390" s="2268"/>
      <c r="V390" s="58" t="s">
        <v>1384</v>
      </c>
      <c r="AG390" s="2127">
        <v>42985</v>
      </c>
      <c r="AH390" s="2127"/>
      <c r="AI390" s="2127"/>
      <c r="AJ390" s="2127"/>
    </row>
    <row r="391" spans="1:96" ht="12.75" customHeight="1">
      <c r="D391" s="12" t="s">
        <v>93</v>
      </c>
      <c r="I391" s="2238" t="s">
        <v>2617</v>
      </c>
      <c r="J391" s="2239"/>
      <c r="K391" s="2239"/>
      <c r="L391" s="2239"/>
      <c r="M391" s="2239"/>
      <c r="N391" s="2239"/>
      <c r="Q391" s="57" t="s">
        <v>212</v>
      </c>
      <c r="S391" s="2266"/>
      <c r="T391" s="2266"/>
      <c r="U391" s="2266"/>
      <c r="V391" s="12" t="s">
        <v>77</v>
      </c>
      <c r="AI391" s="2069" t="s">
        <v>708</v>
      </c>
      <c r="AJ391" s="2069"/>
    </row>
    <row r="392" spans="1:96" ht="12.75" customHeight="1">
      <c r="D392" s="12" t="s">
        <v>321</v>
      </c>
      <c r="Q392" s="2031">
        <f>24670/6+1800/3+1000/12+2000/12+1000/12</f>
        <v>5045</v>
      </c>
      <c r="R392" s="2031"/>
      <c r="S392" s="2031"/>
      <c r="T392" s="2031"/>
      <c r="U392" s="2031"/>
      <c r="V392" s="12" t="s">
        <v>322</v>
      </c>
      <c r="AG392" s="2102">
        <f>'Sources and Uses Budget'!B13</f>
        <v>212000</v>
      </c>
      <c r="AH392" s="2102"/>
      <c r="AI392" s="2102"/>
      <c r="AJ392" s="2102"/>
    </row>
    <row r="393" spans="1:96" ht="12.75" customHeight="1">
      <c r="D393" s="12" t="s">
        <v>323</v>
      </c>
      <c r="Q393" s="2221">
        <v>1.1637E-2</v>
      </c>
      <c r="R393" s="2221"/>
      <c r="S393" s="2221"/>
      <c r="T393" s="2221"/>
      <c r="U393" s="2221"/>
      <c r="V393" s="720" t="s">
        <v>1361</v>
      </c>
      <c r="AG393" s="2102">
        <v>0</v>
      </c>
      <c r="AH393" s="2102"/>
      <c r="AI393" s="2102"/>
      <c r="AJ393" s="2102"/>
    </row>
    <row r="394" spans="1:96" ht="12.5">
      <c r="D394" s="720" t="s">
        <v>1360</v>
      </c>
      <c r="V394" s="720"/>
      <c r="AG394" s="2102"/>
      <c r="AH394" s="2102"/>
      <c r="AI394" s="2102"/>
      <c r="AJ394" s="2102"/>
    </row>
    <row r="395" spans="1:96" s="720" customFormat="1" ht="12.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5">
      <c r="D396" s="58" t="s">
        <v>2036</v>
      </c>
      <c r="AG396" s="749"/>
      <c r="AH396" s="749"/>
      <c r="AI396" s="2069" t="s">
        <v>708</v>
      </c>
      <c r="AJ396" s="2069"/>
      <c r="AM396" s="39"/>
      <c r="AN396" s="39"/>
      <c r="AO396" s="39"/>
      <c r="AP396" s="39"/>
      <c r="AQ396" s="39"/>
      <c r="AR396" s="39"/>
      <c r="AS396" s="39"/>
      <c r="AT396" s="39"/>
      <c r="AU396" s="39"/>
      <c r="AV396" s="39"/>
      <c r="AW396" s="39"/>
      <c r="AX396" s="39"/>
      <c r="AY396" s="39"/>
      <c r="CR396" s="25"/>
    </row>
    <row r="397" spans="1:96" s="720" customFormat="1" ht="12.5">
      <c r="D397" s="58" t="s">
        <v>2038</v>
      </c>
      <c r="T397" s="2126" t="s">
        <v>628</v>
      </c>
      <c r="U397" s="2064"/>
      <c r="V397" s="2064"/>
      <c r="W397" s="2064"/>
      <c r="X397" s="2064"/>
      <c r="Y397" s="2064"/>
      <c r="Z397" s="2064"/>
      <c r="AA397" s="2064"/>
      <c r="AB397" s="2064"/>
      <c r="AC397" s="2064"/>
      <c r="AD397" s="2064"/>
      <c r="AE397" s="2064"/>
      <c r="AF397" s="2064"/>
      <c r="AG397" s="2064"/>
      <c r="AH397" s="2064"/>
      <c r="AI397" s="2064"/>
      <c r="AJ397" s="2064"/>
      <c r="AM397" s="39"/>
      <c r="AN397" s="39"/>
      <c r="AO397" s="39"/>
      <c r="AP397" s="39"/>
      <c r="AQ397" s="39"/>
      <c r="AR397" s="39"/>
      <c r="AS397" s="39"/>
      <c r="AT397" s="39"/>
      <c r="AU397" s="39"/>
      <c r="AV397" s="39"/>
      <c r="AW397" s="39"/>
      <c r="AX397" s="39"/>
      <c r="AY397" s="39"/>
      <c r="CR397" s="25"/>
    </row>
    <row r="398" spans="1:96" s="720" customFormat="1" ht="12.5">
      <c r="D398" s="58" t="s">
        <v>2037</v>
      </c>
      <c r="T398" s="2126" t="s">
        <v>628</v>
      </c>
      <c r="U398" s="2064"/>
      <c r="V398" s="2064"/>
      <c r="W398" s="2064"/>
      <c r="X398" s="2064"/>
      <c r="Y398" s="2064"/>
      <c r="Z398" s="2064"/>
      <c r="AA398" s="2064"/>
      <c r="AB398" s="2064"/>
      <c r="AC398" s="2064"/>
      <c r="AD398" s="2064"/>
      <c r="AE398" s="2064"/>
      <c r="AF398" s="2064"/>
      <c r="AG398" s="2064"/>
      <c r="AH398" s="2064"/>
      <c r="AI398" s="2064"/>
      <c r="AJ398" s="2064"/>
      <c r="AM398" s="39"/>
      <c r="AN398" s="39"/>
      <c r="AO398" s="39"/>
      <c r="AP398" s="39"/>
      <c r="AQ398" s="39"/>
      <c r="AR398" s="39"/>
      <c r="AS398" s="39"/>
      <c r="AT398" s="39"/>
      <c r="AU398" s="39"/>
      <c r="AV398" s="39"/>
      <c r="AW398" s="39"/>
      <c r="AX398" s="39"/>
      <c r="AY398" s="39"/>
      <c r="CR398" s="25"/>
    </row>
    <row r="399" spans="1:96" ht="12.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5">
      <c r="A400" s="720"/>
      <c r="B400" s="720"/>
      <c r="C400" s="720"/>
      <c r="D400" s="58" t="s">
        <v>2030</v>
      </c>
      <c r="E400" s="720"/>
      <c r="F400" s="720"/>
      <c r="G400" s="720"/>
      <c r="H400" s="720"/>
      <c r="I400" s="720"/>
      <c r="J400" s="720"/>
      <c r="K400" s="720"/>
      <c r="L400" s="720"/>
      <c r="M400" s="720"/>
      <c r="N400" s="720"/>
      <c r="O400" s="720"/>
      <c r="P400" s="720"/>
      <c r="Q400" s="720"/>
      <c r="R400" s="720"/>
      <c r="S400" s="2064" t="s">
        <v>580</v>
      </c>
      <c r="T400" s="2064"/>
      <c r="U400" s="2064"/>
      <c r="V400" s="480" t="s">
        <v>2031</v>
      </c>
      <c r="W400" s="720"/>
      <c r="X400" s="720"/>
      <c r="Y400" s="720"/>
      <c r="Z400" s="720"/>
      <c r="AA400" s="720"/>
      <c r="AB400" s="39"/>
      <c r="AC400" s="39"/>
      <c r="AD400" s="39"/>
      <c r="AE400" s="39"/>
      <c r="AF400" s="39"/>
      <c r="AG400" s="2111">
        <v>55</v>
      </c>
      <c r="AH400" s="2111"/>
      <c r="AI400" s="2111"/>
      <c r="AJ400" s="2111"/>
      <c r="AK400" s="39"/>
      <c r="AL400" s="720"/>
    </row>
    <row r="401" spans="1:96" s="720" customFormat="1" ht="12.5">
      <c r="D401" s="58" t="s">
        <v>2027</v>
      </c>
      <c r="S401" s="2064" t="s">
        <v>580</v>
      </c>
      <c r="T401" s="2064"/>
      <c r="U401" s="2064"/>
      <c r="V401" s="480" t="s">
        <v>2033</v>
      </c>
      <c r="AB401" s="39"/>
      <c r="AC401" s="39"/>
      <c r="AD401" s="39"/>
      <c r="AE401" s="2073">
        <v>1</v>
      </c>
      <c r="AF401" s="2073"/>
      <c r="AG401" s="2073"/>
      <c r="AH401" s="2073"/>
      <c r="AI401" s="2073"/>
      <c r="AJ401" s="2073"/>
      <c r="AK401" s="39"/>
      <c r="AM401" s="39"/>
      <c r="AN401" s="39"/>
      <c r="AO401" s="39"/>
      <c r="AP401" s="39"/>
      <c r="AQ401" s="39"/>
      <c r="AR401" s="39"/>
      <c r="AS401" s="39"/>
      <c r="AT401" s="39"/>
      <c r="AU401" s="39"/>
      <c r="AV401" s="39"/>
      <c r="AW401" s="39"/>
      <c r="AX401" s="39"/>
      <c r="AY401" s="39"/>
      <c r="CR401" s="25"/>
    </row>
    <row r="402" spans="1:96" s="720" customFormat="1" ht="12.5">
      <c r="D402" s="58" t="s">
        <v>2029</v>
      </c>
      <c r="K402" s="2074"/>
      <c r="L402" s="2074"/>
      <c r="M402" s="2074"/>
      <c r="N402" s="2074"/>
      <c r="O402" s="2074"/>
      <c r="P402" s="2074"/>
      <c r="Q402" s="2074"/>
      <c r="R402" s="2074"/>
      <c r="S402" s="2074"/>
      <c r="T402" s="2074"/>
      <c r="U402" s="2074"/>
      <c r="V402" s="2074"/>
      <c r="W402" s="2074"/>
      <c r="X402" s="2074"/>
      <c r="Y402" s="2074"/>
      <c r="Z402" s="2074"/>
      <c r="AA402" s="2074"/>
      <c r="AB402" s="2074"/>
      <c r="AC402" s="2074"/>
      <c r="AD402" s="2074"/>
      <c r="AE402" s="2074"/>
      <c r="AF402" s="2074"/>
      <c r="AG402" s="2074"/>
      <c r="AH402" s="2074"/>
      <c r="AI402" s="2074"/>
      <c r="AJ402" s="2074"/>
      <c r="AK402" s="39"/>
      <c r="AM402" s="39"/>
      <c r="AN402" s="39"/>
      <c r="AO402" s="39"/>
      <c r="AP402" s="39"/>
      <c r="AQ402" s="39"/>
      <c r="AR402" s="39"/>
      <c r="AS402" s="39"/>
      <c r="AT402" s="39"/>
      <c r="AU402" s="39"/>
      <c r="AV402" s="39"/>
      <c r="AW402" s="39"/>
      <c r="AX402" s="39"/>
      <c r="AY402" s="39"/>
      <c r="CR402" s="25"/>
    </row>
    <row r="403" spans="1:96" s="720" customFormat="1" ht="12.5">
      <c r="D403" s="58" t="s">
        <v>2032</v>
      </c>
      <c r="K403" s="2074" t="s">
        <v>2553</v>
      </c>
      <c r="L403" s="2074"/>
      <c r="M403" s="2074"/>
      <c r="N403" s="2074"/>
      <c r="O403" s="2074"/>
      <c r="P403" s="2074"/>
      <c r="Q403" s="2074"/>
      <c r="R403" s="2074"/>
      <c r="S403" s="2074"/>
      <c r="T403" s="2074"/>
      <c r="U403" s="2074"/>
      <c r="V403" s="2074"/>
      <c r="W403" s="2074"/>
      <c r="X403" s="2074"/>
      <c r="Y403" s="2074"/>
      <c r="Z403" s="2074"/>
      <c r="AA403" s="2074"/>
      <c r="AB403" s="2074"/>
      <c r="AC403" s="2074"/>
      <c r="AD403" s="2074"/>
      <c r="AE403" s="2074"/>
      <c r="AF403" s="2074"/>
      <c r="AG403" s="2074"/>
      <c r="AH403" s="2074"/>
      <c r="AI403" s="2074"/>
      <c r="AJ403" s="2074"/>
      <c r="AK403" s="39"/>
      <c r="AM403" s="39"/>
      <c r="AN403" s="39"/>
      <c r="AO403" s="39"/>
      <c r="AP403" s="39"/>
      <c r="AQ403" s="39"/>
      <c r="AR403" s="39"/>
      <c r="AS403" s="39"/>
      <c r="AT403" s="39"/>
      <c r="AU403" s="39"/>
      <c r="AV403" s="39"/>
      <c r="AW403" s="39"/>
      <c r="AX403" s="39"/>
      <c r="AY403" s="39"/>
      <c r="CR403" s="25"/>
    </row>
    <row r="404" spans="1:96" s="720" customFormat="1" ht="12.75" customHeight="1">
      <c r="D404" s="181" t="s">
        <v>2035</v>
      </c>
      <c r="E404" s="1521"/>
      <c r="F404" s="1521"/>
      <c r="G404" s="1521"/>
      <c r="H404" s="1521"/>
      <c r="I404" s="1521"/>
      <c r="J404" s="1521"/>
      <c r="K404" s="1521"/>
      <c r="L404" s="1521"/>
      <c r="M404" s="1521"/>
      <c r="N404" s="1521"/>
      <c r="O404" s="1521"/>
      <c r="P404" s="1521"/>
      <c r="Q404" s="1521"/>
      <c r="R404" s="1521"/>
      <c r="S404" s="2123" t="s">
        <v>2554</v>
      </c>
      <c r="T404" s="2123"/>
      <c r="U404" s="2123"/>
      <c r="V404" s="2123"/>
      <c r="W404" s="2123"/>
      <c r="X404" s="2123"/>
      <c r="Y404" s="2123"/>
      <c r="Z404" s="2123"/>
      <c r="AA404" s="2123"/>
      <c r="AB404" s="2123"/>
      <c r="AC404" s="2123"/>
      <c r="AD404" s="2123"/>
      <c r="AE404" s="2123"/>
      <c r="AF404" s="2123"/>
      <c r="AG404" s="2123"/>
      <c r="AH404" s="2123"/>
      <c r="AI404" s="2123"/>
      <c r="AJ404" s="2123"/>
      <c r="AK404" s="39"/>
      <c r="AL404" s="39"/>
      <c r="AM404" s="39"/>
      <c r="AN404" s="39"/>
      <c r="AO404" s="39"/>
      <c r="AP404" s="39"/>
      <c r="AQ404" s="39"/>
      <c r="AR404" s="39"/>
      <c r="AS404" s="39"/>
      <c r="AT404" s="39"/>
      <c r="AU404" s="39"/>
      <c r="AV404" s="39"/>
      <c r="AW404" s="39"/>
      <c r="AX404" s="39"/>
      <c r="AY404" s="39"/>
      <c r="CR404" s="25"/>
    </row>
    <row r="405" spans="1:96" s="720" customFormat="1" ht="12.5">
      <c r="D405" s="2122" t="s">
        <v>2034</v>
      </c>
      <c r="E405" s="2122"/>
      <c r="F405" s="2122"/>
      <c r="G405" s="2122"/>
      <c r="H405" s="2122"/>
      <c r="I405" s="2122"/>
      <c r="J405" s="2122"/>
      <c r="K405" s="2122"/>
      <c r="L405" s="2122"/>
      <c r="M405" s="2122"/>
      <c r="N405" s="2122"/>
      <c r="O405" s="2122"/>
      <c r="P405" s="2122"/>
      <c r="Q405" s="2122"/>
      <c r="R405" s="2122"/>
      <c r="S405" s="2122"/>
      <c r="T405" s="2122"/>
      <c r="U405" s="2122"/>
      <c r="V405" s="2122"/>
      <c r="W405" s="2122"/>
      <c r="X405" s="2122"/>
      <c r="Y405" s="2122"/>
      <c r="Z405" s="2122"/>
      <c r="AA405" s="2122"/>
      <c r="AB405" s="2122"/>
      <c r="AC405" s="2122"/>
      <c r="AD405" s="2122"/>
      <c r="AE405" s="2122"/>
      <c r="AF405" s="2122"/>
      <c r="AG405" s="2122"/>
      <c r="AH405" s="2122"/>
      <c r="AI405" s="2122"/>
      <c r="AJ405" s="2122"/>
      <c r="AK405" s="39"/>
      <c r="AL405" s="39"/>
      <c r="AM405" s="39"/>
      <c r="AN405" s="39"/>
      <c r="AO405" s="39"/>
      <c r="AP405" s="39"/>
      <c r="AQ405" s="39"/>
      <c r="AR405" s="39"/>
      <c r="AS405" s="39"/>
      <c r="AT405" s="39"/>
      <c r="AU405" s="39"/>
      <c r="AV405" s="39"/>
      <c r="AW405" s="39"/>
      <c r="AX405" s="39"/>
      <c r="AY405" s="39"/>
      <c r="CR405" s="25"/>
    </row>
    <row r="406" spans="1:96" s="720" customFormat="1" ht="12.5">
      <c r="D406" s="2122"/>
      <c r="E406" s="2122"/>
      <c r="F406" s="2122"/>
      <c r="G406" s="2122"/>
      <c r="H406" s="2122"/>
      <c r="I406" s="2122"/>
      <c r="J406" s="2122"/>
      <c r="K406" s="2122"/>
      <c r="L406" s="2122"/>
      <c r="M406" s="2122"/>
      <c r="N406" s="2122"/>
      <c r="O406" s="2122"/>
      <c r="P406" s="2122"/>
      <c r="Q406" s="2122"/>
      <c r="R406" s="2122"/>
      <c r="S406" s="2122"/>
      <c r="T406" s="2122"/>
      <c r="U406" s="2122"/>
      <c r="V406" s="2122"/>
      <c r="W406" s="2122"/>
      <c r="X406" s="2122"/>
      <c r="Y406" s="2122"/>
      <c r="Z406" s="2122"/>
      <c r="AA406" s="2122"/>
      <c r="AB406" s="2122"/>
      <c r="AC406" s="2122"/>
      <c r="AD406" s="2122"/>
      <c r="AE406" s="2122"/>
      <c r="AF406" s="2122"/>
      <c r="AG406" s="2122"/>
      <c r="AH406" s="2122"/>
      <c r="AI406" s="2122"/>
      <c r="AJ406" s="2122"/>
      <c r="AK406" s="39"/>
      <c r="AL406" s="39"/>
      <c r="AM406" s="39"/>
      <c r="AN406" s="39"/>
      <c r="AO406" s="39"/>
      <c r="AP406" s="39"/>
      <c r="AQ406" s="39"/>
      <c r="AR406" s="39"/>
      <c r="AS406" s="39"/>
      <c r="AT406" s="39"/>
      <c r="AU406" s="39"/>
      <c r="AV406" s="39"/>
      <c r="AW406" s="39"/>
      <c r="AX406" s="39"/>
      <c r="AY406" s="39"/>
      <c r="CR406" s="25"/>
    </row>
    <row r="407" spans="1:96" s="720"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3">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062" t="s">
        <v>2555</v>
      </c>
      <c r="J409" s="2062"/>
      <c r="K409" s="2062"/>
      <c r="L409" s="2062"/>
      <c r="M409" s="2062"/>
      <c r="N409" s="2062"/>
      <c r="O409" s="2062"/>
      <c r="P409" s="2062"/>
      <c r="Q409" s="2062"/>
      <c r="R409" s="2062"/>
      <c r="S409" s="2062"/>
      <c r="T409" s="2062"/>
      <c r="U409" s="2062"/>
      <c r="V409" s="2062"/>
      <c r="W409" s="2062"/>
      <c r="X409" s="2062"/>
      <c r="Y409" s="2062"/>
      <c r="Z409" s="2062"/>
      <c r="AA409" s="2062"/>
      <c r="AB409" s="2062"/>
      <c r="AC409" s="2062"/>
      <c r="AD409" s="2062"/>
      <c r="AE409" s="2062"/>
    </row>
    <row r="410" spans="1:96" ht="12.75" customHeight="1">
      <c r="C410" s="25"/>
      <c r="D410" s="25"/>
      <c r="E410" s="12" t="s">
        <v>111</v>
      </c>
      <c r="F410" s="25"/>
      <c r="G410" s="25"/>
      <c r="H410" s="25"/>
      <c r="I410" s="25"/>
      <c r="J410" s="25"/>
      <c r="K410" s="25"/>
      <c r="L410" s="25"/>
      <c r="M410" s="25"/>
      <c r="N410" s="25"/>
      <c r="O410" s="25"/>
      <c r="P410" s="720"/>
      <c r="Q410" s="720"/>
      <c r="R410" s="2069" t="s">
        <v>580</v>
      </c>
      <c r="S410" s="2069"/>
      <c r="T410" s="12" t="s">
        <v>606</v>
      </c>
      <c r="U410" s="720"/>
      <c r="V410" s="720"/>
      <c r="W410" s="720"/>
      <c r="X410" s="720"/>
      <c r="Y410" s="720"/>
      <c r="Z410" s="720"/>
      <c r="AA410" s="720"/>
      <c r="AB410" s="720"/>
      <c r="AC410" s="720"/>
      <c r="AD410" s="2065">
        <v>9</v>
      </c>
      <c r="AE410" s="2065"/>
      <c r="AF410" s="720"/>
    </row>
    <row r="411" spans="1:96" ht="12.5">
      <c r="C411" s="25"/>
      <c r="E411" s="12" t="s">
        <v>112</v>
      </c>
      <c r="F411" s="720"/>
      <c r="G411" s="720"/>
      <c r="H411" s="720"/>
      <c r="I411" s="720"/>
      <c r="J411" s="720"/>
      <c r="K411" s="720"/>
      <c r="L411" s="720"/>
      <c r="M411" s="720"/>
      <c r="N411" s="25"/>
      <c r="O411" s="25"/>
      <c r="P411" s="720"/>
      <c r="Q411" s="720"/>
      <c r="R411" s="2069" t="s">
        <v>628</v>
      </c>
      <c r="S411" s="2069"/>
      <c r="T411" s="12" t="s">
        <v>606</v>
      </c>
      <c r="U411" s="720"/>
      <c r="V411" s="720"/>
      <c r="W411" s="720"/>
      <c r="X411" s="720"/>
      <c r="Y411" s="720"/>
      <c r="Z411" s="720"/>
      <c r="AA411" s="720"/>
      <c r="AB411" s="720"/>
      <c r="AC411" s="720"/>
      <c r="AD411" s="2065">
        <v>0</v>
      </c>
      <c r="AE411" s="2065"/>
      <c r="AF411" s="720"/>
    </row>
    <row r="412" spans="1:96" ht="12.75" customHeight="1">
      <c r="C412" s="25"/>
      <c r="E412" s="12" t="s">
        <v>113</v>
      </c>
      <c r="F412" s="720"/>
      <c r="G412" s="720"/>
      <c r="H412" s="720"/>
      <c r="I412" s="720"/>
      <c r="J412" s="720"/>
      <c r="K412" s="720"/>
      <c r="L412" s="720"/>
      <c r="M412" s="720"/>
      <c r="N412" s="25"/>
      <c r="O412" s="25"/>
      <c r="P412" s="720"/>
      <c r="Q412" s="720"/>
      <c r="R412" s="720"/>
      <c r="S412" s="2069" t="s">
        <v>628</v>
      </c>
      <c r="T412" s="2069"/>
      <c r="U412" s="720"/>
      <c r="V412" s="720"/>
      <c r="W412" s="720"/>
      <c r="X412" s="720"/>
      <c r="Y412" s="720"/>
      <c r="Z412" s="720"/>
      <c r="AA412" s="720"/>
      <c r="AB412" s="720"/>
      <c r="AC412" s="720"/>
      <c r="AD412" s="720"/>
      <c r="AE412" s="720"/>
      <c r="AF412" s="720"/>
    </row>
    <row r="413" spans="1:96" ht="12.75" customHeight="1">
      <c r="E413" s="12" t="s">
        <v>175</v>
      </c>
      <c r="F413" s="720"/>
      <c r="G413" s="720"/>
      <c r="H413" s="2427" t="s">
        <v>345</v>
      </c>
      <c r="I413" s="2427"/>
      <c r="J413" s="2427"/>
      <c r="K413" s="2427"/>
      <c r="L413" s="2427"/>
      <c r="M413" s="2427"/>
      <c r="N413" s="2427"/>
      <c r="O413" s="2427"/>
      <c r="P413" s="2427"/>
      <c r="Q413" s="2427"/>
      <c r="R413" s="2427"/>
      <c r="S413" s="2427"/>
      <c r="T413" s="2427"/>
      <c r="U413" s="2427"/>
      <c r="V413" s="2427"/>
      <c r="W413" s="2427"/>
      <c r="X413" s="2427"/>
      <c r="Y413" s="2427"/>
      <c r="Z413" s="2427"/>
      <c r="AA413" s="2427"/>
      <c r="AB413" s="2427"/>
      <c r="AC413" s="2427"/>
      <c r="AD413" s="2427"/>
      <c r="AE413" s="2427"/>
      <c r="AF413" s="720"/>
    </row>
    <row r="414" spans="1:96" ht="12.75" customHeight="1">
      <c r="E414" s="25"/>
      <c r="F414" s="720"/>
      <c r="G414" s="720"/>
      <c r="H414" s="2428"/>
      <c r="I414" s="2428"/>
      <c r="J414" s="2428"/>
      <c r="K414" s="2428"/>
      <c r="L414" s="2428"/>
      <c r="M414" s="2428"/>
      <c r="N414" s="2428"/>
      <c r="O414" s="2428"/>
      <c r="P414" s="2428"/>
      <c r="Q414" s="2428"/>
      <c r="R414" s="2428"/>
      <c r="S414" s="2428"/>
      <c r="T414" s="2428"/>
      <c r="U414" s="2428"/>
      <c r="V414" s="2428"/>
      <c r="W414" s="2428"/>
      <c r="X414" s="2428"/>
      <c r="Y414" s="2428"/>
      <c r="Z414" s="2428"/>
      <c r="AA414" s="2428"/>
      <c r="AB414" s="2428"/>
      <c r="AC414" s="2428"/>
      <c r="AD414" s="2428"/>
      <c r="AE414" s="2428"/>
      <c r="AF414" s="720"/>
    </row>
    <row r="415" spans="1:96" ht="12.75" customHeight="1"/>
    <row r="416" spans="1:96" ht="12.75" customHeight="1">
      <c r="A416" s="50" t="s">
        <v>627</v>
      </c>
      <c r="B416" s="50"/>
      <c r="C416" s="50"/>
      <c r="D416" s="50" t="s">
        <v>119</v>
      </c>
      <c r="AF416" s="50" t="s">
        <v>1040</v>
      </c>
    </row>
    <row r="417" spans="1:96" ht="12.75" customHeight="1">
      <c r="E417" s="2174"/>
      <c r="F417" s="2174"/>
      <c r="G417" s="2174"/>
      <c r="H417" s="23" t="s">
        <v>120</v>
      </c>
      <c r="I417" s="2174"/>
      <c r="J417" s="2174"/>
      <c r="K417" s="2174"/>
      <c r="L417" s="12" t="s">
        <v>121</v>
      </c>
      <c r="N417" s="141" t="s">
        <v>612</v>
      </c>
      <c r="P417" s="2265">
        <f>20384/43560</f>
        <v>0.46795224977043159</v>
      </c>
      <c r="Q417" s="2265"/>
      <c r="R417" s="2265"/>
      <c r="S417" s="12" t="s">
        <v>122</v>
      </c>
      <c r="W417" s="2093">
        <f>IF(E417&gt;0,(E417*I417),(P417*43560))</f>
        <v>20384</v>
      </c>
      <c r="X417" s="2093"/>
      <c r="Y417" s="2093"/>
      <c r="Z417" s="12" t="s">
        <v>123</v>
      </c>
      <c r="AF417" s="2265">
        <f>AG436/P417</f>
        <v>170.95761381475668</v>
      </c>
      <c r="AG417" s="2265"/>
      <c r="AH417" s="2265"/>
    </row>
    <row r="418" spans="1:96" ht="12.5">
      <c r="E418" s="12" t="s">
        <v>54</v>
      </c>
    </row>
    <row r="419" spans="1:96" ht="12.75" customHeight="1">
      <c r="E419" s="2135"/>
      <c r="F419" s="2135"/>
      <c r="G419" s="2135"/>
      <c r="H419" s="2135"/>
      <c r="I419" s="2135"/>
      <c r="J419" s="2135"/>
      <c r="K419" s="2135"/>
      <c r="L419" s="2135"/>
      <c r="M419" s="2135"/>
      <c r="N419" s="2135"/>
      <c r="O419" s="2135"/>
      <c r="P419" s="2135"/>
      <c r="Q419" s="2135"/>
      <c r="R419" s="2135"/>
      <c r="S419" s="2135"/>
      <c r="T419" s="2135"/>
      <c r="U419" s="2135"/>
      <c r="V419" s="2135"/>
      <c r="W419" s="2135"/>
      <c r="X419" s="2135"/>
      <c r="Y419" s="2135"/>
      <c r="Z419" s="2135"/>
      <c r="AA419" s="2135"/>
      <c r="AB419" s="2135"/>
      <c r="AC419" s="2135"/>
      <c r="AD419" s="2135"/>
      <c r="AE419" s="2135"/>
      <c r="AF419" s="2135"/>
      <c r="AG419" s="2135"/>
      <c r="AH419" s="2135"/>
      <c r="AI419" s="2135"/>
      <c r="AJ419" s="2135"/>
    </row>
    <row r="420" spans="1:96" s="39" customFormat="1" ht="12.75" customHeight="1">
      <c r="E420" s="254" t="s">
        <v>2250</v>
      </c>
      <c r="F420" s="1825"/>
      <c r="G420" s="1825"/>
      <c r="H420" s="1825"/>
      <c r="I420" s="2434">
        <f>20384/43560</f>
        <v>0.46795224977043159</v>
      </c>
      <c r="J420" s="2434"/>
      <c r="K420" s="2434"/>
      <c r="L420" s="1825"/>
      <c r="M420" s="254"/>
      <c r="N420" s="1825"/>
      <c r="O420" s="1825"/>
      <c r="P420" s="2435">
        <f>(CM636+CS644+CS661)/I420</f>
        <v>170.95761381475668</v>
      </c>
      <c r="Q420" s="2435"/>
      <c r="R420" s="2435"/>
      <c r="S420" s="254" t="s">
        <v>2251</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3">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5">
      <c r="E423" s="12" t="s">
        <v>126</v>
      </c>
      <c r="P423" s="2069">
        <v>1</v>
      </c>
      <c r="Q423" s="2069"/>
      <c r="S423" s="12" t="s">
        <v>195</v>
      </c>
      <c r="AE423" s="2069">
        <v>1</v>
      </c>
      <c r="AF423" s="2069"/>
    </row>
    <row r="424" spans="1:96" ht="12.5">
      <c r="E424" s="12" t="s">
        <v>196</v>
      </c>
      <c r="P424" s="2136" t="s">
        <v>628</v>
      </c>
      <c r="Q424" s="2069"/>
      <c r="S424" s="12" t="s">
        <v>136</v>
      </c>
      <c r="AE424" s="2069" t="s">
        <v>580</v>
      </c>
      <c r="AF424" s="2069"/>
    </row>
    <row r="425" spans="1:96" ht="12.5">
      <c r="F425" s="67" t="s">
        <v>137</v>
      </c>
    </row>
    <row r="426" spans="1:96" ht="12.5">
      <c r="F426" s="2175" t="s">
        <v>2556</v>
      </c>
      <c r="G426" s="2176"/>
      <c r="H426" s="2176"/>
      <c r="I426" s="2176"/>
      <c r="J426" s="2176"/>
      <c r="K426" s="2176"/>
      <c r="L426" s="2176"/>
      <c r="M426" s="2176"/>
      <c r="N426" s="2176"/>
      <c r="O426" s="2176"/>
      <c r="P426" s="2176"/>
      <c r="Q426" s="2176"/>
      <c r="R426" s="2176"/>
      <c r="S426" s="2176"/>
      <c r="T426" s="2176"/>
      <c r="U426" s="2176"/>
      <c r="V426" s="2176"/>
      <c r="W426" s="2176"/>
      <c r="X426" s="2176"/>
      <c r="Y426" s="2176"/>
      <c r="Z426" s="2176"/>
      <c r="AA426" s="2176"/>
      <c r="AB426" s="2176"/>
      <c r="AC426" s="2176"/>
      <c r="AD426" s="2176"/>
      <c r="AE426" s="2176"/>
      <c r="AF426" s="2176"/>
      <c r="AG426" s="2176"/>
      <c r="AH426" s="2176"/>
    </row>
    <row r="427" spans="1:96" ht="12.75" customHeight="1">
      <c r="F427" s="2177"/>
      <c r="G427" s="2177"/>
      <c r="H427" s="2177"/>
      <c r="I427" s="2177"/>
      <c r="J427" s="2177"/>
      <c r="K427" s="2177"/>
      <c r="L427" s="2177"/>
      <c r="M427" s="2177"/>
      <c r="N427" s="2177"/>
      <c r="O427" s="2177"/>
      <c r="P427" s="2177"/>
      <c r="Q427" s="2177"/>
      <c r="R427" s="2177"/>
      <c r="S427" s="2177"/>
      <c r="T427" s="2177"/>
      <c r="U427" s="2177"/>
      <c r="V427" s="2177"/>
      <c r="W427" s="2177"/>
      <c r="X427" s="2177"/>
      <c r="Y427" s="2177"/>
      <c r="Z427" s="2177"/>
      <c r="AA427" s="2177"/>
      <c r="AB427" s="2177"/>
      <c r="AC427" s="2177"/>
      <c r="AD427" s="2177"/>
      <c r="AE427" s="2177"/>
      <c r="AF427" s="2177"/>
      <c r="AG427" s="2177"/>
      <c r="AH427" s="2177"/>
    </row>
    <row r="428" spans="1:96" ht="12.75" customHeight="1">
      <c r="E428" s="12" t="s">
        <v>645</v>
      </c>
      <c r="N428" s="39"/>
      <c r="O428" s="39"/>
      <c r="P428" s="235"/>
      <c r="Q428" s="2069" t="s">
        <v>708</v>
      </c>
      <c r="R428" s="2069"/>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69" t="s">
        <v>628</v>
      </c>
      <c r="AG429" s="2108"/>
    </row>
    <row r="430" spans="1:96" ht="12.75" customHeight="1">
      <c r="S430" s="25"/>
      <c r="T430" s="25"/>
    </row>
    <row r="431" spans="1:96" ht="12.75" customHeight="1">
      <c r="A431" s="50"/>
      <c r="B431" s="50"/>
      <c r="C431" s="50"/>
      <c r="E431" s="7" t="s">
        <v>319</v>
      </c>
      <c r="Z431" s="2069" t="s">
        <v>708</v>
      </c>
      <c r="AA431" s="206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69" t="s">
        <v>628</v>
      </c>
      <c r="AA433" s="2069"/>
    </row>
    <row r="434" spans="1:110" ht="12.75" customHeight="1"/>
    <row r="435" spans="1:110" ht="12.75" customHeight="1">
      <c r="A435" s="50" t="s">
        <v>502</v>
      </c>
      <c r="B435" s="50"/>
      <c r="C435" s="50"/>
      <c r="D435" s="50" t="s">
        <v>826</v>
      </c>
      <c r="AF435" s="80"/>
    </row>
    <row r="436" spans="1:110" ht="12.75" customHeight="1">
      <c r="D436" s="2084" t="s">
        <v>46</v>
      </c>
      <c r="E436" s="2085"/>
      <c r="F436" s="2085"/>
      <c r="G436" s="2085"/>
      <c r="H436" s="2085"/>
      <c r="I436" s="2085"/>
      <c r="J436" s="2085"/>
      <c r="K436" s="2085"/>
      <c r="L436" s="2085"/>
      <c r="M436" s="2085"/>
      <c r="N436" s="2085"/>
      <c r="O436" s="2085"/>
      <c r="P436" s="2085"/>
      <c r="Q436" s="2085"/>
      <c r="R436" s="2085"/>
      <c r="S436" s="2085"/>
      <c r="T436" s="2085"/>
      <c r="U436" s="2085"/>
      <c r="V436" s="2085"/>
      <c r="W436" s="2085"/>
      <c r="X436" s="2085"/>
      <c r="Y436" s="2085"/>
      <c r="Z436" s="2085"/>
      <c r="AA436" s="2085"/>
      <c r="AB436" s="2085"/>
      <c r="AC436" s="2085"/>
      <c r="AD436" s="2085"/>
      <c r="AE436" s="2085"/>
      <c r="AF436" s="2086"/>
      <c r="AG436" s="2044">
        <v>80</v>
      </c>
      <c r="AH436" s="2044"/>
      <c r="AI436" s="2044"/>
      <c r="AJ436" s="2044"/>
    </row>
    <row r="437" spans="1:110" ht="12.75" customHeight="1">
      <c r="D437" s="2070" t="s">
        <v>1444</v>
      </c>
      <c r="E437" s="2071"/>
      <c r="F437" s="2071"/>
      <c r="G437" s="2071"/>
      <c r="H437" s="2071"/>
      <c r="I437" s="2071"/>
      <c r="J437" s="2071"/>
      <c r="K437" s="2071"/>
      <c r="L437" s="2071"/>
      <c r="M437" s="2071"/>
      <c r="N437" s="2071"/>
      <c r="O437" s="2071"/>
      <c r="P437" s="2071"/>
      <c r="Q437" s="2071"/>
      <c r="R437" s="2071"/>
      <c r="S437" s="2071"/>
      <c r="T437" s="2071"/>
      <c r="U437" s="2071"/>
      <c r="V437" s="2071"/>
      <c r="W437" s="2071"/>
      <c r="X437" s="2071"/>
      <c r="Y437" s="2071"/>
      <c r="Z437" s="2071"/>
      <c r="AA437" s="2071"/>
      <c r="AB437" s="2071"/>
      <c r="AC437" s="2071"/>
      <c r="AD437" s="2071"/>
      <c r="AE437" s="2071"/>
      <c r="AF437" s="2072"/>
      <c r="AG437" s="2100">
        <v>0</v>
      </c>
      <c r="AH437" s="2101"/>
      <c r="AI437" s="2101"/>
      <c r="AJ437" s="2101"/>
    </row>
    <row r="438" spans="1:110" ht="12.75" customHeight="1">
      <c r="D438" s="2070" t="s">
        <v>1148</v>
      </c>
      <c r="E438" s="2071"/>
      <c r="F438" s="2071"/>
      <c r="G438" s="2071"/>
      <c r="H438" s="2071"/>
      <c r="I438" s="2071"/>
      <c r="J438" s="2071"/>
      <c r="K438" s="2071"/>
      <c r="L438" s="2071"/>
      <c r="M438" s="2071"/>
      <c r="N438" s="2071"/>
      <c r="O438" s="2071"/>
      <c r="P438" s="2071"/>
      <c r="Q438" s="2071"/>
      <c r="R438" s="2071"/>
      <c r="S438" s="2071"/>
      <c r="T438" s="2071"/>
      <c r="U438" s="2071"/>
      <c r="V438" s="2071"/>
      <c r="W438" s="2071"/>
      <c r="X438" s="2071"/>
      <c r="Y438" s="2071"/>
      <c r="Z438" s="2071"/>
      <c r="AA438" s="2071"/>
      <c r="AB438" s="2071"/>
      <c r="AC438" s="2071"/>
      <c r="AD438" s="2071"/>
      <c r="AE438" s="2071"/>
      <c r="AF438" s="2072"/>
      <c r="AG438" s="2044">
        <v>79</v>
      </c>
      <c r="AH438" s="2044"/>
      <c r="AI438" s="2044"/>
      <c r="AJ438" s="2044"/>
    </row>
    <row r="439" spans="1:110" ht="12.75" customHeight="1">
      <c r="D439" s="2070" t="s">
        <v>1149</v>
      </c>
      <c r="E439" s="2071"/>
      <c r="F439" s="2071"/>
      <c r="G439" s="2071"/>
      <c r="H439" s="2071"/>
      <c r="I439" s="2071"/>
      <c r="J439" s="2071"/>
      <c r="K439" s="2071"/>
      <c r="L439" s="2071"/>
      <c r="M439" s="2071"/>
      <c r="N439" s="2071"/>
      <c r="O439" s="2071"/>
      <c r="P439" s="2071"/>
      <c r="Q439" s="2071"/>
      <c r="R439" s="2071"/>
      <c r="S439" s="2071"/>
      <c r="T439" s="2071"/>
      <c r="U439" s="2071"/>
      <c r="V439" s="2071"/>
      <c r="W439" s="2071"/>
      <c r="X439" s="2071"/>
      <c r="Y439" s="2071"/>
      <c r="Z439" s="2071"/>
      <c r="AA439" s="2071"/>
      <c r="AB439" s="2071"/>
      <c r="AC439" s="2071"/>
      <c r="AD439" s="2071"/>
      <c r="AE439" s="2071"/>
      <c r="AF439" s="2072"/>
      <c r="AG439" s="2044">
        <v>79</v>
      </c>
      <c r="AH439" s="2044"/>
      <c r="AI439" s="2044"/>
      <c r="AJ439" s="2044"/>
    </row>
    <row r="440" spans="1:110" ht="12.75" customHeight="1">
      <c r="D440" s="2070" t="s">
        <v>1151</v>
      </c>
      <c r="E440" s="2071"/>
      <c r="F440" s="2071"/>
      <c r="G440" s="2071"/>
      <c r="H440" s="2071"/>
      <c r="I440" s="2071"/>
      <c r="J440" s="2071"/>
      <c r="K440" s="2071"/>
      <c r="L440" s="2071"/>
      <c r="M440" s="2071"/>
      <c r="N440" s="2071"/>
      <c r="O440" s="2071"/>
      <c r="P440" s="2071"/>
      <c r="Q440" s="2071"/>
      <c r="R440" s="2071"/>
      <c r="S440" s="2071"/>
      <c r="T440" s="2071"/>
      <c r="U440" s="2071"/>
      <c r="V440" s="2071"/>
      <c r="W440" s="2071"/>
      <c r="X440" s="2071"/>
      <c r="Y440" s="2071"/>
      <c r="Z440" s="2071"/>
      <c r="AA440" s="2071"/>
      <c r="AB440" s="2071"/>
      <c r="AC440" s="2071"/>
      <c r="AD440" s="2071"/>
      <c r="AE440" s="2071"/>
      <c r="AF440" s="2072"/>
      <c r="AG440" s="2067">
        <f>IF(ISERROR(AG439/AG438),"",AG439/AG438)</f>
        <v>1</v>
      </c>
      <c r="AH440" s="2067"/>
      <c r="AI440" s="2067"/>
      <c r="AJ440" s="2067"/>
    </row>
    <row r="441" spans="1:110" ht="12.75" customHeight="1">
      <c r="D441" s="2070" t="s">
        <v>1150</v>
      </c>
      <c r="E441" s="2071"/>
      <c r="F441" s="2071"/>
      <c r="G441" s="2071"/>
      <c r="H441" s="2071"/>
      <c r="I441" s="2071"/>
      <c r="J441" s="2071"/>
      <c r="K441" s="2071"/>
      <c r="L441" s="2071"/>
      <c r="M441" s="2071"/>
      <c r="N441" s="2071"/>
      <c r="O441" s="2071"/>
      <c r="P441" s="2071"/>
      <c r="Q441" s="2071"/>
      <c r="R441" s="2071"/>
      <c r="S441" s="2071"/>
      <c r="T441" s="2071"/>
      <c r="U441" s="2071"/>
      <c r="V441" s="2071"/>
      <c r="W441" s="2071"/>
      <c r="X441" s="2071"/>
      <c r="Y441" s="2071"/>
      <c r="Z441" s="2071"/>
      <c r="AA441" s="2071"/>
      <c r="AB441" s="2071"/>
      <c r="AC441" s="2071"/>
      <c r="AD441" s="2071"/>
      <c r="AE441" s="2071"/>
      <c r="AF441" s="2072"/>
      <c r="AG441" s="2066">
        <f>56652-970</f>
        <v>55682</v>
      </c>
      <c r="AH441" s="2066"/>
      <c r="AI441" s="2066"/>
      <c r="AJ441" s="2066"/>
    </row>
    <row r="442" spans="1:110" ht="12.75" customHeight="1">
      <c r="D442" s="2070" t="s">
        <v>1152</v>
      </c>
      <c r="E442" s="2071"/>
      <c r="F442" s="2071"/>
      <c r="G442" s="2071"/>
      <c r="H442" s="2071"/>
      <c r="I442" s="2071"/>
      <c r="J442" s="2071"/>
      <c r="K442" s="2071"/>
      <c r="L442" s="2071"/>
      <c r="M442" s="2071"/>
      <c r="N442" s="2071"/>
      <c r="O442" s="2071"/>
      <c r="P442" s="2071"/>
      <c r="Q442" s="2071"/>
      <c r="R442" s="2071"/>
      <c r="S442" s="2071"/>
      <c r="T442" s="2071"/>
      <c r="U442" s="2071"/>
      <c r="V442" s="2071"/>
      <c r="W442" s="2071"/>
      <c r="X442" s="2071"/>
      <c r="Y442" s="2071"/>
      <c r="Z442" s="2071"/>
      <c r="AA442" s="2071"/>
      <c r="AB442" s="2071"/>
      <c r="AC442" s="2071"/>
      <c r="AD442" s="2071"/>
      <c r="AE442" s="2071"/>
      <c r="AF442" s="2072"/>
      <c r="AG442" s="2066">
        <f>AG441</f>
        <v>55682</v>
      </c>
      <c r="AH442" s="2066"/>
      <c r="AI442" s="2066"/>
      <c r="AJ442" s="2066"/>
    </row>
    <row r="443" spans="1:110" ht="12.75" customHeight="1">
      <c r="D443" s="2070" t="s">
        <v>1153</v>
      </c>
      <c r="E443" s="2071"/>
      <c r="F443" s="2071"/>
      <c r="G443" s="2071"/>
      <c r="H443" s="2071"/>
      <c r="I443" s="2071"/>
      <c r="J443" s="2071"/>
      <c r="K443" s="2071"/>
      <c r="L443" s="2071"/>
      <c r="M443" s="2071"/>
      <c r="N443" s="2071"/>
      <c r="O443" s="2071"/>
      <c r="P443" s="2071"/>
      <c r="Q443" s="2071"/>
      <c r="R443" s="2071"/>
      <c r="S443" s="2071"/>
      <c r="T443" s="2071"/>
      <c r="U443" s="2071"/>
      <c r="V443" s="2071"/>
      <c r="W443" s="2071"/>
      <c r="X443" s="2071"/>
      <c r="Y443" s="2071"/>
      <c r="Z443" s="2071"/>
      <c r="AA443" s="2071"/>
      <c r="AB443" s="2071"/>
      <c r="AC443" s="2071"/>
      <c r="AD443" s="2071"/>
      <c r="AE443" s="2071"/>
      <c r="AF443" s="2072"/>
      <c r="AG443" s="2067">
        <f>IF(ISERROR(AG442/AG441),"",AG442/AG441)</f>
        <v>1</v>
      </c>
      <c r="AH443" s="2067"/>
      <c r="AI443" s="2067"/>
      <c r="AJ443" s="2067"/>
    </row>
    <row r="444" spans="1:110" ht="12.75" customHeight="1">
      <c r="D444" s="2070" t="s">
        <v>1154</v>
      </c>
      <c r="E444" s="2071"/>
      <c r="F444" s="2071"/>
      <c r="G444" s="2071"/>
      <c r="H444" s="2071"/>
      <c r="I444" s="2071"/>
      <c r="J444" s="2071"/>
      <c r="K444" s="2071"/>
      <c r="L444" s="2071"/>
      <c r="M444" s="2071"/>
      <c r="N444" s="2071"/>
      <c r="O444" s="2071"/>
      <c r="P444" s="2071"/>
      <c r="Q444" s="2071"/>
      <c r="R444" s="2071"/>
      <c r="S444" s="2071"/>
      <c r="T444" s="2071"/>
      <c r="U444" s="2071"/>
      <c r="V444" s="2071"/>
      <c r="W444" s="2071"/>
      <c r="X444" s="2071"/>
      <c r="Y444" s="2071"/>
      <c r="Z444" s="2071"/>
      <c r="AA444" s="2071"/>
      <c r="AB444" s="2071"/>
      <c r="AC444" s="2071"/>
      <c r="AD444" s="2071"/>
      <c r="AE444" s="2071"/>
      <c r="AF444" s="2072"/>
      <c r="AG444" s="2067">
        <f>MIN(IF(AG440&gt;AG443,AG443,AG440),1)</f>
        <v>1</v>
      </c>
      <c r="AH444" s="2067"/>
      <c r="AI444" s="2067"/>
      <c r="AJ444" s="2067"/>
    </row>
    <row r="445" spans="1:110" ht="12.75" customHeight="1">
      <c r="D445" s="2070" t="s">
        <v>1419</v>
      </c>
      <c r="E445" s="2085"/>
      <c r="F445" s="2085"/>
      <c r="G445" s="2085"/>
      <c r="H445" s="2085"/>
      <c r="I445" s="2085"/>
      <c r="J445" s="2085"/>
      <c r="K445" s="2085"/>
      <c r="L445" s="2085"/>
      <c r="M445" s="2085"/>
      <c r="N445" s="2085"/>
      <c r="O445" s="2085"/>
      <c r="P445" s="2085"/>
      <c r="Q445" s="2085"/>
      <c r="R445" s="2085"/>
      <c r="S445" s="2085"/>
      <c r="T445" s="2085"/>
      <c r="U445" s="2085"/>
      <c r="V445" s="2085"/>
      <c r="W445" s="2085"/>
      <c r="X445" s="2085"/>
      <c r="Y445" s="2085"/>
      <c r="Z445" s="2085"/>
      <c r="AA445" s="2085"/>
      <c r="AB445" s="2085"/>
      <c r="AC445" s="2085"/>
      <c r="AD445" s="2085"/>
      <c r="AE445" s="2085"/>
      <c r="AF445" s="2086"/>
      <c r="AG445" s="2066">
        <v>3715</v>
      </c>
      <c r="AH445" s="2066"/>
      <c r="AI445" s="2066"/>
      <c r="AJ445" s="2066"/>
    </row>
    <row r="446" spans="1:110" ht="12.75" customHeight="1">
      <c r="D446" s="2084" t="s">
        <v>604</v>
      </c>
      <c r="E446" s="2085"/>
      <c r="F446" s="2085"/>
      <c r="G446" s="2085"/>
      <c r="H446" s="2085"/>
      <c r="I446" s="2085"/>
      <c r="J446" s="2085"/>
      <c r="K446" s="2085"/>
      <c r="L446" s="2085"/>
      <c r="M446" s="2085"/>
      <c r="N446" s="2085"/>
      <c r="O446" s="2085"/>
      <c r="P446" s="2085"/>
      <c r="Q446" s="2085"/>
      <c r="R446" s="2085"/>
      <c r="S446" s="2085"/>
      <c r="T446" s="2085"/>
      <c r="U446" s="2085"/>
      <c r="V446" s="2085"/>
      <c r="W446" s="2085"/>
      <c r="X446" s="2085"/>
      <c r="Y446" s="2085"/>
      <c r="Z446" s="2085"/>
      <c r="AA446" s="2085"/>
      <c r="AB446" s="2085"/>
      <c r="AC446" s="2085"/>
      <c r="AD446" s="2085"/>
      <c r="AE446" s="2085"/>
      <c r="AF446" s="2086"/>
      <c r="AG446" s="2066">
        <v>8251</v>
      </c>
      <c r="AH446" s="2066"/>
      <c r="AI446" s="2066"/>
      <c r="AJ446" s="206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5" customHeight="1">
      <c r="D447" s="2070" t="s">
        <v>1420</v>
      </c>
      <c r="E447" s="2085"/>
      <c r="F447" s="2085"/>
      <c r="G447" s="2085"/>
      <c r="H447" s="2085"/>
      <c r="I447" s="2085"/>
      <c r="J447" s="2085"/>
      <c r="K447" s="2085"/>
      <c r="L447" s="2085"/>
      <c r="M447" s="2085"/>
      <c r="N447" s="2085"/>
      <c r="O447" s="2085"/>
      <c r="P447" s="2085"/>
      <c r="Q447" s="2085"/>
      <c r="R447" s="2085"/>
      <c r="S447" s="2085"/>
      <c r="T447" s="2085"/>
      <c r="U447" s="2085"/>
      <c r="V447" s="2085"/>
      <c r="W447" s="2085"/>
      <c r="X447" s="2085"/>
      <c r="Y447" s="2085"/>
      <c r="Z447" s="2085"/>
      <c r="AA447" s="2085"/>
      <c r="AB447" s="2085"/>
      <c r="AC447" s="2085"/>
      <c r="AD447" s="2085"/>
      <c r="AE447" s="2085"/>
      <c r="AF447" s="2086"/>
      <c r="AG447" s="2066">
        <f>21559+970</f>
        <v>22529</v>
      </c>
      <c r="AH447" s="2066"/>
      <c r="AI447" s="2066"/>
      <c r="AJ447" s="206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070" t="s">
        <v>1155</v>
      </c>
      <c r="E448" s="2085"/>
      <c r="F448" s="2085"/>
      <c r="G448" s="2085"/>
      <c r="H448" s="2085"/>
      <c r="I448" s="2085"/>
      <c r="J448" s="2085"/>
      <c r="K448" s="2085"/>
      <c r="L448" s="2085"/>
      <c r="M448" s="2085"/>
      <c r="N448" s="2085"/>
      <c r="O448" s="2085"/>
      <c r="P448" s="2085"/>
      <c r="Q448" s="2085"/>
      <c r="R448" s="2085"/>
      <c r="S448" s="2085"/>
      <c r="T448" s="2085"/>
      <c r="U448" s="2085"/>
      <c r="V448" s="2085"/>
      <c r="W448" s="2085"/>
      <c r="X448" s="2085"/>
      <c r="Y448" s="2085"/>
      <c r="Z448" s="2085"/>
      <c r="AA448" s="2085"/>
      <c r="AB448" s="2085"/>
      <c r="AC448" s="2085"/>
      <c r="AD448" s="2085"/>
      <c r="AE448" s="2085"/>
      <c r="AF448" s="2086"/>
      <c r="AG448" s="2066">
        <v>26235</v>
      </c>
      <c r="AH448" s="2066"/>
      <c r="AI448" s="2066"/>
      <c r="AJ448" s="206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16" t="s">
        <v>1156</v>
      </c>
      <c r="E449" s="2417"/>
      <c r="F449" s="2417"/>
      <c r="G449" s="2417"/>
      <c r="H449" s="2417"/>
      <c r="I449" s="2417"/>
      <c r="J449" s="2417"/>
      <c r="K449" s="2417"/>
      <c r="L449" s="2417"/>
      <c r="M449" s="2417"/>
      <c r="N449" s="2417"/>
      <c r="O449" s="2417"/>
      <c r="P449" s="2417"/>
      <c r="Q449" s="2417"/>
      <c r="R449" s="2417"/>
      <c r="S449" s="2417"/>
      <c r="T449" s="2417"/>
      <c r="U449" s="2417"/>
      <c r="V449" s="2417"/>
      <c r="W449" s="2417"/>
      <c r="X449" s="2417"/>
      <c r="Y449" s="2417"/>
      <c r="Z449" s="2417"/>
      <c r="AA449" s="2417"/>
      <c r="AB449" s="2417"/>
      <c r="AC449" s="2417"/>
      <c r="AD449" s="2417"/>
      <c r="AE449" s="2417"/>
      <c r="AF449" s="2418"/>
      <c r="AG449" s="2121">
        <f>AG441+AG445+AG447+AG448</f>
        <v>108161</v>
      </c>
      <c r="AH449" s="2121"/>
      <c r="AI449" s="2121"/>
      <c r="AJ449" s="212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419" t="s">
        <v>1421</v>
      </c>
      <c r="E450" s="2419"/>
      <c r="F450" s="2419"/>
      <c r="G450" s="2419"/>
      <c r="H450" s="2419"/>
      <c r="I450" s="2419"/>
      <c r="J450" s="2419"/>
      <c r="K450" s="2419"/>
      <c r="L450" s="2419"/>
      <c r="M450" s="2419"/>
      <c r="N450" s="2419"/>
      <c r="O450" s="2419"/>
      <c r="P450" s="2419"/>
      <c r="Q450" s="2419"/>
      <c r="R450" s="2419"/>
      <c r="S450" s="2419"/>
      <c r="T450" s="2419"/>
      <c r="U450" s="2419"/>
      <c r="V450" s="2419"/>
      <c r="W450" s="2419"/>
      <c r="X450" s="2419"/>
      <c r="Y450" s="2419"/>
      <c r="Z450" s="2419"/>
      <c r="AA450" s="2419"/>
      <c r="AB450" s="2419"/>
      <c r="AC450" s="2419"/>
      <c r="AD450" s="2419"/>
      <c r="AE450" s="2419"/>
      <c r="AF450" s="2419"/>
      <c r="AG450" s="2419"/>
      <c r="AH450" s="2419"/>
      <c r="AI450" s="2419"/>
      <c r="AJ450" s="241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420"/>
      <c r="E451" s="2420"/>
      <c r="F451" s="2420"/>
      <c r="G451" s="2420"/>
      <c r="H451" s="2420"/>
      <c r="I451" s="2420"/>
      <c r="J451" s="2420"/>
      <c r="K451" s="2420"/>
      <c r="L451" s="2420"/>
      <c r="M451" s="2420"/>
      <c r="N451" s="2420"/>
      <c r="O451" s="2420"/>
      <c r="P451" s="2420"/>
      <c r="Q451" s="2420"/>
      <c r="R451" s="2420"/>
      <c r="S451" s="2420"/>
      <c r="T451" s="2420"/>
      <c r="U451" s="2420"/>
      <c r="V451" s="2420"/>
      <c r="W451" s="2420"/>
      <c r="X451" s="2420"/>
      <c r="Y451" s="2420"/>
      <c r="Z451" s="2420"/>
      <c r="AA451" s="2420"/>
      <c r="AB451" s="2420"/>
      <c r="AC451" s="2420"/>
      <c r="AD451" s="2420"/>
      <c r="AE451" s="2420"/>
      <c r="AF451" s="2420"/>
      <c r="AG451" s="2420"/>
      <c r="AH451" s="2420"/>
      <c r="AI451" s="2420"/>
      <c r="AJ451" s="242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8">
        <f>'Sources and Uses Budget'!B105/Application!AG436</f>
        <v>918932.4375</v>
      </c>
      <c r="AD453" s="2068"/>
      <c r="AE453" s="2068"/>
      <c r="AF453" s="206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8">
        <f>'Sources and Uses Budget'!C105/Application!AG436</f>
        <v>833651.96250000002</v>
      </c>
      <c r="AD454" s="2068"/>
      <c r="AE454" s="2068"/>
      <c r="AF454" s="206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8">
        <f>('Sources and Uses Budget'!$S$107+'Sources and Uses Budget'!$T$107)/Application!AG436</f>
        <v>785397.53749999998</v>
      </c>
      <c r="AD455" s="2068"/>
      <c r="AE455" s="2068"/>
      <c r="AF455" s="206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080" t="s">
        <v>735</v>
      </c>
      <c r="E464" s="2081"/>
      <c r="F464" s="2081"/>
      <c r="G464" s="2081"/>
      <c r="H464" s="2081"/>
      <c r="I464" s="2081"/>
      <c r="J464" s="2081"/>
      <c r="K464" s="2081"/>
      <c r="L464" s="2081"/>
      <c r="M464" s="2081"/>
      <c r="N464" s="2081"/>
      <c r="O464" s="2081"/>
      <c r="P464" s="2081"/>
      <c r="Q464" s="2081"/>
      <c r="R464" s="2081"/>
      <c r="S464" s="2081"/>
      <c r="T464" s="2081"/>
      <c r="U464" s="2081"/>
      <c r="V464" s="2082"/>
      <c r="W464" s="2117">
        <v>40</v>
      </c>
      <c r="X464" s="2118"/>
      <c r="Y464" s="211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080" t="s">
        <v>736</v>
      </c>
      <c r="E465" s="2081"/>
      <c r="F465" s="2081"/>
      <c r="G465" s="2081"/>
      <c r="H465" s="2081"/>
      <c r="I465" s="2081"/>
      <c r="J465" s="2081"/>
      <c r="K465" s="2081"/>
      <c r="L465" s="2081"/>
      <c r="M465" s="2081"/>
      <c r="N465" s="2081"/>
      <c r="O465" s="2081"/>
      <c r="P465" s="2081"/>
      <c r="Q465" s="2081"/>
      <c r="R465" s="2081"/>
      <c r="S465" s="2081"/>
      <c r="T465" s="2081"/>
      <c r="U465" s="2081"/>
      <c r="V465" s="2082"/>
      <c r="W465" s="2117">
        <v>0</v>
      </c>
      <c r="X465" s="2118"/>
      <c r="Y465" s="211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080" t="s">
        <v>737</v>
      </c>
      <c r="E466" s="2081"/>
      <c r="F466" s="2081"/>
      <c r="G466" s="2081"/>
      <c r="H466" s="2081"/>
      <c r="I466" s="2081"/>
      <c r="J466" s="2081"/>
      <c r="K466" s="2081"/>
      <c r="L466" s="2081"/>
      <c r="M466" s="2081"/>
      <c r="N466" s="2081"/>
      <c r="O466" s="2081"/>
      <c r="P466" s="2081"/>
      <c r="Q466" s="2081"/>
      <c r="R466" s="2081"/>
      <c r="S466" s="2081"/>
      <c r="T466" s="2081"/>
      <c r="U466" s="2081"/>
      <c r="V466" s="2082"/>
      <c r="W466" s="2117">
        <v>10</v>
      </c>
      <c r="X466" s="2118"/>
      <c r="Y466" s="211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80" t="s">
        <v>738</v>
      </c>
      <c r="E467" s="2081"/>
      <c r="F467" s="2081"/>
      <c r="G467" s="2081"/>
      <c r="H467" s="2081"/>
      <c r="I467" s="2081"/>
      <c r="J467" s="2081"/>
      <c r="K467" s="2081"/>
      <c r="L467" s="2081"/>
      <c r="M467" s="2081"/>
      <c r="N467" s="2081"/>
      <c r="O467" s="2081"/>
      <c r="P467" s="2081"/>
      <c r="Q467" s="2081"/>
      <c r="R467" s="2081"/>
      <c r="S467" s="2081"/>
      <c r="T467" s="2081"/>
      <c r="U467" s="2081"/>
      <c r="V467" s="2082"/>
      <c r="W467" s="2117">
        <v>0</v>
      </c>
      <c r="X467" s="2118"/>
      <c r="Y467" s="211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80" t="s">
        <v>950</v>
      </c>
      <c r="E468" s="2081"/>
      <c r="F468" s="2081"/>
      <c r="G468" s="2081"/>
      <c r="H468" s="2081"/>
      <c r="I468" s="2081"/>
      <c r="J468" s="2081"/>
      <c r="K468" s="2081"/>
      <c r="L468" s="2081"/>
      <c r="M468" s="2081"/>
      <c r="N468" s="2081"/>
      <c r="O468" s="2081"/>
      <c r="P468" s="2081"/>
      <c r="Q468" s="2081"/>
      <c r="R468" s="2081"/>
      <c r="S468" s="2081"/>
      <c r="T468" s="2081"/>
      <c r="U468" s="2081"/>
      <c r="V468" s="2082"/>
      <c r="W468" s="2117"/>
      <c r="X468" s="2118"/>
      <c r="Y468" s="211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080" t="s">
        <v>739</v>
      </c>
      <c r="E469" s="2081"/>
      <c r="F469" s="2081"/>
      <c r="G469" s="2081"/>
      <c r="H469" s="2081"/>
      <c r="I469" s="2081"/>
      <c r="J469" s="2081"/>
      <c r="K469" s="2081"/>
      <c r="L469" s="2081"/>
      <c r="M469" s="2081"/>
      <c r="N469" s="2081"/>
      <c r="O469" s="2081"/>
      <c r="P469" s="2081"/>
      <c r="Q469" s="2081"/>
      <c r="R469" s="2081"/>
      <c r="S469" s="2081"/>
      <c r="T469" s="2081"/>
      <c r="U469" s="2081"/>
      <c r="V469" s="2082"/>
      <c r="W469" s="2117">
        <v>0</v>
      </c>
      <c r="X469" s="2118"/>
      <c r="Y469" s="211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080" t="s">
        <v>1122</v>
      </c>
      <c r="E470" s="2081"/>
      <c r="F470" s="2081"/>
      <c r="G470" s="2081"/>
      <c r="H470" s="2081"/>
      <c r="I470" s="2081"/>
      <c r="J470" s="2081"/>
      <c r="K470" s="2081"/>
      <c r="L470" s="2081"/>
      <c r="M470" s="2081"/>
      <c r="N470" s="2081"/>
      <c r="O470" s="2081"/>
      <c r="P470" s="2081"/>
      <c r="Q470" s="2081"/>
      <c r="R470" s="2081"/>
      <c r="S470" s="2081"/>
      <c r="T470" s="2081"/>
      <c r="U470" s="2081"/>
      <c r="V470" s="2082"/>
      <c r="W470" s="2117">
        <v>0</v>
      </c>
      <c r="X470" s="2118"/>
      <c r="Y470" s="211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120" t="s">
        <v>2022</v>
      </c>
      <c r="E471" s="2081"/>
      <c r="F471" s="2081"/>
      <c r="G471" s="2081"/>
      <c r="H471" s="2081"/>
      <c r="I471" s="2081"/>
      <c r="J471" s="2081"/>
      <c r="K471" s="2081"/>
      <c r="L471" s="2081"/>
      <c r="M471" s="2081"/>
      <c r="N471" s="2081"/>
      <c r="O471" s="2081"/>
      <c r="P471" s="2081"/>
      <c r="Q471" s="2081"/>
      <c r="R471" s="2081"/>
      <c r="S471" s="2081"/>
      <c r="T471" s="2081"/>
      <c r="U471" s="2081"/>
      <c r="V471" s="2082"/>
      <c r="W471" s="2117">
        <v>20</v>
      </c>
      <c r="X471" s="2118"/>
      <c r="Y471" s="211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3" t="s">
        <v>175</v>
      </c>
      <c r="E472" s="394"/>
      <c r="F472" s="395"/>
      <c r="G472" s="2114"/>
      <c r="H472" s="2115"/>
      <c r="I472" s="2115"/>
      <c r="J472" s="2115"/>
      <c r="K472" s="2115"/>
      <c r="L472" s="2115"/>
      <c r="M472" s="2115"/>
      <c r="N472" s="2115"/>
      <c r="O472" s="2115"/>
      <c r="P472" s="2115"/>
      <c r="Q472" s="2115"/>
      <c r="R472" s="2115"/>
      <c r="S472" s="2115"/>
      <c r="T472" s="2115"/>
      <c r="U472" s="2115"/>
      <c r="V472" s="2116"/>
      <c r="W472" s="2117">
        <v>0</v>
      </c>
      <c r="X472" s="2118"/>
      <c r="Y472" s="211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202" t="s">
        <v>873</v>
      </c>
      <c r="B478" s="2202"/>
      <c r="C478" s="2202"/>
      <c r="D478" s="2202"/>
      <c r="E478" s="2202"/>
      <c r="F478" s="2202"/>
      <c r="G478" s="2202"/>
      <c r="H478" s="2202"/>
      <c r="I478" s="2202"/>
      <c r="J478" s="2202"/>
      <c r="K478" s="2202"/>
      <c r="L478" s="2202"/>
      <c r="M478" s="2202"/>
      <c r="N478" s="2202"/>
      <c r="O478" s="2202"/>
      <c r="P478" s="2202"/>
      <c r="Q478" s="2202"/>
      <c r="R478" s="2202"/>
      <c r="S478" s="2202"/>
      <c r="T478" s="2202"/>
      <c r="U478" s="2202"/>
      <c r="V478" s="2202"/>
      <c r="W478" s="2202"/>
      <c r="X478" s="2202"/>
      <c r="Y478" s="2202"/>
      <c r="Z478" s="2202"/>
      <c r="AA478" s="2202"/>
      <c r="AB478" s="2202"/>
      <c r="AC478" s="2202"/>
      <c r="AD478" s="2202"/>
      <c r="AE478" s="2202"/>
      <c r="AF478" s="2202"/>
      <c r="AG478" s="2202"/>
      <c r="AH478" s="2202"/>
      <c r="AI478" s="2202"/>
      <c r="AJ478" s="2202"/>
      <c r="AK478" s="2202"/>
      <c r="AL478" s="220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203"/>
      <c r="B479" s="2203"/>
      <c r="C479" s="2203"/>
      <c r="D479" s="2203"/>
      <c r="E479" s="2203"/>
      <c r="F479" s="2203"/>
      <c r="G479" s="2203"/>
      <c r="H479" s="2203"/>
      <c r="I479" s="2203"/>
      <c r="J479" s="2203"/>
      <c r="K479" s="2203"/>
      <c r="L479" s="2203"/>
      <c r="M479" s="2203"/>
      <c r="N479" s="2203"/>
      <c r="O479" s="2203"/>
      <c r="P479" s="2203"/>
      <c r="Q479" s="2203"/>
      <c r="R479" s="2203"/>
      <c r="S479" s="2203"/>
      <c r="T479" s="2203"/>
      <c r="U479" s="2203"/>
      <c r="V479" s="2203"/>
      <c r="W479" s="2203"/>
      <c r="X479" s="2203"/>
      <c r="Y479" s="2203"/>
      <c r="Z479" s="2203"/>
      <c r="AA479" s="2203"/>
      <c r="AB479" s="2203"/>
      <c r="AC479" s="2203"/>
      <c r="AD479" s="2203"/>
      <c r="AE479" s="2203"/>
      <c r="AF479" s="2203"/>
      <c r="AG479" s="2203"/>
      <c r="AH479" s="2203"/>
      <c r="AI479" s="2203"/>
      <c r="AJ479" s="2203"/>
      <c r="AK479" s="2203"/>
      <c r="AL479" s="220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5"/>
      <c r="C483" s="505"/>
      <c r="D483" s="505"/>
      <c r="E483" s="871"/>
      <c r="F483" s="872"/>
      <c r="G483" s="872"/>
      <c r="H483" s="872"/>
      <c r="I483" s="872"/>
      <c r="J483" s="872"/>
      <c r="K483" s="872"/>
      <c r="L483" s="872"/>
      <c r="M483" s="872"/>
      <c r="N483" s="872"/>
      <c r="O483" s="872"/>
      <c r="P483" s="872"/>
      <c r="Q483" s="872"/>
      <c r="R483" s="872"/>
      <c r="S483" s="873"/>
      <c r="T483" s="2130" t="s">
        <v>874</v>
      </c>
      <c r="U483" s="2131"/>
      <c r="V483" s="2131"/>
      <c r="W483" s="2131"/>
      <c r="X483" s="2131"/>
      <c r="Y483" s="2131"/>
      <c r="Z483" s="2131"/>
      <c r="AA483" s="2131"/>
      <c r="AB483" s="2131"/>
      <c r="AC483" s="2131"/>
      <c r="AD483" s="2131"/>
      <c r="AE483" s="2131"/>
      <c r="AF483" s="2131"/>
      <c r="AG483" s="2131"/>
      <c r="AH483" s="213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4"/>
      <c r="F484" s="682"/>
      <c r="G484" s="682"/>
      <c r="H484" s="682"/>
      <c r="I484" s="682"/>
      <c r="J484" s="682"/>
      <c r="K484" s="682"/>
      <c r="L484" s="682"/>
      <c r="M484" s="682"/>
      <c r="N484" s="682"/>
      <c r="O484" s="682"/>
      <c r="P484" s="682"/>
      <c r="Q484" s="682"/>
      <c r="R484" s="682"/>
      <c r="S484" s="875"/>
      <c r="T484" s="2204" t="s">
        <v>36</v>
      </c>
      <c r="U484" s="2204"/>
      <c r="V484" s="2204"/>
      <c r="W484" s="2204"/>
      <c r="X484" s="2204"/>
      <c r="Y484" s="2204" t="s">
        <v>37</v>
      </c>
      <c r="Z484" s="2204"/>
      <c r="AA484" s="2204"/>
      <c r="AB484" s="2204"/>
      <c r="AC484" s="2204"/>
      <c r="AD484" s="2204" t="s">
        <v>350</v>
      </c>
      <c r="AE484" s="2204"/>
      <c r="AF484" s="2204"/>
      <c r="AG484" s="2204"/>
      <c r="AH484" s="220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6"/>
      <c r="F485" s="877"/>
      <c r="G485" s="877"/>
      <c r="H485" s="877"/>
      <c r="I485" s="877"/>
      <c r="J485" s="877"/>
      <c r="K485" s="877"/>
      <c r="L485" s="877"/>
      <c r="M485" s="877"/>
      <c r="N485" s="877"/>
      <c r="O485" s="877"/>
      <c r="P485" s="877"/>
      <c r="Q485" s="877"/>
      <c r="R485" s="877"/>
      <c r="S485" s="878"/>
      <c r="T485" s="2204"/>
      <c r="U485" s="2204"/>
      <c r="V485" s="2204"/>
      <c r="W485" s="2204"/>
      <c r="X485" s="2204"/>
      <c r="Y485" s="2204"/>
      <c r="Z485" s="2204"/>
      <c r="AA485" s="2204"/>
      <c r="AB485" s="2204"/>
      <c r="AC485" s="2204"/>
      <c r="AD485" s="2204"/>
      <c r="AE485" s="2204"/>
      <c r="AF485" s="2204"/>
      <c r="AG485" s="2204"/>
      <c r="AH485" s="220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384</v>
      </c>
      <c r="F486" s="77"/>
      <c r="G486" s="77"/>
      <c r="H486" s="77"/>
      <c r="I486" s="77"/>
      <c r="J486" s="77"/>
      <c r="K486" s="77"/>
      <c r="L486" s="77"/>
      <c r="M486" s="77"/>
      <c r="N486" s="77"/>
      <c r="O486" s="77"/>
      <c r="P486" s="77"/>
      <c r="Q486" s="77"/>
      <c r="R486" s="77"/>
      <c r="S486" s="78"/>
      <c r="T486" s="2032">
        <v>0</v>
      </c>
      <c r="U486" s="2032"/>
      <c r="V486" s="2032"/>
      <c r="W486" s="2032"/>
      <c r="X486" s="2032"/>
      <c r="Y486" s="2032">
        <v>0</v>
      </c>
      <c r="Z486" s="2032"/>
      <c r="AA486" s="2032"/>
      <c r="AB486" s="2032"/>
      <c r="AC486" s="2032"/>
      <c r="AD486" s="2032">
        <v>43501</v>
      </c>
      <c r="AE486" s="2032"/>
      <c r="AF486" s="2032"/>
      <c r="AG486" s="2032"/>
      <c r="AH486" s="203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385</v>
      </c>
      <c r="F487" s="77"/>
      <c r="G487" s="77"/>
      <c r="H487" s="77"/>
      <c r="I487" s="77"/>
      <c r="J487" s="77"/>
      <c r="K487" s="77"/>
      <c r="L487" s="77"/>
      <c r="M487" s="77"/>
      <c r="N487" s="77"/>
      <c r="O487" s="77"/>
      <c r="P487" s="77"/>
      <c r="Q487" s="77"/>
      <c r="R487" s="77"/>
      <c r="S487" s="77"/>
      <c r="T487" s="2032">
        <v>0</v>
      </c>
      <c r="U487" s="2032"/>
      <c r="V487" s="2032"/>
      <c r="W487" s="2032"/>
      <c r="X487" s="2032"/>
      <c r="Y487" s="2032">
        <v>44257</v>
      </c>
      <c r="Z487" s="2032"/>
      <c r="AA487" s="2032"/>
      <c r="AB487" s="2032"/>
      <c r="AC487" s="2032"/>
      <c r="AD487" s="2032">
        <v>0</v>
      </c>
      <c r="AE487" s="2032"/>
      <c r="AF487" s="2032"/>
      <c r="AG487" s="2032"/>
      <c r="AH487" s="203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386</v>
      </c>
      <c r="F488" s="77"/>
      <c r="G488" s="77"/>
      <c r="H488" s="77"/>
      <c r="I488" s="77"/>
      <c r="J488" s="77"/>
      <c r="K488" s="77"/>
      <c r="L488" s="77"/>
      <c r="M488" s="77"/>
      <c r="N488" s="77"/>
      <c r="O488" s="77"/>
      <c r="P488" s="77"/>
      <c r="Q488" s="77"/>
      <c r="R488" s="77"/>
      <c r="S488" s="77"/>
      <c r="T488" s="2032">
        <v>0</v>
      </c>
      <c r="U488" s="2032"/>
      <c r="V488" s="2032"/>
      <c r="W488" s="2032"/>
      <c r="X488" s="2032"/>
      <c r="Y488" s="2032">
        <v>0</v>
      </c>
      <c r="Z488" s="2032"/>
      <c r="AA488" s="2032"/>
      <c r="AB488" s="2032"/>
      <c r="AC488" s="2032"/>
      <c r="AD488" s="2032" t="s">
        <v>628</v>
      </c>
      <c r="AE488" s="2032"/>
      <c r="AF488" s="2032"/>
      <c r="AG488" s="2032"/>
      <c r="AH488" s="203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387</v>
      </c>
      <c r="F489" s="77"/>
      <c r="G489" s="77"/>
      <c r="H489" s="77"/>
      <c r="I489" s="77"/>
      <c r="J489" s="77"/>
      <c r="K489" s="77"/>
      <c r="L489" s="77"/>
      <c r="M489" s="77"/>
      <c r="N489" s="77"/>
      <c r="O489" s="77"/>
      <c r="P489" s="77"/>
      <c r="Q489" s="77"/>
      <c r="R489" s="77"/>
      <c r="S489" s="77"/>
      <c r="T489" s="2032">
        <v>0</v>
      </c>
      <c r="U489" s="2032"/>
      <c r="V489" s="2032"/>
      <c r="W489" s="2032"/>
      <c r="X489" s="2032"/>
      <c r="Y489" s="2032">
        <v>0</v>
      </c>
      <c r="Z489" s="2032"/>
      <c r="AA489" s="2032"/>
      <c r="AB489" s="2032"/>
      <c r="AC489" s="2032"/>
      <c r="AD489" s="2032" t="s">
        <v>628</v>
      </c>
      <c r="AE489" s="2032"/>
      <c r="AF489" s="2032"/>
      <c r="AG489" s="2032"/>
      <c r="AH489" s="203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388</v>
      </c>
      <c r="F490" s="77"/>
      <c r="G490" s="77"/>
      <c r="H490" s="77"/>
      <c r="I490" s="77"/>
      <c r="J490" s="77"/>
      <c r="K490" s="77"/>
      <c r="L490" s="77"/>
      <c r="M490" s="77"/>
      <c r="N490" s="77"/>
      <c r="O490" s="77"/>
      <c r="P490" s="77"/>
      <c r="Q490" s="77"/>
      <c r="R490" s="77"/>
      <c r="S490" s="77"/>
      <c r="T490" s="2032">
        <v>0</v>
      </c>
      <c r="U490" s="2032"/>
      <c r="V490" s="2032"/>
      <c r="W490" s="2032"/>
      <c r="X490" s="2032"/>
      <c r="Y490" s="2032">
        <v>0</v>
      </c>
      <c r="Z490" s="2032"/>
      <c r="AA490" s="2032"/>
      <c r="AB490" s="2032"/>
      <c r="AC490" s="2032"/>
      <c r="AD490" s="2032" t="s">
        <v>628</v>
      </c>
      <c r="AE490" s="2032"/>
      <c r="AF490" s="2032"/>
      <c r="AG490" s="2032"/>
      <c r="AH490" s="203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389</v>
      </c>
      <c r="F491" s="77"/>
      <c r="G491" s="77"/>
      <c r="H491" s="77"/>
      <c r="I491" s="77"/>
      <c r="J491" s="77"/>
      <c r="K491" s="77"/>
      <c r="L491" s="77"/>
      <c r="M491" s="77"/>
      <c r="N491" s="77"/>
      <c r="O491" s="77"/>
      <c r="P491" s="77"/>
      <c r="Q491" s="77"/>
      <c r="R491" s="77"/>
      <c r="S491" s="77"/>
      <c r="T491" s="2032">
        <v>0</v>
      </c>
      <c r="U491" s="2032"/>
      <c r="V491" s="2032"/>
      <c r="W491" s="2032"/>
      <c r="X491" s="2032"/>
      <c r="Y491" s="2032">
        <v>0</v>
      </c>
      <c r="Z491" s="2032"/>
      <c r="AA491" s="2032"/>
      <c r="AB491" s="2032"/>
      <c r="AC491" s="2032"/>
      <c r="AD491" s="2032">
        <v>43496</v>
      </c>
      <c r="AE491" s="2032"/>
      <c r="AF491" s="2032"/>
      <c r="AG491" s="2032"/>
      <c r="AH491" s="203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390</v>
      </c>
      <c r="F492" s="77"/>
      <c r="G492" s="77"/>
      <c r="H492" s="77"/>
      <c r="I492" s="77"/>
      <c r="J492" s="77"/>
      <c r="K492" s="77"/>
      <c r="L492" s="77"/>
      <c r="M492" s="77"/>
      <c r="N492" s="77"/>
      <c r="O492" s="77"/>
      <c r="P492" s="77"/>
      <c r="Q492" s="77"/>
      <c r="R492" s="77"/>
      <c r="S492" s="77"/>
      <c r="T492" s="2032">
        <v>0</v>
      </c>
      <c r="U492" s="2032"/>
      <c r="V492" s="2032"/>
      <c r="W492" s="2032"/>
      <c r="X492" s="2032"/>
      <c r="Y492" s="2032">
        <v>0</v>
      </c>
      <c r="Z492" s="2032"/>
      <c r="AA492" s="2032"/>
      <c r="AB492" s="2032"/>
      <c r="AC492" s="2032"/>
      <c r="AD492" s="2032">
        <v>43502</v>
      </c>
      <c r="AE492" s="2032"/>
      <c r="AF492" s="2032"/>
      <c r="AG492" s="2032"/>
      <c r="AH492" s="2032"/>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414</v>
      </c>
      <c r="F493" s="77"/>
      <c r="G493" s="77"/>
      <c r="H493" s="77"/>
      <c r="I493" s="77"/>
      <c r="J493" s="77"/>
      <c r="K493" s="77"/>
      <c r="L493" s="77"/>
      <c r="M493" s="77"/>
      <c r="N493" s="77"/>
      <c r="O493" s="77"/>
      <c r="P493" s="77"/>
      <c r="Q493" s="77"/>
      <c r="R493" s="77"/>
      <c r="S493" s="77"/>
      <c r="T493" s="2032">
        <v>0</v>
      </c>
      <c r="U493" s="2032"/>
      <c r="V493" s="2032"/>
      <c r="W493" s="2032"/>
      <c r="X493" s="2032"/>
      <c r="Y493" s="2032">
        <v>0</v>
      </c>
      <c r="Z493" s="2032"/>
      <c r="AA493" s="2032"/>
      <c r="AB493" s="2032"/>
      <c r="AC493" s="2032"/>
      <c r="AD493" s="2032">
        <v>43502</v>
      </c>
      <c r="AE493" s="2032"/>
      <c r="AF493" s="2032"/>
      <c r="AG493" s="2032"/>
      <c r="AH493" s="203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415</v>
      </c>
      <c r="F494" s="77"/>
      <c r="G494" s="77"/>
      <c r="H494" s="77"/>
      <c r="I494" s="77"/>
      <c r="J494" s="77"/>
      <c r="K494" s="77"/>
      <c r="L494" s="77"/>
      <c r="M494" s="77"/>
      <c r="N494" s="77"/>
      <c r="O494" s="77"/>
      <c r="P494" s="77"/>
      <c r="Q494" s="77"/>
      <c r="R494" s="77"/>
      <c r="S494" s="77"/>
      <c r="T494" s="2032">
        <v>0</v>
      </c>
      <c r="U494" s="2032"/>
      <c r="V494" s="2032"/>
      <c r="W494" s="2032"/>
      <c r="X494" s="2032"/>
      <c r="Y494" s="2032">
        <v>0</v>
      </c>
      <c r="Z494" s="2032"/>
      <c r="AA494" s="2032"/>
      <c r="AB494" s="2032"/>
      <c r="AC494" s="2032"/>
      <c r="AD494" s="2032" t="s">
        <v>628</v>
      </c>
      <c r="AE494" s="2032"/>
      <c r="AF494" s="2032"/>
      <c r="AG494" s="2032"/>
      <c r="AH494" s="203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1096</v>
      </c>
      <c r="F495" s="80"/>
      <c r="G495" s="80"/>
      <c r="H495" s="80"/>
      <c r="I495" s="80"/>
      <c r="J495" s="80"/>
      <c r="K495" s="80"/>
      <c r="L495" s="80"/>
      <c r="M495" s="80"/>
      <c r="N495" s="80"/>
      <c r="O495" s="80"/>
      <c r="P495" s="80"/>
      <c r="Q495" s="80"/>
      <c r="R495" s="80"/>
      <c r="S495" s="80"/>
      <c r="T495" s="2032">
        <v>0</v>
      </c>
      <c r="U495" s="2032"/>
      <c r="V495" s="2032"/>
      <c r="W495" s="2032"/>
      <c r="X495" s="2032"/>
      <c r="Y495" s="2032">
        <v>0</v>
      </c>
      <c r="Z495" s="2032"/>
      <c r="AA495" s="2032"/>
      <c r="AB495" s="2032"/>
      <c r="AC495" s="2032"/>
      <c r="AD495" s="2032" t="s">
        <v>628</v>
      </c>
      <c r="AE495" s="2032"/>
      <c r="AF495" s="2032"/>
      <c r="AG495" s="2032"/>
      <c r="AH495" s="203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075" t="s">
        <v>416</v>
      </c>
      <c r="R497" s="2076"/>
      <c r="S497" s="2076"/>
      <c r="T497" s="2076"/>
      <c r="U497" s="2076"/>
      <c r="V497" s="2076"/>
      <c r="W497" s="2076"/>
      <c r="X497" s="2076"/>
      <c r="Y497" s="2076"/>
      <c r="Z497" s="2076"/>
      <c r="AA497" s="2076"/>
      <c r="AB497" s="2076"/>
      <c r="AC497" s="2076"/>
      <c r="AD497" s="2076"/>
      <c r="AE497" s="2076"/>
      <c r="AF497" s="2076"/>
      <c r="AG497" s="2076"/>
      <c r="AH497" s="2076"/>
      <c r="AI497" s="2076"/>
      <c r="AJ497" s="2076"/>
      <c r="AK497" s="207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417</v>
      </c>
      <c r="C498" s="77"/>
      <c r="D498" s="77"/>
      <c r="E498" s="77"/>
      <c r="F498" s="77"/>
      <c r="G498" s="77"/>
      <c r="H498" s="77"/>
      <c r="I498" s="77"/>
      <c r="J498" s="77"/>
      <c r="K498" s="77"/>
      <c r="L498" s="77"/>
      <c r="M498" s="77"/>
      <c r="N498" s="77"/>
      <c r="O498" s="77"/>
      <c r="P498" s="77"/>
      <c r="Q498" s="2133" t="s">
        <v>2621</v>
      </c>
      <c r="R498" s="2110"/>
      <c r="S498" s="2110"/>
      <c r="T498" s="2110"/>
      <c r="U498" s="2110"/>
      <c r="V498" s="2110"/>
      <c r="W498" s="2110"/>
      <c r="X498" s="2110"/>
      <c r="Y498" s="2110"/>
      <c r="Z498" s="2110"/>
      <c r="AA498" s="2110"/>
      <c r="AB498" s="2110"/>
      <c r="AC498" s="2110"/>
      <c r="AD498" s="2110"/>
      <c r="AE498" s="2110"/>
      <c r="AF498" s="2110"/>
      <c r="AG498" s="2110"/>
      <c r="AH498" s="2110"/>
      <c r="AI498" s="2110"/>
      <c r="AJ498" s="2110"/>
      <c r="AK498" s="213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418</v>
      </c>
      <c r="C499" s="77"/>
      <c r="D499" s="77"/>
      <c r="E499" s="77"/>
      <c r="F499" s="77"/>
      <c r="G499" s="77"/>
      <c r="H499" s="77"/>
      <c r="I499" s="77"/>
      <c r="J499" s="77"/>
      <c r="K499" s="77"/>
      <c r="L499" s="77"/>
      <c r="M499" s="77"/>
      <c r="N499" s="77"/>
      <c r="O499" s="77"/>
      <c r="P499" s="77"/>
      <c r="Q499" s="2133" t="s">
        <v>2618</v>
      </c>
      <c r="R499" s="2110"/>
      <c r="S499" s="2110"/>
      <c r="T499" s="2110"/>
      <c r="U499" s="2110"/>
      <c r="V499" s="2110"/>
      <c r="W499" s="2110"/>
      <c r="X499" s="2110"/>
      <c r="Y499" s="2110"/>
      <c r="Z499" s="2110"/>
      <c r="AA499" s="2110"/>
      <c r="AB499" s="2110"/>
      <c r="AC499" s="2110"/>
      <c r="AD499" s="2110"/>
      <c r="AE499" s="2110"/>
      <c r="AF499" s="2110"/>
      <c r="AG499" s="2110"/>
      <c r="AH499" s="2110"/>
      <c r="AI499" s="2110"/>
      <c r="AJ499" s="2110"/>
      <c r="AK499" s="2134"/>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419</v>
      </c>
      <c r="C500" s="77"/>
      <c r="D500" s="77"/>
      <c r="E500" s="77"/>
      <c r="F500" s="77"/>
      <c r="G500" s="77"/>
      <c r="H500" s="77"/>
      <c r="I500" s="77"/>
      <c r="J500" s="77"/>
      <c r="K500" s="77"/>
      <c r="L500" s="77"/>
      <c r="M500" s="77"/>
      <c r="N500" s="77"/>
      <c r="O500" s="77"/>
      <c r="P500" s="77"/>
      <c r="Q500" s="2133" t="s">
        <v>628</v>
      </c>
      <c r="R500" s="2110"/>
      <c r="S500" s="2110"/>
      <c r="T500" s="2110"/>
      <c r="U500" s="2110"/>
      <c r="V500" s="2110"/>
      <c r="W500" s="2110"/>
      <c r="X500" s="2110"/>
      <c r="Y500" s="2110"/>
      <c r="Z500" s="2110"/>
      <c r="AA500" s="2110"/>
      <c r="AB500" s="2110"/>
      <c r="AC500" s="2110"/>
      <c r="AD500" s="2110"/>
      <c r="AE500" s="2110"/>
      <c r="AF500" s="2110"/>
      <c r="AG500" s="2110"/>
      <c r="AH500" s="2110"/>
      <c r="AI500" s="2110"/>
      <c r="AJ500" s="2110"/>
      <c r="AK500" s="2134"/>
      <c r="AZ500" s="58"/>
      <c r="BA500" s="58">
        <f>AG609</f>
        <v>0</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205" t="s">
        <v>420</v>
      </c>
      <c r="C501" s="2206"/>
      <c r="D501" s="2206"/>
      <c r="E501" s="2206"/>
      <c r="F501" s="2206"/>
      <c r="G501" s="2206"/>
      <c r="H501" s="2206"/>
      <c r="I501" s="2206"/>
      <c r="J501" s="2206"/>
      <c r="K501" s="2206"/>
      <c r="L501" s="2206"/>
      <c r="M501" s="2206"/>
      <c r="N501" s="2206"/>
      <c r="O501" s="2206"/>
      <c r="P501" s="2207"/>
      <c r="Q501" s="2222" t="s">
        <v>708</v>
      </c>
      <c r="R501" s="2223"/>
      <c r="S501" s="2452" t="s">
        <v>171</v>
      </c>
      <c r="T501" s="2453"/>
      <c r="U501" s="2453"/>
      <c r="V501" s="2453"/>
      <c r="W501" s="2453"/>
      <c r="X501" s="2453"/>
      <c r="Y501" s="2453"/>
      <c r="Z501" s="2453"/>
      <c r="AA501" s="2453"/>
      <c r="AB501" s="2453"/>
      <c r="AC501" s="2453"/>
      <c r="AD501" s="2453"/>
      <c r="AE501" s="2453"/>
      <c r="AF501" s="2453"/>
      <c r="AG501" s="2453"/>
      <c r="AH501" s="2453"/>
      <c r="AI501" s="2453"/>
      <c r="AJ501" s="2453"/>
      <c r="AK501" s="245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208"/>
      <c r="C502" s="2209"/>
      <c r="D502" s="2209"/>
      <c r="E502" s="2209"/>
      <c r="F502" s="2209"/>
      <c r="G502" s="2209"/>
      <c r="H502" s="2209"/>
      <c r="I502" s="2209"/>
      <c r="J502" s="2209"/>
      <c r="K502" s="2209"/>
      <c r="L502" s="2209"/>
      <c r="M502" s="2209"/>
      <c r="N502" s="2209"/>
      <c r="O502" s="2209"/>
      <c r="P502" s="2210"/>
      <c r="Q502" s="2224"/>
      <c r="R502" s="2225"/>
      <c r="S502" s="2455"/>
      <c r="T502" s="2456"/>
      <c r="U502" s="2456"/>
      <c r="V502" s="2456"/>
      <c r="W502" s="2456"/>
      <c r="X502" s="2456"/>
      <c r="Y502" s="2456"/>
      <c r="Z502" s="2456"/>
      <c r="AA502" s="2456"/>
      <c r="AB502" s="2456"/>
      <c r="AC502" s="2456"/>
      <c r="AD502" s="2456"/>
      <c r="AE502" s="2456"/>
      <c r="AF502" s="2456"/>
      <c r="AG502" s="2456"/>
      <c r="AH502" s="2456"/>
      <c r="AI502" s="2456"/>
      <c r="AJ502" s="2456"/>
      <c r="AK502" s="245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5" customHeight="1">
      <c r="B503" s="1525" t="s">
        <v>2042</v>
      </c>
      <c r="C503" s="1493"/>
      <c r="D503" s="1493"/>
      <c r="E503" s="1493"/>
      <c r="F503" s="1493"/>
      <c r="G503" s="1493"/>
      <c r="H503" s="1493"/>
      <c r="I503" s="1493"/>
      <c r="J503" s="1493"/>
      <c r="K503" s="1493"/>
      <c r="L503" s="1493"/>
      <c r="M503" s="1493"/>
      <c r="N503" s="1493"/>
      <c r="O503" s="1493"/>
      <c r="P503" s="1493"/>
      <c r="Q503" s="2097" t="s">
        <v>708</v>
      </c>
      <c r="R503" s="2098"/>
      <c r="S503" s="2098"/>
      <c r="T503" s="2098"/>
      <c r="U503" s="2098"/>
      <c r="V503" s="2098"/>
      <c r="W503" s="2098"/>
      <c r="X503" s="2098"/>
      <c r="Y503" s="2098"/>
      <c r="Z503" s="2098"/>
      <c r="AA503" s="2098"/>
      <c r="AB503" s="2098"/>
      <c r="AC503" s="2098"/>
      <c r="AD503" s="2098"/>
      <c r="AE503" s="2098"/>
      <c r="AF503" s="2098"/>
      <c r="AG503" s="2098"/>
      <c r="AH503" s="2098"/>
      <c r="AI503" s="2098"/>
      <c r="AJ503" s="2098"/>
      <c r="AK503" s="209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421</v>
      </c>
      <c r="C504" s="77"/>
      <c r="D504" s="77"/>
      <c r="E504" s="77"/>
      <c r="F504" s="77"/>
      <c r="G504" s="77"/>
      <c r="H504" s="77"/>
      <c r="I504" s="77"/>
      <c r="J504" s="77"/>
      <c r="K504" s="77"/>
      <c r="L504" s="77"/>
      <c r="M504" s="77"/>
      <c r="N504" s="77"/>
      <c r="O504" s="77"/>
      <c r="P504" s="77"/>
      <c r="Q504" s="2133" t="s">
        <v>2619</v>
      </c>
      <c r="R504" s="2110"/>
      <c r="S504" s="2110"/>
      <c r="T504" s="2110"/>
      <c r="U504" s="2110"/>
      <c r="V504" s="2110"/>
      <c r="W504" s="2110"/>
      <c r="X504" s="2110"/>
      <c r="Y504" s="2110"/>
      <c r="Z504" s="2110"/>
      <c r="AA504" s="2110"/>
      <c r="AB504" s="2110"/>
      <c r="AC504" s="2110"/>
      <c r="AD504" s="2110"/>
      <c r="AE504" s="2110"/>
      <c r="AF504" s="2110"/>
      <c r="AG504" s="2110"/>
      <c r="AH504" s="2110"/>
      <c r="AI504" s="2110"/>
      <c r="AJ504" s="2110"/>
      <c r="AK504" s="213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422</v>
      </c>
      <c r="C505" s="77"/>
      <c r="D505" s="77"/>
      <c r="E505" s="77"/>
      <c r="F505" s="77"/>
      <c r="G505" s="77"/>
      <c r="H505" s="77"/>
      <c r="I505" s="77"/>
      <c r="J505" s="77"/>
      <c r="K505" s="77"/>
      <c r="L505" s="77"/>
      <c r="M505" s="77"/>
      <c r="N505" s="77"/>
      <c r="O505" s="77"/>
      <c r="P505" s="77"/>
      <c r="Q505" s="2133" t="s">
        <v>2622</v>
      </c>
      <c r="R505" s="2110"/>
      <c r="S505" s="2110"/>
      <c r="T505" s="2110"/>
      <c r="U505" s="2110"/>
      <c r="V505" s="2110"/>
      <c r="W505" s="2110"/>
      <c r="X505" s="2110"/>
      <c r="Y505" s="2110"/>
      <c r="Z505" s="2110"/>
      <c r="AA505" s="2110"/>
      <c r="AB505" s="2110"/>
      <c r="AC505" s="2110"/>
      <c r="AD505" s="2110"/>
      <c r="AE505" s="2110"/>
      <c r="AF505" s="2110"/>
      <c r="AG505" s="2110"/>
      <c r="AH505" s="2110"/>
      <c r="AI505" s="2110"/>
      <c r="AJ505" s="2110"/>
      <c r="AK505" s="213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2039</v>
      </c>
      <c r="C506" s="77"/>
      <c r="D506" s="77"/>
      <c r="E506" s="77"/>
      <c r="F506" s="77"/>
      <c r="G506" s="77"/>
      <c r="H506" s="77"/>
      <c r="I506" s="77"/>
      <c r="J506" s="77"/>
      <c r="K506" s="77"/>
      <c r="L506" s="77"/>
      <c r="M506" s="77"/>
      <c r="N506" s="77"/>
      <c r="O506" s="77"/>
      <c r="P506" s="77"/>
      <c r="Q506" s="2133" t="s">
        <v>2620</v>
      </c>
      <c r="R506" s="2110"/>
      <c r="S506" s="2110"/>
      <c r="T506" s="2110"/>
      <c r="U506" s="2110"/>
      <c r="V506" s="2110"/>
      <c r="W506" s="2110"/>
      <c r="X506" s="2110"/>
      <c r="Y506" s="2110"/>
      <c r="Z506" s="2110"/>
      <c r="AA506" s="2110"/>
      <c r="AB506" s="2110"/>
      <c r="AC506" s="2110"/>
      <c r="AD506" s="2110"/>
      <c r="AE506" s="2110"/>
      <c r="AF506" s="2110"/>
      <c r="AG506" s="2110"/>
      <c r="AH506" s="2110"/>
      <c r="AI506" s="2110"/>
      <c r="AJ506" s="2110"/>
      <c r="AK506" s="213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5">
      <c r="B507" s="185" t="s">
        <v>2040</v>
      </c>
      <c r="C507" s="77"/>
      <c r="D507" s="77"/>
      <c r="E507" s="77"/>
      <c r="F507" s="77"/>
      <c r="G507" s="77"/>
      <c r="H507" s="77"/>
      <c r="I507" s="77"/>
      <c r="J507" s="77"/>
      <c r="K507" s="77"/>
      <c r="L507" s="77"/>
      <c r="M507" s="2161">
        <v>65</v>
      </c>
      <c r="N507" s="2162"/>
      <c r="O507" s="2162"/>
      <c r="P507" s="2163"/>
      <c r="Q507" s="1523" t="s">
        <v>2041</v>
      </c>
      <c r="R507" s="1524"/>
      <c r="S507" s="1524"/>
      <c r="T507" s="1524"/>
      <c r="U507" s="1524"/>
      <c r="V507" s="1524"/>
      <c r="W507" s="1524"/>
      <c r="X507" s="1524"/>
      <c r="Y507" s="1524"/>
      <c r="Z507" s="1524"/>
      <c r="AA507" s="1524"/>
      <c r="AB507" s="1524"/>
      <c r="AC507" s="1524"/>
      <c r="AD507" s="1524"/>
      <c r="AE507" s="1524"/>
      <c r="AF507" s="1524"/>
      <c r="AG507" s="1524"/>
      <c r="AH507" s="2161">
        <v>0</v>
      </c>
      <c r="AI507" s="2162"/>
      <c r="AJ507" s="2162"/>
      <c r="AK507" s="216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075" t="s">
        <v>424</v>
      </c>
      <c r="AD511" s="2076"/>
      <c r="AE511" s="2076"/>
      <c r="AF511" s="2076"/>
      <c r="AG511" s="2076"/>
      <c r="AH511" s="2076"/>
      <c r="AI511" s="2076"/>
      <c r="AJ511" s="2076"/>
      <c r="AK511" s="207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30" t="s">
        <v>425</v>
      </c>
      <c r="AD512" s="2131"/>
      <c r="AE512" s="2131"/>
      <c r="AF512" s="2131"/>
      <c r="AG512" s="82" t="s">
        <v>426</v>
      </c>
      <c r="AH512" s="2131" t="s">
        <v>427</v>
      </c>
      <c r="AI512" s="2131"/>
      <c r="AJ512" s="2131"/>
      <c r="AK512" s="213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137" t="s">
        <v>428</v>
      </c>
      <c r="C513" s="2138"/>
      <c r="D513" s="2138"/>
      <c r="E513" s="2138"/>
      <c r="F513" s="2138"/>
      <c r="G513" s="2138"/>
      <c r="H513" s="2139"/>
      <c r="I513" s="72" t="s">
        <v>429</v>
      </c>
      <c r="J513" s="72"/>
      <c r="K513" s="72"/>
      <c r="L513" s="72"/>
      <c r="M513" s="72"/>
      <c r="N513" s="72"/>
      <c r="O513" s="72"/>
      <c r="P513" s="72"/>
      <c r="Q513" s="72"/>
      <c r="R513" s="72"/>
      <c r="S513" s="72"/>
      <c r="T513" s="72"/>
      <c r="U513" s="72"/>
      <c r="V513" s="72"/>
      <c r="W513" s="72"/>
      <c r="X513" s="25"/>
      <c r="Y513" s="25"/>
      <c r="AC513" s="2083">
        <v>2</v>
      </c>
      <c r="AD513" s="2065"/>
      <c r="AE513" s="2065"/>
      <c r="AF513" s="2065"/>
      <c r="AG513" s="75" t="s">
        <v>426</v>
      </c>
      <c r="AH513" s="2060">
        <v>2019</v>
      </c>
      <c r="AI513" s="2060"/>
      <c r="AJ513" s="2060"/>
      <c r="AK513" s="206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140"/>
      <c r="C514" s="2141"/>
      <c r="D514" s="2141"/>
      <c r="E514" s="2141"/>
      <c r="F514" s="2141"/>
      <c r="G514" s="2141"/>
      <c r="H514" s="2142"/>
      <c r="I514" s="80" t="s">
        <v>430</v>
      </c>
      <c r="J514" s="80"/>
      <c r="K514" s="80"/>
      <c r="L514" s="80"/>
      <c r="M514" s="80"/>
      <c r="N514" s="80"/>
      <c r="O514" s="80"/>
      <c r="P514" s="80"/>
      <c r="Q514" s="80"/>
      <c r="R514" s="80"/>
      <c r="S514" s="80"/>
      <c r="T514" s="80"/>
      <c r="U514" s="80"/>
      <c r="V514" s="80"/>
      <c r="W514" s="80"/>
      <c r="X514" s="80"/>
      <c r="Y514" s="80"/>
      <c r="Z514" s="80"/>
      <c r="AA514" s="80"/>
      <c r="AB514" s="80"/>
      <c r="AC514" s="2083">
        <v>9</v>
      </c>
      <c r="AD514" s="2065"/>
      <c r="AE514" s="2065"/>
      <c r="AF514" s="2065"/>
      <c r="AG514" s="65" t="s">
        <v>426</v>
      </c>
      <c r="AH514" s="2060">
        <v>2017</v>
      </c>
      <c r="AI514" s="2060"/>
      <c r="AJ514" s="2060"/>
      <c r="AK514" s="206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137" t="s">
        <v>431</v>
      </c>
      <c r="C515" s="2138"/>
      <c r="D515" s="2138"/>
      <c r="E515" s="2138"/>
      <c r="F515" s="2138"/>
      <c r="G515" s="2138"/>
      <c r="H515" s="2139"/>
      <c r="I515" s="72" t="s">
        <v>432</v>
      </c>
      <c r="J515" s="72"/>
      <c r="K515" s="72"/>
      <c r="L515" s="72"/>
      <c r="M515" s="72"/>
      <c r="N515" s="72"/>
      <c r="O515" s="72"/>
      <c r="P515" s="72"/>
      <c r="Q515" s="72"/>
      <c r="R515" s="72"/>
      <c r="S515" s="72"/>
      <c r="T515" s="72"/>
      <c r="U515" s="72"/>
      <c r="V515" s="72"/>
      <c r="W515" s="72"/>
      <c r="X515" s="25"/>
      <c r="Y515" s="25"/>
      <c r="AC515" s="2083">
        <v>2</v>
      </c>
      <c r="AD515" s="2065"/>
      <c r="AE515" s="2065"/>
      <c r="AF515" s="2065"/>
      <c r="AG515" s="75" t="s">
        <v>426</v>
      </c>
      <c r="AH515" s="2060">
        <v>2019</v>
      </c>
      <c r="AI515" s="2060"/>
      <c r="AJ515" s="2060"/>
      <c r="AK515" s="206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140"/>
      <c r="C516" s="2141"/>
      <c r="D516" s="2141"/>
      <c r="E516" s="2141"/>
      <c r="F516" s="2141"/>
      <c r="G516" s="2141"/>
      <c r="H516" s="2142"/>
      <c r="I516" s="25" t="s">
        <v>433</v>
      </c>
      <c r="J516" s="25"/>
      <c r="K516" s="25"/>
      <c r="L516" s="25"/>
      <c r="M516" s="25"/>
      <c r="N516" s="25"/>
      <c r="O516" s="25"/>
      <c r="P516" s="25"/>
      <c r="Q516" s="25"/>
      <c r="R516" s="25"/>
      <c r="S516" s="25"/>
      <c r="T516" s="25"/>
      <c r="U516" s="25"/>
      <c r="V516" s="25"/>
      <c r="W516" s="25"/>
      <c r="X516" s="25"/>
      <c r="Y516" s="25"/>
      <c r="AC516" s="2083" t="s">
        <v>628</v>
      </c>
      <c r="AD516" s="2065"/>
      <c r="AE516" s="2065"/>
      <c r="AF516" s="2065"/>
      <c r="AG516" s="75" t="s">
        <v>426</v>
      </c>
      <c r="AH516" s="2060"/>
      <c r="AI516" s="2060"/>
      <c r="AJ516" s="2060"/>
      <c r="AK516" s="206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140"/>
      <c r="C517" s="2141"/>
      <c r="D517" s="2141"/>
      <c r="E517" s="2141"/>
      <c r="F517" s="2141"/>
      <c r="G517" s="2141"/>
      <c r="H517" s="2142"/>
      <c r="I517" s="25" t="s">
        <v>434</v>
      </c>
      <c r="J517" s="25"/>
      <c r="K517" s="25"/>
      <c r="L517" s="25"/>
      <c r="M517" s="25"/>
      <c r="N517" s="25"/>
      <c r="O517" s="25"/>
      <c r="P517" s="25"/>
      <c r="Q517" s="25"/>
      <c r="R517" s="25"/>
      <c r="S517" s="25"/>
      <c r="T517" s="25"/>
      <c r="U517" s="25"/>
      <c r="V517" s="25"/>
      <c r="W517" s="25"/>
      <c r="X517" s="25"/>
      <c r="Y517" s="25"/>
      <c r="AC517" s="2083">
        <v>2</v>
      </c>
      <c r="AD517" s="2065"/>
      <c r="AE517" s="2065"/>
      <c r="AF517" s="2065"/>
      <c r="AG517" s="75" t="s">
        <v>426</v>
      </c>
      <c r="AH517" s="2060">
        <v>2019</v>
      </c>
      <c r="AI517" s="2060"/>
      <c r="AJ517" s="2060"/>
      <c r="AK517" s="206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140"/>
      <c r="C518" s="2141"/>
      <c r="D518" s="2141"/>
      <c r="E518" s="2141"/>
      <c r="F518" s="2141"/>
      <c r="G518" s="2141"/>
      <c r="H518" s="2142"/>
      <c r="I518" s="25" t="s">
        <v>435</v>
      </c>
      <c r="J518" s="25"/>
      <c r="K518" s="25"/>
      <c r="L518" s="25"/>
      <c r="M518" s="25"/>
      <c r="N518" s="25"/>
      <c r="O518" s="25"/>
      <c r="P518" s="25"/>
      <c r="Q518" s="25"/>
      <c r="R518" s="25"/>
      <c r="S518" s="25"/>
      <c r="T518" s="25"/>
      <c r="U518" s="25"/>
      <c r="V518" s="25"/>
      <c r="W518" s="25"/>
      <c r="X518" s="25"/>
      <c r="Y518" s="25"/>
      <c r="AC518" s="2083">
        <v>9</v>
      </c>
      <c r="AD518" s="2065"/>
      <c r="AE518" s="2065"/>
      <c r="AF518" s="2065"/>
      <c r="AG518" s="75" t="s">
        <v>426</v>
      </c>
      <c r="AH518" s="2060">
        <v>2021</v>
      </c>
      <c r="AI518" s="2060"/>
      <c r="AJ518" s="2060"/>
      <c r="AK518" s="206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140"/>
      <c r="C519" s="2141"/>
      <c r="D519" s="2141"/>
      <c r="E519" s="2141"/>
      <c r="F519" s="2141"/>
      <c r="G519" s="2141"/>
      <c r="H519" s="2142"/>
      <c r="I519" s="177" t="s">
        <v>436</v>
      </c>
      <c r="J519" s="25"/>
      <c r="K519" s="25"/>
      <c r="L519" s="25"/>
      <c r="M519" s="25"/>
      <c r="N519" s="25"/>
      <c r="O519" s="25"/>
      <c r="P519" s="25"/>
      <c r="Q519" s="25"/>
      <c r="R519" s="25"/>
      <c r="S519" s="25"/>
      <c r="T519" s="25"/>
      <c r="U519" s="25"/>
      <c r="V519" s="25"/>
      <c r="W519" s="25"/>
      <c r="X519" s="25"/>
      <c r="Y519" s="25"/>
      <c r="AC519" s="2035">
        <v>9</v>
      </c>
      <c r="AD519" s="2036"/>
      <c r="AE519" s="2036"/>
      <c r="AF519" s="2036"/>
      <c r="AG519" s="75" t="s">
        <v>426</v>
      </c>
      <c r="AH519" s="2060">
        <v>2021</v>
      </c>
      <c r="AI519" s="2060"/>
      <c r="AJ519" s="2060"/>
      <c r="AK519" s="206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140"/>
      <c r="C520" s="2141"/>
      <c r="D520" s="2141"/>
      <c r="E520" s="2141"/>
      <c r="F520" s="2141"/>
      <c r="G520" s="2141"/>
      <c r="H520" s="2142"/>
      <c r="I520" s="1526" t="s">
        <v>175</v>
      </c>
      <c r="J520" s="80"/>
      <c r="K520" s="80"/>
      <c r="L520" s="2126" t="s">
        <v>345</v>
      </c>
      <c r="M520" s="2064"/>
      <c r="N520" s="2064"/>
      <c r="O520" s="2064"/>
      <c r="P520" s="2064"/>
      <c r="Q520" s="2064"/>
      <c r="R520" s="2064"/>
      <c r="S520" s="2064"/>
      <c r="T520" s="2064"/>
      <c r="U520" s="2064"/>
      <c r="V520" s="2064"/>
      <c r="W520" s="2064"/>
      <c r="X520" s="2064"/>
      <c r="Y520" s="2064"/>
      <c r="Z520" s="2064"/>
      <c r="AA520" s="2064"/>
      <c r="AB520" s="2200"/>
      <c r="AC520" s="2083" t="s">
        <v>628</v>
      </c>
      <c r="AD520" s="2065"/>
      <c r="AE520" s="2065"/>
      <c r="AF520" s="2065"/>
      <c r="AG520" s="1497" t="s">
        <v>426</v>
      </c>
      <c r="AH520" s="2060"/>
      <c r="AI520" s="2060"/>
      <c r="AJ520" s="2060"/>
      <c r="AK520" s="206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2046</v>
      </c>
      <c r="J521" s="25"/>
      <c r="K521" s="25"/>
      <c r="L521" s="25"/>
      <c r="M521" s="25"/>
      <c r="N521" s="25"/>
      <c r="O521" s="25"/>
      <c r="P521" s="25"/>
      <c r="Q521" s="25"/>
      <c r="R521" s="25"/>
      <c r="S521" s="25"/>
      <c r="T521" s="25"/>
      <c r="U521" s="25"/>
      <c r="V521" s="25"/>
      <c r="W521" s="25"/>
      <c r="X521" s="25"/>
      <c r="Y521" s="25"/>
      <c r="AC521" s="2044" t="s">
        <v>580</v>
      </c>
      <c r="AD521" s="2044"/>
      <c r="AE521" s="2044"/>
      <c r="AF521" s="2044"/>
      <c r="AG521" s="1805"/>
      <c r="AH521" s="2033"/>
      <c r="AI521" s="2033"/>
      <c r="AJ521" s="2033"/>
      <c r="AK521" s="203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3">
      <c r="B522" s="1488"/>
      <c r="C522" s="1489"/>
      <c r="D522" s="1489"/>
      <c r="E522" s="1489"/>
      <c r="F522" s="1489"/>
      <c r="G522" s="1489"/>
      <c r="H522" s="1490"/>
      <c r="I522" s="688" t="s">
        <v>2043</v>
      </c>
      <c r="J522" s="25"/>
      <c r="K522" s="25"/>
      <c r="L522" s="25"/>
      <c r="M522" s="25"/>
      <c r="N522" s="25"/>
      <c r="O522" s="25"/>
      <c r="P522" s="25"/>
      <c r="Q522" s="25"/>
      <c r="R522" s="25"/>
      <c r="S522" s="25"/>
      <c r="T522" s="25"/>
      <c r="U522" s="25"/>
      <c r="V522" s="25"/>
      <c r="W522" s="25"/>
      <c r="X522" s="25"/>
      <c r="Y522" s="25"/>
      <c r="AC522" s="2035">
        <v>1</v>
      </c>
      <c r="AD522" s="2036"/>
      <c r="AE522" s="2036"/>
      <c r="AF522" s="2037"/>
      <c r="AG522" s="1805"/>
      <c r="AH522" s="2033"/>
      <c r="AI522" s="2033"/>
      <c r="AJ522" s="2033"/>
      <c r="AK522" s="203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3">
      <c r="B523" s="1488"/>
      <c r="C523" s="1489"/>
      <c r="D523" s="1489"/>
      <c r="E523" s="1489"/>
      <c r="F523" s="1489"/>
      <c r="G523" s="1489"/>
      <c r="H523" s="1490"/>
      <c r="I523" s="688" t="s">
        <v>2044</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3">
      <c r="B524" s="1488"/>
      <c r="C524" s="1489"/>
      <c r="D524" s="1489"/>
      <c r="E524" s="1489"/>
      <c r="F524" s="1489"/>
      <c r="G524" s="1489"/>
      <c r="H524" s="1490"/>
      <c r="I524" s="1527" t="s">
        <v>2045</v>
      </c>
      <c r="J524" s="80"/>
      <c r="K524" s="80"/>
      <c r="L524" s="80"/>
      <c r="M524" s="80"/>
      <c r="N524" s="80"/>
      <c r="O524" s="80"/>
      <c r="P524" s="80"/>
      <c r="Q524" s="80"/>
      <c r="R524" s="80"/>
      <c r="S524" s="80"/>
      <c r="T524" s="80"/>
      <c r="U524" s="80"/>
      <c r="V524" s="80"/>
      <c r="W524" s="80"/>
      <c r="X524" s="80"/>
      <c r="Y524" s="80"/>
      <c r="Z524" s="80"/>
      <c r="AA524" s="80"/>
      <c r="AB524" s="80"/>
      <c r="AC524" s="2038">
        <v>0.5</v>
      </c>
      <c r="AD524" s="2039"/>
      <c r="AE524" s="2039"/>
      <c r="AF524" s="2040"/>
      <c r="AG524" s="1806"/>
      <c r="AH524" s="2041"/>
      <c r="AI524" s="2041"/>
      <c r="AJ524" s="2041"/>
      <c r="AK524" s="204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3">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078" t="s">
        <v>425</v>
      </c>
      <c r="AD525" s="2079"/>
      <c r="AE525" s="2079"/>
      <c r="AF525" s="2079"/>
      <c r="AG525" s="1806" t="s">
        <v>426</v>
      </c>
      <c r="AH525" s="2079" t="s">
        <v>427</v>
      </c>
      <c r="AI525" s="2079"/>
      <c r="AJ525" s="2079"/>
      <c r="AK525" s="219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137" t="s">
        <v>437</v>
      </c>
      <c r="C526" s="2138"/>
      <c r="D526" s="2138"/>
      <c r="E526" s="2138"/>
      <c r="F526" s="2138"/>
      <c r="G526" s="2138"/>
      <c r="H526" s="2139"/>
      <c r="I526" s="72" t="s">
        <v>438</v>
      </c>
      <c r="J526" s="72"/>
      <c r="K526" s="72"/>
      <c r="L526" s="72"/>
      <c r="M526" s="72"/>
      <c r="N526" s="72"/>
      <c r="O526" s="72"/>
      <c r="P526" s="72"/>
      <c r="Q526" s="72"/>
      <c r="R526" s="72"/>
      <c r="S526" s="72"/>
      <c r="T526" s="72"/>
      <c r="U526" s="72"/>
      <c r="V526" s="72"/>
      <c r="W526" s="72"/>
      <c r="X526" s="25"/>
      <c r="Y526" s="25"/>
      <c r="AC526" s="2083">
        <v>9</v>
      </c>
      <c r="AD526" s="2065"/>
      <c r="AE526" s="2065"/>
      <c r="AF526" s="2065"/>
      <c r="AG526" s="75" t="s">
        <v>426</v>
      </c>
      <c r="AH526" s="2060">
        <v>2020</v>
      </c>
      <c r="AI526" s="2060"/>
      <c r="AJ526" s="2060"/>
      <c r="AK526" s="206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140"/>
      <c r="C527" s="2141"/>
      <c r="D527" s="2141"/>
      <c r="E527" s="2141"/>
      <c r="F527" s="2141"/>
      <c r="G527" s="2141"/>
      <c r="H527" s="2142"/>
      <c r="I527" s="25" t="s">
        <v>439</v>
      </c>
      <c r="J527" s="25"/>
      <c r="K527" s="25"/>
      <c r="L527" s="25"/>
      <c r="M527" s="25"/>
      <c r="N527" s="25"/>
      <c r="O527" s="25"/>
      <c r="P527" s="25"/>
      <c r="Q527" s="25"/>
      <c r="R527" s="25"/>
      <c r="S527" s="25"/>
      <c r="T527" s="25"/>
      <c r="U527" s="25"/>
      <c r="V527" s="25"/>
      <c r="W527" s="25"/>
      <c r="X527" s="25"/>
      <c r="Y527" s="25"/>
      <c r="AC527" s="2083">
        <v>1</v>
      </c>
      <c r="AD527" s="2065"/>
      <c r="AE527" s="2065"/>
      <c r="AF527" s="2065"/>
      <c r="AG527" s="75" t="s">
        <v>426</v>
      </c>
      <c r="AH527" s="2060">
        <v>2021</v>
      </c>
      <c r="AI527" s="2060"/>
      <c r="AJ527" s="2060"/>
      <c r="AK527" s="206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140"/>
      <c r="C528" s="2141"/>
      <c r="D528" s="2141"/>
      <c r="E528" s="2141"/>
      <c r="F528" s="2141"/>
      <c r="G528" s="2141"/>
      <c r="H528" s="2142"/>
      <c r="I528" s="80" t="s">
        <v>440</v>
      </c>
      <c r="J528" s="80"/>
      <c r="K528" s="80"/>
      <c r="L528" s="80"/>
      <c r="M528" s="80"/>
      <c r="N528" s="80"/>
      <c r="O528" s="80"/>
      <c r="P528" s="80"/>
      <c r="Q528" s="80"/>
      <c r="R528" s="80"/>
      <c r="S528" s="80"/>
      <c r="T528" s="80"/>
      <c r="U528" s="80"/>
      <c r="V528" s="80"/>
      <c r="W528" s="80"/>
      <c r="X528" s="80"/>
      <c r="Y528" s="80"/>
      <c r="Z528" s="80"/>
      <c r="AA528" s="80"/>
      <c r="AB528" s="80"/>
      <c r="AC528" s="2083">
        <v>9</v>
      </c>
      <c r="AD528" s="2065"/>
      <c r="AE528" s="2065"/>
      <c r="AF528" s="2065"/>
      <c r="AG528" s="65" t="s">
        <v>426</v>
      </c>
      <c r="AH528" s="2060">
        <v>2021</v>
      </c>
      <c r="AI528" s="2060"/>
      <c r="AJ528" s="2060"/>
      <c r="AK528" s="206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137" t="s">
        <v>441</v>
      </c>
      <c r="C529" s="2138"/>
      <c r="D529" s="2138"/>
      <c r="E529" s="2138"/>
      <c r="F529" s="2138"/>
      <c r="G529" s="2138"/>
      <c r="H529" s="2139"/>
      <c r="I529" s="72" t="s">
        <v>438</v>
      </c>
      <c r="J529" s="72"/>
      <c r="K529" s="72"/>
      <c r="L529" s="72"/>
      <c r="M529" s="72"/>
      <c r="N529" s="72"/>
      <c r="O529" s="72"/>
      <c r="P529" s="72"/>
      <c r="Q529" s="72"/>
      <c r="R529" s="72"/>
      <c r="S529" s="72"/>
      <c r="T529" s="72"/>
      <c r="U529" s="72"/>
      <c r="V529" s="72"/>
      <c r="W529" s="72"/>
      <c r="X529" s="72"/>
      <c r="Y529" s="72"/>
      <c r="Z529" s="72"/>
      <c r="AA529" s="72"/>
      <c r="AB529" s="72"/>
      <c r="AC529" s="2035">
        <v>9</v>
      </c>
      <c r="AD529" s="2036"/>
      <c r="AE529" s="2036"/>
      <c r="AF529" s="2036"/>
      <c r="AG529" s="196" t="s">
        <v>426</v>
      </c>
      <c r="AH529" s="2060">
        <v>2020</v>
      </c>
      <c r="AI529" s="2060"/>
      <c r="AJ529" s="2060"/>
      <c r="AK529" s="206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140"/>
      <c r="C530" s="2141"/>
      <c r="D530" s="2141"/>
      <c r="E530" s="2141"/>
      <c r="F530" s="2141"/>
      <c r="G530" s="2141"/>
      <c r="H530" s="2142"/>
      <c r="I530" s="25" t="s">
        <v>439</v>
      </c>
      <c r="J530" s="25"/>
      <c r="K530" s="25"/>
      <c r="L530" s="25"/>
      <c r="M530" s="25"/>
      <c r="N530" s="25"/>
      <c r="O530" s="25"/>
      <c r="P530" s="25"/>
      <c r="Q530" s="25"/>
      <c r="R530" s="25"/>
      <c r="S530" s="25"/>
      <c r="T530" s="25"/>
      <c r="U530" s="25"/>
      <c r="V530" s="25"/>
      <c r="W530" s="25"/>
      <c r="X530" s="25"/>
      <c r="Y530" s="25"/>
      <c r="Z530" s="25"/>
      <c r="AA530" s="25"/>
      <c r="AB530" s="25"/>
      <c r="AC530" s="2083">
        <v>1</v>
      </c>
      <c r="AD530" s="2065"/>
      <c r="AE530" s="2065"/>
      <c r="AF530" s="2065"/>
      <c r="AG530" s="75" t="s">
        <v>426</v>
      </c>
      <c r="AH530" s="2060">
        <v>2021</v>
      </c>
      <c r="AI530" s="2060"/>
      <c r="AJ530" s="2060"/>
      <c r="AK530" s="206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82"/>
      <c r="C531" s="2183"/>
      <c r="D531" s="2183"/>
      <c r="E531" s="2183"/>
      <c r="F531" s="2183"/>
      <c r="G531" s="2183"/>
      <c r="H531" s="2184"/>
      <c r="I531" s="80" t="s">
        <v>440</v>
      </c>
      <c r="J531" s="80"/>
      <c r="K531" s="80"/>
      <c r="L531" s="80"/>
      <c r="M531" s="80"/>
      <c r="N531" s="80"/>
      <c r="O531" s="80"/>
      <c r="P531" s="80"/>
      <c r="Q531" s="80"/>
      <c r="R531" s="80"/>
      <c r="S531" s="80"/>
      <c r="T531" s="80"/>
      <c r="U531" s="80"/>
      <c r="V531" s="80"/>
      <c r="W531" s="80"/>
      <c r="X531" s="80"/>
      <c r="Y531" s="80"/>
      <c r="Z531" s="80"/>
      <c r="AA531" s="80"/>
      <c r="AB531" s="80"/>
      <c r="AC531" s="2083">
        <v>4</v>
      </c>
      <c r="AD531" s="2065"/>
      <c r="AE531" s="2065"/>
      <c r="AF531" s="2065"/>
      <c r="AG531" s="65" t="s">
        <v>426</v>
      </c>
      <c r="AH531" s="2060">
        <v>2024</v>
      </c>
      <c r="AI531" s="2060"/>
      <c r="AJ531" s="2060"/>
      <c r="AK531" s="206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137" t="s">
        <v>442</v>
      </c>
      <c r="C532" s="2138"/>
      <c r="D532" s="2138"/>
      <c r="E532" s="2138"/>
      <c r="F532" s="2138"/>
      <c r="G532" s="2138"/>
      <c r="H532" s="2139"/>
      <c r="I532" s="71" t="s">
        <v>443</v>
      </c>
      <c r="J532" s="72"/>
      <c r="K532" s="72"/>
      <c r="L532" s="72"/>
      <c r="M532" s="72"/>
      <c r="N532" s="72"/>
      <c r="O532" s="2109" t="s">
        <v>2557</v>
      </c>
      <c r="P532" s="2110"/>
      <c r="Q532" s="2110"/>
      <c r="R532" s="2110"/>
      <c r="S532" s="2110"/>
      <c r="T532" s="2110"/>
      <c r="U532" s="2110"/>
      <c r="V532" s="2110"/>
      <c r="W532" s="2110"/>
      <c r="X532" s="2110"/>
      <c r="Y532" s="2110"/>
      <c r="Z532" s="2110"/>
      <c r="AA532" s="2110"/>
      <c r="AB532" s="94"/>
      <c r="AC532" s="2035" t="s">
        <v>628</v>
      </c>
      <c r="AD532" s="2036"/>
      <c r="AE532" s="2036"/>
      <c r="AF532" s="2036"/>
      <c r="AG532" s="196" t="s">
        <v>426</v>
      </c>
      <c r="AH532" s="2060"/>
      <c r="AI532" s="2060"/>
      <c r="AJ532" s="2060"/>
      <c r="AK532" s="206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140"/>
      <c r="C533" s="2141"/>
      <c r="D533" s="2141"/>
      <c r="E533" s="2141"/>
      <c r="F533" s="2141"/>
      <c r="G533" s="2141"/>
      <c r="H533" s="2142"/>
      <c r="I533" s="171" t="s">
        <v>444</v>
      </c>
      <c r="J533" s="25"/>
      <c r="K533" s="25"/>
      <c r="L533" s="25"/>
      <c r="M533" s="25"/>
      <c r="N533" s="25"/>
      <c r="O533" s="25"/>
      <c r="P533" s="25"/>
      <c r="Q533" s="25"/>
      <c r="R533" s="25"/>
      <c r="S533" s="25"/>
      <c r="T533" s="25"/>
      <c r="U533" s="25"/>
      <c r="V533" s="25"/>
      <c r="W533" s="25"/>
      <c r="X533" s="25"/>
      <c r="Y533" s="25"/>
      <c r="Z533" s="25"/>
      <c r="AA533" s="25"/>
      <c r="AB533" s="101"/>
      <c r="AC533" s="2083">
        <v>10</v>
      </c>
      <c r="AD533" s="2065"/>
      <c r="AE533" s="2065"/>
      <c r="AF533" s="2065"/>
      <c r="AG533" s="75" t="s">
        <v>426</v>
      </c>
      <c r="AH533" s="2060">
        <v>2018</v>
      </c>
      <c r="AI533" s="2060"/>
      <c r="AJ533" s="2060"/>
      <c r="AK533" s="206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140"/>
      <c r="C534" s="2141"/>
      <c r="D534" s="2141"/>
      <c r="E534" s="2141"/>
      <c r="F534" s="2141"/>
      <c r="G534" s="2141"/>
      <c r="H534" s="2142"/>
      <c r="I534" s="79" t="s">
        <v>445</v>
      </c>
      <c r="J534" s="80"/>
      <c r="K534" s="80"/>
      <c r="L534" s="80"/>
      <c r="M534" s="80"/>
      <c r="N534" s="80"/>
      <c r="O534" s="80"/>
      <c r="P534" s="80"/>
      <c r="Q534" s="80"/>
      <c r="R534" s="80"/>
      <c r="S534" s="80"/>
      <c r="T534" s="80"/>
      <c r="U534" s="80"/>
      <c r="V534" s="80"/>
      <c r="W534" s="80"/>
      <c r="X534" s="80"/>
      <c r="Y534" s="80"/>
      <c r="Z534" s="80"/>
      <c r="AA534" s="80"/>
      <c r="AB534" s="81"/>
      <c r="AC534" s="2083">
        <v>2</v>
      </c>
      <c r="AD534" s="2065"/>
      <c r="AE534" s="2065"/>
      <c r="AF534" s="2065"/>
      <c r="AG534" s="65" t="s">
        <v>426</v>
      </c>
      <c r="AH534" s="2060">
        <v>2019</v>
      </c>
      <c r="AI534" s="2060"/>
      <c r="AJ534" s="2060"/>
      <c r="AK534" s="206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140"/>
      <c r="C535" s="2141"/>
      <c r="D535" s="2141"/>
      <c r="E535" s="2141"/>
      <c r="F535" s="2141"/>
      <c r="G535" s="2141"/>
      <c r="H535" s="2142"/>
      <c r="I535" s="72" t="s">
        <v>446</v>
      </c>
      <c r="J535" s="72"/>
      <c r="K535" s="72"/>
      <c r="L535" s="72"/>
      <c r="M535" s="72"/>
      <c r="N535" s="72"/>
      <c r="O535" s="2062" t="s">
        <v>2561</v>
      </c>
      <c r="P535" s="2063"/>
      <c r="Q535" s="2063"/>
      <c r="R535" s="2063"/>
      <c r="S535" s="2063"/>
      <c r="T535" s="2063"/>
      <c r="U535" s="2063"/>
      <c r="V535" s="2063"/>
      <c r="W535" s="2063"/>
      <c r="X535" s="2063"/>
      <c r="Y535" s="2063"/>
      <c r="Z535" s="2063"/>
      <c r="AA535" s="2063"/>
      <c r="AC535" s="2083" t="s">
        <v>628</v>
      </c>
      <c r="AD535" s="2065"/>
      <c r="AE535" s="2065"/>
      <c r="AF535" s="2065"/>
      <c r="AG535" s="75" t="s">
        <v>426</v>
      </c>
      <c r="AH535" s="2060"/>
      <c r="AI535" s="2060"/>
      <c r="AJ535" s="2060"/>
      <c r="AK535" s="206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140"/>
      <c r="C536" s="2141"/>
      <c r="D536" s="2141"/>
      <c r="E536" s="2141"/>
      <c r="F536" s="2141"/>
      <c r="G536" s="2141"/>
      <c r="H536" s="2142"/>
      <c r="I536" s="25" t="s">
        <v>444</v>
      </c>
      <c r="J536" s="25"/>
      <c r="K536" s="25"/>
      <c r="L536" s="25"/>
      <c r="M536" s="25"/>
      <c r="N536" s="25"/>
      <c r="O536" s="25"/>
      <c r="P536" s="25"/>
      <c r="Q536" s="25"/>
      <c r="R536" s="25"/>
      <c r="S536" s="25"/>
      <c r="T536" s="25"/>
      <c r="U536" s="25"/>
      <c r="V536" s="25"/>
      <c r="W536" s="25"/>
      <c r="X536" s="25"/>
      <c r="Y536" s="25"/>
      <c r="AC536" s="2083">
        <v>11</v>
      </c>
      <c r="AD536" s="2065"/>
      <c r="AE536" s="2065"/>
      <c r="AF536" s="2065"/>
      <c r="AG536" s="75" t="s">
        <v>426</v>
      </c>
      <c r="AH536" s="2060">
        <v>2018</v>
      </c>
      <c r="AI536" s="2060"/>
      <c r="AJ536" s="2060"/>
      <c r="AK536" s="206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140"/>
      <c r="C537" s="2141"/>
      <c r="D537" s="2141"/>
      <c r="E537" s="2141"/>
      <c r="F537" s="2141"/>
      <c r="G537" s="2141"/>
      <c r="H537" s="2142"/>
      <c r="I537" s="80" t="s">
        <v>445</v>
      </c>
      <c r="J537" s="80"/>
      <c r="K537" s="80"/>
      <c r="L537" s="80"/>
      <c r="M537" s="80"/>
      <c r="N537" s="80"/>
      <c r="O537" s="80"/>
      <c r="P537" s="80"/>
      <c r="Q537" s="80"/>
      <c r="R537" s="80"/>
      <c r="S537" s="80"/>
      <c r="T537" s="80"/>
      <c r="U537" s="80"/>
      <c r="V537" s="80"/>
      <c r="W537" s="80"/>
      <c r="X537" s="80"/>
      <c r="Y537" s="80"/>
      <c r="Z537" s="80"/>
      <c r="AA537" s="80"/>
      <c r="AB537" s="80"/>
      <c r="AC537" s="2083">
        <v>12</v>
      </c>
      <c r="AD537" s="2065"/>
      <c r="AE537" s="2065"/>
      <c r="AF537" s="2065"/>
      <c r="AG537" s="65" t="s">
        <v>426</v>
      </c>
      <c r="AH537" s="2060">
        <v>2018</v>
      </c>
      <c r="AI537" s="2060"/>
      <c r="AJ537" s="2060"/>
      <c r="AK537" s="206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140"/>
      <c r="C538" s="2141"/>
      <c r="D538" s="2141"/>
      <c r="E538" s="2141"/>
      <c r="F538" s="2141"/>
      <c r="G538" s="2141"/>
      <c r="H538" s="2142"/>
      <c r="I538" s="72" t="s">
        <v>446</v>
      </c>
      <c r="J538" s="72"/>
      <c r="K538" s="72"/>
      <c r="L538" s="72"/>
      <c r="M538" s="72"/>
      <c r="N538" s="72"/>
      <c r="O538" s="2062" t="s">
        <v>2558</v>
      </c>
      <c r="P538" s="2063"/>
      <c r="Q538" s="2063"/>
      <c r="R538" s="2063"/>
      <c r="S538" s="2063"/>
      <c r="T538" s="2063"/>
      <c r="U538" s="2063"/>
      <c r="V538" s="2063"/>
      <c r="W538" s="2063"/>
      <c r="X538" s="2063"/>
      <c r="Y538" s="2063"/>
      <c r="Z538" s="2063"/>
      <c r="AA538" s="2063"/>
      <c r="AC538" s="2083" t="s">
        <v>628</v>
      </c>
      <c r="AD538" s="2065"/>
      <c r="AE538" s="2065"/>
      <c r="AF538" s="2065"/>
      <c r="AG538" s="75" t="s">
        <v>426</v>
      </c>
      <c r="AH538" s="2060"/>
      <c r="AI538" s="2060"/>
      <c r="AJ538" s="2060"/>
      <c r="AK538" s="206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140"/>
      <c r="C539" s="2141"/>
      <c r="D539" s="2141"/>
      <c r="E539" s="2141"/>
      <c r="F539" s="2141"/>
      <c r="G539" s="2141"/>
      <c r="H539" s="2142"/>
      <c r="I539" s="25" t="s">
        <v>444</v>
      </c>
      <c r="J539" s="25"/>
      <c r="K539" s="25"/>
      <c r="L539" s="25"/>
      <c r="M539" s="25"/>
      <c r="N539" s="25"/>
      <c r="O539" s="25"/>
      <c r="P539" s="25"/>
      <c r="Q539" s="25"/>
      <c r="R539" s="25"/>
      <c r="S539" s="25"/>
      <c r="T539" s="25"/>
      <c r="U539" s="25"/>
      <c r="V539" s="25"/>
      <c r="W539" s="25"/>
      <c r="X539" s="25"/>
      <c r="Y539" s="25"/>
      <c r="AC539" s="2083">
        <v>2</v>
      </c>
      <c r="AD539" s="2065"/>
      <c r="AE539" s="2065"/>
      <c r="AF539" s="2065"/>
      <c r="AG539" s="75" t="s">
        <v>426</v>
      </c>
      <c r="AH539" s="2060">
        <v>2019</v>
      </c>
      <c r="AI539" s="2060"/>
      <c r="AJ539" s="2060"/>
      <c r="AK539" s="206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140"/>
      <c r="C540" s="2141"/>
      <c r="D540" s="2141"/>
      <c r="E540" s="2141"/>
      <c r="F540" s="2141"/>
      <c r="G540" s="2141"/>
      <c r="H540" s="2142"/>
      <c r="I540" s="80" t="s">
        <v>445</v>
      </c>
      <c r="J540" s="80"/>
      <c r="K540" s="80"/>
      <c r="L540" s="80"/>
      <c r="M540" s="80"/>
      <c r="N540" s="80"/>
      <c r="O540" s="80"/>
      <c r="P540" s="80"/>
      <c r="Q540" s="80"/>
      <c r="R540" s="80"/>
      <c r="S540" s="80"/>
      <c r="T540" s="80"/>
      <c r="U540" s="80"/>
      <c r="V540" s="80"/>
      <c r="W540" s="80"/>
      <c r="X540" s="80"/>
      <c r="Y540" s="80"/>
      <c r="Z540" s="80"/>
      <c r="AA540" s="80"/>
      <c r="AB540" s="80"/>
      <c r="AC540" s="2083">
        <v>6</v>
      </c>
      <c r="AD540" s="2065"/>
      <c r="AE540" s="2065"/>
      <c r="AF540" s="2065"/>
      <c r="AG540" s="65" t="s">
        <v>426</v>
      </c>
      <c r="AH540" s="2060">
        <v>2019</v>
      </c>
      <c r="AI540" s="2060"/>
      <c r="AJ540" s="2060"/>
      <c r="AK540" s="206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140"/>
      <c r="C541" s="2141"/>
      <c r="D541" s="2141"/>
      <c r="E541" s="2141"/>
      <c r="F541" s="2141"/>
      <c r="G541" s="2141"/>
      <c r="H541" s="2142"/>
      <c r="I541" s="72" t="s">
        <v>446</v>
      </c>
      <c r="J541" s="72"/>
      <c r="K541" s="72"/>
      <c r="L541" s="72"/>
      <c r="M541" s="72"/>
      <c r="N541" s="72"/>
      <c r="O541" s="2062" t="s">
        <v>2584</v>
      </c>
      <c r="P541" s="2063"/>
      <c r="Q541" s="2063"/>
      <c r="R541" s="2063"/>
      <c r="S541" s="2063"/>
      <c r="T541" s="2063"/>
      <c r="U541" s="2063"/>
      <c r="V541" s="2063"/>
      <c r="W541" s="2063"/>
      <c r="X541" s="2063"/>
      <c r="Y541" s="2063"/>
      <c r="Z541" s="2063"/>
      <c r="AA541" s="2063"/>
      <c r="AC541" s="2083" t="s">
        <v>628</v>
      </c>
      <c r="AD541" s="2065"/>
      <c r="AE541" s="2065"/>
      <c r="AF541" s="2065"/>
      <c r="AG541" s="75" t="s">
        <v>426</v>
      </c>
      <c r="AH541" s="2060"/>
      <c r="AI541" s="2060"/>
      <c r="AJ541" s="2060"/>
      <c r="AK541" s="206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140"/>
      <c r="C542" s="2141"/>
      <c r="D542" s="2141"/>
      <c r="E542" s="2141"/>
      <c r="F542" s="2141"/>
      <c r="G542" s="2141"/>
      <c r="H542" s="2142"/>
      <c r="I542" s="25" t="s">
        <v>444</v>
      </c>
      <c r="J542" s="25"/>
      <c r="K542" s="25"/>
      <c r="L542" s="25"/>
      <c r="M542" s="25"/>
      <c r="N542" s="25"/>
      <c r="O542" s="25"/>
      <c r="P542" s="25"/>
      <c r="Q542" s="25"/>
      <c r="R542" s="25"/>
      <c r="S542" s="25"/>
      <c r="T542" s="25"/>
      <c r="U542" s="25"/>
      <c r="V542" s="25"/>
      <c r="W542" s="25"/>
      <c r="X542" s="25"/>
      <c r="Y542" s="25"/>
      <c r="AC542" s="2083">
        <v>3</v>
      </c>
      <c r="AD542" s="2065"/>
      <c r="AE542" s="2065"/>
      <c r="AF542" s="2065"/>
      <c r="AG542" s="75" t="s">
        <v>426</v>
      </c>
      <c r="AH542" s="2060">
        <v>2020</v>
      </c>
      <c r="AI542" s="2060"/>
      <c r="AJ542" s="2060"/>
      <c r="AK542" s="206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140"/>
      <c r="C543" s="2141"/>
      <c r="D543" s="2141"/>
      <c r="E543" s="2141"/>
      <c r="F543" s="2141"/>
      <c r="G543" s="2141"/>
      <c r="H543" s="2142"/>
      <c r="I543" s="80" t="s">
        <v>445</v>
      </c>
      <c r="J543" s="80"/>
      <c r="K543" s="80"/>
      <c r="L543" s="80"/>
      <c r="M543" s="80"/>
      <c r="N543" s="80"/>
      <c r="O543" s="80"/>
      <c r="P543" s="80"/>
      <c r="Q543" s="80"/>
      <c r="R543" s="80"/>
      <c r="S543" s="80"/>
      <c r="T543" s="80"/>
      <c r="U543" s="80"/>
      <c r="V543" s="80"/>
      <c r="W543" s="80"/>
      <c r="X543" s="80"/>
      <c r="Y543" s="80"/>
      <c r="Z543" s="80"/>
      <c r="AA543" s="80"/>
      <c r="AB543" s="80"/>
      <c r="AC543" s="2083">
        <v>6</v>
      </c>
      <c r="AD543" s="2065"/>
      <c r="AE543" s="2065"/>
      <c r="AF543" s="2065"/>
      <c r="AG543" s="65" t="s">
        <v>426</v>
      </c>
      <c r="AH543" s="2060">
        <v>2020</v>
      </c>
      <c r="AI543" s="2060"/>
      <c r="AJ543" s="2060"/>
      <c r="AK543" s="206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140"/>
      <c r="C544" s="2141"/>
      <c r="D544" s="2141"/>
      <c r="E544" s="2141"/>
      <c r="F544" s="2141"/>
      <c r="G544" s="2141"/>
      <c r="H544" s="2142"/>
      <c r="I544" s="72" t="s">
        <v>446</v>
      </c>
      <c r="J544" s="72"/>
      <c r="K544" s="72"/>
      <c r="L544" s="72"/>
      <c r="M544" s="72"/>
      <c r="N544" s="72"/>
      <c r="O544" s="2063" t="s">
        <v>345</v>
      </c>
      <c r="P544" s="2063"/>
      <c r="Q544" s="2063"/>
      <c r="R544" s="2063"/>
      <c r="S544" s="2063"/>
      <c r="T544" s="2063"/>
      <c r="U544" s="2063"/>
      <c r="V544" s="2063"/>
      <c r="W544" s="2063"/>
      <c r="X544" s="2063"/>
      <c r="Y544" s="2063"/>
      <c r="Z544" s="2063"/>
      <c r="AA544" s="2063"/>
      <c r="AC544" s="2083" t="s">
        <v>628</v>
      </c>
      <c r="AD544" s="2065"/>
      <c r="AE544" s="2065"/>
      <c r="AF544" s="2065"/>
      <c r="AG544" s="75" t="s">
        <v>426</v>
      </c>
      <c r="AH544" s="2060"/>
      <c r="AI544" s="2060"/>
      <c r="AJ544" s="2060"/>
      <c r="AK544" s="206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140"/>
      <c r="C545" s="2141"/>
      <c r="D545" s="2141"/>
      <c r="E545" s="2141"/>
      <c r="F545" s="2141"/>
      <c r="G545" s="2141"/>
      <c r="H545" s="2142"/>
      <c r="I545" s="25" t="s">
        <v>444</v>
      </c>
      <c r="J545" s="25"/>
      <c r="K545" s="25"/>
      <c r="L545" s="25"/>
      <c r="M545" s="25"/>
      <c r="N545" s="25"/>
      <c r="O545" s="25"/>
      <c r="P545" s="25"/>
      <c r="Q545" s="25"/>
      <c r="R545" s="25"/>
      <c r="S545" s="25"/>
      <c r="T545" s="25"/>
      <c r="U545" s="25"/>
      <c r="V545" s="25"/>
      <c r="W545" s="25"/>
      <c r="X545" s="25"/>
      <c r="Y545" s="25"/>
      <c r="AC545" s="2083" t="s">
        <v>628</v>
      </c>
      <c r="AD545" s="2065"/>
      <c r="AE545" s="2065"/>
      <c r="AF545" s="2065"/>
      <c r="AG545" s="65" t="s">
        <v>426</v>
      </c>
      <c r="AH545" s="2060"/>
      <c r="AI545" s="2060"/>
      <c r="AJ545" s="2060"/>
      <c r="AK545" s="206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140"/>
      <c r="C546" s="2141"/>
      <c r="D546" s="2141"/>
      <c r="E546" s="2141"/>
      <c r="F546" s="2141"/>
      <c r="G546" s="2141"/>
      <c r="H546" s="2142"/>
      <c r="I546" s="80" t="s">
        <v>445</v>
      </c>
      <c r="J546" s="80"/>
      <c r="K546" s="80"/>
      <c r="L546" s="80"/>
      <c r="M546" s="80"/>
      <c r="N546" s="80"/>
      <c r="O546" s="80"/>
      <c r="P546" s="80"/>
      <c r="Q546" s="80"/>
      <c r="R546" s="80"/>
      <c r="S546" s="80"/>
      <c r="T546" s="80"/>
      <c r="U546" s="80"/>
      <c r="V546" s="80"/>
      <c r="W546" s="80"/>
      <c r="X546" s="80"/>
      <c r="Y546" s="80"/>
      <c r="Z546" s="80"/>
      <c r="AA546" s="80"/>
      <c r="AB546" s="80"/>
      <c r="AC546" s="2083" t="s">
        <v>628</v>
      </c>
      <c r="AD546" s="2065"/>
      <c r="AE546" s="2065"/>
      <c r="AF546" s="2065"/>
      <c r="AG546" s="75" t="s">
        <v>426</v>
      </c>
      <c r="AH546" s="2060"/>
      <c r="AI546" s="2060"/>
      <c r="AJ546" s="2060"/>
      <c r="AK546" s="206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140"/>
      <c r="C547" s="2141"/>
      <c r="D547" s="2141"/>
      <c r="E547" s="2141"/>
      <c r="F547" s="2141"/>
      <c r="G547" s="2141"/>
      <c r="H547" s="2142"/>
      <c r="I547" s="72" t="s">
        <v>446</v>
      </c>
      <c r="J547" s="72"/>
      <c r="K547" s="72"/>
      <c r="L547" s="72"/>
      <c r="M547" s="72"/>
      <c r="N547" s="72"/>
      <c r="O547" s="2063" t="s">
        <v>345</v>
      </c>
      <c r="P547" s="2063"/>
      <c r="Q547" s="2063"/>
      <c r="R547" s="2063"/>
      <c r="S547" s="2063"/>
      <c r="T547" s="2063"/>
      <c r="U547" s="2063"/>
      <c r="V547" s="2063"/>
      <c r="W547" s="2063"/>
      <c r="X547" s="2063"/>
      <c r="Y547" s="2063"/>
      <c r="Z547" s="2063"/>
      <c r="AA547" s="2063"/>
      <c r="AC547" s="2083" t="s">
        <v>628</v>
      </c>
      <c r="AD547" s="2065"/>
      <c r="AE547" s="2065"/>
      <c r="AF547" s="2065"/>
      <c r="AG547" s="65" t="s">
        <v>426</v>
      </c>
      <c r="AH547" s="2060"/>
      <c r="AI547" s="2060"/>
      <c r="AJ547" s="2060"/>
      <c r="AK547" s="206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140"/>
      <c r="C548" s="2141"/>
      <c r="D548" s="2141"/>
      <c r="E548" s="2141"/>
      <c r="F548" s="2141"/>
      <c r="G548" s="2141"/>
      <c r="H548" s="2142"/>
      <c r="I548" s="25" t="s">
        <v>444</v>
      </c>
      <c r="J548" s="25"/>
      <c r="K548" s="25"/>
      <c r="L548" s="25"/>
      <c r="M548" s="25"/>
      <c r="N548" s="25"/>
      <c r="O548" s="25"/>
      <c r="P548" s="25"/>
      <c r="Q548" s="25"/>
      <c r="R548" s="25"/>
      <c r="S548" s="25"/>
      <c r="T548" s="25"/>
      <c r="U548" s="25"/>
      <c r="V548" s="25"/>
      <c r="W548" s="25"/>
      <c r="X548" s="25"/>
      <c r="Y548" s="25"/>
      <c r="AC548" s="2083" t="s">
        <v>628</v>
      </c>
      <c r="AD548" s="2065"/>
      <c r="AE548" s="2065"/>
      <c r="AF548" s="2065"/>
      <c r="AG548" s="75" t="s">
        <v>426</v>
      </c>
      <c r="AH548" s="2060"/>
      <c r="AI548" s="2060"/>
      <c r="AJ548" s="2060"/>
      <c r="AK548" s="206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140"/>
      <c r="C549" s="2141"/>
      <c r="D549" s="2141"/>
      <c r="E549" s="2141"/>
      <c r="F549" s="2141"/>
      <c r="G549" s="2141"/>
      <c r="H549" s="2142"/>
      <c r="I549" s="80" t="s">
        <v>445</v>
      </c>
      <c r="J549" s="80"/>
      <c r="K549" s="80"/>
      <c r="L549" s="80"/>
      <c r="M549" s="80"/>
      <c r="N549" s="80"/>
      <c r="O549" s="80"/>
      <c r="P549" s="80"/>
      <c r="Q549" s="80"/>
      <c r="R549" s="80"/>
      <c r="S549" s="80"/>
      <c r="T549" s="80"/>
      <c r="U549" s="80"/>
      <c r="V549" s="80"/>
      <c r="W549" s="80"/>
      <c r="X549" s="80"/>
      <c r="Y549" s="80"/>
      <c r="Z549" s="80"/>
      <c r="AA549" s="80"/>
      <c r="AB549" s="80"/>
      <c r="AC549" s="2083" t="s">
        <v>628</v>
      </c>
      <c r="AD549" s="2065"/>
      <c r="AE549" s="2065"/>
      <c r="AF549" s="2065"/>
      <c r="AG549" s="65" t="s">
        <v>426</v>
      </c>
      <c r="AH549" s="2060"/>
      <c r="AI549" s="2060"/>
      <c r="AJ549" s="2060"/>
      <c r="AK549" s="206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140"/>
      <c r="C550" s="2141"/>
      <c r="D550" s="2141"/>
      <c r="E550" s="2141"/>
      <c r="F550" s="2141"/>
      <c r="G550" s="2141"/>
      <c r="H550" s="2142"/>
      <c r="I550" s="72" t="s">
        <v>597</v>
      </c>
      <c r="J550" s="72"/>
      <c r="K550" s="72"/>
      <c r="L550" s="72"/>
      <c r="M550" s="72"/>
      <c r="N550" s="72"/>
      <c r="O550" s="72"/>
      <c r="P550" s="72"/>
      <c r="Q550" s="72"/>
      <c r="R550" s="72"/>
      <c r="S550" s="72"/>
      <c r="T550" s="72"/>
      <c r="U550" s="72"/>
      <c r="V550" s="72"/>
      <c r="W550" s="72"/>
      <c r="X550" s="25"/>
      <c r="Y550" s="25"/>
      <c r="AC550" s="2083" t="s">
        <v>628</v>
      </c>
      <c r="AD550" s="2065"/>
      <c r="AE550" s="2065"/>
      <c r="AF550" s="2065"/>
      <c r="AG550" s="65" t="s">
        <v>426</v>
      </c>
      <c r="AH550" s="2060"/>
      <c r="AI550" s="2060"/>
      <c r="AJ550" s="2060"/>
      <c r="AK550" s="206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140"/>
      <c r="C551" s="2141"/>
      <c r="D551" s="2141"/>
      <c r="E551" s="2141"/>
      <c r="F551" s="2141"/>
      <c r="G551" s="2141"/>
      <c r="H551" s="2142"/>
      <c r="I551" s="25" t="s">
        <v>598</v>
      </c>
      <c r="J551" s="25"/>
      <c r="K551" s="25"/>
      <c r="L551" s="25"/>
      <c r="M551" s="25"/>
      <c r="N551" s="25"/>
      <c r="O551" s="25"/>
      <c r="P551" s="25"/>
      <c r="Q551" s="25"/>
      <c r="R551" s="25"/>
      <c r="S551" s="25"/>
      <c r="T551" s="25"/>
      <c r="U551" s="25"/>
      <c r="V551" s="25"/>
      <c r="W551" s="25"/>
      <c r="X551" s="25"/>
      <c r="Y551" s="25"/>
      <c r="AC551" s="2083">
        <v>9</v>
      </c>
      <c r="AD551" s="2065"/>
      <c r="AE551" s="2065"/>
      <c r="AF551" s="2065"/>
      <c r="AG551" s="75" t="s">
        <v>426</v>
      </c>
      <c r="AH551" s="2060">
        <v>2021</v>
      </c>
      <c r="AI551" s="2060"/>
      <c r="AJ551" s="2060"/>
      <c r="AK551" s="206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140"/>
      <c r="C552" s="2141"/>
      <c r="D552" s="2141"/>
      <c r="E552" s="2141"/>
      <c r="F552" s="2141"/>
      <c r="G552" s="2141"/>
      <c r="H552" s="2142"/>
      <c r="I552" s="25" t="s">
        <v>599</v>
      </c>
      <c r="J552" s="25"/>
      <c r="K552" s="25"/>
      <c r="L552" s="25"/>
      <c r="M552" s="25"/>
      <c r="N552" s="25"/>
      <c r="O552" s="25"/>
      <c r="P552" s="25"/>
      <c r="Q552" s="25"/>
      <c r="R552" s="25"/>
      <c r="S552" s="25"/>
      <c r="T552" s="25"/>
      <c r="U552" s="25"/>
      <c r="V552" s="25"/>
      <c r="W552" s="25"/>
      <c r="X552" s="25"/>
      <c r="Y552" s="25"/>
      <c r="AC552" s="2083">
        <v>9</v>
      </c>
      <c r="AD552" s="2065"/>
      <c r="AE552" s="2065"/>
      <c r="AF552" s="2065"/>
      <c r="AG552" s="65" t="s">
        <v>426</v>
      </c>
      <c r="AH552" s="2060">
        <v>2023</v>
      </c>
      <c r="AI552" s="2060"/>
      <c r="AJ552" s="2060"/>
      <c r="AK552" s="206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140"/>
      <c r="C553" s="2141"/>
      <c r="D553" s="2141"/>
      <c r="E553" s="2141"/>
      <c r="F553" s="2141"/>
      <c r="G553" s="2141"/>
      <c r="H553" s="2142"/>
      <c r="I553" s="25" t="s">
        <v>600</v>
      </c>
      <c r="J553" s="25"/>
      <c r="K553" s="25"/>
      <c r="L553" s="25"/>
      <c r="M553" s="25"/>
      <c r="N553" s="25"/>
      <c r="O553" s="25"/>
      <c r="P553" s="25"/>
      <c r="Q553" s="25"/>
      <c r="R553" s="25"/>
      <c r="S553" s="25"/>
      <c r="T553" s="25"/>
      <c r="U553" s="25"/>
      <c r="V553" s="25"/>
      <c r="W553" s="25"/>
      <c r="X553" s="25"/>
      <c r="Y553" s="25"/>
      <c r="AC553" s="2083">
        <v>9</v>
      </c>
      <c r="AD553" s="2065"/>
      <c r="AE553" s="2065"/>
      <c r="AF553" s="2065"/>
      <c r="AG553" s="65" t="s">
        <v>426</v>
      </c>
      <c r="AH553" s="2060">
        <v>2023</v>
      </c>
      <c r="AI553" s="2060"/>
      <c r="AJ553" s="2060"/>
      <c r="AK553" s="206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82"/>
      <c r="C554" s="2183"/>
      <c r="D554" s="2183"/>
      <c r="E554" s="2183"/>
      <c r="F554" s="2183"/>
      <c r="G554" s="2183"/>
      <c r="H554" s="2184"/>
      <c r="I554" s="80" t="s">
        <v>484</v>
      </c>
      <c r="J554" s="80"/>
      <c r="K554" s="80"/>
      <c r="L554" s="80"/>
      <c r="M554" s="80"/>
      <c r="N554" s="80"/>
      <c r="O554" s="80"/>
      <c r="P554" s="80"/>
      <c r="Q554" s="80"/>
      <c r="R554" s="80"/>
      <c r="S554" s="80"/>
      <c r="T554" s="80"/>
      <c r="U554" s="80"/>
      <c r="V554" s="80"/>
      <c r="W554" s="80"/>
      <c r="X554" s="80"/>
      <c r="Y554" s="80"/>
      <c r="Z554" s="80"/>
      <c r="AA554" s="80"/>
      <c r="AB554" s="80"/>
      <c r="AC554" s="2083">
        <v>1</v>
      </c>
      <c r="AD554" s="2065"/>
      <c r="AE554" s="2065"/>
      <c r="AF554" s="2065"/>
      <c r="AG554" s="65" t="s">
        <v>426</v>
      </c>
      <c r="AH554" s="2060">
        <v>2024</v>
      </c>
      <c r="AI554" s="2060"/>
      <c r="AJ554" s="2060"/>
      <c r="AK554" s="206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86" t="s">
        <v>578</v>
      </c>
      <c r="B556" s="1886"/>
      <c r="C556" s="1886"/>
      <c r="D556" s="1886"/>
      <c r="E556" s="1886"/>
      <c r="F556" s="1886"/>
      <c r="G556" s="1886"/>
      <c r="H556" s="1886"/>
      <c r="I556" s="1886"/>
      <c r="J556" s="1886"/>
      <c r="K556" s="1886"/>
      <c r="L556" s="1886"/>
      <c r="M556" s="1886"/>
      <c r="N556" s="1886"/>
      <c r="O556" s="1886"/>
      <c r="P556" s="1886"/>
      <c r="Q556" s="1886"/>
      <c r="R556" s="1886"/>
      <c r="S556" s="1886"/>
      <c r="T556" s="1886"/>
      <c r="U556" s="1886"/>
      <c r="V556" s="1886"/>
      <c r="W556" s="1886"/>
      <c r="X556" s="1886"/>
      <c r="Y556" s="1886"/>
      <c r="Z556" s="1886"/>
      <c r="AA556" s="1886"/>
      <c r="AB556" s="1886"/>
      <c r="AC556" s="1886"/>
      <c r="AD556" s="1886"/>
      <c r="AE556" s="1886"/>
      <c r="AF556" s="1886"/>
      <c r="AG556" s="1886"/>
      <c r="AH556" s="1886"/>
      <c r="AI556" s="1886"/>
      <c r="AJ556" s="1886"/>
      <c r="AK556" s="1886"/>
      <c r="AL556" s="1886"/>
      <c r="AM556" s="1886"/>
      <c r="AN556" s="1886"/>
      <c r="AO556" s="1886"/>
      <c r="AP556" s="1886"/>
      <c r="AQ556" s="1886"/>
      <c r="AR556" s="1886"/>
      <c r="AS556" s="1886"/>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86"/>
      <c r="B557" s="1886"/>
      <c r="C557" s="1886"/>
      <c r="D557" s="1886"/>
      <c r="E557" s="1886"/>
      <c r="F557" s="1886"/>
      <c r="G557" s="1886"/>
      <c r="H557" s="1886"/>
      <c r="I557" s="1886"/>
      <c r="J557" s="1886"/>
      <c r="K557" s="1886"/>
      <c r="L557" s="1886"/>
      <c r="M557" s="1886"/>
      <c r="N557" s="1886"/>
      <c r="O557" s="1886"/>
      <c r="P557" s="1886"/>
      <c r="Q557" s="1886"/>
      <c r="R557" s="1886"/>
      <c r="S557" s="1886"/>
      <c r="T557" s="1886"/>
      <c r="U557" s="1886"/>
      <c r="V557" s="1886"/>
      <c r="W557" s="1886"/>
      <c r="X557" s="1886"/>
      <c r="Y557" s="1886"/>
      <c r="Z557" s="1886"/>
      <c r="AA557" s="1886"/>
      <c r="AB557" s="1886"/>
      <c r="AC557" s="1886"/>
      <c r="AD557" s="1886"/>
      <c r="AE557" s="1886"/>
      <c r="AF557" s="1886"/>
      <c r="AG557" s="1886"/>
      <c r="AH557" s="1886"/>
      <c r="AI557" s="1886"/>
      <c r="AJ557" s="1886"/>
      <c r="AK557" s="1886"/>
      <c r="AL557" s="1886"/>
      <c r="AM557" s="1886"/>
      <c r="AN557" s="1886"/>
      <c r="AO557" s="1886"/>
      <c r="AP557" s="1886"/>
      <c r="AQ557" s="1886"/>
      <c r="AR557" s="1886"/>
      <c r="AS557" s="1886"/>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93" t="s">
        <v>486</v>
      </c>
      <c r="C563" s="2211"/>
      <c r="D563" s="2211"/>
      <c r="E563" s="2211"/>
      <c r="F563" s="2211"/>
      <c r="G563" s="2211"/>
      <c r="H563" s="2211"/>
      <c r="I563" s="2211"/>
      <c r="J563" s="2211"/>
      <c r="K563" s="2211"/>
      <c r="L563" s="2211"/>
      <c r="M563" s="2211"/>
      <c r="N563" s="2211"/>
      <c r="O563" s="2211"/>
      <c r="P563" s="2212"/>
      <c r="Q563" s="2193" t="s">
        <v>2444</v>
      </c>
      <c r="R563" s="2194"/>
      <c r="S563" s="2195"/>
      <c r="T563" s="2193" t="s">
        <v>2442</v>
      </c>
      <c r="U563" s="2194"/>
      <c r="V563" s="2195"/>
      <c r="W563" s="2193" t="s">
        <v>487</v>
      </c>
      <c r="X563" s="2194"/>
      <c r="Y563" s="2195"/>
      <c r="Z563" s="2193" t="s">
        <v>2443</v>
      </c>
      <c r="AA563" s="2194"/>
      <c r="AB563" s="2194"/>
      <c r="AC563" s="2194"/>
      <c r="AD563" s="2194"/>
      <c r="AE563" s="2193" t="s">
        <v>2165</v>
      </c>
      <c r="AF563" s="2194"/>
      <c r="AG563" s="2194"/>
      <c r="AH563" s="2195"/>
      <c r="AI563" s="2193" t="s">
        <v>2166</v>
      </c>
      <c r="AJ563" s="2194"/>
      <c r="AK563" s="2194"/>
      <c r="AL563" s="2195"/>
      <c r="AM563" s="2193" t="s">
        <v>488</v>
      </c>
      <c r="AN563" s="2194"/>
      <c r="AO563" s="2194"/>
      <c r="AP563" s="2194"/>
      <c r="AQ563" s="2194"/>
      <c r="AR563" s="2194"/>
      <c r="AS563" s="219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109" t="s">
        <v>2559</v>
      </c>
      <c r="D564" s="2109"/>
      <c r="E564" s="2109"/>
      <c r="F564" s="2109"/>
      <c r="G564" s="2109"/>
      <c r="H564" s="2109"/>
      <c r="I564" s="2109"/>
      <c r="J564" s="2109"/>
      <c r="K564" s="2109"/>
      <c r="L564" s="2109"/>
      <c r="M564" s="2109"/>
      <c r="N564" s="2109"/>
      <c r="O564" s="2109"/>
      <c r="P564" s="2196"/>
      <c r="Q564" s="2185">
        <v>30</v>
      </c>
      <c r="R564" s="2185"/>
      <c r="S564" s="2186"/>
      <c r="T564" s="2187">
        <v>30</v>
      </c>
      <c r="U564" s="2185"/>
      <c r="V564" s="2186"/>
      <c r="W564" s="2197">
        <v>3.3500000000000002E-2</v>
      </c>
      <c r="X564" s="2198"/>
      <c r="Y564" s="2199"/>
      <c r="Z564" s="2043" t="s">
        <v>2568</v>
      </c>
      <c r="AA564" s="2043"/>
      <c r="AB564" s="2043"/>
      <c r="AC564" s="2043"/>
      <c r="AD564" s="2043"/>
      <c r="AE564" s="2178">
        <v>1</v>
      </c>
      <c r="AF564" s="2179"/>
      <c r="AG564" s="2179"/>
      <c r="AH564" s="2180"/>
      <c r="AI564" s="2169" t="s">
        <v>2601</v>
      </c>
      <c r="AJ564" s="2170"/>
      <c r="AK564" s="2170"/>
      <c r="AL564" s="2171"/>
      <c r="AM564" s="2057">
        <v>37912211</v>
      </c>
      <c r="AN564" s="2058"/>
      <c r="AO564" s="2058"/>
      <c r="AP564" s="2058"/>
      <c r="AQ564" s="2058"/>
      <c r="AR564" s="2058"/>
      <c r="AS564" s="2059"/>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09" t="s">
        <v>2560</v>
      </c>
      <c r="D565" s="2109"/>
      <c r="E565" s="2109"/>
      <c r="F565" s="2109"/>
      <c r="G565" s="2109"/>
      <c r="H565" s="2109"/>
      <c r="I565" s="2109"/>
      <c r="J565" s="2109"/>
      <c r="K565" s="2109"/>
      <c r="L565" s="2109"/>
      <c r="M565" s="2109"/>
      <c r="N565" s="2109"/>
      <c r="O565" s="2109"/>
      <c r="P565" s="2196"/>
      <c r="Q565" s="2187">
        <v>30</v>
      </c>
      <c r="R565" s="2185"/>
      <c r="S565" s="2186"/>
      <c r="T565" s="2187">
        <v>30</v>
      </c>
      <c r="U565" s="2185"/>
      <c r="V565" s="2186"/>
      <c r="W565" s="2197">
        <v>3.5999999999999997E-2</v>
      </c>
      <c r="X565" s="2198"/>
      <c r="Y565" s="2199"/>
      <c r="Z565" s="2043" t="s">
        <v>2568</v>
      </c>
      <c r="AA565" s="2043"/>
      <c r="AB565" s="2043"/>
      <c r="AC565" s="2043"/>
      <c r="AD565" s="2043"/>
      <c r="AE565" s="2178">
        <v>1</v>
      </c>
      <c r="AF565" s="2179"/>
      <c r="AG565" s="2179"/>
      <c r="AH565" s="2180"/>
      <c r="AI565" s="2169" t="s">
        <v>2601</v>
      </c>
      <c r="AJ565" s="2170"/>
      <c r="AK565" s="2170"/>
      <c r="AL565" s="2171"/>
      <c r="AM565" s="2057">
        <v>5289742</v>
      </c>
      <c r="AN565" s="2058"/>
      <c r="AO565" s="2058"/>
      <c r="AP565" s="2058"/>
      <c r="AQ565" s="2058"/>
      <c r="AR565" s="2058"/>
      <c r="AS565" s="205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109" t="s">
        <v>2471</v>
      </c>
      <c r="D566" s="2109"/>
      <c r="E566" s="2109"/>
      <c r="F566" s="2109"/>
      <c r="G566" s="2109"/>
      <c r="H566" s="2109"/>
      <c r="I566" s="2109"/>
      <c r="J566" s="2109"/>
      <c r="K566" s="2109"/>
      <c r="L566" s="2109"/>
      <c r="M566" s="2109"/>
      <c r="N566" s="2109"/>
      <c r="O566" s="2109"/>
      <c r="P566" s="2196"/>
      <c r="Q566" s="2187">
        <v>30</v>
      </c>
      <c r="R566" s="2185"/>
      <c r="S566" s="2186"/>
      <c r="T566" s="2187">
        <v>30</v>
      </c>
      <c r="U566" s="2185"/>
      <c r="V566" s="2186"/>
      <c r="W566" s="2197">
        <v>0.04</v>
      </c>
      <c r="X566" s="2198"/>
      <c r="Y566" s="2199"/>
      <c r="Z566" s="2043" t="s">
        <v>2569</v>
      </c>
      <c r="AA566" s="2043"/>
      <c r="AB566" s="2043"/>
      <c r="AC566" s="2043"/>
      <c r="AD566" s="2043"/>
      <c r="AE566" s="2178">
        <v>2</v>
      </c>
      <c r="AF566" s="2179"/>
      <c r="AG566" s="2179"/>
      <c r="AH566" s="2180"/>
      <c r="AI566" s="2169" t="s">
        <v>492</v>
      </c>
      <c r="AJ566" s="2170"/>
      <c r="AK566" s="2170"/>
      <c r="AL566" s="2171"/>
      <c r="AM566" s="2057">
        <f>8881024+1810752</f>
        <v>10691776</v>
      </c>
      <c r="AN566" s="2058"/>
      <c r="AO566" s="2058"/>
      <c r="AP566" s="2058"/>
      <c r="AQ566" s="2058"/>
      <c r="AR566" s="2058"/>
      <c r="AS566" s="205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618</v>
      </c>
      <c r="C567" s="2109" t="s">
        <v>2562</v>
      </c>
      <c r="D567" s="2109"/>
      <c r="E567" s="2109"/>
      <c r="F567" s="2109"/>
      <c r="G567" s="2109"/>
      <c r="H567" s="2109"/>
      <c r="I567" s="2109"/>
      <c r="J567" s="2109"/>
      <c r="K567" s="2109"/>
      <c r="L567" s="2109"/>
      <c r="M567" s="2109"/>
      <c r="N567" s="2109"/>
      <c r="O567" s="2109"/>
      <c r="P567" s="2196"/>
      <c r="Q567" s="2187"/>
      <c r="R567" s="2185"/>
      <c r="S567" s="2186"/>
      <c r="T567" s="2187"/>
      <c r="U567" s="2185"/>
      <c r="V567" s="2186"/>
      <c r="W567" s="2197"/>
      <c r="X567" s="2198"/>
      <c r="Y567" s="2199"/>
      <c r="Z567" s="2043"/>
      <c r="AA567" s="2043"/>
      <c r="AB567" s="2043"/>
      <c r="AC567" s="2043"/>
      <c r="AD567" s="2043"/>
      <c r="AE567" s="2178"/>
      <c r="AF567" s="2179"/>
      <c r="AG567" s="2179"/>
      <c r="AH567" s="2180"/>
      <c r="AI567" s="2169" t="s">
        <v>2601</v>
      </c>
      <c r="AJ567" s="2170"/>
      <c r="AK567" s="2170"/>
      <c r="AL567" s="2171"/>
      <c r="AM567" s="2057">
        <f>533976+69248</f>
        <v>603224</v>
      </c>
      <c r="AN567" s="2058"/>
      <c r="AO567" s="2058"/>
      <c r="AP567" s="2058"/>
      <c r="AQ567" s="2058"/>
      <c r="AR567" s="2058"/>
      <c r="AS567" s="205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825</v>
      </c>
      <c r="C568" s="2109" t="s">
        <v>2553</v>
      </c>
      <c r="D568" s="2109"/>
      <c r="E568" s="2109"/>
      <c r="F568" s="2109"/>
      <c r="G568" s="2109"/>
      <c r="H568" s="2109"/>
      <c r="I568" s="2109"/>
      <c r="J568" s="2109"/>
      <c r="K568" s="2109"/>
      <c r="L568" s="2109"/>
      <c r="M568" s="2109"/>
      <c r="N568" s="2109"/>
      <c r="O568" s="2109"/>
      <c r="P568" s="2196"/>
      <c r="Q568" s="2187">
        <f>55*12</f>
        <v>660</v>
      </c>
      <c r="R568" s="2185"/>
      <c r="S568" s="2186"/>
      <c r="T568" s="2187">
        <f>Q568</f>
        <v>660</v>
      </c>
      <c r="U568" s="2185"/>
      <c r="V568" s="2186"/>
      <c r="W568" s="2197">
        <v>0.03</v>
      </c>
      <c r="X568" s="2198"/>
      <c r="Y568" s="2199"/>
      <c r="Z568" s="2043" t="s">
        <v>2569</v>
      </c>
      <c r="AA568" s="2043"/>
      <c r="AB568" s="2043"/>
      <c r="AC568" s="2043"/>
      <c r="AD568" s="2043"/>
      <c r="AE568" s="2178">
        <v>3</v>
      </c>
      <c r="AF568" s="2179"/>
      <c r="AG568" s="2179"/>
      <c r="AH568" s="2180"/>
      <c r="AI568" s="2169" t="s">
        <v>492</v>
      </c>
      <c r="AJ568" s="2170"/>
      <c r="AK568" s="2170"/>
      <c r="AL568" s="2171"/>
      <c r="AM568" s="2057">
        <v>10400000</v>
      </c>
      <c r="AN568" s="2058"/>
      <c r="AO568" s="2058"/>
      <c r="AP568" s="2058"/>
      <c r="AQ568" s="2058"/>
      <c r="AR568" s="2058"/>
      <c r="AS568" s="205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621</v>
      </c>
      <c r="C569" s="2109" t="s">
        <v>2563</v>
      </c>
      <c r="D569" s="2109"/>
      <c r="E569" s="2109"/>
      <c r="F569" s="2109"/>
      <c r="G569" s="2109"/>
      <c r="H569" s="2109"/>
      <c r="I569" s="2109"/>
      <c r="J569" s="2109"/>
      <c r="K569" s="2109"/>
      <c r="L569" s="2109"/>
      <c r="M569" s="2109"/>
      <c r="N569" s="2109"/>
      <c r="O569" s="2109"/>
      <c r="P569" s="2196"/>
      <c r="Q569" s="2187"/>
      <c r="R569" s="2185"/>
      <c r="S569" s="2186"/>
      <c r="T569" s="2187"/>
      <c r="U569" s="2185"/>
      <c r="V569" s="2186"/>
      <c r="W569" s="2197"/>
      <c r="X569" s="2198"/>
      <c r="Y569" s="2199"/>
      <c r="Z569" s="2043"/>
      <c r="AA569" s="2043"/>
      <c r="AB569" s="2043"/>
      <c r="AC569" s="2043"/>
      <c r="AD569" s="2043"/>
      <c r="AE569" s="2178"/>
      <c r="AF569" s="2179"/>
      <c r="AG569" s="2179"/>
      <c r="AH569" s="2180"/>
      <c r="AI569" s="2169" t="s">
        <v>492</v>
      </c>
      <c r="AJ569" s="2170"/>
      <c r="AK569" s="2170"/>
      <c r="AL569" s="2171"/>
      <c r="AM569" s="2057">
        <v>491190</v>
      </c>
      <c r="AN569" s="2058"/>
      <c r="AO569" s="2058"/>
      <c r="AP569" s="2058"/>
      <c r="AQ569" s="2058"/>
      <c r="AR569" s="2058"/>
      <c r="AS569" s="205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489</v>
      </c>
      <c r="C570" s="2109" t="s">
        <v>2564</v>
      </c>
      <c r="D570" s="2109"/>
      <c r="E570" s="2109"/>
      <c r="F570" s="2109"/>
      <c r="G570" s="2109"/>
      <c r="H570" s="2109"/>
      <c r="I570" s="2109"/>
      <c r="J570" s="2109"/>
      <c r="K570" s="2109"/>
      <c r="L570" s="2109"/>
      <c r="M570" s="2109"/>
      <c r="N570" s="2109"/>
      <c r="O570" s="2109"/>
      <c r="P570" s="2196"/>
      <c r="Q570" s="2187">
        <f>55*12</f>
        <v>660</v>
      </c>
      <c r="R570" s="2185"/>
      <c r="S570" s="2186"/>
      <c r="T570" s="2187">
        <f>Q570</f>
        <v>660</v>
      </c>
      <c r="U570" s="2185"/>
      <c r="V570" s="2186"/>
      <c r="W570" s="2197">
        <v>0</v>
      </c>
      <c r="X570" s="2198"/>
      <c r="Y570" s="2199"/>
      <c r="Z570" s="2043" t="s">
        <v>2569</v>
      </c>
      <c r="AA570" s="2043"/>
      <c r="AB570" s="2043"/>
      <c r="AC570" s="2043"/>
      <c r="AD570" s="2043"/>
      <c r="AE570" s="2178">
        <v>4</v>
      </c>
      <c r="AF570" s="2179"/>
      <c r="AG570" s="2179"/>
      <c r="AH570" s="2180"/>
      <c r="AI570" s="2169" t="s">
        <v>493</v>
      </c>
      <c r="AJ570" s="2170"/>
      <c r="AK570" s="2170"/>
      <c r="AL570" s="2171"/>
      <c r="AM570" s="2057">
        <v>1000000</v>
      </c>
      <c r="AN570" s="2058"/>
      <c r="AO570" s="2058"/>
      <c r="AP570" s="2058"/>
      <c r="AQ570" s="2058"/>
      <c r="AR570" s="2058"/>
      <c r="AS570" s="205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490</v>
      </c>
      <c r="C571" s="2109"/>
      <c r="D571" s="2109"/>
      <c r="E571" s="2109"/>
      <c r="F571" s="2109"/>
      <c r="G571" s="2109"/>
      <c r="H571" s="2109"/>
      <c r="I571" s="2109"/>
      <c r="J571" s="2109"/>
      <c r="K571" s="2109"/>
      <c r="L571" s="2109"/>
      <c r="M571" s="2109"/>
      <c r="N571" s="2109"/>
      <c r="O571" s="2109"/>
      <c r="P571" s="2196"/>
      <c r="Q571" s="2201"/>
      <c r="R571" s="2185"/>
      <c r="S571" s="2186"/>
      <c r="T571" s="2201"/>
      <c r="U571" s="2185"/>
      <c r="V571" s="2186"/>
      <c r="W571" s="2197"/>
      <c r="X571" s="2198"/>
      <c r="Y571" s="2199"/>
      <c r="Z571" s="2043"/>
      <c r="AA571" s="2043"/>
      <c r="AB571" s="2043"/>
      <c r="AC571" s="2043"/>
      <c r="AD571" s="2043"/>
      <c r="AE571" s="2178"/>
      <c r="AF571" s="2179"/>
      <c r="AG571" s="2179"/>
      <c r="AH571" s="2180"/>
      <c r="AI571" s="2169"/>
      <c r="AJ571" s="2170"/>
      <c r="AK571" s="2170"/>
      <c r="AL571" s="2171"/>
      <c r="AM571" s="2057">
        <v>0</v>
      </c>
      <c r="AN571" s="2058"/>
      <c r="AO571" s="2058"/>
      <c r="AP571" s="2058"/>
      <c r="AQ571" s="2058"/>
      <c r="AR571" s="2058"/>
      <c r="AS571" s="2059"/>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496</v>
      </c>
      <c r="C572" s="2109" t="s">
        <v>2565</v>
      </c>
      <c r="D572" s="2109"/>
      <c r="E572" s="2109"/>
      <c r="F572" s="2109"/>
      <c r="G572" s="2109"/>
      <c r="H572" s="2109"/>
      <c r="I572" s="2109"/>
      <c r="J572" s="2109"/>
      <c r="K572" s="2109"/>
      <c r="L572" s="2109"/>
      <c r="M572" s="2109"/>
      <c r="N572" s="2109"/>
      <c r="O572" s="2109"/>
      <c r="P572" s="2196"/>
      <c r="Q572" s="2201" t="s">
        <v>628</v>
      </c>
      <c r="R572" s="2185"/>
      <c r="S572" s="2186"/>
      <c r="T572" s="2201"/>
      <c r="U572" s="2185"/>
      <c r="V572" s="2186"/>
      <c r="W572" s="2197"/>
      <c r="X572" s="2198"/>
      <c r="Y572" s="2199"/>
      <c r="Z572" s="2043" t="s">
        <v>628</v>
      </c>
      <c r="AA572" s="2043"/>
      <c r="AB572" s="2043"/>
      <c r="AC572" s="2043"/>
      <c r="AD572" s="2043"/>
      <c r="AE572" s="2178"/>
      <c r="AF572" s="2179"/>
      <c r="AG572" s="2179"/>
      <c r="AH572" s="2180"/>
      <c r="AI572" s="2169"/>
      <c r="AJ572" s="2170"/>
      <c r="AK572" s="2170"/>
      <c r="AL572" s="2171"/>
      <c r="AM572" s="2057">
        <v>100</v>
      </c>
      <c r="AN572" s="2058"/>
      <c r="AO572" s="2058"/>
      <c r="AP572" s="2058"/>
      <c r="AQ572" s="2058"/>
      <c r="AR572" s="2058"/>
      <c r="AS572" s="2059"/>
      <c r="BB572" s="58"/>
      <c r="BC572" s="58"/>
      <c r="BD572" s="58"/>
      <c r="BE572" s="58"/>
      <c r="BF572" s="58"/>
      <c r="BG572" s="58"/>
      <c r="BH572" s="58" t="s">
        <v>621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109" t="s">
        <v>2566</v>
      </c>
      <c r="D573" s="2109"/>
      <c r="E573" s="2109"/>
      <c r="F573" s="2109"/>
      <c r="G573" s="2109"/>
      <c r="H573" s="2109"/>
      <c r="I573" s="2109"/>
      <c r="J573" s="2109"/>
      <c r="K573" s="2109"/>
      <c r="L573" s="2109"/>
      <c r="M573" s="2109"/>
      <c r="N573" s="2109"/>
      <c r="O573" s="2109"/>
      <c r="P573" s="2196"/>
      <c r="Q573" s="2201" t="s">
        <v>628</v>
      </c>
      <c r="R573" s="2185"/>
      <c r="S573" s="2186"/>
      <c r="T573" s="2201"/>
      <c r="U573" s="2185"/>
      <c r="V573" s="2186"/>
      <c r="W573" s="2197"/>
      <c r="X573" s="2198"/>
      <c r="Y573" s="2199"/>
      <c r="Z573" s="2043" t="s">
        <v>628</v>
      </c>
      <c r="AA573" s="2043"/>
      <c r="AB573" s="2043"/>
      <c r="AC573" s="2043"/>
      <c r="AD573" s="2043"/>
      <c r="AE573" s="2178"/>
      <c r="AF573" s="2179"/>
      <c r="AG573" s="2179"/>
      <c r="AH573" s="2180"/>
      <c r="AI573" s="2169"/>
      <c r="AJ573" s="2170"/>
      <c r="AK573" s="2170"/>
      <c r="AL573" s="2171"/>
      <c r="AM573" s="2057">
        <f>3202683-150500</f>
        <v>3052183</v>
      </c>
      <c r="AN573" s="2058"/>
      <c r="AO573" s="2058"/>
      <c r="AP573" s="2058"/>
      <c r="AQ573" s="2058"/>
      <c r="AR573" s="2058"/>
      <c r="AS573" s="205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374</v>
      </c>
      <c r="C574" s="2109" t="s">
        <v>2141</v>
      </c>
      <c r="D574" s="2109"/>
      <c r="E574" s="2109"/>
      <c r="F574" s="2109"/>
      <c r="G574" s="2109"/>
      <c r="H574" s="2109"/>
      <c r="I574" s="2109"/>
      <c r="J574" s="2109"/>
      <c r="K574" s="2109"/>
      <c r="L574" s="2109"/>
      <c r="M574" s="2109"/>
      <c r="N574" s="2109"/>
      <c r="O574" s="2109"/>
      <c r="P574" s="2196"/>
      <c r="Q574" s="2201" t="s">
        <v>628</v>
      </c>
      <c r="R574" s="2185"/>
      <c r="S574" s="2186"/>
      <c r="T574" s="2187"/>
      <c r="U574" s="2185"/>
      <c r="V574" s="2186"/>
      <c r="W574" s="2197"/>
      <c r="X574" s="2198"/>
      <c r="Y574" s="2199"/>
      <c r="Z574" s="2043" t="s">
        <v>628</v>
      </c>
      <c r="AA574" s="2043"/>
      <c r="AB574" s="2043"/>
      <c r="AC574" s="2043"/>
      <c r="AD574" s="2043"/>
      <c r="AE574" s="2178"/>
      <c r="AF574" s="2179"/>
      <c r="AG574" s="2179"/>
      <c r="AH574" s="2180"/>
      <c r="AI574" s="2169"/>
      <c r="AJ574" s="2170"/>
      <c r="AK574" s="2170"/>
      <c r="AL574" s="2171"/>
      <c r="AM574" s="2057">
        <v>1913441</v>
      </c>
      <c r="AN574" s="2058"/>
      <c r="AO574" s="2058"/>
      <c r="AP574" s="2058"/>
      <c r="AQ574" s="2058"/>
      <c r="AR574" s="2058"/>
      <c r="AS574" s="205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375</v>
      </c>
      <c r="C575" s="2109" t="s">
        <v>2567</v>
      </c>
      <c r="D575" s="2109"/>
      <c r="E575" s="2109"/>
      <c r="F575" s="2109"/>
      <c r="G575" s="2109"/>
      <c r="H575" s="2109"/>
      <c r="I575" s="2109"/>
      <c r="J575" s="2109"/>
      <c r="K575" s="2109"/>
      <c r="L575" s="2109"/>
      <c r="M575" s="2109"/>
      <c r="N575" s="2109"/>
      <c r="O575" s="2109"/>
      <c r="P575" s="2196"/>
      <c r="Q575" s="2201" t="s">
        <v>628</v>
      </c>
      <c r="R575" s="2185"/>
      <c r="S575" s="2186"/>
      <c r="T575" s="2187"/>
      <c r="U575" s="2185"/>
      <c r="V575" s="2186"/>
      <c r="W575" s="2197"/>
      <c r="X575" s="2198"/>
      <c r="Y575" s="2199"/>
      <c r="Z575" s="2043" t="s">
        <v>628</v>
      </c>
      <c r="AA575" s="2043"/>
      <c r="AB575" s="2043"/>
      <c r="AC575" s="2043"/>
      <c r="AD575" s="2043"/>
      <c r="AE575" s="2178"/>
      <c r="AF575" s="2179"/>
      <c r="AG575" s="2179"/>
      <c r="AH575" s="2180"/>
      <c r="AI575" s="2169"/>
      <c r="AJ575" s="2170"/>
      <c r="AK575" s="2170"/>
      <c r="AL575" s="2171"/>
      <c r="AM575" s="2057">
        <v>2160728</v>
      </c>
      <c r="AN575" s="2058"/>
      <c r="AO575" s="2058"/>
      <c r="AP575" s="2058"/>
      <c r="AQ575" s="2058"/>
      <c r="AR575" s="2058"/>
      <c r="AS575" s="205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88" t="s">
        <v>132</v>
      </c>
      <c r="C576" s="2189"/>
      <c r="D576" s="2189"/>
      <c r="E576" s="2189"/>
      <c r="F576" s="2189"/>
      <c r="G576" s="2189"/>
      <c r="H576" s="2189"/>
      <c r="I576" s="2189"/>
      <c r="J576" s="2189"/>
      <c r="K576" s="2189"/>
      <c r="L576" s="2189"/>
      <c r="M576" s="2189"/>
      <c r="N576" s="2189"/>
      <c r="O576" s="2189"/>
      <c r="P576" s="2189"/>
      <c r="Q576" s="2189"/>
      <c r="R576" s="2189"/>
      <c r="S576" s="2189"/>
      <c r="T576" s="2189"/>
      <c r="U576" s="2190"/>
      <c r="V576" s="2189"/>
      <c r="W576" s="2189"/>
      <c r="X576" s="2189"/>
      <c r="Y576" s="2189"/>
      <c r="Z576" s="2189"/>
      <c r="AA576" s="2189"/>
      <c r="AB576" s="2189"/>
      <c r="AC576" s="2189"/>
      <c r="AD576" s="2189"/>
      <c r="AE576" s="2189"/>
      <c r="AF576" s="2189"/>
      <c r="AG576" s="2189"/>
      <c r="AH576" s="2189"/>
      <c r="AI576" s="2189"/>
      <c r="AJ576" s="2189"/>
      <c r="AK576" s="2189"/>
      <c r="AL576" s="2191"/>
      <c r="AM576" s="2054">
        <f>SUM(AM564:AS575)</f>
        <v>73514595</v>
      </c>
      <c r="AN576" s="2055"/>
      <c r="AO576" s="2055"/>
      <c r="AP576" s="2055"/>
      <c r="AQ576" s="2055"/>
      <c r="AR576" s="2055"/>
      <c r="AS576" s="205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498</v>
      </c>
      <c r="G578" s="2173" t="str">
        <f>C564</f>
        <v>Citibank, N.A. - Tax-Exempt Loan</v>
      </c>
      <c r="H578" s="2173"/>
      <c r="I578" s="2173"/>
      <c r="J578" s="2173"/>
      <c r="K578" s="2173"/>
      <c r="L578" s="2173"/>
      <c r="M578" s="2173"/>
      <c r="N578" s="2173"/>
      <c r="O578" s="2173"/>
      <c r="P578" s="2173"/>
      <c r="Q578" s="2173"/>
      <c r="R578" s="2173"/>
      <c r="S578" s="14"/>
      <c r="T578" s="87" t="s">
        <v>118</v>
      </c>
      <c r="U578" s="12" t="s">
        <v>498</v>
      </c>
      <c r="Z578" s="2173" t="str">
        <f>C565</f>
        <v>Citibank, N.A. - Taxable Loan</v>
      </c>
      <c r="AA578" s="2173"/>
      <c r="AB578" s="2173"/>
      <c r="AC578" s="2173"/>
      <c r="AD578" s="2173"/>
      <c r="AE578" s="2173"/>
      <c r="AF578" s="2173"/>
      <c r="AG578" s="2173"/>
      <c r="AH578" s="2173"/>
      <c r="AI578" s="2173"/>
      <c r="AJ578" s="2173"/>
      <c r="AK578" s="217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62" t="s">
        <v>2580</v>
      </c>
      <c r="H579" s="2063"/>
      <c r="I579" s="2063"/>
      <c r="J579" s="2063"/>
      <c r="K579" s="2063"/>
      <c r="L579" s="2063"/>
      <c r="M579" s="2063"/>
      <c r="N579" s="2063"/>
      <c r="O579" s="2063"/>
      <c r="P579" s="2063"/>
      <c r="Q579" s="2063"/>
      <c r="R579" s="2063"/>
      <c r="S579" s="14"/>
      <c r="T579" s="35"/>
      <c r="U579" s="12" t="s">
        <v>90</v>
      </c>
      <c r="Z579" s="2062" t="s">
        <v>2580</v>
      </c>
      <c r="AA579" s="2063"/>
      <c r="AB579" s="2063"/>
      <c r="AC579" s="2063"/>
      <c r="AD579" s="2063"/>
      <c r="AE579" s="2063"/>
      <c r="AF579" s="2063"/>
      <c r="AG579" s="2063"/>
      <c r="AH579" s="2063"/>
      <c r="AI579" s="2063"/>
      <c r="AJ579" s="2063"/>
      <c r="AK579" s="2063"/>
      <c r="BB579" s="58"/>
      <c r="BC579" s="58"/>
      <c r="BD579" s="58"/>
      <c r="BE579" s="58"/>
      <c r="BF579" s="58"/>
      <c r="BG579" s="58"/>
      <c r="BH579" s="58" t="s">
        <v>489</v>
      </c>
      <c r="BI579" s="58">
        <f>N683</f>
        <v>0</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617</v>
      </c>
      <c r="G580" s="2062" t="s">
        <v>529</v>
      </c>
      <c r="H580" s="2063"/>
      <c r="I580" s="2063"/>
      <c r="J580" s="2063"/>
      <c r="K580" s="2063"/>
      <c r="L580" s="2063"/>
      <c r="M580" s="2063"/>
      <c r="N580" s="2063"/>
      <c r="O580" s="2063"/>
      <c r="P580" s="2063"/>
      <c r="Q580" s="2063"/>
      <c r="R580" s="2063"/>
      <c r="S580" s="88"/>
      <c r="T580" s="35"/>
      <c r="U580" s="12" t="s">
        <v>617</v>
      </c>
      <c r="Z580" s="2062" t="s">
        <v>529</v>
      </c>
      <c r="AA580" s="2063"/>
      <c r="AB580" s="2063"/>
      <c r="AC580" s="2063"/>
      <c r="AD580" s="2063"/>
      <c r="AE580" s="2063"/>
      <c r="AF580" s="2063"/>
      <c r="AG580" s="2063"/>
      <c r="AH580" s="2063"/>
      <c r="AI580" s="2063"/>
      <c r="AJ580" s="2063"/>
      <c r="AK580" s="2063"/>
      <c r="BB580" s="58"/>
      <c r="BC580" s="58"/>
      <c r="BD580" s="58"/>
      <c r="BE580" s="58"/>
      <c r="BF580" s="58"/>
      <c r="BG580" s="58"/>
      <c r="BH580" s="58" t="s">
        <v>490</v>
      </c>
      <c r="BI580" s="58">
        <f>AG683</f>
        <v>0</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62" t="s">
        <v>2581</v>
      </c>
      <c r="H581" s="2063"/>
      <c r="I581" s="2063"/>
      <c r="J581" s="2063"/>
      <c r="K581" s="2063"/>
      <c r="L581" s="2063"/>
      <c r="M581" s="2063"/>
      <c r="N581" s="2063"/>
      <c r="O581" s="2063"/>
      <c r="P581" s="2063"/>
      <c r="Q581" s="2063"/>
      <c r="R581" s="2063"/>
      <c r="S581" s="14"/>
      <c r="T581" s="35"/>
      <c r="U581" s="12" t="s">
        <v>17</v>
      </c>
      <c r="Z581" s="2062" t="s">
        <v>2581</v>
      </c>
      <c r="AA581" s="2063"/>
      <c r="AB581" s="2063"/>
      <c r="AC581" s="2063"/>
      <c r="AD581" s="2063"/>
      <c r="AE581" s="2063"/>
      <c r="AF581" s="2063"/>
      <c r="AG581" s="2063"/>
      <c r="AH581" s="2063"/>
      <c r="AI581" s="2063"/>
      <c r="AJ581" s="2063"/>
      <c r="AK581" s="206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181" t="s">
        <v>2582</v>
      </c>
      <c r="H582" s="2087"/>
      <c r="I582" s="2087"/>
      <c r="J582" s="2087"/>
      <c r="K582" s="2087"/>
      <c r="L582" s="2087"/>
      <c r="O582" s="137" t="s">
        <v>212</v>
      </c>
      <c r="P582" s="2172"/>
      <c r="Q582" s="2172"/>
      <c r="R582" s="2172"/>
      <c r="S582" s="16"/>
      <c r="T582" s="35"/>
      <c r="U582" s="12" t="s">
        <v>327</v>
      </c>
      <c r="Z582" s="2181" t="s">
        <v>2582</v>
      </c>
      <c r="AA582" s="2087"/>
      <c r="AB582" s="2087"/>
      <c r="AC582" s="2087"/>
      <c r="AD582" s="2087"/>
      <c r="AE582" s="2087"/>
      <c r="AH582" s="137" t="s">
        <v>212</v>
      </c>
      <c r="AI582" s="2172"/>
      <c r="AJ582" s="2172"/>
      <c r="AK582" s="217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62" t="s">
        <v>2583</v>
      </c>
      <c r="I583" s="2063"/>
      <c r="J583" s="2063"/>
      <c r="K583" s="2063"/>
      <c r="L583" s="2063"/>
      <c r="M583" s="2063"/>
      <c r="N583" s="2063"/>
      <c r="O583" s="2063"/>
      <c r="P583" s="2063"/>
      <c r="Q583" s="2063"/>
      <c r="R583" s="2063"/>
      <c r="S583" s="14"/>
      <c r="T583" s="35"/>
      <c r="U583" s="12" t="s">
        <v>18</v>
      </c>
      <c r="AA583" s="2062" t="s">
        <v>2585</v>
      </c>
      <c r="AB583" s="2063"/>
      <c r="AC583" s="2063"/>
      <c r="AD583" s="2063"/>
      <c r="AE583" s="2063"/>
      <c r="AF583" s="2063"/>
      <c r="AG583" s="2063"/>
      <c r="AH583" s="2063"/>
      <c r="AI583" s="2063"/>
      <c r="AJ583" s="2063"/>
      <c r="AK583" s="206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20"/>
      <c r="D584" s="720"/>
      <c r="E584" s="720"/>
      <c r="F584" s="720"/>
      <c r="G584" s="720"/>
      <c r="H584" s="14"/>
      <c r="I584" s="14"/>
      <c r="J584" s="14"/>
      <c r="K584" s="14"/>
      <c r="L584" s="14"/>
      <c r="M584" s="2219" t="s">
        <v>2623</v>
      </c>
      <c r="N584" s="2219"/>
      <c r="O584" s="2219"/>
      <c r="P584" s="2219"/>
      <c r="Q584" s="2219"/>
      <c r="R584" s="2219"/>
      <c r="S584" s="14"/>
      <c r="T584" s="35"/>
      <c r="U584" s="510" t="s">
        <v>1388</v>
      </c>
      <c r="V584" s="720"/>
      <c r="W584" s="720"/>
      <c r="X584" s="720"/>
      <c r="Y584" s="720"/>
      <c r="Z584" s="720"/>
      <c r="AA584" s="14"/>
      <c r="AB584" s="14"/>
      <c r="AC584" s="14"/>
      <c r="AD584" s="14"/>
      <c r="AE584" s="14"/>
      <c r="AF584" s="2219"/>
      <c r="AG584" s="2219"/>
      <c r="AH584" s="2219"/>
      <c r="AI584" s="2219"/>
      <c r="AJ584" s="2219"/>
      <c r="AK584" s="2219"/>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136" t="s">
        <v>580</v>
      </c>
      <c r="O585" s="2069"/>
      <c r="T585" s="35"/>
      <c r="U585" s="12" t="s">
        <v>20</v>
      </c>
      <c r="AG585" s="2136" t="s">
        <v>580</v>
      </c>
      <c r="AH585" s="206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173" t="str">
        <f>C566</f>
        <v>City of San Jose</v>
      </c>
      <c r="H587" s="2173"/>
      <c r="I587" s="2173"/>
      <c r="J587" s="2173"/>
      <c r="K587" s="2173"/>
      <c r="L587" s="2173"/>
      <c r="M587" s="2173"/>
      <c r="N587" s="2173"/>
      <c r="O587" s="2173"/>
      <c r="P587" s="2173"/>
      <c r="Q587" s="2173"/>
      <c r="R587" s="2173"/>
      <c r="T587" s="87" t="s">
        <v>618</v>
      </c>
      <c r="U587" s="12" t="s">
        <v>498</v>
      </c>
      <c r="Z587" s="2173" t="str">
        <f>C567</f>
        <v>CSJ - Accrued/Deferred Interest</v>
      </c>
      <c r="AA587" s="2173"/>
      <c r="AB587" s="2173"/>
      <c r="AC587" s="2173"/>
      <c r="AD587" s="2173"/>
      <c r="AE587" s="2173"/>
      <c r="AF587" s="2173"/>
      <c r="AG587" s="2173"/>
      <c r="AH587" s="2173"/>
      <c r="AI587" s="2173"/>
      <c r="AJ587" s="2173"/>
      <c r="AK587" s="217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103" t="s">
        <v>2570</v>
      </c>
      <c r="H588" s="2104"/>
      <c r="I588" s="2104"/>
      <c r="J588" s="2104"/>
      <c r="K588" s="2104"/>
      <c r="L588" s="2104"/>
      <c r="M588" s="2104"/>
      <c r="N588" s="2104"/>
      <c r="O588" s="2104"/>
      <c r="P588" s="2104"/>
      <c r="Q588" s="2104"/>
      <c r="R588" s="2104"/>
      <c r="T588" s="35"/>
      <c r="U588" s="12" t="s">
        <v>90</v>
      </c>
      <c r="Z588" s="2103" t="s">
        <v>2570</v>
      </c>
      <c r="AA588" s="2104"/>
      <c r="AB588" s="2104"/>
      <c r="AC588" s="2104"/>
      <c r="AD588" s="2104"/>
      <c r="AE588" s="2104"/>
      <c r="AF588" s="2104"/>
      <c r="AG588" s="2104"/>
      <c r="AH588" s="2104"/>
      <c r="AI588" s="2104"/>
      <c r="AJ588" s="2104"/>
      <c r="AK588" s="210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105" t="s">
        <v>2469</v>
      </c>
      <c r="H589" s="2106"/>
      <c r="I589" s="2106"/>
      <c r="J589" s="2106"/>
      <c r="K589" s="2106"/>
      <c r="L589" s="2106"/>
      <c r="M589" s="2106"/>
      <c r="N589" s="2106"/>
      <c r="O589" s="2106"/>
      <c r="P589" s="2106"/>
      <c r="Q589" s="2106"/>
      <c r="R589" s="2106"/>
      <c r="T589" s="35"/>
      <c r="U589" s="12" t="s">
        <v>617</v>
      </c>
      <c r="Z589" s="2105" t="s">
        <v>2469</v>
      </c>
      <c r="AA589" s="2106"/>
      <c r="AB589" s="2106"/>
      <c r="AC589" s="2106"/>
      <c r="AD589" s="2106"/>
      <c r="AE589" s="2106"/>
      <c r="AF589" s="2106"/>
      <c r="AG589" s="2106"/>
      <c r="AH589" s="2106"/>
      <c r="AI589" s="2106"/>
      <c r="AJ589" s="2106"/>
      <c r="AK589" s="210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05" t="s">
        <v>2571</v>
      </c>
      <c r="H590" s="2106"/>
      <c r="I590" s="2106"/>
      <c r="J590" s="2106"/>
      <c r="K590" s="2106"/>
      <c r="L590" s="2106"/>
      <c r="M590" s="2106"/>
      <c r="N590" s="2106"/>
      <c r="O590" s="2106"/>
      <c r="P590" s="2106"/>
      <c r="Q590" s="2106"/>
      <c r="R590" s="2106"/>
      <c r="T590" s="35"/>
      <c r="U590" s="12" t="s">
        <v>17</v>
      </c>
      <c r="Z590" s="2105" t="s">
        <v>2571</v>
      </c>
      <c r="AA590" s="2106"/>
      <c r="AB590" s="2106"/>
      <c r="AC590" s="2106"/>
      <c r="AD590" s="2106"/>
      <c r="AE590" s="2106"/>
      <c r="AF590" s="2106"/>
      <c r="AG590" s="2106"/>
      <c r="AH590" s="2106"/>
      <c r="AI590" s="2106"/>
      <c r="AJ590" s="2106"/>
      <c r="AK590" s="210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107" t="s">
        <v>2572</v>
      </c>
      <c r="H591" s="2107"/>
      <c r="I591" s="2107"/>
      <c r="J591" s="2107"/>
      <c r="K591" s="2107"/>
      <c r="L591" s="2107"/>
      <c r="O591" s="137" t="s">
        <v>212</v>
      </c>
      <c r="P591" s="2172"/>
      <c r="Q591" s="2172"/>
      <c r="R591" s="2172"/>
      <c r="T591" s="35"/>
      <c r="U591" s="12" t="s">
        <v>327</v>
      </c>
      <c r="Z591" s="2107" t="s">
        <v>2572</v>
      </c>
      <c r="AA591" s="2107"/>
      <c r="AB591" s="2107"/>
      <c r="AC591" s="2107"/>
      <c r="AD591" s="2107"/>
      <c r="AE591" s="2107"/>
      <c r="AH591" s="137" t="s">
        <v>212</v>
      </c>
      <c r="AI591" s="2172"/>
      <c r="AJ591" s="2172"/>
      <c r="AK591" s="217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103" t="s">
        <v>2573</v>
      </c>
      <c r="I592" s="2104"/>
      <c r="J592" s="2104"/>
      <c r="K592" s="2104"/>
      <c r="L592" s="2104"/>
      <c r="M592" s="2104"/>
      <c r="N592" s="2104"/>
      <c r="O592" s="2104"/>
      <c r="P592" s="2104"/>
      <c r="Q592" s="2104"/>
      <c r="R592" s="2104"/>
      <c r="T592" s="35"/>
      <c r="U592" s="12" t="s">
        <v>18</v>
      </c>
      <c r="AA592" s="2062" t="s">
        <v>2586</v>
      </c>
      <c r="AB592" s="2063"/>
      <c r="AC592" s="2063"/>
      <c r="AD592" s="2063"/>
      <c r="AE592" s="2063"/>
      <c r="AF592" s="2063"/>
      <c r="AG592" s="2063"/>
      <c r="AH592" s="2063"/>
      <c r="AI592" s="2063"/>
      <c r="AJ592" s="2063"/>
      <c r="AK592" s="206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69" t="s">
        <v>580</v>
      </c>
      <c r="O593" s="2069"/>
      <c r="T593" s="35"/>
      <c r="U593" s="12" t="s">
        <v>20</v>
      </c>
      <c r="AG593" s="2136" t="s">
        <v>580</v>
      </c>
      <c r="AH593" s="206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173" t="str">
        <f>C568</f>
        <v>County of Santa Clara</v>
      </c>
      <c r="H595" s="2173"/>
      <c r="I595" s="2173"/>
      <c r="J595" s="2173"/>
      <c r="K595" s="2173"/>
      <c r="L595" s="2173"/>
      <c r="M595" s="2173"/>
      <c r="N595" s="2173"/>
      <c r="O595" s="2173"/>
      <c r="P595" s="2173"/>
      <c r="Q595" s="2173"/>
      <c r="R595" s="2173"/>
      <c r="T595" s="87" t="s">
        <v>621</v>
      </c>
      <c r="U595" s="12" t="s">
        <v>498</v>
      </c>
      <c r="Z595" s="2173" t="str">
        <f>C569</f>
        <v>CSC-Accrued/Deferred Interest</v>
      </c>
      <c r="AA595" s="2173"/>
      <c r="AB595" s="2173"/>
      <c r="AC595" s="2173"/>
      <c r="AD595" s="2173"/>
      <c r="AE595" s="2173"/>
      <c r="AF595" s="2173"/>
      <c r="AG595" s="2173"/>
      <c r="AH595" s="2173"/>
      <c r="AI595" s="2173"/>
      <c r="AJ595" s="2173"/>
      <c r="AK595" s="217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62" t="s">
        <v>2574</v>
      </c>
      <c r="H596" s="2063"/>
      <c r="I596" s="2063"/>
      <c r="J596" s="2063"/>
      <c r="K596" s="2063"/>
      <c r="L596" s="2063"/>
      <c r="M596" s="2063"/>
      <c r="N596" s="2063"/>
      <c r="O596" s="2063"/>
      <c r="P596" s="2063"/>
      <c r="Q596" s="2063"/>
      <c r="R596" s="2063"/>
      <c r="T596" s="35"/>
      <c r="U596" s="12" t="s">
        <v>90</v>
      </c>
      <c r="Z596" s="2062" t="s">
        <v>2574</v>
      </c>
      <c r="AA596" s="2063"/>
      <c r="AB596" s="2063"/>
      <c r="AC596" s="2063"/>
      <c r="AD596" s="2063"/>
      <c r="AE596" s="2063"/>
      <c r="AF596" s="2063"/>
      <c r="AG596" s="2063"/>
      <c r="AH596" s="2063"/>
      <c r="AI596" s="2063"/>
      <c r="AJ596" s="2063"/>
      <c r="AK596" s="206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62" t="s">
        <v>2469</v>
      </c>
      <c r="H597" s="2063"/>
      <c r="I597" s="2063"/>
      <c r="J597" s="2063"/>
      <c r="K597" s="2063"/>
      <c r="L597" s="2063"/>
      <c r="M597" s="2063"/>
      <c r="N597" s="2063"/>
      <c r="O597" s="2063"/>
      <c r="P597" s="2063"/>
      <c r="Q597" s="2063"/>
      <c r="R597" s="2063"/>
      <c r="T597" s="35"/>
      <c r="U597" s="12" t="s">
        <v>617</v>
      </c>
      <c r="Z597" s="2062" t="s">
        <v>2469</v>
      </c>
      <c r="AA597" s="2063"/>
      <c r="AB597" s="2063"/>
      <c r="AC597" s="2063"/>
      <c r="AD597" s="2063"/>
      <c r="AE597" s="2063"/>
      <c r="AF597" s="2063"/>
      <c r="AG597" s="2063"/>
      <c r="AH597" s="2063"/>
      <c r="AI597" s="2063"/>
      <c r="AJ597" s="2063"/>
      <c r="AK597" s="206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62" t="s">
        <v>2575</v>
      </c>
      <c r="H598" s="2063"/>
      <c r="I598" s="2063"/>
      <c r="J598" s="2063"/>
      <c r="K598" s="2063"/>
      <c r="L598" s="2063"/>
      <c r="M598" s="2063"/>
      <c r="N598" s="2063"/>
      <c r="O598" s="2063"/>
      <c r="P598" s="2063"/>
      <c r="Q598" s="2063"/>
      <c r="R598" s="2063"/>
      <c r="T598" s="35"/>
      <c r="U598" s="12" t="s">
        <v>17</v>
      </c>
      <c r="Z598" s="2062" t="s">
        <v>2575</v>
      </c>
      <c r="AA598" s="2063"/>
      <c r="AB598" s="2063"/>
      <c r="AC598" s="2063"/>
      <c r="AD598" s="2063"/>
      <c r="AE598" s="2063"/>
      <c r="AF598" s="2063"/>
      <c r="AG598" s="2063"/>
      <c r="AH598" s="2063"/>
      <c r="AI598" s="2063"/>
      <c r="AJ598" s="2063"/>
      <c r="AK598" s="206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181" t="s">
        <v>2576</v>
      </c>
      <c r="H599" s="2087"/>
      <c r="I599" s="2087"/>
      <c r="J599" s="2087"/>
      <c r="K599" s="2087"/>
      <c r="L599" s="2087"/>
      <c r="O599" s="137" t="s">
        <v>212</v>
      </c>
      <c r="P599" s="2172"/>
      <c r="Q599" s="2172"/>
      <c r="R599" s="2172"/>
      <c r="T599" s="35"/>
      <c r="U599" s="12" t="s">
        <v>327</v>
      </c>
      <c r="Z599" s="2181" t="s">
        <v>2576</v>
      </c>
      <c r="AA599" s="2087"/>
      <c r="AB599" s="2087"/>
      <c r="AC599" s="2087"/>
      <c r="AD599" s="2087"/>
      <c r="AE599" s="2087"/>
      <c r="AH599" s="137" t="s">
        <v>212</v>
      </c>
      <c r="AI599" s="2172"/>
      <c r="AJ599" s="2172"/>
      <c r="AK599" s="217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62" t="s">
        <v>2573</v>
      </c>
      <c r="I600" s="2063"/>
      <c r="J600" s="2063"/>
      <c r="K600" s="2063"/>
      <c r="L600" s="2063"/>
      <c r="M600" s="2063"/>
      <c r="N600" s="2063"/>
      <c r="O600" s="2063"/>
      <c r="P600" s="2063"/>
      <c r="Q600" s="2063"/>
      <c r="R600" s="2063"/>
      <c r="T600" s="35"/>
      <c r="U600" s="12" t="s">
        <v>18</v>
      </c>
      <c r="AA600" s="2062" t="s">
        <v>2586</v>
      </c>
      <c r="AB600" s="2063"/>
      <c r="AC600" s="2063"/>
      <c r="AD600" s="2063"/>
      <c r="AE600" s="2063"/>
      <c r="AF600" s="2063"/>
      <c r="AG600" s="2063"/>
      <c r="AH600" s="2063"/>
      <c r="AI600" s="2063"/>
      <c r="AJ600" s="2063"/>
      <c r="AK600" s="206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69" t="s">
        <v>580</v>
      </c>
      <c r="O601" s="2069"/>
      <c r="T601" s="35"/>
      <c r="U601" s="12" t="s">
        <v>20</v>
      </c>
      <c r="AG601" s="2136" t="s">
        <v>580</v>
      </c>
      <c r="AH601" s="2069"/>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489</v>
      </c>
      <c r="B603" s="12" t="s">
        <v>498</v>
      </c>
      <c r="G603" s="2173" t="str">
        <f>C570</f>
        <v>FHLB SF AHP</v>
      </c>
      <c r="H603" s="2173"/>
      <c r="I603" s="2173"/>
      <c r="J603" s="2173"/>
      <c r="K603" s="2173"/>
      <c r="L603" s="2173"/>
      <c r="M603" s="2173"/>
      <c r="N603" s="2173"/>
      <c r="O603" s="2173"/>
      <c r="P603" s="2173"/>
      <c r="Q603" s="2173"/>
      <c r="R603" s="2173"/>
      <c r="T603" s="87" t="s">
        <v>490</v>
      </c>
      <c r="U603" s="12" t="s">
        <v>498</v>
      </c>
      <c r="Z603" s="2173">
        <f>C571</f>
        <v>0</v>
      </c>
      <c r="AA603" s="2173"/>
      <c r="AB603" s="2173"/>
      <c r="AC603" s="2173"/>
      <c r="AD603" s="2173"/>
      <c r="AE603" s="2173"/>
      <c r="AF603" s="2173"/>
      <c r="AG603" s="2173"/>
      <c r="AH603" s="2173"/>
      <c r="AI603" s="2173"/>
      <c r="AJ603" s="2173"/>
      <c r="AK603" s="217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62" t="s">
        <v>2577</v>
      </c>
      <c r="H604" s="2063"/>
      <c r="I604" s="2063"/>
      <c r="J604" s="2063"/>
      <c r="K604" s="2063"/>
      <c r="L604" s="2063"/>
      <c r="M604" s="2063"/>
      <c r="N604" s="2063"/>
      <c r="O604" s="2063"/>
      <c r="P604" s="2063"/>
      <c r="Q604" s="2063"/>
      <c r="R604" s="2063"/>
      <c r="T604" s="35"/>
      <c r="U604" s="12" t="s">
        <v>90</v>
      </c>
      <c r="Z604" s="1851"/>
      <c r="AA604" s="1845"/>
      <c r="AB604" s="1845"/>
      <c r="AC604" s="1845"/>
      <c r="AD604" s="1845"/>
      <c r="AE604" s="1845"/>
      <c r="AF604" s="1845"/>
      <c r="AG604" s="1845"/>
      <c r="AH604" s="1845"/>
      <c r="AI604" s="1845"/>
      <c r="AJ604" s="1845"/>
      <c r="AK604" s="184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62" t="s">
        <v>775</v>
      </c>
      <c r="H605" s="2063"/>
      <c r="I605" s="2063"/>
      <c r="J605" s="2063"/>
      <c r="K605" s="2063"/>
      <c r="L605" s="2063"/>
      <c r="M605" s="2063"/>
      <c r="N605" s="2063"/>
      <c r="O605" s="2063"/>
      <c r="P605" s="2063"/>
      <c r="Q605" s="2063"/>
      <c r="R605" s="2063"/>
      <c r="T605" s="35"/>
      <c r="U605" s="12" t="s">
        <v>617</v>
      </c>
      <c r="Z605" s="1850"/>
      <c r="AA605" s="1846"/>
      <c r="AB605" s="1846"/>
      <c r="AC605" s="1846"/>
      <c r="AD605" s="1846"/>
      <c r="AE605" s="1846"/>
      <c r="AF605" s="1846"/>
      <c r="AG605" s="1846"/>
      <c r="AH605" s="1846"/>
      <c r="AI605" s="1846"/>
      <c r="AJ605" s="1846"/>
      <c r="AK605" s="184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62" t="s">
        <v>2578</v>
      </c>
      <c r="H606" s="2063"/>
      <c r="I606" s="2063"/>
      <c r="J606" s="2063"/>
      <c r="K606" s="2063"/>
      <c r="L606" s="2063"/>
      <c r="M606" s="2063"/>
      <c r="N606" s="2063"/>
      <c r="O606" s="2063"/>
      <c r="P606" s="2063"/>
      <c r="Q606" s="2063"/>
      <c r="R606" s="2063"/>
      <c r="T606" s="35"/>
      <c r="U606" s="12" t="s">
        <v>17</v>
      </c>
      <c r="Z606" s="1850"/>
      <c r="AA606" s="1846"/>
      <c r="AB606" s="1846"/>
      <c r="AC606" s="1846"/>
      <c r="AD606" s="1846"/>
      <c r="AE606" s="1846"/>
      <c r="AF606" s="1846"/>
      <c r="AG606" s="1846"/>
      <c r="AH606" s="1846"/>
      <c r="AI606" s="1846"/>
      <c r="AJ606" s="1846"/>
      <c r="AK606" s="184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181" t="s">
        <v>2579</v>
      </c>
      <c r="H607" s="2087"/>
      <c r="I607" s="2087"/>
      <c r="J607" s="2087"/>
      <c r="K607" s="2087"/>
      <c r="L607" s="2087"/>
      <c r="M607" s="12"/>
      <c r="N607" s="12"/>
      <c r="O607" s="137" t="s">
        <v>212</v>
      </c>
      <c r="P607" s="2172"/>
      <c r="Q607" s="2172"/>
      <c r="R607" s="2172"/>
      <c r="S607" s="12"/>
      <c r="T607" s="35"/>
      <c r="U607" s="12" t="s">
        <v>327</v>
      </c>
      <c r="V607" s="12"/>
      <c r="W607" s="12"/>
      <c r="X607" s="12"/>
      <c r="Y607" s="12"/>
      <c r="Z607" s="2181"/>
      <c r="AA607" s="2087"/>
      <c r="AB607" s="2087"/>
      <c r="AC607" s="2087"/>
      <c r="AD607" s="2087"/>
      <c r="AE607" s="2087"/>
      <c r="AF607" s="12"/>
      <c r="AG607" s="12"/>
      <c r="AH607" s="137" t="s">
        <v>212</v>
      </c>
      <c r="AI607" s="2172"/>
      <c r="AJ607" s="2172"/>
      <c r="AK607" s="217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62" t="s">
        <v>2573</v>
      </c>
      <c r="I608" s="2063"/>
      <c r="J608" s="2063"/>
      <c r="K608" s="2063"/>
      <c r="L608" s="2063"/>
      <c r="M608" s="2063"/>
      <c r="N608" s="2063"/>
      <c r="O608" s="2063"/>
      <c r="P608" s="2063"/>
      <c r="Q608" s="2063"/>
      <c r="R608" s="2063"/>
      <c r="S608" s="12"/>
      <c r="T608" s="35"/>
      <c r="U608" s="12" t="s">
        <v>18</v>
      </c>
      <c r="V608" s="12"/>
      <c r="W608" s="12"/>
      <c r="X608" s="12"/>
      <c r="Y608" s="12"/>
      <c r="Z608" s="12"/>
      <c r="AA608" s="2062"/>
      <c r="AB608" s="2063"/>
      <c r="AC608" s="2063"/>
      <c r="AD608" s="2063"/>
      <c r="AE608" s="2063"/>
      <c r="AF608" s="2063"/>
      <c r="AG608" s="2063"/>
      <c r="AH608" s="2063"/>
      <c r="AI608" s="2063"/>
      <c r="AJ608" s="2063"/>
      <c r="AK608" s="206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136" t="s">
        <v>580</v>
      </c>
      <c r="O609" s="2069"/>
      <c r="P609" s="12"/>
      <c r="Q609" s="12"/>
      <c r="R609" s="12"/>
      <c r="S609" s="12"/>
      <c r="T609" s="35"/>
      <c r="U609" s="12" t="s">
        <v>20</v>
      </c>
      <c r="V609" s="12"/>
      <c r="W609" s="12"/>
      <c r="X609" s="12"/>
      <c r="Y609" s="12"/>
      <c r="Z609" s="12"/>
      <c r="AA609" s="12"/>
      <c r="AB609" s="12"/>
      <c r="AC609" s="12"/>
      <c r="AD609" s="12"/>
      <c r="AE609" s="12"/>
      <c r="AF609" s="12"/>
      <c r="AG609" s="2136"/>
      <c r="AH609" s="2069"/>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214"/>
      <c r="BH609" s="2215"/>
      <c r="BI609" s="185" t="s">
        <v>510</v>
      </c>
      <c r="BJ609" s="186"/>
      <c r="BK609" s="2214"/>
      <c r="BL609" s="2215"/>
      <c r="BM609" s="58"/>
      <c r="BN609" s="2431" t="s">
        <v>670</v>
      </c>
      <c r="BO609" s="2432"/>
      <c r="BP609" s="2432"/>
      <c r="BQ609" s="2432"/>
      <c r="BR609" s="2433"/>
      <c r="BS609" s="2218" t="s">
        <v>336</v>
      </c>
      <c r="BT609" s="2218"/>
      <c r="BU609" s="2218"/>
      <c r="BV609" s="2218"/>
      <c r="BW609" s="2218"/>
      <c r="BX609" s="2218" t="s">
        <v>168</v>
      </c>
      <c r="BY609" s="2218"/>
      <c r="BZ609" s="2218"/>
      <c r="CA609" s="2218"/>
      <c r="CB609" s="2218"/>
      <c r="CC609" s="2218" t="s">
        <v>169</v>
      </c>
      <c r="CD609" s="2218"/>
      <c r="CE609" s="2218"/>
      <c r="CF609" s="2218"/>
      <c r="CG609" s="2218"/>
      <c r="CH609" s="2218" t="s">
        <v>495</v>
      </c>
      <c r="CI609" s="2218"/>
      <c r="CJ609" s="2218"/>
      <c r="CK609" s="2218"/>
      <c r="CL609" s="2218"/>
      <c r="CM609" s="2218" t="s">
        <v>31</v>
      </c>
      <c r="CN609" s="2218"/>
      <c r="CO609" s="2218"/>
      <c r="CP609" s="2218"/>
      <c r="CQ609" s="2218"/>
      <c r="CR609" s="1822"/>
      <c r="CS609" s="2218" t="s">
        <v>670</v>
      </c>
      <c r="CT609" s="2218"/>
      <c r="CU609" s="2218"/>
      <c r="CV609" s="2218"/>
      <c r="CW609" s="2218"/>
      <c r="CX609" s="2218" t="s">
        <v>336</v>
      </c>
      <c r="CY609" s="2218"/>
      <c r="CZ609" s="2218"/>
      <c r="DA609" s="2218"/>
      <c r="DB609" s="2218"/>
      <c r="DC609" s="2218" t="s">
        <v>168</v>
      </c>
      <c r="DD609" s="2218"/>
      <c r="DE609" s="2218"/>
      <c r="DF609" s="2218"/>
      <c r="DG609" s="2218"/>
      <c r="DH609" s="2218" t="s">
        <v>169</v>
      </c>
      <c r="DI609" s="2218"/>
      <c r="DJ609" s="2218"/>
      <c r="DK609" s="2218"/>
      <c r="DL609" s="2218"/>
      <c r="DM609" s="2218" t="s">
        <v>495</v>
      </c>
      <c r="DN609" s="2218"/>
      <c r="DO609" s="2218"/>
      <c r="DP609" s="2218"/>
      <c r="DQ609" s="2218"/>
      <c r="DR609" s="2218" t="s">
        <v>31</v>
      </c>
      <c r="DS609" s="2218"/>
      <c r="DT609" s="2218"/>
      <c r="DU609" s="2218"/>
      <c r="DV609" s="2218"/>
      <c r="DX609" s="2218" t="s">
        <v>670</v>
      </c>
      <c r="DY609" s="2218"/>
      <c r="DZ609" s="2218"/>
      <c r="EA609" s="2218"/>
      <c r="EB609" s="2218"/>
      <c r="EC609" s="2218" t="s">
        <v>336</v>
      </c>
      <c r="ED609" s="2218"/>
      <c r="EE609" s="2218"/>
      <c r="EF609" s="2218"/>
      <c r="EG609" s="2218"/>
      <c r="EH609" s="2218" t="s">
        <v>168</v>
      </c>
      <c r="EI609" s="2218"/>
      <c r="EJ609" s="2218"/>
      <c r="EK609" s="2218"/>
      <c r="EL609" s="2218"/>
      <c r="EM609" s="2218" t="s">
        <v>169</v>
      </c>
      <c r="EN609" s="2218"/>
      <c r="EO609" s="2218"/>
      <c r="EP609" s="2218"/>
      <c r="EQ609" s="2218"/>
      <c r="ER609" s="2218" t="s">
        <v>495</v>
      </c>
      <c r="ES609" s="2218"/>
      <c r="ET609" s="2218"/>
      <c r="EU609" s="2218"/>
      <c r="EV609" s="2218"/>
      <c r="EW609" s="2218" t="s">
        <v>31</v>
      </c>
      <c r="EX609" s="2218"/>
      <c r="EY609" s="2218"/>
      <c r="EZ609" s="2218"/>
      <c r="FA609" s="2218"/>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52">
        <f t="shared" ref="BE610:BE634" si="0">IF(AND(AH728&lt;=0.5,AH728&gt;=0.36),1,0)</f>
        <v>0</v>
      </c>
      <c r="BF610" s="2053"/>
      <c r="BG610" s="2214">
        <f t="shared" ref="BG610:BG634" si="1">IF(BE610=1,G728,0)</f>
        <v>0</v>
      </c>
      <c r="BH610" s="2215"/>
      <c r="BI610" s="2052">
        <f t="shared" ref="BI610:BI634" si="2">IF(AND(AH728&lt;=0.35,AH728&gt;0),1,0)</f>
        <v>1</v>
      </c>
      <c r="BJ610" s="2053"/>
      <c r="BK610" s="2214">
        <f t="shared" ref="BK610:BK634" si="3">IF(BI610=1,G728,0)</f>
        <v>14</v>
      </c>
      <c r="BL610" s="2215"/>
      <c r="BM610" s="58"/>
      <c r="BN610" s="2028">
        <f t="shared" ref="BN610:BN634" si="4">IF(B728="SRO/Studio",G728,0)</f>
        <v>14</v>
      </c>
      <c r="BO610" s="2029"/>
      <c r="BP610" s="2029"/>
      <c r="BQ610" s="2029"/>
      <c r="BR610" s="2030"/>
      <c r="BS610" s="2027">
        <f t="shared" ref="BS610:BS634" si="5">IF(B728="1 Bedroom",G728,0)</f>
        <v>0</v>
      </c>
      <c r="BT610" s="2027"/>
      <c r="BU610" s="2027"/>
      <c r="BV610" s="2027"/>
      <c r="BW610" s="2027"/>
      <c r="BX610" s="2027">
        <f t="shared" ref="BX610:BX634" si="6">IF(B728="2 Bedrooms",G728,0)</f>
        <v>0</v>
      </c>
      <c r="BY610" s="2027"/>
      <c r="BZ610" s="2027"/>
      <c r="CA610" s="2027"/>
      <c r="CB610" s="2027"/>
      <c r="CC610" s="2027">
        <f t="shared" ref="CC610:CC634" si="7">IF(B728="3 Bedrooms",G728,0)</f>
        <v>0</v>
      </c>
      <c r="CD610" s="2027"/>
      <c r="CE610" s="2027"/>
      <c r="CF610" s="2027"/>
      <c r="CG610" s="2027"/>
      <c r="CH610" s="2027">
        <f t="shared" ref="CH610:CH634" si="8">IF(B728="4 Bedrooms",G728,0)</f>
        <v>0</v>
      </c>
      <c r="CI610" s="2027"/>
      <c r="CJ610" s="2027"/>
      <c r="CK610" s="2027"/>
      <c r="CL610" s="2027"/>
      <c r="CM610" s="2027">
        <f t="shared" ref="CM610:CM634" si="9">IF(B728="5 Bedrooms",G728,0)</f>
        <v>0</v>
      </c>
      <c r="CN610" s="2027"/>
      <c r="CO610" s="2027"/>
      <c r="CP610" s="2027"/>
      <c r="CQ610" s="2027"/>
      <c r="CR610" s="265"/>
      <c r="CS610" s="2394">
        <f t="shared" ref="CS610:CS634" si="10">IF(AND(B728="SRO/Studio",AH728&lt;=0.3),G728,0)</f>
        <v>14</v>
      </c>
      <c r="CT610" s="2394"/>
      <c r="CU610" s="2394"/>
      <c r="CV610" s="2394"/>
      <c r="CW610" s="2394"/>
      <c r="CX610" s="2394">
        <f t="shared" ref="CX610:CX634" si="11">IF(AND(B728="1 Bedroom",AH728&lt;=0.3),G728,0)</f>
        <v>0</v>
      </c>
      <c r="CY610" s="2394"/>
      <c r="CZ610" s="2394"/>
      <c r="DA610" s="2394"/>
      <c r="DB610" s="2394"/>
      <c r="DC610" s="2394">
        <f t="shared" ref="DC610:DC634" si="12">IF(AND(B728="2 Bedrooms",AH728&lt;=0.3),G728,0)</f>
        <v>0</v>
      </c>
      <c r="DD610" s="2394"/>
      <c r="DE610" s="2394"/>
      <c r="DF610" s="2394"/>
      <c r="DG610" s="2394"/>
      <c r="DH610" s="2394">
        <f t="shared" ref="DH610:DH634" si="13">IF(AND(B728="3 Bedrooms",AH728&lt;=0.3),G728,0)</f>
        <v>0</v>
      </c>
      <c r="DI610" s="2394"/>
      <c r="DJ610" s="2394"/>
      <c r="DK610" s="2394"/>
      <c r="DL610" s="2394"/>
      <c r="DM610" s="2394">
        <f t="shared" ref="DM610:DM634" si="14">IF(AND(B728="4 Bedrooms",AH728&lt;=0.3),G728,0)</f>
        <v>0</v>
      </c>
      <c r="DN610" s="2394"/>
      <c r="DO610" s="2394"/>
      <c r="DP610" s="2394"/>
      <c r="DQ610" s="2394"/>
      <c r="DR610" s="2394">
        <f t="shared" ref="DR610:DR634" si="15">IF(AND(B728="5 Bedrooms",AH728&lt;=0.3),G728,0)</f>
        <v>0</v>
      </c>
      <c r="DS610" s="2394"/>
      <c r="DT610" s="2394"/>
      <c r="DU610" s="2394"/>
      <c r="DV610" s="2394"/>
      <c r="DX610" s="2052">
        <f t="shared" ref="DX610:DX634" si="16">IF(BN610&gt;0,O728," ")</f>
        <v>708</v>
      </c>
      <c r="DY610" s="2216"/>
      <c r="DZ610" s="2216"/>
      <c r="EA610" s="2216"/>
      <c r="EB610" s="2053"/>
      <c r="EC610" s="2052" t="str">
        <f t="shared" ref="EC610:EC634" si="17">IF(BS610&gt;0,O728," ")</f>
        <v xml:space="preserve"> </v>
      </c>
      <c r="ED610" s="2216"/>
      <c r="EE610" s="2216"/>
      <c r="EF610" s="2216"/>
      <c r="EG610" s="2053"/>
      <c r="EH610" s="2052" t="str">
        <f t="shared" ref="EH610:EH634" si="18">IF(BX610&gt;0,O728," ")</f>
        <v xml:space="preserve"> </v>
      </c>
      <c r="EI610" s="2216"/>
      <c r="EJ610" s="2216"/>
      <c r="EK610" s="2216"/>
      <c r="EL610" s="2053"/>
      <c r="EM610" s="2052" t="str">
        <f t="shared" ref="EM610:EM634" si="19">IF(CC610&gt;0,O728," ")</f>
        <v xml:space="preserve"> </v>
      </c>
      <c r="EN610" s="2216"/>
      <c r="EO610" s="2216"/>
      <c r="EP610" s="2216"/>
      <c r="EQ610" s="2053"/>
      <c r="ER610" s="2052" t="str">
        <f t="shared" ref="ER610:ER634" si="20">IF(CH610&gt;0,O728," ")</f>
        <v xml:space="preserve"> </v>
      </c>
      <c r="ES610" s="2216"/>
      <c r="ET610" s="2216"/>
      <c r="EU610" s="2216"/>
      <c r="EV610" s="2053"/>
      <c r="EW610" s="2052" t="str">
        <f t="shared" ref="EW610:EW634" si="21">IF(CM610&gt;0,O728," ")</f>
        <v xml:space="preserve"> </v>
      </c>
      <c r="EX610" s="2216"/>
      <c r="EY610" s="2216"/>
      <c r="EZ610" s="2216"/>
      <c r="FA610" s="2053"/>
    </row>
    <row r="611" spans="1:157" s="7" customFormat="1" ht="12.5">
      <c r="A611" s="87" t="s">
        <v>496</v>
      </c>
      <c r="B611" s="12" t="s">
        <v>498</v>
      </c>
      <c r="C611" s="12"/>
      <c r="D611" s="12"/>
      <c r="E611" s="12"/>
      <c r="F611" s="12"/>
      <c r="G611" s="2173" t="str">
        <f>C572</f>
        <v>General Partner Equity</v>
      </c>
      <c r="H611" s="2173"/>
      <c r="I611" s="2173"/>
      <c r="J611" s="2173"/>
      <c r="K611" s="2173"/>
      <c r="L611" s="2173"/>
      <c r="M611" s="2173"/>
      <c r="N611" s="2173"/>
      <c r="O611" s="2173"/>
      <c r="P611" s="2173"/>
      <c r="Q611" s="2173"/>
      <c r="R611" s="2173"/>
      <c r="S611" s="12"/>
      <c r="T611" s="87" t="s">
        <v>683</v>
      </c>
      <c r="U611" s="12" t="s">
        <v>498</v>
      </c>
      <c r="V611" s="12"/>
      <c r="W611" s="12"/>
      <c r="X611" s="12"/>
      <c r="Y611" s="12"/>
      <c r="Z611" s="2173" t="str">
        <f>C573</f>
        <v>Limited Partner Equity</v>
      </c>
      <c r="AA611" s="2173"/>
      <c r="AB611" s="2173"/>
      <c r="AC611" s="2173"/>
      <c r="AD611" s="2173"/>
      <c r="AE611" s="2173"/>
      <c r="AF611" s="2173"/>
      <c r="AG611" s="2173"/>
      <c r="AH611" s="2173"/>
      <c r="AI611" s="2173"/>
      <c r="AJ611" s="2173"/>
      <c r="AK611" s="2173"/>
      <c r="AL611" s="12"/>
      <c r="AM611" s="39"/>
      <c r="AN611" s="39"/>
      <c r="AO611" s="39"/>
      <c r="AP611" s="39"/>
      <c r="AQ611" s="39"/>
      <c r="AR611" s="39"/>
      <c r="AS611" s="39"/>
      <c r="AT611" s="39"/>
      <c r="AU611" s="39"/>
      <c r="AV611" s="39"/>
      <c r="AW611" s="39"/>
      <c r="AX611" s="39"/>
      <c r="AY611" s="39"/>
      <c r="BA611" s="7" t="s">
        <v>168</v>
      </c>
      <c r="BB611" s="58"/>
      <c r="BC611" s="58"/>
      <c r="BD611" s="58"/>
      <c r="BE611" s="2052">
        <f t="shared" si="0"/>
        <v>0</v>
      </c>
      <c r="BF611" s="2053"/>
      <c r="BG611" s="2214">
        <f t="shared" si="1"/>
        <v>0</v>
      </c>
      <c r="BH611" s="2215"/>
      <c r="BI611" s="2052">
        <f t="shared" si="2"/>
        <v>1</v>
      </c>
      <c r="BJ611" s="2053"/>
      <c r="BK611" s="2214">
        <f t="shared" si="3"/>
        <v>7</v>
      </c>
      <c r="BL611" s="2215"/>
      <c r="BM611" s="58"/>
      <c r="BN611" s="2028">
        <f t="shared" si="4"/>
        <v>0</v>
      </c>
      <c r="BO611" s="2029"/>
      <c r="BP611" s="2029"/>
      <c r="BQ611" s="2029"/>
      <c r="BR611" s="2030"/>
      <c r="BS611" s="2027">
        <f t="shared" si="5"/>
        <v>7</v>
      </c>
      <c r="BT611" s="2027"/>
      <c r="BU611" s="2027"/>
      <c r="BV611" s="2027"/>
      <c r="BW611" s="2027"/>
      <c r="BX611" s="2027">
        <f t="shared" si="6"/>
        <v>0</v>
      </c>
      <c r="BY611" s="2027"/>
      <c r="BZ611" s="2027"/>
      <c r="CA611" s="2027"/>
      <c r="CB611" s="2027"/>
      <c r="CC611" s="2027">
        <f t="shared" si="7"/>
        <v>0</v>
      </c>
      <c r="CD611" s="2027"/>
      <c r="CE611" s="2027"/>
      <c r="CF611" s="2027"/>
      <c r="CG611" s="2027"/>
      <c r="CH611" s="2027">
        <f t="shared" si="8"/>
        <v>0</v>
      </c>
      <c r="CI611" s="2027"/>
      <c r="CJ611" s="2027"/>
      <c r="CK611" s="2027"/>
      <c r="CL611" s="2027"/>
      <c r="CM611" s="2027">
        <f t="shared" si="9"/>
        <v>0</v>
      </c>
      <c r="CN611" s="2027"/>
      <c r="CO611" s="2027"/>
      <c r="CP611" s="2027"/>
      <c r="CQ611" s="2027"/>
      <c r="CR611" s="265"/>
      <c r="CS611" s="2394">
        <f t="shared" si="10"/>
        <v>0</v>
      </c>
      <c r="CT611" s="2394"/>
      <c r="CU611" s="2394"/>
      <c r="CV611" s="2394"/>
      <c r="CW611" s="2394"/>
      <c r="CX611" s="2394">
        <f t="shared" si="11"/>
        <v>7</v>
      </c>
      <c r="CY611" s="2394"/>
      <c r="CZ611" s="2394"/>
      <c r="DA611" s="2394"/>
      <c r="DB611" s="2394"/>
      <c r="DC611" s="2394">
        <f t="shared" si="12"/>
        <v>0</v>
      </c>
      <c r="DD611" s="2394"/>
      <c r="DE611" s="2394"/>
      <c r="DF611" s="2394"/>
      <c r="DG611" s="2394"/>
      <c r="DH611" s="2394">
        <f t="shared" si="13"/>
        <v>0</v>
      </c>
      <c r="DI611" s="2394"/>
      <c r="DJ611" s="2394"/>
      <c r="DK611" s="2394"/>
      <c r="DL611" s="2394"/>
      <c r="DM611" s="2394">
        <f t="shared" si="14"/>
        <v>0</v>
      </c>
      <c r="DN611" s="2394"/>
      <c r="DO611" s="2394"/>
      <c r="DP611" s="2394"/>
      <c r="DQ611" s="2394"/>
      <c r="DR611" s="2394">
        <f t="shared" si="15"/>
        <v>0</v>
      </c>
      <c r="DS611" s="2394"/>
      <c r="DT611" s="2394"/>
      <c r="DU611" s="2394"/>
      <c r="DV611" s="2394"/>
      <c r="DX611" s="2052" t="str">
        <f t="shared" si="16"/>
        <v xml:space="preserve"> </v>
      </c>
      <c r="DY611" s="2216"/>
      <c r="DZ611" s="2216"/>
      <c r="EA611" s="2216"/>
      <c r="EB611" s="2053"/>
      <c r="EC611" s="2052">
        <f t="shared" si="17"/>
        <v>808</v>
      </c>
      <c r="ED611" s="2216"/>
      <c r="EE611" s="2216"/>
      <c r="EF611" s="2216"/>
      <c r="EG611" s="2053"/>
      <c r="EH611" s="2052" t="str">
        <f t="shared" si="18"/>
        <v xml:space="preserve"> </v>
      </c>
      <c r="EI611" s="2216"/>
      <c r="EJ611" s="2216"/>
      <c r="EK611" s="2216"/>
      <c r="EL611" s="2053"/>
      <c r="EM611" s="2052" t="str">
        <f t="shared" si="19"/>
        <v xml:space="preserve"> </v>
      </c>
      <c r="EN611" s="2216"/>
      <c r="EO611" s="2216"/>
      <c r="EP611" s="2216"/>
      <c r="EQ611" s="2053"/>
      <c r="ER611" s="2052" t="str">
        <f t="shared" si="20"/>
        <v xml:space="preserve"> </v>
      </c>
      <c r="ES611" s="2216"/>
      <c r="ET611" s="2216"/>
      <c r="EU611" s="2216"/>
      <c r="EV611" s="2053"/>
      <c r="EW611" s="2052" t="str">
        <f t="shared" si="21"/>
        <v xml:space="preserve"> </v>
      </c>
      <c r="EX611" s="2216"/>
      <c r="EY611" s="2216"/>
      <c r="EZ611" s="2216"/>
      <c r="FA611" s="2053"/>
    </row>
    <row r="612" spans="1:157" ht="12.5">
      <c r="A612" s="35"/>
      <c r="B612" s="12" t="s">
        <v>90</v>
      </c>
      <c r="G612" s="2063" t="s">
        <v>2591</v>
      </c>
      <c r="H612" s="2063"/>
      <c r="I612" s="2063"/>
      <c r="J612" s="2063"/>
      <c r="K612" s="2063"/>
      <c r="L612" s="2063"/>
      <c r="M612" s="2063"/>
      <c r="N612" s="2063"/>
      <c r="O612" s="2063"/>
      <c r="P612" s="2063"/>
      <c r="Q612" s="2063"/>
      <c r="R612" s="2063"/>
      <c r="T612" s="35"/>
      <c r="U612" s="12" t="s">
        <v>90</v>
      </c>
      <c r="Z612" s="2062" t="s">
        <v>2522</v>
      </c>
      <c r="AA612" s="2063"/>
      <c r="AB612" s="2063"/>
      <c r="AC612" s="2063"/>
      <c r="AD612" s="2063"/>
      <c r="AE612" s="2063"/>
      <c r="AF612" s="2063"/>
      <c r="AG612" s="2063"/>
      <c r="AH612" s="2063"/>
      <c r="AI612" s="2063"/>
      <c r="AJ612" s="2063"/>
      <c r="AK612" s="2063"/>
      <c r="BA612" s="7" t="s">
        <v>169</v>
      </c>
      <c r="BB612" s="58"/>
      <c r="BC612" s="58"/>
      <c r="BD612" s="58"/>
      <c r="BE612" s="2052">
        <f t="shared" si="0"/>
        <v>0</v>
      </c>
      <c r="BF612" s="2053"/>
      <c r="BG612" s="2214">
        <f t="shared" si="1"/>
        <v>0</v>
      </c>
      <c r="BH612" s="2215"/>
      <c r="BI612" s="2052">
        <f t="shared" si="2"/>
        <v>1</v>
      </c>
      <c r="BJ612" s="2053"/>
      <c r="BK612" s="2214">
        <f t="shared" si="3"/>
        <v>17</v>
      </c>
      <c r="BL612" s="2215"/>
      <c r="BM612" s="58"/>
      <c r="BN612" s="2028">
        <f t="shared" si="4"/>
        <v>0</v>
      </c>
      <c r="BO612" s="2029"/>
      <c r="BP612" s="2029"/>
      <c r="BQ612" s="2029"/>
      <c r="BR612" s="2030"/>
      <c r="BS612" s="2027">
        <f t="shared" si="5"/>
        <v>0</v>
      </c>
      <c r="BT612" s="2027"/>
      <c r="BU612" s="2027"/>
      <c r="BV612" s="2027"/>
      <c r="BW612" s="2027"/>
      <c r="BX612" s="2027">
        <f t="shared" si="6"/>
        <v>17</v>
      </c>
      <c r="BY612" s="2027"/>
      <c r="BZ612" s="2027"/>
      <c r="CA612" s="2027"/>
      <c r="CB612" s="2027"/>
      <c r="CC612" s="2027">
        <f t="shared" si="7"/>
        <v>0</v>
      </c>
      <c r="CD612" s="2027"/>
      <c r="CE612" s="2027"/>
      <c r="CF612" s="2027"/>
      <c r="CG612" s="2027"/>
      <c r="CH612" s="2027">
        <f t="shared" si="8"/>
        <v>0</v>
      </c>
      <c r="CI612" s="2027"/>
      <c r="CJ612" s="2027"/>
      <c r="CK612" s="2027"/>
      <c r="CL612" s="2027"/>
      <c r="CM612" s="2027">
        <f t="shared" si="9"/>
        <v>0</v>
      </c>
      <c r="CN612" s="2027"/>
      <c r="CO612" s="2027"/>
      <c r="CP612" s="2027"/>
      <c r="CQ612" s="2027"/>
      <c r="CR612" s="265"/>
      <c r="CS612" s="2394">
        <f t="shared" si="10"/>
        <v>0</v>
      </c>
      <c r="CT612" s="2394"/>
      <c r="CU612" s="2394"/>
      <c r="CV612" s="2394"/>
      <c r="CW612" s="2394"/>
      <c r="CX612" s="2394">
        <f t="shared" si="11"/>
        <v>0</v>
      </c>
      <c r="CY612" s="2394"/>
      <c r="CZ612" s="2394"/>
      <c r="DA612" s="2394"/>
      <c r="DB612" s="2394"/>
      <c r="DC612" s="2394">
        <f t="shared" si="12"/>
        <v>17</v>
      </c>
      <c r="DD612" s="2394"/>
      <c r="DE612" s="2394"/>
      <c r="DF612" s="2394"/>
      <c r="DG612" s="2394"/>
      <c r="DH612" s="2394">
        <f t="shared" si="13"/>
        <v>0</v>
      </c>
      <c r="DI612" s="2394"/>
      <c r="DJ612" s="2394"/>
      <c r="DK612" s="2394"/>
      <c r="DL612" s="2394"/>
      <c r="DM612" s="2394">
        <f t="shared" si="14"/>
        <v>0</v>
      </c>
      <c r="DN612" s="2394"/>
      <c r="DO612" s="2394"/>
      <c r="DP612" s="2394"/>
      <c r="DQ612" s="2394"/>
      <c r="DR612" s="2394">
        <f t="shared" si="15"/>
        <v>0</v>
      </c>
      <c r="DS612" s="2394"/>
      <c r="DT612" s="2394"/>
      <c r="DU612" s="2394"/>
      <c r="DV612" s="2394"/>
      <c r="DX612" s="2052" t="str">
        <f t="shared" si="16"/>
        <v xml:space="preserve"> </v>
      </c>
      <c r="DY612" s="2216"/>
      <c r="DZ612" s="2216"/>
      <c r="EA612" s="2216"/>
      <c r="EB612" s="2053"/>
      <c r="EC612" s="2052" t="str">
        <f t="shared" si="17"/>
        <v xml:space="preserve"> </v>
      </c>
      <c r="ED612" s="2216"/>
      <c r="EE612" s="2216"/>
      <c r="EF612" s="2216"/>
      <c r="EG612" s="2053"/>
      <c r="EH612" s="2052">
        <f t="shared" si="18"/>
        <v>899</v>
      </c>
      <c r="EI612" s="2216"/>
      <c r="EJ612" s="2216"/>
      <c r="EK612" s="2216"/>
      <c r="EL612" s="2053"/>
      <c r="EM612" s="2052" t="str">
        <f t="shared" si="19"/>
        <v xml:space="preserve"> </v>
      </c>
      <c r="EN612" s="2216"/>
      <c r="EO612" s="2216"/>
      <c r="EP612" s="2216"/>
      <c r="EQ612" s="2053"/>
      <c r="ER612" s="2052" t="str">
        <f t="shared" si="20"/>
        <v xml:space="preserve"> </v>
      </c>
      <c r="ES612" s="2216"/>
      <c r="ET612" s="2216"/>
      <c r="EU612" s="2216"/>
      <c r="EV612" s="2053"/>
      <c r="EW612" s="2052" t="str">
        <f t="shared" si="21"/>
        <v xml:space="preserve"> </v>
      </c>
      <c r="EX612" s="2216"/>
      <c r="EY612" s="2216"/>
      <c r="EZ612" s="2216"/>
      <c r="FA612" s="2053"/>
    </row>
    <row r="613" spans="1:157" ht="12.5">
      <c r="A613" s="35"/>
      <c r="B613" s="12" t="s">
        <v>617</v>
      </c>
      <c r="G613" s="2063" t="s">
        <v>2469</v>
      </c>
      <c r="H613" s="2063"/>
      <c r="I613" s="2063"/>
      <c r="J613" s="2063"/>
      <c r="K613" s="2063"/>
      <c r="L613" s="2063"/>
      <c r="M613" s="2063"/>
      <c r="N613" s="2063"/>
      <c r="O613" s="2063"/>
      <c r="P613" s="2063"/>
      <c r="Q613" s="2063"/>
      <c r="R613" s="2063"/>
      <c r="T613" s="35"/>
      <c r="U613" s="12" t="s">
        <v>617</v>
      </c>
      <c r="Z613" s="2110"/>
      <c r="AA613" s="2110"/>
      <c r="AB613" s="2110"/>
      <c r="AC613" s="2110"/>
      <c r="AD613" s="2110"/>
      <c r="AE613" s="2110"/>
      <c r="AF613" s="2110"/>
      <c r="AG613" s="2110"/>
      <c r="AH613" s="2110"/>
      <c r="AI613" s="2110"/>
      <c r="AJ613" s="2110"/>
      <c r="AK613" s="2110"/>
      <c r="BA613" s="7" t="s">
        <v>170</v>
      </c>
      <c r="BB613" s="58"/>
      <c r="BC613" s="58"/>
      <c r="BD613" s="58"/>
      <c r="BE613" s="2052">
        <f t="shared" si="0"/>
        <v>0</v>
      </c>
      <c r="BF613" s="2053"/>
      <c r="BG613" s="2214">
        <f t="shared" si="1"/>
        <v>0</v>
      </c>
      <c r="BH613" s="2215"/>
      <c r="BI613" s="2052">
        <f t="shared" si="2"/>
        <v>1</v>
      </c>
      <c r="BJ613" s="2053"/>
      <c r="BK613" s="2214">
        <f t="shared" si="3"/>
        <v>2</v>
      </c>
      <c r="BL613" s="2215"/>
      <c r="BM613" s="58"/>
      <c r="BN613" s="2028">
        <f t="shared" si="4"/>
        <v>0</v>
      </c>
      <c r="BO613" s="2029"/>
      <c r="BP613" s="2029"/>
      <c r="BQ613" s="2029"/>
      <c r="BR613" s="2030"/>
      <c r="BS613" s="2027">
        <f t="shared" si="5"/>
        <v>0</v>
      </c>
      <c r="BT613" s="2027"/>
      <c r="BU613" s="2027"/>
      <c r="BV613" s="2027"/>
      <c r="BW613" s="2027"/>
      <c r="BX613" s="2027">
        <f t="shared" si="6"/>
        <v>0</v>
      </c>
      <c r="BY613" s="2027"/>
      <c r="BZ613" s="2027"/>
      <c r="CA613" s="2027"/>
      <c r="CB613" s="2027"/>
      <c r="CC613" s="2027">
        <f t="shared" si="7"/>
        <v>2</v>
      </c>
      <c r="CD613" s="2027"/>
      <c r="CE613" s="2027"/>
      <c r="CF613" s="2027"/>
      <c r="CG613" s="2027"/>
      <c r="CH613" s="2027">
        <f t="shared" si="8"/>
        <v>0</v>
      </c>
      <c r="CI613" s="2027"/>
      <c r="CJ613" s="2027"/>
      <c r="CK613" s="2027"/>
      <c r="CL613" s="2027"/>
      <c r="CM613" s="2027">
        <f t="shared" si="9"/>
        <v>0</v>
      </c>
      <c r="CN613" s="2027"/>
      <c r="CO613" s="2027"/>
      <c r="CP613" s="2027"/>
      <c r="CQ613" s="2027"/>
      <c r="CR613" s="265"/>
      <c r="CS613" s="2394">
        <f t="shared" si="10"/>
        <v>0</v>
      </c>
      <c r="CT613" s="2394"/>
      <c r="CU613" s="2394"/>
      <c r="CV613" s="2394"/>
      <c r="CW613" s="2394"/>
      <c r="CX613" s="2394">
        <f t="shared" si="11"/>
        <v>0</v>
      </c>
      <c r="CY613" s="2394"/>
      <c r="CZ613" s="2394"/>
      <c r="DA613" s="2394"/>
      <c r="DB613" s="2394"/>
      <c r="DC613" s="2394">
        <f t="shared" si="12"/>
        <v>0</v>
      </c>
      <c r="DD613" s="2394"/>
      <c r="DE613" s="2394"/>
      <c r="DF613" s="2394"/>
      <c r="DG613" s="2394"/>
      <c r="DH613" s="2394">
        <f t="shared" si="13"/>
        <v>2</v>
      </c>
      <c r="DI613" s="2394"/>
      <c r="DJ613" s="2394"/>
      <c r="DK613" s="2394"/>
      <c r="DL613" s="2394"/>
      <c r="DM613" s="2394">
        <f t="shared" si="14"/>
        <v>0</v>
      </c>
      <c r="DN613" s="2394"/>
      <c r="DO613" s="2394"/>
      <c r="DP613" s="2394"/>
      <c r="DQ613" s="2394"/>
      <c r="DR613" s="2394">
        <f t="shared" si="15"/>
        <v>0</v>
      </c>
      <c r="DS613" s="2394"/>
      <c r="DT613" s="2394"/>
      <c r="DU613" s="2394"/>
      <c r="DV613" s="2394"/>
      <c r="DX613" s="2052" t="str">
        <f t="shared" si="16"/>
        <v xml:space="preserve"> </v>
      </c>
      <c r="DY613" s="2216"/>
      <c r="DZ613" s="2216"/>
      <c r="EA613" s="2216"/>
      <c r="EB613" s="2053"/>
      <c r="EC613" s="2052" t="str">
        <f t="shared" si="17"/>
        <v xml:space="preserve"> </v>
      </c>
      <c r="ED613" s="2216"/>
      <c r="EE613" s="2216"/>
      <c r="EF613" s="2216"/>
      <c r="EG613" s="2053"/>
      <c r="EH613" s="2052" t="str">
        <f t="shared" si="18"/>
        <v xml:space="preserve"> </v>
      </c>
      <c r="EI613" s="2216"/>
      <c r="EJ613" s="2216"/>
      <c r="EK613" s="2216"/>
      <c r="EL613" s="2053"/>
      <c r="EM613" s="2052">
        <f t="shared" si="19"/>
        <v>990</v>
      </c>
      <c r="EN613" s="2216"/>
      <c r="EO613" s="2216"/>
      <c r="EP613" s="2216"/>
      <c r="EQ613" s="2053"/>
      <c r="ER613" s="2052" t="str">
        <f t="shared" si="20"/>
        <v xml:space="preserve"> </v>
      </c>
      <c r="ES613" s="2216"/>
      <c r="ET613" s="2216"/>
      <c r="EU613" s="2216"/>
      <c r="EV613" s="2053"/>
      <c r="EW613" s="2052" t="str">
        <f t="shared" si="21"/>
        <v xml:space="preserve"> </v>
      </c>
      <c r="EX613" s="2216"/>
      <c r="EY613" s="2216"/>
      <c r="EZ613" s="2216"/>
      <c r="FA613" s="2053"/>
    </row>
    <row r="614" spans="1:157" ht="12.5">
      <c r="A614" s="35"/>
      <c r="B614" s="12" t="s">
        <v>17</v>
      </c>
      <c r="G614" s="2063" t="s">
        <v>2467</v>
      </c>
      <c r="H614" s="2063"/>
      <c r="I614" s="2063"/>
      <c r="J614" s="2063"/>
      <c r="K614" s="2063"/>
      <c r="L614" s="2063"/>
      <c r="M614" s="2063"/>
      <c r="N614" s="2063"/>
      <c r="O614" s="2063"/>
      <c r="P614" s="2063"/>
      <c r="Q614" s="2063"/>
      <c r="R614" s="2063"/>
      <c r="T614" s="35"/>
      <c r="U614" s="12" t="s">
        <v>17</v>
      </c>
      <c r="Z614" s="2110"/>
      <c r="AA614" s="2110"/>
      <c r="AB614" s="2110"/>
      <c r="AC614" s="2110"/>
      <c r="AD614" s="2110"/>
      <c r="AE614" s="2110"/>
      <c r="AF614" s="2110"/>
      <c r="AG614" s="2110"/>
      <c r="AH614" s="2110"/>
      <c r="AI614" s="2110"/>
      <c r="AJ614" s="2110"/>
      <c r="AK614" s="2110"/>
      <c r="BA614" s="7" t="s">
        <v>31</v>
      </c>
      <c r="BB614" s="58"/>
      <c r="BC614" s="58"/>
      <c r="BD614" s="58"/>
      <c r="BE614" s="2052">
        <f t="shared" si="0"/>
        <v>0</v>
      </c>
      <c r="BF614" s="2053"/>
      <c r="BG614" s="2214">
        <f t="shared" si="1"/>
        <v>0</v>
      </c>
      <c r="BH614" s="2215"/>
      <c r="BI614" s="2052">
        <f t="shared" si="2"/>
        <v>1</v>
      </c>
      <c r="BJ614" s="2053"/>
      <c r="BK614" s="2214">
        <f t="shared" si="3"/>
        <v>4</v>
      </c>
      <c r="BL614" s="2215"/>
      <c r="BM614" s="58"/>
      <c r="BN614" s="2028">
        <f t="shared" si="4"/>
        <v>0</v>
      </c>
      <c r="BO614" s="2029"/>
      <c r="BP614" s="2029"/>
      <c r="BQ614" s="2029"/>
      <c r="BR614" s="2030"/>
      <c r="BS614" s="2027">
        <f t="shared" si="5"/>
        <v>0</v>
      </c>
      <c r="BT614" s="2027"/>
      <c r="BU614" s="2027"/>
      <c r="BV614" s="2027"/>
      <c r="BW614" s="2027"/>
      <c r="BX614" s="2027">
        <f t="shared" si="6"/>
        <v>4</v>
      </c>
      <c r="BY614" s="2027"/>
      <c r="BZ614" s="2027"/>
      <c r="CA614" s="2027"/>
      <c r="CB614" s="2027"/>
      <c r="CC614" s="2027">
        <f t="shared" si="7"/>
        <v>0</v>
      </c>
      <c r="CD614" s="2027"/>
      <c r="CE614" s="2027"/>
      <c r="CF614" s="2027"/>
      <c r="CG614" s="2027"/>
      <c r="CH614" s="2027">
        <f t="shared" si="8"/>
        <v>0</v>
      </c>
      <c r="CI614" s="2027"/>
      <c r="CJ614" s="2027"/>
      <c r="CK614" s="2027"/>
      <c r="CL614" s="2027"/>
      <c r="CM614" s="2027">
        <f t="shared" si="9"/>
        <v>0</v>
      </c>
      <c r="CN614" s="2027"/>
      <c r="CO614" s="2027"/>
      <c r="CP614" s="2027"/>
      <c r="CQ614" s="2027"/>
      <c r="CR614" s="265"/>
      <c r="CS614" s="2394">
        <f t="shared" si="10"/>
        <v>0</v>
      </c>
      <c r="CT614" s="2394"/>
      <c r="CU614" s="2394"/>
      <c r="CV614" s="2394"/>
      <c r="CW614" s="2394"/>
      <c r="CX614" s="2394">
        <f t="shared" si="11"/>
        <v>0</v>
      </c>
      <c r="CY614" s="2394"/>
      <c r="CZ614" s="2394"/>
      <c r="DA614" s="2394"/>
      <c r="DB614" s="2394"/>
      <c r="DC614" s="2394">
        <f t="shared" si="12"/>
        <v>4</v>
      </c>
      <c r="DD614" s="2394"/>
      <c r="DE614" s="2394"/>
      <c r="DF614" s="2394"/>
      <c r="DG614" s="2394"/>
      <c r="DH614" s="2394">
        <f t="shared" si="13"/>
        <v>0</v>
      </c>
      <c r="DI614" s="2394"/>
      <c r="DJ614" s="2394"/>
      <c r="DK614" s="2394"/>
      <c r="DL614" s="2394"/>
      <c r="DM614" s="2394">
        <f t="shared" si="14"/>
        <v>0</v>
      </c>
      <c r="DN614" s="2394"/>
      <c r="DO614" s="2394"/>
      <c r="DP614" s="2394"/>
      <c r="DQ614" s="2394"/>
      <c r="DR614" s="2394">
        <f t="shared" si="15"/>
        <v>0</v>
      </c>
      <c r="DS614" s="2394"/>
      <c r="DT614" s="2394"/>
      <c r="DU614" s="2394"/>
      <c r="DV614" s="2394"/>
      <c r="DX614" s="2052" t="str">
        <f t="shared" si="16"/>
        <v xml:space="preserve"> </v>
      </c>
      <c r="DY614" s="2216"/>
      <c r="DZ614" s="2216"/>
      <c r="EA614" s="2216"/>
      <c r="EB614" s="2053"/>
      <c r="EC614" s="2052" t="str">
        <f t="shared" si="17"/>
        <v xml:space="preserve"> </v>
      </c>
      <c r="ED614" s="2216"/>
      <c r="EE614" s="2216"/>
      <c r="EF614" s="2216"/>
      <c r="EG614" s="2053"/>
      <c r="EH614" s="2052">
        <f t="shared" si="18"/>
        <v>899</v>
      </c>
      <c r="EI614" s="2216"/>
      <c r="EJ614" s="2216"/>
      <c r="EK614" s="2216"/>
      <c r="EL614" s="2053"/>
      <c r="EM614" s="2052" t="str">
        <f t="shared" si="19"/>
        <v xml:space="preserve"> </v>
      </c>
      <c r="EN614" s="2216"/>
      <c r="EO614" s="2216"/>
      <c r="EP614" s="2216"/>
      <c r="EQ614" s="2053"/>
      <c r="ER614" s="2052" t="str">
        <f t="shared" si="20"/>
        <v xml:space="preserve"> </v>
      </c>
      <c r="ES614" s="2216"/>
      <c r="ET614" s="2216"/>
      <c r="EU614" s="2216"/>
      <c r="EV614" s="2053"/>
      <c r="EW614" s="2052" t="str">
        <f t="shared" si="21"/>
        <v xml:space="preserve"> </v>
      </c>
      <c r="EX614" s="2216"/>
      <c r="EY614" s="2216"/>
      <c r="EZ614" s="2216"/>
      <c r="FA614" s="2053"/>
    </row>
    <row r="615" spans="1:157" ht="12.5">
      <c r="A615" s="35"/>
      <c r="B615" s="12" t="s">
        <v>327</v>
      </c>
      <c r="G615" s="2181" t="s">
        <v>2484</v>
      </c>
      <c r="H615" s="2087"/>
      <c r="I615" s="2087"/>
      <c r="J615" s="2087"/>
      <c r="K615" s="2087"/>
      <c r="L615" s="2087"/>
      <c r="O615" s="137" t="s">
        <v>212</v>
      </c>
      <c r="P615" s="2172"/>
      <c r="Q615" s="2172"/>
      <c r="R615" s="2172"/>
      <c r="T615" s="35"/>
      <c r="U615" s="12" t="s">
        <v>327</v>
      </c>
      <c r="Z615" s="2087"/>
      <c r="AA615" s="2087"/>
      <c r="AB615" s="2087"/>
      <c r="AC615" s="2087"/>
      <c r="AD615" s="2087"/>
      <c r="AE615" s="2087"/>
      <c r="AH615" s="137" t="s">
        <v>212</v>
      </c>
      <c r="AI615" s="2172"/>
      <c r="AJ615" s="2172"/>
      <c r="AK615" s="2172"/>
      <c r="AZ615" s="58"/>
      <c r="BA615" s="58"/>
      <c r="BB615" s="58"/>
      <c r="BC615" s="58"/>
      <c r="BD615" s="58"/>
      <c r="BE615" s="2052">
        <f t="shared" si="0"/>
        <v>0</v>
      </c>
      <c r="BF615" s="2053"/>
      <c r="BG615" s="2214">
        <f t="shared" si="1"/>
        <v>0</v>
      </c>
      <c r="BH615" s="2215"/>
      <c r="BI615" s="2052">
        <f t="shared" si="2"/>
        <v>1</v>
      </c>
      <c r="BJ615" s="2053"/>
      <c r="BK615" s="2214">
        <f t="shared" si="3"/>
        <v>6</v>
      </c>
      <c r="BL615" s="2215"/>
      <c r="BM615" s="58"/>
      <c r="BN615" s="2028">
        <f t="shared" si="4"/>
        <v>0</v>
      </c>
      <c r="BO615" s="2029"/>
      <c r="BP615" s="2029"/>
      <c r="BQ615" s="2029"/>
      <c r="BR615" s="2030"/>
      <c r="BS615" s="2027">
        <f t="shared" si="5"/>
        <v>0</v>
      </c>
      <c r="BT615" s="2027"/>
      <c r="BU615" s="2027"/>
      <c r="BV615" s="2027"/>
      <c r="BW615" s="2027"/>
      <c r="BX615" s="2027">
        <f t="shared" si="6"/>
        <v>0</v>
      </c>
      <c r="BY615" s="2027"/>
      <c r="BZ615" s="2027"/>
      <c r="CA615" s="2027"/>
      <c r="CB615" s="2027"/>
      <c r="CC615" s="2027">
        <f t="shared" si="7"/>
        <v>6</v>
      </c>
      <c r="CD615" s="2027"/>
      <c r="CE615" s="2027"/>
      <c r="CF615" s="2027"/>
      <c r="CG615" s="2027"/>
      <c r="CH615" s="2027">
        <f t="shared" si="8"/>
        <v>0</v>
      </c>
      <c r="CI615" s="2027"/>
      <c r="CJ615" s="2027"/>
      <c r="CK615" s="2027"/>
      <c r="CL615" s="2027"/>
      <c r="CM615" s="2027">
        <f t="shared" si="9"/>
        <v>0</v>
      </c>
      <c r="CN615" s="2027"/>
      <c r="CO615" s="2027"/>
      <c r="CP615" s="2027"/>
      <c r="CQ615" s="2027"/>
      <c r="CR615" s="265"/>
      <c r="CS615" s="2394">
        <f t="shared" si="10"/>
        <v>0</v>
      </c>
      <c r="CT615" s="2394"/>
      <c r="CU615" s="2394"/>
      <c r="CV615" s="2394"/>
      <c r="CW615" s="2394"/>
      <c r="CX615" s="2394">
        <f t="shared" si="11"/>
        <v>0</v>
      </c>
      <c r="CY615" s="2394"/>
      <c r="CZ615" s="2394"/>
      <c r="DA615" s="2394"/>
      <c r="DB615" s="2394"/>
      <c r="DC615" s="2394">
        <f t="shared" si="12"/>
        <v>0</v>
      </c>
      <c r="DD615" s="2394"/>
      <c r="DE615" s="2394"/>
      <c r="DF615" s="2394"/>
      <c r="DG615" s="2394"/>
      <c r="DH615" s="2394">
        <f t="shared" si="13"/>
        <v>6</v>
      </c>
      <c r="DI615" s="2394"/>
      <c r="DJ615" s="2394"/>
      <c r="DK615" s="2394"/>
      <c r="DL615" s="2394"/>
      <c r="DM615" s="2394">
        <f t="shared" si="14"/>
        <v>0</v>
      </c>
      <c r="DN615" s="2394"/>
      <c r="DO615" s="2394"/>
      <c r="DP615" s="2394"/>
      <c r="DQ615" s="2394"/>
      <c r="DR615" s="2394">
        <f t="shared" si="15"/>
        <v>0</v>
      </c>
      <c r="DS615" s="2394"/>
      <c r="DT615" s="2394"/>
      <c r="DU615" s="2394"/>
      <c r="DV615" s="2394"/>
      <c r="DX615" s="2052" t="str">
        <f t="shared" si="16"/>
        <v xml:space="preserve"> </v>
      </c>
      <c r="DY615" s="2216"/>
      <c r="DZ615" s="2216"/>
      <c r="EA615" s="2216"/>
      <c r="EB615" s="2053"/>
      <c r="EC615" s="2052" t="str">
        <f t="shared" si="17"/>
        <v xml:space="preserve"> </v>
      </c>
      <c r="ED615" s="2216"/>
      <c r="EE615" s="2216"/>
      <c r="EF615" s="2216"/>
      <c r="EG615" s="2053"/>
      <c r="EH615" s="2052" t="str">
        <f t="shared" si="18"/>
        <v xml:space="preserve"> </v>
      </c>
      <c r="EI615" s="2216"/>
      <c r="EJ615" s="2216"/>
      <c r="EK615" s="2216"/>
      <c r="EL615" s="2053"/>
      <c r="EM615" s="2052">
        <f t="shared" si="19"/>
        <v>990</v>
      </c>
      <c r="EN615" s="2216"/>
      <c r="EO615" s="2216"/>
      <c r="EP615" s="2216"/>
      <c r="EQ615" s="2053"/>
      <c r="ER615" s="2052" t="str">
        <f t="shared" si="20"/>
        <v xml:space="preserve"> </v>
      </c>
      <c r="ES615" s="2216"/>
      <c r="ET615" s="2216"/>
      <c r="EU615" s="2216"/>
      <c r="EV615" s="2053"/>
      <c r="EW615" s="2052" t="str">
        <f t="shared" si="21"/>
        <v xml:space="preserve"> </v>
      </c>
      <c r="EX615" s="2216"/>
      <c r="EY615" s="2216"/>
      <c r="EZ615" s="2216"/>
      <c r="FA615" s="2053"/>
    </row>
    <row r="616" spans="1:157" ht="12.5">
      <c r="A616" s="35"/>
      <c r="B616" s="12" t="s">
        <v>18</v>
      </c>
      <c r="H616" s="2063" t="s">
        <v>2592</v>
      </c>
      <c r="I616" s="2063"/>
      <c r="J616" s="2063"/>
      <c r="K616" s="2063"/>
      <c r="L616" s="2063"/>
      <c r="M616" s="2063"/>
      <c r="N616" s="2063"/>
      <c r="O616" s="2063"/>
      <c r="P616" s="2063"/>
      <c r="Q616" s="2063"/>
      <c r="R616" s="2063"/>
      <c r="T616" s="35"/>
      <c r="U616" s="12" t="s">
        <v>18</v>
      </c>
      <c r="AA616" s="2063"/>
      <c r="AB616" s="2063"/>
      <c r="AC616" s="2063"/>
      <c r="AD616" s="2063"/>
      <c r="AE616" s="2063"/>
      <c r="AF616" s="2063"/>
      <c r="AG616" s="2063"/>
      <c r="AH616" s="2063"/>
      <c r="AI616" s="2063"/>
      <c r="AJ616" s="2063"/>
      <c r="AK616" s="2063"/>
      <c r="AZ616" s="58"/>
      <c r="BA616" s="58"/>
      <c r="BB616" s="58"/>
      <c r="BC616" s="58"/>
      <c r="BD616" s="58"/>
      <c r="BE616" s="2052">
        <f t="shared" si="0"/>
        <v>1</v>
      </c>
      <c r="BF616" s="2053"/>
      <c r="BG616" s="2214">
        <f t="shared" si="1"/>
        <v>4</v>
      </c>
      <c r="BH616" s="2215"/>
      <c r="BI616" s="2052">
        <f t="shared" si="2"/>
        <v>0</v>
      </c>
      <c r="BJ616" s="2053"/>
      <c r="BK616" s="2214">
        <f t="shared" si="3"/>
        <v>0</v>
      </c>
      <c r="BL616" s="2215"/>
      <c r="BM616" s="58"/>
      <c r="BN616" s="2028">
        <f t="shared" si="4"/>
        <v>0</v>
      </c>
      <c r="BO616" s="2029"/>
      <c r="BP616" s="2029"/>
      <c r="BQ616" s="2029"/>
      <c r="BR616" s="2030"/>
      <c r="BS616" s="2027">
        <f t="shared" si="5"/>
        <v>0</v>
      </c>
      <c r="BT616" s="2027"/>
      <c r="BU616" s="2027"/>
      <c r="BV616" s="2027"/>
      <c r="BW616" s="2027"/>
      <c r="BX616" s="2027">
        <f t="shared" si="6"/>
        <v>4</v>
      </c>
      <c r="BY616" s="2027"/>
      <c r="BZ616" s="2027"/>
      <c r="CA616" s="2027"/>
      <c r="CB616" s="2027"/>
      <c r="CC616" s="2027">
        <f t="shared" si="7"/>
        <v>0</v>
      </c>
      <c r="CD616" s="2027"/>
      <c r="CE616" s="2027"/>
      <c r="CF616" s="2027"/>
      <c r="CG616" s="2027"/>
      <c r="CH616" s="2027">
        <f t="shared" si="8"/>
        <v>0</v>
      </c>
      <c r="CI616" s="2027"/>
      <c r="CJ616" s="2027"/>
      <c r="CK616" s="2027"/>
      <c r="CL616" s="2027"/>
      <c r="CM616" s="2027">
        <f t="shared" si="9"/>
        <v>0</v>
      </c>
      <c r="CN616" s="2027"/>
      <c r="CO616" s="2027"/>
      <c r="CP616" s="2027"/>
      <c r="CQ616" s="2027"/>
      <c r="CR616" s="265"/>
      <c r="CS616" s="2394">
        <f t="shared" si="10"/>
        <v>0</v>
      </c>
      <c r="CT616" s="2394"/>
      <c r="CU616" s="2394"/>
      <c r="CV616" s="2394"/>
      <c r="CW616" s="2394"/>
      <c r="CX616" s="2394">
        <f t="shared" si="11"/>
        <v>0</v>
      </c>
      <c r="CY616" s="2394"/>
      <c r="CZ616" s="2394"/>
      <c r="DA616" s="2394"/>
      <c r="DB616" s="2394"/>
      <c r="DC616" s="2394">
        <f t="shared" si="12"/>
        <v>0</v>
      </c>
      <c r="DD616" s="2394"/>
      <c r="DE616" s="2394"/>
      <c r="DF616" s="2394"/>
      <c r="DG616" s="2394"/>
      <c r="DH616" s="2394">
        <f t="shared" si="13"/>
        <v>0</v>
      </c>
      <c r="DI616" s="2394"/>
      <c r="DJ616" s="2394"/>
      <c r="DK616" s="2394"/>
      <c r="DL616" s="2394"/>
      <c r="DM616" s="2394">
        <f t="shared" si="14"/>
        <v>0</v>
      </c>
      <c r="DN616" s="2394"/>
      <c r="DO616" s="2394"/>
      <c r="DP616" s="2394"/>
      <c r="DQ616" s="2394"/>
      <c r="DR616" s="2394">
        <f t="shared" si="15"/>
        <v>0</v>
      </c>
      <c r="DS616" s="2394"/>
      <c r="DT616" s="2394"/>
      <c r="DU616" s="2394"/>
      <c r="DV616" s="2394"/>
      <c r="DX616" s="2052" t="str">
        <f t="shared" si="16"/>
        <v xml:space="preserve"> </v>
      </c>
      <c r="DY616" s="2216"/>
      <c r="DZ616" s="2216"/>
      <c r="EA616" s="2216"/>
      <c r="EB616" s="2053"/>
      <c r="EC616" s="2052" t="str">
        <f t="shared" si="17"/>
        <v xml:space="preserve"> </v>
      </c>
      <c r="ED616" s="2216"/>
      <c r="EE616" s="2216"/>
      <c r="EF616" s="2216"/>
      <c r="EG616" s="2053"/>
      <c r="EH616" s="2052">
        <f t="shared" si="18"/>
        <v>1536</v>
      </c>
      <c r="EI616" s="2216"/>
      <c r="EJ616" s="2216"/>
      <c r="EK616" s="2216"/>
      <c r="EL616" s="2053"/>
      <c r="EM616" s="2052" t="str">
        <f t="shared" si="19"/>
        <v xml:space="preserve"> </v>
      </c>
      <c r="EN616" s="2216"/>
      <c r="EO616" s="2216"/>
      <c r="EP616" s="2216"/>
      <c r="EQ616" s="2053"/>
      <c r="ER616" s="2052" t="str">
        <f t="shared" si="20"/>
        <v xml:space="preserve"> </v>
      </c>
      <c r="ES616" s="2216"/>
      <c r="ET616" s="2216"/>
      <c r="EU616" s="2216"/>
      <c r="EV616" s="2053"/>
      <c r="EW616" s="2052" t="str">
        <f t="shared" si="21"/>
        <v xml:space="preserve"> </v>
      </c>
      <c r="EX616" s="2216"/>
      <c r="EY616" s="2216"/>
      <c r="EZ616" s="2216"/>
      <c r="FA616" s="2053"/>
    </row>
    <row r="617" spans="1:157" ht="12.5">
      <c r="A617" s="35"/>
      <c r="B617" s="12" t="s">
        <v>20</v>
      </c>
      <c r="N617" s="2069" t="s">
        <v>580</v>
      </c>
      <c r="O617" s="2069"/>
      <c r="T617" s="35"/>
      <c r="U617" s="12" t="s">
        <v>20</v>
      </c>
      <c r="AG617" s="2069" t="s">
        <v>708</v>
      </c>
      <c r="AH617" s="2069"/>
      <c r="AZ617" s="58"/>
      <c r="BA617" s="58"/>
      <c r="BB617" s="58"/>
      <c r="BC617" s="58"/>
      <c r="BD617" s="58"/>
      <c r="BE617" s="2052">
        <f t="shared" si="0"/>
        <v>1</v>
      </c>
      <c r="BF617" s="2053"/>
      <c r="BG617" s="2214">
        <f t="shared" si="1"/>
        <v>6</v>
      </c>
      <c r="BH617" s="2215"/>
      <c r="BI617" s="2052">
        <f t="shared" si="2"/>
        <v>0</v>
      </c>
      <c r="BJ617" s="2053"/>
      <c r="BK617" s="2214">
        <f t="shared" si="3"/>
        <v>0</v>
      </c>
      <c r="BL617" s="2215"/>
      <c r="BM617" s="58"/>
      <c r="BN617" s="2028">
        <f t="shared" si="4"/>
        <v>0</v>
      </c>
      <c r="BO617" s="2029"/>
      <c r="BP617" s="2029"/>
      <c r="BQ617" s="2029"/>
      <c r="BR617" s="2030"/>
      <c r="BS617" s="2027">
        <f t="shared" si="5"/>
        <v>0</v>
      </c>
      <c r="BT617" s="2027"/>
      <c r="BU617" s="2027"/>
      <c r="BV617" s="2027"/>
      <c r="BW617" s="2027"/>
      <c r="BX617" s="2027">
        <f t="shared" si="6"/>
        <v>0</v>
      </c>
      <c r="BY617" s="2027"/>
      <c r="BZ617" s="2027"/>
      <c r="CA617" s="2027"/>
      <c r="CB617" s="2027"/>
      <c r="CC617" s="2027">
        <f t="shared" si="7"/>
        <v>6</v>
      </c>
      <c r="CD617" s="2027"/>
      <c r="CE617" s="2027"/>
      <c r="CF617" s="2027"/>
      <c r="CG617" s="2027"/>
      <c r="CH617" s="2027">
        <f t="shared" si="8"/>
        <v>0</v>
      </c>
      <c r="CI617" s="2027"/>
      <c r="CJ617" s="2027"/>
      <c r="CK617" s="2027"/>
      <c r="CL617" s="2027"/>
      <c r="CM617" s="2027">
        <f t="shared" si="9"/>
        <v>0</v>
      </c>
      <c r="CN617" s="2027"/>
      <c r="CO617" s="2027"/>
      <c r="CP617" s="2027"/>
      <c r="CQ617" s="2027"/>
      <c r="CR617" s="265"/>
      <c r="CS617" s="2394">
        <f t="shared" si="10"/>
        <v>0</v>
      </c>
      <c r="CT617" s="2394"/>
      <c r="CU617" s="2394"/>
      <c r="CV617" s="2394"/>
      <c r="CW617" s="2394"/>
      <c r="CX617" s="2394">
        <f t="shared" si="11"/>
        <v>0</v>
      </c>
      <c r="CY617" s="2394"/>
      <c r="CZ617" s="2394"/>
      <c r="DA617" s="2394"/>
      <c r="DB617" s="2394"/>
      <c r="DC617" s="2394">
        <f t="shared" si="12"/>
        <v>0</v>
      </c>
      <c r="DD617" s="2394"/>
      <c r="DE617" s="2394"/>
      <c r="DF617" s="2394"/>
      <c r="DG617" s="2394"/>
      <c r="DH617" s="2394">
        <f t="shared" si="13"/>
        <v>0</v>
      </c>
      <c r="DI617" s="2394"/>
      <c r="DJ617" s="2394"/>
      <c r="DK617" s="2394"/>
      <c r="DL617" s="2394"/>
      <c r="DM617" s="2394">
        <f t="shared" si="14"/>
        <v>0</v>
      </c>
      <c r="DN617" s="2394"/>
      <c r="DO617" s="2394"/>
      <c r="DP617" s="2394"/>
      <c r="DQ617" s="2394"/>
      <c r="DR617" s="2394">
        <f t="shared" si="15"/>
        <v>0</v>
      </c>
      <c r="DS617" s="2394"/>
      <c r="DT617" s="2394"/>
      <c r="DU617" s="2394"/>
      <c r="DV617" s="2394"/>
      <c r="DX617" s="2052" t="str">
        <f t="shared" si="16"/>
        <v xml:space="preserve"> </v>
      </c>
      <c r="DY617" s="2216"/>
      <c r="DZ617" s="2216"/>
      <c r="EA617" s="2216"/>
      <c r="EB617" s="2053"/>
      <c r="EC617" s="2052" t="str">
        <f t="shared" si="17"/>
        <v xml:space="preserve"> </v>
      </c>
      <c r="ED617" s="2216"/>
      <c r="EE617" s="2216"/>
      <c r="EF617" s="2216"/>
      <c r="EG617" s="2053"/>
      <c r="EH617" s="2052" t="str">
        <f t="shared" si="18"/>
        <v xml:space="preserve"> </v>
      </c>
      <c r="EI617" s="2216"/>
      <c r="EJ617" s="2216"/>
      <c r="EK617" s="2216"/>
      <c r="EL617" s="2053"/>
      <c r="EM617" s="2052">
        <f t="shared" si="19"/>
        <v>1698</v>
      </c>
      <c r="EN617" s="2216"/>
      <c r="EO617" s="2216"/>
      <c r="EP617" s="2216"/>
      <c r="EQ617" s="2053"/>
      <c r="ER617" s="2052" t="str">
        <f t="shared" si="20"/>
        <v xml:space="preserve"> </v>
      </c>
      <c r="ES617" s="2216"/>
      <c r="ET617" s="2216"/>
      <c r="EU617" s="2216"/>
      <c r="EV617" s="2053"/>
      <c r="EW617" s="2052" t="str">
        <f t="shared" si="21"/>
        <v xml:space="preserve"> </v>
      </c>
      <c r="EX617" s="2216"/>
      <c r="EY617" s="2216"/>
      <c r="EZ617" s="2216"/>
      <c r="FA617" s="2053"/>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2">
        <f t="shared" si="0"/>
        <v>1</v>
      </c>
      <c r="BF618" s="2053"/>
      <c r="BG618" s="2214">
        <f t="shared" si="1"/>
        <v>14</v>
      </c>
      <c r="BH618" s="2215"/>
      <c r="BI618" s="2052">
        <f t="shared" si="2"/>
        <v>0</v>
      </c>
      <c r="BJ618" s="2053"/>
      <c r="BK618" s="2214">
        <f t="shared" si="3"/>
        <v>0</v>
      </c>
      <c r="BL618" s="2215"/>
      <c r="BM618" s="58"/>
      <c r="BN618" s="2028">
        <f t="shared" si="4"/>
        <v>14</v>
      </c>
      <c r="BO618" s="2029"/>
      <c r="BP618" s="2029"/>
      <c r="BQ618" s="2029"/>
      <c r="BR618" s="2030"/>
      <c r="BS618" s="2027">
        <f t="shared" si="5"/>
        <v>0</v>
      </c>
      <c r="BT618" s="2027"/>
      <c r="BU618" s="2027"/>
      <c r="BV618" s="2027"/>
      <c r="BW618" s="2027"/>
      <c r="BX618" s="2027">
        <f t="shared" si="6"/>
        <v>0</v>
      </c>
      <c r="BY618" s="2027"/>
      <c r="BZ618" s="2027"/>
      <c r="CA618" s="2027"/>
      <c r="CB618" s="2027"/>
      <c r="CC618" s="2027">
        <f t="shared" si="7"/>
        <v>0</v>
      </c>
      <c r="CD618" s="2027"/>
      <c r="CE618" s="2027"/>
      <c r="CF618" s="2027"/>
      <c r="CG618" s="2027"/>
      <c r="CH618" s="2027">
        <f t="shared" si="8"/>
        <v>0</v>
      </c>
      <c r="CI618" s="2027"/>
      <c r="CJ618" s="2027"/>
      <c r="CK618" s="2027"/>
      <c r="CL618" s="2027"/>
      <c r="CM618" s="2027">
        <f t="shared" si="9"/>
        <v>0</v>
      </c>
      <c r="CN618" s="2027"/>
      <c r="CO618" s="2027"/>
      <c r="CP618" s="2027"/>
      <c r="CQ618" s="2027"/>
      <c r="CR618" s="265"/>
      <c r="CS618" s="2394">
        <f t="shared" si="10"/>
        <v>0</v>
      </c>
      <c r="CT618" s="2394"/>
      <c r="CU618" s="2394"/>
      <c r="CV618" s="2394"/>
      <c r="CW618" s="2394"/>
      <c r="CX618" s="2394">
        <f t="shared" si="11"/>
        <v>0</v>
      </c>
      <c r="CY618" s="2394"/>
      <c r="CZ618" s="2394"/>
      <c r="DA618" s="2394"/>
      <c r="DB618" s="2394"/>
      <c r="DC618" s="2394">
        <f t="shared" si="12"/>
        <v>0</v>
      </c>
      <c r="DD618" s="2394"/>
      <c r="DE618" s="2394"/>
      <c r="DF618" s="2394"/>
      <c r="DG618" s="2394"/>
      <c r="DH618" s="2394">
        <f t="shared" si="13"/>
        <v>0</v>
      </c>
      <c r="DI618" s="2394"/>
      <c r="DJ618" s="2394"/>
      <c r="DK618" s="2394"/>
      <c r="DL618" s="2394"/>
      <c r="DM618" s="2394">
        <f t="shared" si="14"/>
        <v>0</v>
      </c>
      <c r="DN618" s="2394"/>
      <c r="DO618" s="2394"/>
      <c r="DP618" s="2394"/>
      <c r="DQ618" s="2394"/>
      <c r="DR618" s="2394">
        <f t="shared" si="15"/>
        <v>0</v>
      </c>
      <c r="DS618" s="2394"/>
      <c r="DT618" s="2394"/>
      <c r="DU618" s="2394"/>
      <c r="DV618" s="2394"/>
      <c r="DX618" s="2052">
        <f t="shared" si="16"/>
        <v>1347</v>
      </c>
      <c r="DY618" s="2216"/>
      <c r="DZ618" s="2216"/>
      <c r="EA618" s="2216"/>
      <c r="EB618" s="2053"/>
      <c r="EC618" s="2052" t="str">
        <f t="shared" si="17"/>
        <v xml:space="preserve"> </v>
      </c>
      <c r="ED618" s="2216"/>
      <c r="EE618" s="2216"/>
      <c r="EF618" s="2216"/>
      <c r="EG618" s="2053"/>
      <c r="EH618" s="2052" t="str">
        <f t="shared" si="18"/>
        <v xml:space="preserve"> </v>
      </c>
      <c r="EI618" s="2216"/>
      <c r="EJ618" s="2216"/>
      <c r="EK618" s="2216"/>
      <c r="EL618" s="2053"/>
      <c r="EM618" s="2052" t="str">
        <f t="shared" si="19"/>
        <v xml:space="preserve"> </v>
      </c>
      <c r="EN618" s="2216"/>
      <c r="EO618" s="2216"/>
      <c r="EP618" s="2216"/>
      <c r="EQ618" s="2053"/>
      <c r="ER618" s="2052" t="str">
        <f t="shared" si="20"/>
        <v xml:space="preserve"> </v>
      </c>
      <c r="ES618" s="2216"/>
      <c r="ET618" s="2216"/>
      <c r="EU618" s="2216"/>
      <c r="EV618" s="2053"/>
      <c r="EW618" s="2052" t="str">
        <f t="shared" si="21"/>
        <v xml:space="preserve"> </v>
      </c>
      <c r="EX618" s="2216"/>
      <c r="EY618" s="2216"/>
      <c r="EZ618" s="2216"/>
      <c r="FA618" s="2053"/>
    </row>
    <row r="619" spans="1:157" s="7" customFormat="1" ht="12.5">
      <c r="A619" s="87" t="s">
        <v>374</v>
      </c>
      <c r="B619" s="12" t="s">
        <v>498</v>
      </c>
      <c r="C619" s="12"/>
      <c r="D619" s="12"/>
      <c r="E619" s="12"/>
      <c r="F619" s="12"/>
      <c r="G619" s="2173" t="str">
        <f>C574</f>
        <v>Deferred Developer Fee</v>
      </c>
      <c r="H619" s="2173"/>
      <c r="I619" s="2173"/>
      <c r="J619" s="2173"/>
      <c r="K619" s="2173"/>
      <c r="L619" s="2173"/>
      <c r="M619" s="2173"/>
      <c r="N619" s="2173"/>
      <c r="O619" s="2173"/>
      <c r="P619" s="2173"/>
      <c r="Q619" s="2173"/>
      <c r="R619" s="2173"/>
      <c r="S619" s="12"/>
      <c r="T619" s="87" t="s">
        <v>375</v>
      </c>
      <c r="U619" s="12" t="s">
        <v>498</v>
      </c>
      <c r="V619" s="12"/>
      <c r="W619" s="12"/>
      <c r="X619" s="12"/>
      <c r="Y619" s="12"/>
      <c r="Z619" s="2173" t="str">
        <f>C575</f>
        <v>Costs Deferred Until Conversion</v>
      </c>
      <c r="AA619" s="2173"/>
      <c r="AB619" s="2173"/>
      <c r="AC619" s="2173"/>
      <c r="AD619" s="2173"/>
      <c r="AE619" s="2173"/>
      <c r="AF619" s="2173"/>
      <c r="AG619" s="2173"/>
      <c r="AH619" s="2173"/>
      <c r="AI619" s="2173"/>
      <c r="AJ619" s="2173"/>
      <c r="AK619" s="2173"/>
      <c r="AL619" s="12"/>
      <c r="AM619" s="39"/>
      <c r="AN619" s="39"/>
      <c r="AO619" s="39"/>
      <c r="AP619" s="39"/>
      <c r="AQ619" s="39"/>
      <c r="AR619" s="39"/>
      <c r="AS619" s="39"/>
      <c r="AT619" s="39"/>
      <c r="AU619" s="39"/>
      <c r="AV619" s="39"/>
      <c r="AW619" s="39"/>
      <c r="AX619" s="39"/>
      <c r="AY619" s="39"/>
      <c r="AZ619" s="58"/>
      <c r="BA619" s="58"/>
      <c r="BB619" s="58"/>
      <c r="BC619" s="58"/>
      <c r="BD619" s="58"/>
      <c r="BE619" s="2052">
        <f t="shared" si="0"/>
        <v>1</v>
      </c>
      <c r="BF619" s="2053"/>
      <c r="BG619" s="2214">
        <f t="shared" si="1"/>
        <v>4</v>
      </c>
      <c r="BH619" s="2215"/>
      <c r="BI619" s="2052">
        <f t="shared" si="2"/>
        <v>0</v>
      </c>
      <c r="BJ619" s="2053"/>
      <c r="BK619" s="2214">
        <f t="shared" si="3"/>
        <v>0</v>
      </c>
      <c r="BL619" s="2215"/>
      <c r="BM619" s="58"/>
      <c r="BN619" s="2028">
        <f t="shared" si="4"/>
        <v>0</v>
      </c>
      <c r="BO619" s="2029"/>
      <c r="BP619" s="2029"/>
      <c r="BQ619" s="2029"/>
      <c r="BR619" s="2030"/>
      <c r="BS619" s="2027">
        <f t="shared" si="5"/>
        <v>4</v>
      </c>
      <c r="BT619" s="2027"/>
      <c r="BU619" s="2027"/>
      <c r="BV619" s="2027"/>
      <c r="BW619" s="2027"/>
      <c r="BX619" s="2027">
        <f t="shared" si="6"/>
        <v>0</v>
      </c>
      <c r="BY619" s="2027"/>
      <c r="BZ619" s="2027"/>
      <c r="CA619" s="2027"/>
      <c r="CB619" s="2027"/>
      <c r="CC619" s="2027">
        <f t="shared" si="7"/>
        <v>0</v>
      </c>
      <c r="CD619" s="2027"/>
      <c r="CE619" s="2027"/>
      <c r="CF619" s="2027"/>
      <c r="CG619" s="2027"/>
      <c r="CH619" s="2027">
        <f t="shared" si="8"/>
        <v>0</v>
      </c>
      <c r="CI619" s="2027"/>
      <c r="CJ619" s="2027"/>
      <c r="CK619" s="2027"/>
      <c r="CL619" s="2027"/>
      <c r="CM619" s="2027">
        <f t="shared" si="9"/>
        <v>0</v>
      </c>
      <c r="CN619" s="2027"/>
      <c r="CO619" s="2027"/>
      <c r="CP619" s="2027"/>
      <c r="CQ619" s="2027"/>
      <c r="CR619" s="265"/>
      <c r="CS619" s="2394">
        <f t="shared" si="10"/>
        <v>0</v>
      </c>
      <c r="CT619" s="2394"/>
      <c r="CU619" s="2394"/>
      <c r="CV619" s="2394"/>
      <c r="CW619" s="2394"/>
      <c r="CX619" s="2394">
        <f t="shared" si="11"/>
        <v>0</v>
      </c>
      <c r="CY619" s="2394"/>
      <c r="CZ619" s="2394"/>
      <c r="DA619" s="2394"/>
      <c r="DB619" s="2394"/>
      <c r="DC619" s="2394">
        <f t="shared" si="12"/>
        <v>0</v>
      </c>
      <c r="DD619" s="2394"/>
      <c r="DE619" s="2394"/>
      <c r="DF619" s="2394"/>
      <c r="DG619" s="2394"/>
      <c r="DH619" s="2394">
        <f t="shared" si="13"/>
        <v>0</v>
      </c>
      <c r="DI619" s="2394"/>
      <c r="DJ619" s="2394"/>
      <c r="DK619" s="2394"/>
      <c r="DL619" s="2394"/>
      <c r="DM619" s="2394">
        <f t="shared" si="14"/>
        <v>0</v>
      </c>
      <c r="DN619" s="2394"/>
      <c r="DO619" s="2394"/>
      <c r="DP619" s="2394"/>
      <c r="DQ619" s="2394"/>
      <c r="DR619" s="2394">
        <f t="shared" si="15"/>
        <v>0</v>
      </c>
      <c r="DS619" s="2394"/>
      <c r="DT619" s="2394"/>
      <c r="DU619" s="2394"/>
      <c r="DV619" s="2394"/>
      <c r="DX619" s="2052" t="str">
        <f t="shared" si="16"/>
        <v xml:space="preserve"> </v>
      </c>
      <c r="DY619" s="2216"/>
      <c r="DZ619" s="2216"/>
      <c r="EA619" s="2216"/>
      <c r="EB619" s="2053"/>
      <c r="EC619" s="2052">
        <f t="shared" si="17"/>
        <v>1439</v>
      </c>
      <c r="ED619" s="2216"/>
      <c r="EE619" s="2216"/>
      <c r="EF619" s="2216"/>
      <c r="EG619" s="2053"/>
      <c r="EH619" s="2052" t="str">
        <f t="shared" si="18"/>
        <v xml:space="preserve"> </v>
      </c>
      <c r="EI619" s="2216"/>
      <c r="EJ619" s="2216"/>
      <c r="EK619" s="2216"/>
      <c r="EL619" s="2053"/>
      <c r="EM619" s="2052" t="str">
        <f t="shared" si="19"/>
        <v xml:space="preserve"> </v>
      </c>
      <c r="EN619" s="2216"/>
      <c r="EO619" s="2216"/>
      <c r="EP619" s="2216"/>
      <c r="EQ619" s="2053"/>
      <c r="ER619" s="2052" t="str">
        <f t="shared" si="20"/>
        <v xml:space="preserve"> </v>
      </c>
      <c r="ES619" s="2216"/>
      <c r="ET619" s="2216"/>
      <c r="EU619" s="2216"/>
      <c r="EV619" s="2053"/>
      <c r="EW619" s="2052" t="str">
        <f t="shared" si="21"/>
        <v xml:space="preserve"> </v>
      </c>
      <c r="EX619" s="2216"/>
      <c r="EY619" s="2216"/>
      <c r="EZ619" s="2216"/>
      <c r="FA619" s="2053"/>
    </row>
    <row r="620" spans="1:157" s="7" customFormat="1" ht="12.5">
      <c r="A620" s="12"/>
      <c r="B620" s="12" t="s">
        <v>90</v>
      </c>
      <c r="C620" s="12"/>
      <c r="D620" s="12"/>
      <c r="E620" s="12"/>
      <c r="F620" s="12"/>
      <c r="G620" s="2063" t="s">
        <v>628</v>
      </c>
      <c r="H620" s="2063"/>
      <c r="I620" s="2063"/>
      <c r="J620" s="2063"/>
      <c r="K620" s="2063"/>
      <c r="L620" s="2063"/>
      <c r="M620" s="2063"/>
      <c r="N620" s="2063"/>
      <c r="O620" s="2063"/>
      <c r="P620" s="2063"/>
      <c r="Q620" s="2063"/>
      <c r="R620" s="2063"/>
      <c r="S620" s="12"/>
      <c r="T620" s="12"/>
      <c r="U620" s="12" t="s">
        <v>90</v>
      </c>
      <c r="V620" s="12"/>
      <c r="W620" s="12"/>
      <c r="X620" s="12"/>
      <c r="Y620" s="12"/>
      <c r="Z620" s="2063" t="s">
        <v>628</v>
      </c>
      <c r="AA620" s="2063"/>
      <c r="AB620" s="2063"/>
      <c r="AC620" s="2063"/>
      <c r="AD620" s="2063"/>
      <c r="AE620" s="2063"/>
      <c r="AF620" s="2063"/>
      <c r="AG620" s="2063"/>
      <c r="AH620" s="2063"/>
      <c r="AI620" s="2063"/>
      <c r="AJ620" s="2063"/>
      <c r="AK620" s="2063"/>
      <c r="AL620" s="12"/>
      <c r="AM620" s="39"/>
      <c r="AN620" s="39"/>
      <c r="AO620" s="39"/>
      <c r="AP620" s="39"/>
      <c r="AQ620" s="39"/>
      <c r="AR620" s="39"/>
      <c r="AS620" s="39"/>
      <c r="AT620" s="39"/>
      <c r="AU620" s="39"/>
      <c r="AV620" s="39"/>
      <c r="AW620" s="39"/>
      <c r="AX620" s="39"/>
      <c r="AY620" s="39"/>
      <c r="AZ620" s="58"/>
      <c r="BA620" s="58"/>
      <c r="BB620" s="58"/>
      <c r="BC620" s="58"/>
      <c r="BD620" s="58"/>
      <c r="BE620" s="2052">
        <f t="shared" si="0"/>
        <v>1</v>
      </c>
      <c r="BF620" s="2053"/>
      <c r="BG620" s="2214">
        <f t="shared" si="1"/>
        <v>1</v>
      </c>
      <c r="BH620" s="2215"/>
      <c r="BI620" s="2052">
        <f t="shared" si="2"/>
        <v>0</v>
      </c>
      <c r="BJ620" s="2053"/>
      <c r="BK620" s="2214">
        <f t="shared" si="3"/>
        <v>0</v>
      </c>
      <c r="BL620" s="2215"/>
      <c r="BM620" s="58"/>
      <c r="BN620" s="2028">
        <f t="shared" si="4"/>
        <v>0</v>
      </c>
      <c r="BO620" s="2029"/>
      <c r="BP620" s="2029"/>
      <c r="BQ620" s="2029"/>
      <c r="BR620" s="2030"/>
      <c r="BS620" s="2027">
        <f t="shared" si="5"/>
        <v>0</v>
      </c>
      <c r="BT620" s="2027"/>
      <c r="BU620" s="2027"/>
      <c r="BV620" s="2027"/>
      <c r="BW620" s="2027"/>
      <c r="BX620" s="2027">
        <f t="shared" si="6"/>
        <v>1</v>
      </c>
      <c r="BY620" s="2027"/>
      <c r="BZ620" s="2027"/>
      <c r="CA620" s="2027"/>
      <c r="CB620" s="2027"/>
      <c r="CC620" s="2027">
        <f t="shared" si="7"/>
        <v>0</v>
      </c>
      <c r="CD620" s="2027"/>
      <c r="CE620" s="2027"/>
      <c r="CF620" s="2027"/>
      <c r="CG620" s="2027"/>
      <c r="CH620" s="2027">
        <f t="shared" si="8"/>
        <v>0</v>
      </c>
      <c r="CI620" s="2027"/>
      <c r="CJ620" s="2027"/>
      <c r="CK620" s="2027"/>
      <c r="CL620" s="2027"/>
      <c r="CM620" s="2027">
        <f t="shared" si="9"/>
        <v>0</v>
      </c>
      <c r="CN620" s="2027"/>
      <c r="CO620" s="2027"/>
      <c r="CP620" s="2027"/>
      <c r="CQ620" s="2027"/>
      <c r="CR620" s="265"/>
      <c r="CS620" s="2394">
        <f t="shared" si="10"/>
        <v>0</v>
      </c>
      <c r="CT620" s="2394"/>
      <c r="CU620" s="2394"/>
      <c r="CV620" s="2394"/>
      <c r="CW620" s="2394"/>
      <c r="CX620" s="2394">
        <f t="shared" si="11"/>
        <v>0</v>
      </c>
      <c r="CY620" s="2394"/>
      <c r="CZ620" s="2394"/>
      <c r="DA620" s="2394"/>
      <c r="DB620" s="2394"/>
      <c r="DC620" s="2394">
        <f t="shared" si="12"/>
        <v>0</v>
      </c>
      <c r="DD620" s="2394"/>
      <c r="DE620" s="2394"/>
      <c r="DF620" s="2394"/>
      <c r="DG620" s="2394"/>
      <c r="DH620" s="2394">
        <f t="shared" si="13"/>
        <v>0</v>
      </c>
      <c r="DI620" s="2394"/>
      <c r="DJ620" s="2394"/>
      <c r="DK620" s="2394"/>
      <c r="DL620" s="2394"/>
      <c r="DM620" s="2394">
        <f t="shared" si="14"/>
        <v>0</v>
      </c>
      <c r="DN620" s="2394"/>
      <c r="DO620" s="2394"/>
      <c r="DP620" s="2394"/>
      <c r="DQ620" s="2394"/>
      <c r="DR620" s="2394">
        <f t="shared" si="15"/>
        <v>0</v>
      </c>
      <c r="DS620" s="2394"/>
      <c r="DT620" s="2394"/>
      <c r="DU620" s="2394"/>
      <c r="DV620" s="2394"/>
      <c r="DX620" s="2052" t="str">
        <f t="shared" si="16"/>
        <v xml:space="preserve"> </v>
      </c>
      <c r="DY620" s="2216"/>
      <c r="DZ620" s="2216"/>
      <c r="EA620" s="2216"/>
      <c r="EB620" s="2053"/>
      <c r="EC620" s="2052" t="str">
        <f t="shared" si="17"/>
        <v xml:space="preserve"> </v>
      </c>
      <c r="ED620" s="2216"/>
      <c r="EE620" s="2216"/>
      <c r="EF620" s="2216"/>
      <c r="EG620" s="2053"/>
      <c r="EH620" s="2052">
        <f t="shared" si="18"/>
        <v>1720</v>
      </c>
      <c r="EI620" s="2216"/>
      <c r="EJ620" s="2216"/>
      <c r="EK620" s="2216"/>
      <c r="EL620" s="2053"/>
      <c r="EM620" s="2052" t="str">
        <f t="shared" si="19"/>
        <v xml:space="preserve"> </v>
      </c>
      <c r="EN620" s="2216"/>
      <c r="EO620" s="2216"/>
      <c r="EP620" s="2216"/>
      <c r="EQ620" s="2053"/>
      <c r="ER620" s="2052" t="str">
        <f t="shared" si="20"/>
        <v xml:space="preserve"> </v>
      </c>
      <c r="ES620" s="2216"/>
      <c r="ET620" s="2216"/>
      <c r="EU620" s="2216"/>
      <c r="EV620" s="2053"/>
      <c r="EW620" s="2052" t="str">
        <f t="shared" si="21"/>
        <v xml:space="preserve"> </v>
      </c>
      <c r="EX620" s="2216"/>
      <c r="EY620" s="2216"/>
      <c r="EZ620" s="2216"/>
      <c r="FA620" s="2053"/>
    </row>
    <row r="621" spans="1:157" ht="12.5">
      <c r="B621" s="12" t="s">
        <v>617</v>
      </c>
      <c r="G621" s="2063"/>
      <c r="H621" s="2063"/>
      <c r="I621" s="2063"/>
      <c r="J621" s="2063"/>
      <c r="K621" s="2063"/>
      <c r="L621" s="2063"/>
      <c r="M621" s="2063"/>
      <c r="N621" s="2063"/>
      <c r="O621" s="2063"/>
      <c r="P621" s="2063"/>
      <c r="Q621" s="2063"/>
      <c r="R621" s="2063"/>
      <c r="U621" s="12" t="s">
        <v>617</v>
      </c>
      <c r="Z621" s="2110"/>
      <c r="AA621" s="2110"/>
      <c r="AB621" s="2110"/>
      <c r="AC621" s="2110"/>
      <c r="AD621" s="2110"/>
      <c r="AE621" s="2110"/>
      <c r="AF621" s="2110"/>
      <c r="AG621" s="2110"/>
      <c r="AH621" s="2110"/>
      <c r="AI621" s="2110"/>
      <c r="AJ621" s="2110"/>
      <c r="AK621" s="2110"/>
      <c r="AZ621" s="58"/>
      <c r="BA621" s="58"/>
      <c r="BB621" s="58"/>
      <c r="BC621" s="58"/>
      <c r="BD621" s="58"/>
      <c r="BE621" s="2052">
        <f t="shared" si="0"/>
        <v>0</v>
      </c>
      <c r="BF621" s="2053"/>
      <c r="BG621" s="2214">
        <f t="shared" si="1"/>
        <v>0</v>
      </c>
      <c r="BH621" s="2215"/>
      <c r="BI621" s="2052">
        <f t="shared" si="2"/>
        <v>0</v>
      </c>
      <c r="BJ621" s="2053"/>
      <c r="BK621" s="2214">
        <f t="shared" si="3"/>
        <v>0</v>
      </c>
      <c r="BL621" s="2215"/>
      <c r="BM621" s="58"/>
      <c r="BN621" s="2028">
        <f t="shared" si="4"/>
        <v>0</v>
      </c>
      <c r="BO621" s="2029"/>
      <c r="BP621" s="2029"/>
      <c r="BQ621" s="2029"/>
      <c r="BR621" s="2030"/>
      <c r="BS621" s="2027">
        <f t="shared" si="5"/>
        <v>0</v>
      </c>
      <c r="BT621" s="2027"/>
      <c r="BU621" s="2027"/>
      <c r="BV621" s="2027"/>
      <c r="BW621" s="2027"/>
      <c r="BX621" s="2027">
        <f t="shared" si="6"/>
        <v>0</v>
      </c>
      <c r="BY621" s="2027"/>
      <c r="BZ621" s="2027"/>
      <c r="CA621" s="2027"/>
      <c r="CB621" s="2027"/>
      <c r="CC621" s="2027">
        <f t="shared" si="7"/>
        <v>0</v>
      </c>
      <c r="CD621" s="2027"/>
      <c r="CE621" s="2027"/>
      <c r="CF621" s="2027"/>
      <c r="CG621" s="2027"/>
      <c r="CH621" s="2027">
        <f t="shared" si="8"/>
        <v>0</v>
      </c>
      <c r="CI621" s="2027"/>
      <c r="CJ621" s="2027"/>
      <c r="CK621" s="2027"/>
      <c r="CL621" s="2027"/>
      <c r="CM621" s="2027">
        <f t="shared" si="9"/>
        <v>0</v>
      </c>
      <c r="CN621" s="2027"/>
      <c r="CO621" s="2027"/>
      <c r="CP621" s="2027"/>
      <c r="CQ621" s="2027"/>
      <c r="CR621" s="265"/>
      <c r="CS621" s="2394">
        <f t="shared" si="10"/>
        <v>0</v>
      </c>
      <c r="CT621" s="2394"/>
      <c r="CU621" s="2394"/>
      <c r="CV621" s="2394"/>
      <c r="CW621" s="2394"/>
      <c r="CX621" s="2394">
        <f t="shared" si="11"/>
        <v>0</v>
      </c>
      <c r="CY621" s="2394"/>
      <c r="CZ621" s="2394"/>
      <c r="DA621" s="2394"/>
      <c r="DB621" s="2394"/>
      <c r="DC621" s="2394">
        <f t="shared" si="12"/>
        <v>0</v>
      </c>
      <c r="DD621" s="2394"/>
      <c r="DE621" s="2394"/>
      <c r="DF621" s="2394"/>
      <c r="DG621" s="2394"/>
      <c r="DH621" s="2394">
        <f t="shared" si="13"/>
        <v>0</v>
      </c>
      <c r="DI621" s="2394"/>
      <c r="DJ621" s="2394"/>
      <c r="DK621" s="2394"/>
      <c r="DL621" s="2394"/>
      <c r="DM621" s="2394">
        <f t="shared" si="14"/>
        <v>0</v>
      </c>
      <c r="DN621" s="2394"/>
      <c r="DO621" s="2394"/>
      <c r="DP621" s="2394"/>
      <c r="DQ621" s="2394"/>
      <c r="DR621" s="2394">
        <f t="shared" si="15"/>
        <v>0</v>
      </c>
      <c r="DS621" s="2394"/>
      <c r="DT621" s="2394"/>
      <c r="DU621" s="2394"/>
      <c r="DV621" s="2394"/>
      <c r="DX621" s="2052" t="str">
        <f t="shared" si="16"/>
        <v xml:space="preserve"> </v>
      </c>
      <c r="DY621" s="2216"/>
      <c r="DZ621" s="2216"/>
      <c r="EA621" s="2216"/>
      <c r="EB621" s="2053"/>
      <c r="EC621" s="2052" t="str">
        <f t="shared" si="17"/>
        <v xml:space="preserve"> </v>
      </c>
      <c r="ED621" s="2216"/>
      <c r="EE621" s="2216"/>
      <c r="EF621" s="2216"/>
      <c r="EG621" s="2053"/>
      <c r="EH621" s="2052" t="str">
        <f t="shared" si="18"/>
        <v xml:space="preserve"> </v>
      </c>
      <c r="EI621" s="2216"/>
      <c r="EJ621" s="2216"/>
      <c r="EK621" s="2216"/>
      <c r="EL621" s="2053"/>
      <c r="EM621" s="2052" t="str">
        <f t="shared" si="19"/>
        <v xml:space="preserve"> </v>
      </c>
      <c r="EN621" s="2216"/>
      <c r="EO621" s="2216"/>
      <c r="EP621" s="2216"/>
      <c r="EQ621" s="2053"/>
      <c r="ER621" s="2052" t="str">
        <f t="shared" si="20"/>
        <v xml:space="preserve"> </v>
      </c>
      <c r="ES621" s="2216"/>
      <c r="ET621" s="2216"/>
      <c r="EU621" s="2216"/>
      <c r="EV621" s="2053"/>
      <c r="EW621" s="2052" t="str">
        <f t="shared" si="21"/>
        <v xml:space="preserve"> </v>
      </c>
      <c r="EX621" s="2216"/>
      <c r="EY621" s="2216"/>
      <c r="EZ621" s="2216"/>
      <c r="FA621" s="2053"/>
    </row>
    <row r="622" spans="1:157" ht="12.5">
      <c r="B622" s="12" t="s">
        <v>17</v>
      </c>
      <c r="G622" s="2063"/>
      <c r="H622" s="2063"/>
      <c r="I622" s="2063"/>
      <c r="J622" s="2063"/>
      <c r="K622" s="2063"/>
      <c r="L622" s="2063"/>
      <c r="M622" s="2063"/>
      <c r="N622" s="2063"/>
      <c r="O622" s="2063"/>
      <c r="P622" s="2063"/>
      <c r="Q622" s="2063"/>
      <c r="R622" s="2063"/>
      <c r="U622" s="12" t="s">
        <v>17</v>
      </c>
      <c r="Z622" s="2110"/>
      <c r="AA622" s="2110"/>
      <c r="AB622" s="2110"/>
      <c r="AC622" s="2110"/>
      <c r="AD622" s="2110"/>
      <c r="AE622" s="2110"/>
      <c r="AF622" s="2110"/>
      <c r="AG622" s="2110"/>
      <c r="AH622" s="2110"/>
      <c r="AI622" s="2110"/>
      <c r="AJ622" s="2110"/>
      <c r="AK622" s="2110"/>
      <c r="AZ622" s="58"/>
      <c r="BA622" s="58"/>
      <c r="BB622" s="58"/>
      <c r="BC622" s="58"/>
      <c r="BD622" s="58"/>
      <c r="BE622" s="2052">
        <f t="shared" si="0"/>
        <v>0</v>
      </c>
      <c r="BF622" s="2053"/>
      <c r="BG622" s="2214">
        <f t="shared" si="1"/>
        <v>0</v>
      </c>
      <c r="BH622" s="2215"/>
      <c r="BI622" s="2052">
        <f t="shared" si="2"/>
        <v>0</v>
      </c>
      <c r="BJ622" s="2053"/>
      <c r="BK622" s="2214">
        <f t="shared" si="3"/>
        <v>0</v>
      </c>
      <c r="BL622" s="2215"/>
      <c r="BM622" s="58"/>
      <c r="BN622" s="2028">
        <f t="shared" si="4"/>
        <v>0</v>
      </c>
      <c r="BO622" s="2029"/>
      <c r="BP622" s="2029"/>
      <c r="BQ622" s="2029"/>
      <c r="BR622" s="2030"/>
      <c r="BS622" s="2027">
        <f t="shared" si="5"/>
        <v>0</v>
      </c>
      <c r="BT622" s="2027"/>
      <c r="BU622" s="2027"/>
      <c r="BV622" s="2027"/>
      <c r="BW622" s="2027"/>
      <c r="BX622" s="2027">
        <f t="shared" si="6"/>
        <v>0</v>
      </c>
      <c r="BY622" s="2027"/>
      <c r="BZ622" s="2027"/>
      <c r="CA622" s="2027"/>
      <c r="CB622" s="2027"/>
      <c r="CC622" s="2027">
        <f t="shared" si="7"/>
        <v>0</v>
      </c>
      <c r="CD622" s="2027"/>
      <c r="CE622" s="2027"/>
      <c r="CF622" s="2027"/>
      <c r="CG622" s="2027"/>
      <c r="CH622" s="2027">
        <f t="shared" si="8"/>
        <v>0</v>
      </c>
      <c r="CI622" s="2027"/>
      <c r="CJ622" s="2027"/>
      <c r="CK622" s="2027"/>
      <c r="CL622" s="2027"/>
      <c r="CM622" s="2027">
        <f t="shared" si="9"/>
        <v>0</v>
      </c>
      <c r="CN622" s="2027"/>
      <c r="CO622" s="2027"/>
      <c r="CP622" s="2027"/>
      <c r="CQ622" s="2027"/>
      <c r="CR622" s="265"/>
      <c r="CS622" s="2394">
        <f t="shared" si="10"/>
        <v>0</v>
      </c>
      <c r="CT622" s="2394"/>
      <c r="CU622" s="2394"/>
      <c r="CV622" s="2394"/>
      <c r="CW622" s="2394"/>
      <c r="CX622" s="2394">
        <f t="shared" si="11"/>
        <v>0</v>
      </c>
      <c r="CY622" s="2394"/>
      <c r="CZ622" s="2394"/>
      <c r="DA622" s="2394"/>
      <c r="DB622" s="2394"/>
      <c r="DC622" s="2394">
        <f t="shared" si="12"/>
        <v>0</v>
      </c>
      <c r="DD622" s="2394"/>
      <c r="DE622" s="2394"/>
      <c r="DF622" s="2394"/>
      <c r="DG622" s="2394"/>
      <c r="DH622" s="2394">
        <f t="shared" si="13"/>
        <v>0</v>
      </c>
      <c r="DI622" s="2394"/>
      <c r="DJ622" s="2394"/>
      <c r="DK622" s="2394"/>
      <c r="DL622" s="2394"/>
      <c r="DM622" s="2394">
        <f t="shared" si="14"/>
        <v>0</v>
      </c>
      <c r="DN622" s="2394"/>
      <c r="DO622" s="2394"/>
      <c r="DP622" s="2394"/>
      <c r="DQ622" s="2394"/>
      <c r="DR622" s="2394">
        <f t="shared" si="15"/>
        <v>0</v>
      </c>
      <c r="DS622" s="2394"/>
      <c r="DT622" s="2394"/>
      <c r="DU622" s="2394"/>
      <c r="DV622" s="2394"/>
      <c r="DX622" s="2052" t="str">
        <f t="shared" si="16"/>
        <v xml:space="preserve"> </v>
      </c>
      <c r="DY622" s="2216"/>
      <c r="DZ622" s="2216"/>
      <c r="EA622" s="2216"/>
      <c r="EB622" s="2053"/>
      <c r="EC622" s="2052" t="str">
        <f t="shared" si="17"/>
        <v xml:space="preserve"> </v>
      </c>
      <c r="ED622" s="2216"/>
      <c r="EE622" s="2216"/>
      <c r="EF622" s="2216"/>
      <c r="EG622" s="2053"/>
      <c r="EH622" s="2052" t="str">
        <f t="shared" si="18"/>
        <v xml:space="preserve"> </v>
      </c>
      <c r="EI622" s="2216"/>
      <c r="EJ622" s="2216"/>
      <c r="EK622" s="2216"/>
      <c r="EL622" s="2053"/>
      <c r="EM622" s="2052" t="str">
        <f t="shared" si="19"/>
        <v xml:space="preserve"> </v>
      </c>
      <c r="EN622" s="2216"/>
      <c r="EO622" s="2216"/>
      <c r="EP622" s="2216"/>
      <c r="EQ622" s="2053"/>
      <c r="ER622" s="2052" t="str">
        <f t="shared" si="20"/>
        <v xml:space="preserve"> </v>
      </c>
      <c r="ES622" s="2216"/>
      <c r="ET622" s="2216"/>
      <c r="EU622" s="2216"/>
      <c r="EV622" s="2053"/>
      <c r="EW622" s="2052" t="str">
        <f t="shared" si="21"/>
        <v xml:space="preserve"> </v>
      </c>
      <c r="EX622" s="2216"/>
      <c r="EY622" s="2216"/>
      <c r="EZ622" s="2216"/>
      <c r="FA622" s="2053"/>
    </row>
    <row r="623" spans="1:157" ht="12.5">
      <c r="B623" s="12" t="s">
        <v>327</v>
      </c>
      <c r="G623" s="2087"/>
      <c r="H623" s="2087"/>
      <c r="I623" s="2087"/>
      <c r="J623" s="2087"/>
      <c r="K623" s="2087"/>
      <c r="L623" s="2087"/>
      <c r="O623" s="137" t="s">
        <v>212</v>
      </c>
      <c r="P623" s="2172"/>
      <c r="Q623" s="2172"/>
      <c r="R623" s="2172"/>
      <c r="U623" s="12" t="s">
        <v>327</v>
      </c>
      <c r="Z623" s="2087"/>
      <c r="AA623" s="2087"/>
      <c r="AB623" s="2087"/>
      <c r="AC623" s="2087"/>
      <c r="AD623" s="2087"/>
      <c r="AE623" s="2087"/>
      <c r="AH623" s="137" t="s">
        <v>212</v>
      </c>
      <c r="AI623" s="2172"/>
      <c r="AJ623" s="2172"/>
      <c r="AK623" s="2172"/>
      <c r="AZ623" s="58"/>
      <c r="BA623" s="58"/>
      <c r="BB623" s="58"/>
      <c r="BC623" s="58"/>
      <c r="BD623" s="58"/>
      <c r="BE623" s="2052">
        <f t="shared" si="0"/>
        <v>0</v>
      </c>
      <c r="BF623" s="2053"/>
      <c r="BG623" s="2214">
        <f t="shared" si="1"/>
        <v>0</v>
      </c>
      <c r="BH623" s="2215"/>
      <c r="BI623" s="2052">
        <f t="shared" si="2"/>
        <v>0</v>
      </c>
      <c r="BJ623" s="2053"/>
      <c r="BK623" s="2214">
        <f t="shared" si="3"/>
        <v>0</v>
      </c>
      <c r="BL623" s="2215"/>
      <c r="BM623" s="58"/>
      <c r="BN623" s="2028">
        <f t="shared" si="4"/>
        <v>0</v>
      </c>
      <c r="BO623" s="2029"/>
      <c r="BP623" s="2029"/>
      <c r="BQ623" s="2029"/>
      <c r="BR623" s="2030"/>
      <c r="BS623" s="2027">
        <f t="shared" si="5"/>
        <v>0</v>
      </c>
      <c r="BT623" s="2027"/>
      <c r="BU623" s="2027"/>
      <c r="BV623" s="2027"/>
      <c r="BW623" s="2027"/>
      <c r="BX623" s="2027">
        <f t="shared" si="6"/>
        <v>0</v>
      </c>
      <c r="BY623" s="2027"/>
      <c r="BZ623" s="2027"/>
      <c r="CA623" s="2027"/>
      <c r="CB623" s="2027"/>
      <c r="CC623" s="2027">
        <f t="shared" si="7"/>
        <v>0</v>
      </c>
      <c r="CD623" s="2027"/>
      <c r="CE623" s="2027"/>
      <c r="CF623" s="2027"/>
      <c r="CG623" s="2027"/>
      <c r="CH623" s="2027">
        <f t="shared" si="8"/>
        <v>0</v>
      </c>
      <c r="CI623" s="2027"/>
      <c r="CJ623" s="2027"/>
      <c r="CK623" s="2027"/>
      <c r="CL623" s="2027"/>
      <c r="CM623" s="2027">
        <f t="shared" si="9"/>
        <v>0</v>
      </c>
      <c r="CN623" s="2027"/>
      <c r="CO623" s="2027"/>
      <c r="CP623" s="2027"/>
      <c r="CQ623" s="2027"/>
      <c r="CR623" s="265"/>
      <c r="CS623" s="2394">
        <f t="shared" si="10"/>
        <v>0</v>
      </c>
      <c r="CT623" s="2394"/>
      <c r="CU623" s="2394"/>
      <c r="CV623" s="2394"/>
      <c r="CW623" s="2394"/>
      <c r="CX623" s="2394">
        <f t="shared" si="11"/>
        <v>0</v>
      </c>
      <c r="CY623" s="2394"/>
      <c r="CZ623" s="2394"/>
      <c r="DA623" s="2394"/>
      <c r="DB623" s="2394"/>
      <c r="DC623" s="2394">
        <f t="shared" si="12"/>
        <v>0</v>
      </c>
      <c r="DD623" s="2394"/>
      <c r="DE623" s="2394"/>
      <c r="DF623" s="2394"/>
      <c r="DG623" s="2394"/>
      <c r="DH623" s="2394">
        <f t="shared" si="13"/>
        <v>0</v>
      </c>
      <c r="DI623" s="2394"/>
      <c r="DJ623" s="2394"/>
      <c r="DK623" s="2394"/>
      <c r="DL623" s="2394"/>
      <c r="DM623" s="2394">
        <f t="shared" si="14"/>
        <v>0</v>
      </c>
      <c r="DN623" s="2394"/>
      <c r="DO623" s="2394"/>
      <c r="DP623" s="2394"/>
      <c r="DQ623" s="2394"/>
      <c r="DR623" s="2394">
        <f t="shared" si="15"/>
        <v>0</v>
      </c>
      <c r="DS623" s="2394"/>
      <c r="DT623" s="2394"/>
      <c r="DU623" s="2394"/>
      <c r="DV623" s="2394"/>
      <c r="DX623" s="2052" t="str">
        <f t="shared" si="16"/>
        <v xml:space="preserve"> </v>
      </c>
      <c r="DY623" s="2216"/>
      <c r="DZ623" s="2216"/>
      <c r="EA623" s="2216"/>
      <c r="EB623" s="2053"/>
      <c r="EC623" s="2052" t="str">
        <f t="shared" si="17"/>
        <v xml:space="preserve"> </v>
      </c>
      <c r="ED623" s="2216"/>
      <c r="EE623" s="2216"/>
      <c r="EF623" s="2216"/>
      <c r="EG623" s="2053"/>
      <c r="EH623" s="2052" t="str">
        <f t="shared" si="18"/>
        <v xml:space="preserve"> </v>
      </c>
      <c r="EI623" s="2216"/>
      <c r="EJ623" s="2216"/>
      <c r="EK623" s="2216"/>
      <c r="EL623" s="2053"/>
      <c r="EM623" s="2052" t="str">
        <f t="shared" si="19"/>
        <v xml:space="preserve"> </v>
      </c>
      <c r="EN623" s="2216"/>
      <c r="EO623" s="2216"/>
      <c r="EP623" s="2216"/>
      <c r="EQ623" s="2053"/>
      <c r="ER623" s="2052" t="str">
        <f t="shared" si="20"/>
        <v xml:space="preserve"> </v>
      </c>
      <c r="ES623" s="2216"/>
      <c r="ET623" s="2216"/>
      <c r="EU623" s="2216"/>
      <c r="EV623" s="2053"/>
      <c r="EW623" s="2052" t="str">
        <f t="shared" si="21"/>
        <v xml:space="preserve"> </v>
      </c>
      <c r="EX623" s="2216"/>
      <c r="EY623" s="2216"/>
      <c r="EZ623" s="2216"/>
      <c r="FA623" s="2053"/>
    </row>
    <row r="624" spans="1:157" ht="12.5">
      <c r="B624" s="12" t="s">
        <v>18</v>
      </c>
      <c r="H624" s="2063"/>
      <c r="I624" s="2063"/>
      <c r="J624" s="2063"/>
      <c r="K624" s="2063"/>
      <c r="L624" s="2063"/>
      <c r="M624" s="2063"/>
      <c r="N624" s="2063"/>
      <c r="O624" s="2063"/>
      <c r="P624" s="2063"/>
      <c r="Q624" s="2063"/>
      <c r="R624" s="2063"/>
      <c r="U624" s="12" t="s">
        <v>18</v>
      </c>
      <c r="AA624" s="2063"/>
      <c r="AB624" s="2063"/>
      <c r="AC624" s="2063"/>
      <c r="AD624" s="2063"/>
      <c r="AE624" s="2063"/>
      <c r="AF624" s="2063"/>
      <c r="AG624" s="2063"/>
      <c r="AH624" s="2063"/>
      <c r="AI624" s="2063"/>
      <c r="AJ624" s="2063"/>
      <c r="AK624" s="2063"/>
      <c r="AZ624" s="58"/>
      <c r="BA624" s="58"/>
      <c r="BB624" s="58"/>
      <c r="BC624" s="58"/>
      <c r="BD624" s="58"/>
      <c r="BE624" s="2052">
        <f t="shared" si="0"/>
        <v>0</v>
      </c>
      <c r="BF624" s="2053"/>
      <c r="BG624" s="2214">
        <f t="shared" si="1"/>
        <v>0</v>
      </c>
      <c r="BH624" s="2215"/>
      <c r="BI624" s="2052">
        <f t="shared" si="2"/>
        <v>0</v>
      </c>
      <c r="BJ624" s="2053"/>
      <c r="BK624" s="2214">
        <f t="shared" si="3"/>
        <v>0</v>
      </c>
      <c r="BL624" s="2215"/>
      <c r="BM624" s="58"/>
      <c r="BN624" s="2028">
        <f t="shared" si="4"/>
        <v>0</v>
      </c>
      <c r="BO624" s="2029"/>
      <c r="BP624" s="2029"/>
      <c r="BQ624" s="2029"/>
      <c r="BR624" s="2030"/>
      <c r="BS624" s="2027">
        <f t="shared" si="5"/>
        <v>0</v>
      </c>
      <c r="BT624" s="2027"/>
      <c r="BU624" s="2027"/>
      <c r="BV624" s="2027"/>
      <c r="BW624" s="2027"/>
      <c r="BX624" s="2027">
        <f t="shared" si="6"/>
        <v>0</v>
      </c>
      <c r="BY624" s="2027"/>
      <c r="BZ624" s="2027"/>
      <c r="CA624" s="2027"/>
      <c r="CB624" s="2027"/>
      <c r="CC624" s="2027">
        <f t="shared" si="7"/>
        <v>0</v>
      </c>
      <c r="CD624" s="2027"/>
      <c r="CE624" s="2027"/>
      <c r="CF624" s="2027"/>
      <c r="CG624" s="2027"/>
      <c r="CH624" s="2027">
        <f t="shared" si="8"/>
        <v>0</v>
      </c>
      <c r="CI624" s="2027"/>
      <c r="CJ624" s="2027"/>
      <c r="CK624" s="2027"/>
      <c r="CL624" s="2027"/>
      <c r="CM624" s="2027">
        <f t="shared" si="9"/>
        <v>0</v>
      </c>
      <c r="CN624" s="2027"/>
      <c r="CO624" s="2027"/>
      <c r="CP624" s="2027"/>
      <c r="CQ624" s="2027"/>
      <c r="CR624" s="265"/>
      <c r="CS624" s="2394">
        <f t="shared" si="10"/>
        <v>0</v>
      </c>
      <c r="CT624" s="2394"/>
      <c r="CU624" s="2394"/>
      <c r="CV624" s="2394"/>
      <c r="CW624" s="2394"/>
      <c r="CX624" s="2394">
        <f t="shared" si="11"/>
        <v>0</v>
      </c>
      <c r="CY624" s="2394"/>
      <c r="CZ624" s="2394"/>
      <c r="DA624" s="2394"/>
      <c r="DB624" s="2394"/>
      <c r="DC624" s="2394">
        <f t="shared" si="12"/>
        <v>0</v>
      </c>
      <c r="DD624" s="2394"/>
      <c r="DE624" s="2394"/>
      <c r="DF624" s="2394"/>
      <c r="DG624" s="2394"/>
      <c r="DH624" s="2394">
        <f t="shared" si="13"/>
        <v>0</v>
      </c>
      <c r="DI624" s="2394"/>
      <c r="DJ624" s="2394"/>
      <c r="DK624" s="2394"/>
      <c r="DL624" s="2394"/>
      <c r="DM624" s="2394">
        <f t="shared" si="14"/>
        <v>0</v>
      </c>
      <c r="DN624" s="2394"/>
      <c r="DO624" s="2394"/>
      <c r="DP624" s="2394"/>
      <c r="DQ624" s="2394"/>
      <c r="DR624" s="2394">
        <f t="shared" si="15"/>
        <v>0</v>
      </c>
      <c r="DS624" s="2394"/>
      <c r="DT624" s="2394"/>
      <c r="DU624" s="2394"/>
      <c r="DV624" s="2394"/>
      <c r="DX624" s="2052" t="str">
        <f t="shared" si="16"/>
        <v xml:space="preserve"> </v>
      </c>
      <c r="DY624" s="2216"/>
      <c r="DZ624" s="2216"/>
      <c r="EA624" s="2216"/>
      <c r="EB624" s="2053"/>
      <c r="EC624" s="2052" t="str">
        <f t="shared" si="17"/>
        <v xml:space="preserve"> </v>
      </c>
      <c r="ED624" s="2216"/>
      <c r="EE624" s="2216"/>
      <c r="EF624" s="2216"/>
      <c r="EG624" s="2053"/>
      <c r="EH624" s="2052" t="str">
        <f t="shared" si="18"/>
        <v xml:space="preserve"> </v>
      </c>
      <c r="EI624" s="2216"/>
      <c r="EJ624" s="2216"/>
      <c r="EK624" s="2216"/>
      <c r="EL624" s="2053"/>
      <c r="EM624" s="2052" t="str">
        <f t="shared" si="19"/>
        <v xml:space="preserve"> </v>
      </c>
      <c r="EN624" s="2216"/>
      <c r="EO624" s="2216"/>
      <c r="EP624" s="2216"/>
      <c r="EQ624" s="2053"/>
      <c r="ER624" s="2052" t="str">
        <f t="shared" si="20"/>
        <v xml:space="preserve"> </v>
      </c>
      <c r="ES624" s="2216"/>
      <c r="ET624" s="2216"/>
      <c r="EU624" s="2216"/>
      <c r="EV624" s="2053"/>
      <c r="EW624" s="2052" t="str">
        <f t="shared" si="21"/>
        <v xml:space="preserve"> </v>
      </c>
      <c r="EX624" s="2216"/>
      <c r="EY624" s="2216"/>
      <c r="EZ624" s="2216"/>
      <c r="FA624" s="2053"/>
    </row>
    <row r="625" spans="1:157" ht="12.5">
      <c r="B625" s="12" t="s">
        <v>20</v>
      </c>
      <c r="N625" s="2069"/>
      <c r="O625" s="2069"/>
      <c r="U625" s="12" t="s">
        <v>20</v>
      </c>
      <c r="AG625" s="2069"/>
      <c r="AH625" s="2069"/>
      <c r="AZ625" s="58"/>
      <c r="BA625" s="58"/>
      <c r="BB625" s="58"/>
      <c r="BC625" s="58"/>
      <c r="BD625" s="58"/>
      <c r="BE625" s="2052">
        <f t="shared" si="0"/>
        <v>0</v>
      </c>
      <c r="BF625" s="2053"/>
      <c r="BG625" s="2214">
        <f t="shared" si="1"/>
        <v>0</v>
      </c>
      <c r="BH625" s="2215"/>
      <c r="BI625" s="2052">
        <f t="shared" si="2"/>
        <v>0</v>
      </c>
      <c r="BJ625" s="2053"/>
      <c r="BK625" s="2214">
        <f t="shared" si="3"/>
        <v>0</v>
      </c>
      <c r="BL625" s="2215"/>
      <c r="BM625" s="58"/>
      <c r="BN625" s="2028">
        <f t="shared" si="4"/>
        <v>0</v>
      </c>
      <c r="BO625" s="2029"/>
      <c r="BP625" s="2029"/>
      <c r="BQ625" s="2029"/>
      <c r="BR625" s="2030"/>
      <c r="BS625" s="2027">
        <f t="shared" si="5"/>
        <v>0</v>
      </c>
      <c r="BT625" s="2027"/>
      <c r="BU625" s="2027"/>
      <c r="BV625" s="2027"/>
      <c r="BW625" s="2027"/>
      <c r="BX625" s="2027">
        <f t="shared" si="6"/>
        <v>0</v>
      </c>
      <c r="BY625" s="2027"/>
      <c r="BZ625" s="2027"/>
      <c r="CA625" s="2027"/>
      <c r="CB625" s="2027"/>
      <c r="CC625" s="2027">
        <f t="shared" si="7"/>
        <v>0</v>
      </c>
      <c r="CD625" s="2027"/>
      <c r="CE625" s="2027"/>
      <c r="CF625" s="2027"/>
      <c r="CG625" s="2027"/>
      <c r="CH625" s="2027">
        <f t="shared" si="8"/>
        <v>0</v>
      </c>
      <c r="CI625" s="2027"/>
      <c r="CJ625" s="2027"/>
      <c r="CK625" s="2027"/>
      <c r="CL625" s="2027"/>
      <c r="CM625" s="2027">
        <f t="shared" si="9"/>
        <v>0</v>
      </c>
      <c r="CN625" s="2027"/>
      <c r="CO625" s="2027"/>
      <c r="CP625" s="2027"/>
      <c r="CQ625" s="2027"/>
      <c r="CR625" s="265"/>
      <c r="CS625" s="2394">
        <f t="shared" si="10"/>
        <v>0</v>
      </c>
      <c r="CT625" s="2394"/>
      <c r="CU625" s="2394"/>
      <c r="CV625" s="2394"/>
      <c r="CW625" s="2394"/>
      <c r="CX625" s="2394">
        <f t="shared" si="11"/>
        <v>0</v>
      </c>
      <c r="CY625" s="2394"/>
      <c r="CZ625" s="2394"/>
      <c r="DA625" s="2394"/>
      <c r="DB625" s="2394"/>
      <c r="DC625" s="2394">
        <f t="shared" si="12"/>
        <v>0</v>
      </c>
      <c r="DD625" s="2394"/>
      <c r="DE625" s="2394"/>
      <c r="DF625" s="2394"/>
      <c r="DG625" s="2394"/>
      <c r="DH625" s="2394">
        <f t="shared" si="13"/>
        <v>0</v>
      </c>
      <c r="DI625" s="2394"/>
      <c r="DJ625" s="2394"/>
      <c r="DK625" s="2394"/>
      <c r="DL625" s="2394"/>
      <c r="DM625" s="2394">
        <f t="shared" si="14"/>
        <v>0</v>
      </c>
      <c r="DN625" s="2394"/>
      <c r="DO625" s="2394"/>
      <c r="DP625" s="2394"/>
      <c r="DQ625" s="2394"/>
      <c r="DR625" s="2394">
        <f t="shared" si="15"/>
        <v>0</v>
      </c>
      <c r="DS625" s="2394"/>
      <c r="DT625" s="2394"/>
      <c r="DU625" s="2394"/>
      <c r="DV625" s="2394"/>
      <c r="DX625" s="2052" t="str">
        <f t="shared" si="16"/>
        <v xml:space="preserve"> </v>
      </c>
      <c r="DY625" s="2216"/>
      <c r="DZ625" s="2216"/>
      <c r="EA625" s="2216"/>
      <c r="EB625" s="2053"/>
      <c r="EC625" s="2052" t="str">
        <f t="shared" si="17"/>
        <v xml:space="preserve"> </v>
      </c>
      <c r="ED625" s="2216"/>
      <c r="EE625" s="2216"/>
      <c r="EF625" s="2216"/>
      <c r="EG625" s="2053"/>
      <c r="EH625" s="2052" t="str">
        <f t="shared" si="18"/>
        <v xml:space="preserve"> </v>
      </c>
      <c r="EI625" s="2216"/>
      <c r="EJ625" s="2216"/>
      <c r="EK625" s="2216"/>
      <c r="EL625" s="2053"/>
      <c r="EM625" s="2052" t="str">
        <f t="shared" si="19"/>
        <v xml:space="preserve"> </v>
      </c>
      <c r="EN625" s="2216"/>
      <c r="EO625" s="2216"/>
      <c r="EP625" s="2216"/>
      <c r="EQ625" s="2053"/>
      <c r="ER625" s="2052" t="str">
        <f t="shared" si="20"/>
        <v xml:space="preserve"> </v>
      </c>
      <c r="ES625" s="2216"/>
      <c r="ET625" s="2216"/>
      <c r="EU625" s="2216"/>
      <c r="EV625" s="2053"/>
      <c r="EW625" s="2052" t="str">
        <f t="shared" si="21"/>
        <v xml:space="preserve"> </v>
      </c>
      <c r="EX625" s="2216"/>
      <c r="EY625" s="2216"/>
      <c r="EZ625" s="2216"/>
      <c r="FA625" s="2053"/>
    </row>
    <row r="626" spans="1:157" ht="12.5">
      <c r="AZ626" s="58"/>
      <c r="BA626" s="58"/>
      <c r="BB626" s="58"/>
      <c r="BC626" s="58"/>
      <c r="BD626" s="58"/>
      <c r="BE626" s="2052">
        <f t="shared" si="0"/>
        <v>0</v>
      </c>
      <c r="BF626" s="2053"/>
      <c r="BG626" s="2214">
        <f t="shared" si="1"/>
        <v>0</v>
      </c>
      <c r="BH626" s="2215"/>
      <c r="BI626" s="2052">
        <f t="shared" si="2"/>
        <v>0</v>
      </c>
      <c r="BJ626" s="2053"/>
      <c r="BK626" s="2214">
        <f t="shared" si="3"/>
        <v>0</v>
      </c>
      <c r="BL626" s="2215"/>
      <c r="BM626" s="58"/>
      <c r="BN626" s="2028">
        <f t="shared" si="4"/>
        <v>0</v>
      </c>
      <c r="BO626" s="2029"/>
      <c r="BP626" s="2029"/>
      <c r="BQ626" s="2029"/>
      <c r="BR626" s="2030"/>
      <c r="BS626" s="2027">
        <f t="shared" si="5"/>
        <v>0</v>
      </c>
      <c r="BT626" s="2027"/>
      <c r="BU626" s="2027"/>
      <c r="BV626" s="2027"/>
      <c r="BW626" s="2027"/>
      <c r="BX626" s="2027">
        <f t="shared" si="6"/>
        <v>0</v>
      </c>
      <c r="BY626" s="2027"/>
      <c r="BZ626" s="2027"/>
      <c r="CA626" s="2027"/>
      <c r="CB626" s="2027"/>
      <c r="CC626" s="2027">
        <f t="shared" si="7"/>
        <v>0</v>
      </c>
      <c r="CD626" s="2027"/>
      <c r="CE626" s="2027"/>
      <c r="CF626" s="2027"/>
      <c r="CG626" s="2027"/>
      <c r="CH626" s="2027">
        <f t="shared" si="8"/>
        <v>0</v>
      </c>
      <c r="CI626" s="2027"/>
      <c r="CJ626" s="2027"/>
      <c r="CK626" s="2027"/>
      <c r="CL626" s="2027"/>
      <c r="CM626" s="2027">
        <f t="shared" si="9"/>
        <v>0</v>
      </c>
      <c r="CN626" s="2027"/>
      <c r="CO626" s="2027"/>
      <c r="CP626" s="2027"/>
      <c r="CQ626" s="2027"/>
      <c r="CR626" s="265"/>
      <c r="CS626" s="2394">
        <f t="shared" si="10"/>
        <v>0</v>
      </c>
      <c r="CT626" s="2394"/>
      <c r="CU626" s="2394"/>
      <c r="CV626" s="2394"/>
      <c r="CW626" s="2394"/>
      <c r="CX626" s="2394">
        <f t="shared" si="11"/>
        <v>0</v>
      </c>
      <c r="CY626" s="2394"/>
      <c r="CZ626" s="2394"/>
      <c r="DA626" s="2394"/>
      <c r="DB626" s="2394"/>
      <c r="DC626" s="2394">
        <f t="shared" si="12"/>
        <v>0</v>
      </c>
      <c r="DD626" s="2394"/>
      <c r="DE626" s="2394"/>
      <c r="DF626" s="2394"/>
      <c r="DG626" s="2394"/>
      <c r="DH626" s="2394">
        <f t="shared" si="13"/>
        <v>0</v>
      </c>
      <c r="DI626" s="2394"/>
      <c r="DJ626" s="2394"/>
      <c r="DK626" s="2394"/>
      <c r="DL626" s="2394"/>
      <c r="DM626" s="2394">
        <f t="shared" si="14"/>
        <v>0</v>
      </c>
      <c r="DN626" s="2394"/>
      <c r="DO626" s="2394"/>
      <c r="DP626" s="2394"/>
      <c r="DQ626" s="2394"/>
      <c r="DR626" s="2394">
        <f t="shared" si="15"/>
        <v>0</v>
      </c>
      <c r="DS626" s="2394"/>
      <c r="DT626" s="2394"/>
      <c r="DU626" s="2394"/>
      <c r="DV626" s="2394"/>
      <c r="DX626" s="2052" t="str">
        <f t="shared" si="16"/>
        <v xml:space="preserve"> </v>
      </c>
      <c r="DY626" s="2216"/>
      <c r="DZ626" s="2216"/>
      <c r="EA626" s="2216"/>
      <c r="EB626" s="2053"/>
      <c r="EC626" s="2052" t="str">
        <f t="shared" si="17"/>
        <v xml:space="preserve"> </v>
      </c>
      <c r="ED626" s="2216"/>
      <c r="EE626" s="2216"/>
      <c r="EF626" s="2216"/>
      <c r="EG626" s="2053"/>
      <c r="EH626" s="2052" t="str">
        <f t="shared" si="18"/>
        <v xml:space="preserve"> </v>
      </c>
      <c r="EI626" s="2216"/>
      <c r="EJ626" s="2216"/>
      <c r="EK626" s="2216"/>
      <c r="EL626" s="2053"/>
      <c r="EM626" s="2052" t="str">
        <f t="shared" si="19"/>
        <v xml:space="preserve"> </v>
      </c>
      <c r="EN626" s="2216"/>
      <c r="EO626" s="2216"/>
      <c r="EP626" s="2216"/>
      <c r="EQ626" s="2053"/>
      <c r="ER626" s="2052" t="str">
        <f t="shared" si="20"/>
        <v xml:space="preserve"> </v>
      </c>
      <c r="ES626" s="2216"/>
      <c r="ET626" s="2216"/>
      <c r="EU626" s="2216"/>
      <c r="EV626" s="2053"/>
      <c r="EW626" s="2052" t="str">
        <f t="shared" si="21"/>
        <v xml:space="preserve"> </v>
      </c>
      <c r="EX626" s="2216"/>
      <c r="EY626" s="2216"/>
      <c r="EZ626" s="2216"/>
      <c r="FA626" s="2053"/>
    </row>
    <row r="627" spans="1:157" ht="12.75" customHeight="1">
      <c r="A627" s="1886" t="s">
        <v>579</v>
      </c>
      <c r="B627" s="1886"/>
      <c r="C627" s="1886"/>
      <c r="D627" s="1886"/>
      <c r="E627" s="1886"/>
      <c r="F627" s="1886"/>
      <c r="G627" s="1886"/>
      <c r="H627" s="1886"/>
      <c r="I627" s="1886"/>
      <c r="J627" s="1886"/>
      <c r="K627" s="1886"/>
      <c r="L627" s="1886"/>
      <c r="M627" s="1886"/>
      <c r="N627" s="1886"/>
      <c r="O627" s="1886"/>
      <c r="P627" s="1886"/>
      <c r="Q627" s="1886"/>
      <c r="R627" s="1886"/>
      <c r="S627" s="1886"/>
      <c r="T627" s="1886"/>
      <c r="U627" s="1886"/>
      <c r="V627" s="1886"/>
      <c r="W627" s="1886"/>
      <c r="X627" s="1886"/>
      <c r="Y627" s="1886"/>
      <c r="Z627" s="1886"/>
      <c r="AA627" s="1886"/>
      <c r="AB627" s="1886"/>
      <c r="AC627" s="1886"/>
      <c r="AD627" s="1886"/>
      <c r="AE627" s="1886"/>
      <c r="AF627" s="1886"/>
      <c r="AG627" s="1886"/>
      <c r="AH627" s="1886"/>
      <c r="AI627" s="1886"/>
      <c r="AJ627" s="1886"/>
      <c r="AK627" s="1886"/>
      <c r="AL627" s="1886"/>
      <c r="AM627" s="1886"/>
      <c r="AN627" s="1886"/>
      <c r="AO627" s="1886"/>
      <c r="AP627" s="1886"/>
      <c r="AQ627" s="1886"/>
      <c r="AR627" s="1886"/>
      <c r="AS627" s="1886"/>
      <c r="AT627" s="1574"/>
      <c r="AU627" s="1574"/>
      <c r="AV627" s="1574"/>
      <c r="AW627" s="1574"/>
      <c r="AX627" s="1574"/>
      <c r="AY627" s="1574"/>
      <c r="AZ627" s="58"/>
      <c r="BA627" s="58"/>
      <c r="BB627" s="58"/>
      <c r="BC627" s="58"/>
      <c r="BD627" s="58"/>
      <c r="BE627" s="2052">
        <f t="shared" si="0"/>
        <v>0</v>
      </c>
      <c r="BF627" s="2053"/>
      <c r="BG627" s="2214">
        <f t="shared" si="1"/>
        <v>0</v>
      </c>
      <c r="BH627" s="2215"/>
      <c r="BI627" s="2052">
        <f t="shared" si="2"/>
        <v>0</v>
      </c>
      <c r="BJ627" s="2053"/>
      <c r="BK627" s="2214">
        <f t="shared" si="3"/>
        <v>0</v>
      </c>
      <c r="BL627" s="2215"/>
      <c r="BM627" s="58"/>
      <c r="BN627" s="2028">
        <f t="shared" si="4"/>
        <v>0</v>
      </c>
      <c r="BO627" s="2029"/>
      <c r="BP627" s="2029"/>
      <c r="BQ627" s="2029"/>
      <c r="BR627" s="2030"/>
      <c r="BS627" s="2027">
        <f t="shared" si="5"/>
        <v>0</v>
      </c>
      <c r="BT627" s="2027"/>
      <c r="BU627" s="2027"/>
      <c r="BV627" s="2027"/>
      <c r="BW627" s="2027"/>
      <c r="BX627" s="2027">
        <f t="shared" si="6"/>
        <v>0</v>
      </c>
      <c r="BY627" s="2027"/>
      <c r="BZ627" s="2027"/>
      <c r="CA627" s="2027"/>
      <c r="CB627" s="2027"/>
      <c r="CC627" s="2027">
        <f t="shared" si="7"/>
        <v>0</v>
      </c>
      <c r="CD627" s="2027"/>
      <c r="CE627" s="2027"/>
      <c r="CF627" s="2027"/>
      <c r="CG627" s="2027"/>
      <c r="CH627" s="2027">
        <f t="shared" si="8"/>
        <v>0</v>
      </c>
      <c r="CI627" s="2027"/>
      <c r="CJ627" s="2027"/>
      <c r="CK627" s="2027"/>
      <c r="CL627" s="2027"/>
      <c r="CM627" s="2027">
        <f t="shared" si="9"/>
        <v>0</v>
      </c>
      <c r="CN627" s="2027"/>
      <c r="CO627" s="2027"/>
      <c r="CP627" s="2027"/>
      <c r="CQ627" s="2027"/>
      <c r="CR627" s="265"/>
      <c r="CS627" s="2394">
        <f t="shared" si="10"/>
        <v>0</v>
      </c>
      <c r="CT627" s="2394"/>
      <c r="CU627" s="2394"/>
      <c r="CV627" s="2394"/>
      <c r="CW627" s="2394"/>
      <c r="CX627" s="2394">
        <f t="shared" si="11"/>
        <v>0</v>
      </c>
      <c r="CY627" s="2394"/>
      <c r="CZ627" s="2394"/>
      <c r="DA627" s="2394"/>
      <c r="DB627" s="2394"/>
      <c r="DC627" s="2394">
        <f t="shared" si="12"/>
        <v>0</v>
      </c>
      <c r="DD627" s="2394"/>
      <c r="DE627" s="2394"/>
      <c r="DF627" s="2394"/>
      <c r="DG627" s="2394"/>
      <c r="DH627" s="2394">
        <f t="shared" si="13"/>
        <v>0</v>
      </c>
      <c r="DI627" s="2394"/>
      <c r="DJ627" s="2394"/>
      <c r="DK627" s="2394"/>
      <c r="DL627" s="2394"/>
      <c r="DM627" s="2394">
        <f t="shared" si="14"/>
        <v>0</v>
      </c>
      <c r="DN627" s="2394"/>
      <c r="DO627" s="2394"/>
      <c r="DP627" s="2394"/>
      <c r="DQ627" s="2394"/>
      <c r="DR627" s="2394">
        <f t="shared" si="15"/>
        <v>0</v>
      </c>
      <c r="DS627" s="2394"/>
      <c r="DT627" s="2394"/>
      <c r="DU627" s="2394"/>
      <c r="DV627" s="2394"/>
      <c r="DX627" s="2052" t="str">
        <f t="shared" si="16"/>
        <v xml:space="preserve"> </v>
      </c>
      <c r="DY627" s="2216"/>
      <c r="DZ627" s="2216"/>
      <c r="EA627" s="2216"/>
      <c r="EB627" s="2053"/>
      <c r="EC627" s="2052" t="str">
        <f t="shared" si="17"/>
        <v xml:space="preserve"> </v>
      </c>
      <c r="ED627" s="2216"/>
      <c r="EE627" s="2216"/>
      <c r="EF627" s="2216"/>
      <c r="EG627" s="2053"/>
      <c r="EH627" s="2052" t="str">
        <f t="shared" si="18"/>
        <v xml:space="preserve"> </v>
      </c>
      <c r="EI627" s="2216"/>
      <c r="EJ627" s="2216"/>
      <c r="EK627" s="2216"/>
      <c r="EL627" s="2053"/>
      <c r="EM627" s="2052" t="str">
        <f t="shared" si="19"/>
        <v xml:space="preserve"> </v>
      </c>
      <c r="EN627" s="2216"/>
      <c r="EO627" s="2216"/>
      <c r="EP627" s="2216"/>
      <c r="EQ627" s="2053"/>
      <c r="ER627" s="2052" t="str">
        <f t="shared" si="20"/>
        <v xml:space="preserve"> </v>
      </c>
      <c r="ES627" s="2216"/>
      <c r="ET627" s="2216"/>
      <c r="EU627" s="2216"/>
      <c r="EV627" s="2053"/>
      <c r="EW627" s="2052" t="str">
        <f t="shared" si="21"/>
        <v xml:space="preserve"> </v>
      </c>
      <c r="EX627" s="2216"/>
      <c r="EY627" s="2216"/>
      <c r="EZ627" s="2216"/>
      <c r="FA627" s="2053"/>
    </row>
    <row r="628" spans="1:157" ht="13">
      <c r="A628" s="1886"/>
      <c r="B628" s="1886"/>
      <c r="C628" s="1886"/>
      <c r="D628" s="1886"/>
      <c r="E628" s="1886"/>
      <c r="F628" s="1886"/>
      <c r="G628" s="1886"/>
      <c r="H628" s="1886"/>
      <c r="I628" s="1886"/>
      <c r="J628" s="1886"/>
      <c r="K628" s="1886"/>
      <c r="L628" s="1886"/>
      <c r="M628" s="1886"/>
      <c r="N628" s="1886"/>
      <c r="O628" s="1886"/>
      <c r="P628" s="1886"/>
      <c r="Q628" s="1886"/>
      <c r="R628" s="1886"/>
      <c r="S628" s="1886"/>
      <c r="T628" s="1886"/>
      <c r="U628" s="1886"/>
      <c r="V628" s="1886"/>
      <c r="W628" s="1886"/>
      <c r="X628" s="1886"/>
      <c r="Y628" s="1886"/>
      <c r="Z628" s="1886"/>
      <c r="AA628" s="1886"/>
      <c r="AB628" s="1886"/>
      <c r="AC628" s="1886"/>
      <c r="AD628" s="1886"/>
      <c r="AE628" s="1886"/>
      <c r="AF628" s="1886"/>
      <c r="AG628" s="1886"/>
      <c r="AH628" s="1886"/>
      <c r="AI628" s="1886"/>
      <c r="AJ628" s="1886"/>
      <c r="AK628" s="1886"/>
      <c r="AL628" s="1886"/>
      <c r="AM628" s="1886"/>
      <c r="AN628" s="1886"/>
      <c r="AO628" s="1886"/>
      <c r="AP628" s="1886"/>
      <c r="AQ628" s="1886"/>
      <c r="AR628" s="1886"/>
      <c r="AS628" s="1886"/>
      <c r="AT628" s="1574"/>
      <c r="AU628" s="1574"/>
      <c r="AV628" s="1574"/>
      <c r="AW628" s="1574"/>
      <c r="AX628" s="1574"/>
      <c r="AY628" s="1574"/>
      <c r="AZ628" s="58"/>
      <c r="BA628" s="58"/>
      <c r="BB628" s="58"/>
      <c r="BC628" s="58"/>
      <c r="BD628" s="58"/>
      <c r="BE628" s="2052">
        <f t="shared" si="0"/>
        <v>0</v>
      </c>
      <c r="BF628" s="2053"/>
      <c r="BG628" s="2214">
        <f t="shared" si="1"/>
        <v>0</v>
      </c>
      <c r="BH628" s="2215"/>
      <c r="BI628" s="2052">
        <f t="shared" si="2"/>
        <v>0</v>
      </c>
      <c r="BJ628" s="2053"/>
      <c r="BK628" s="2214">
        <f t="shared" si="3"/>
        <v>0</v>
      </c>
      <c r="BL628" s="2215"/>
      <c r="BM628" s="58"/>
      <c r="BN628" s="2028">
        <f t="shared" si="4"/>
        <v>0</v>
      </c>
      <c r="BO628" s="2029"/>
      <c r="BP628" s="2029"/>
      <c r="BQ628" s="2029"/>
      <c r="BR628" s="2030"/>
      <c r="BS628" s="2027">
        <f t="shared" si="5"/>
        <v>0</v>
      </c>
      <c r="BT628" s="2027"/>
      <c r="BU628" s="2027"/>
      <c r="BV628" s="2027"/>
      <c r="BW628" s="2027"/>
      <c r="BX628" s="2027">
        <f t="shared" si="6"/>
        <v>0</v>
      </c>
      <c r="BY628" s="2027"/>
      <c r="BZ628" s="2027"/>
      <c r="CA628" s="2027"/>
      <c r="CB628" s="2027"/>
      <c r="CC628" s="2027">
        <f t="shared" si="7"/>
        <v>0</v>
      </c>
      <c r="CD628" s="2027"/>
      <c r="CE628" s="2027"/>
      <c r="CF628" s="2027"/>
      <c r="CG628" s="2027"/>
      <c r="CH628" s="2027">
        <f t="shared" si="8"/>
        <v>0</v>
      </c>
      <c r="CI628" s="2027"/>
      <c r="CJ628" s="2027"/>
      <c r="CK628" s="2027"/>
      <c r="CL628" s="2027"/>
      <c r="CM628" s="2027">
        <f t="shared" si="9"/>
        <v>0</v>
      </c>
      <c r="CN628" s="2027"/>
      <c r="CO628" s="2027"/>
      <c r="CP628" s="2027"/>
      <c r="CQ628" s="2027"/>
      <c r="CR628" s="265"/>
      <c r="CS628" s="2394">
        <f t="shared" si="10"/>
        <v>0</v>
      </c>
      <c r="CT628" s="2394"/>
      <c r="CU628" s="2394"/>
      <c r="CV628" s="2394"/>
      <c r="CW628" s="2394"/>
      <c r="CX628" s="2394">
        <f t="shared" si="11"/>
        <v>0</v>
      </c>
      <c r="CY628" s="2394"/>
      <c r="CZ628" s="2394"/>
      <c r="DA628" s="2394"/>
      <c r="DB628" s="2394"/>
      <c r="DC628" s="2394">
        <f t="shared" si="12"/>
        <v>0</v>
      </c>
      <c r="DD628" s="2394"/>
      <c r="DE628" s="2394"/>
      <c r="DF628" s="2394"/>
      <c r="DG628" s="2394"/>
      <c r="DH628" s="2394">
        <f t="shared" si="13"/>
        <v>0</v>
      </c>
      <c r="DI628" s="2394"/>
      <c r="DJ628" s="2394"/>
      <c r="DK628" s="2394"/>
      <c r="DL628" s="2394"/>
      <c r="DM628" s="2394">
        <f t="shared" si="14"/>
        <v>0</v>
      </c>
      <c r="DN628" s="2394"/>
      <c r="DO628" s="2394"/>
      <c r="DP628" s="2394"/>
      <c r="DQ628" s="2394"/>
      <c r="DR628" s="2394">
        <f t="shared" si="15"/>
        <v>0</v>
      </c>
      <c r="DS628" s="2394"/>
      <c r="DT628" s="2394"/>
      <c r="DU628" s="2394"/>
      <c r="DV628" s="2394"/>
      <c r="DX628" s="2052" t="str">
        <f t="shared" si="16"/>
        <v xml:space="preserve"> </v>
      </c>
      <c r="DY628" s="2216"/>
      <c r="DZ628" s="2216"/>
      <c r="EA628" s="2216"/>
      <c r="EB628" s="2053"/>
      <c r="EC628" s="2052" t="str">
        <f t="shared" si="17"/>
        <v xml:space="preserve"> </v>
      </c>
      <c r="ED628" s="2216"/>
      <c r="EE628" s="2216"/>
      <c r="EF628" s="2216"/>
      <c r="EG628" s="2053"/>
      <c r="EH628" s="2052" t="str">
        <f t="shared" si="18"/>
        <v xml:space="preserve"> </v>
      </c>
      <c r="EI628" s="2216"/>
      <c r="EJ628" s="2216"/>
      <c r="EK628" s="2216"/>
      <c r="EL628" s="2053"/>
      <c r="EM628" s="2052" t="str">
        <f t="shared" si="19"/>
        <v xml:space="preserve"> </v>
      </c>
      <c r="EN628" s="2216"/>
      <c r="EO628" s="2216"/>
      <c r="EP628" s="2216"/>
      <c r="EQ628" s="2053"/>
      <c r="ER628" s="2052" t="str">
        <f t="shared" si="20"/>
        <v xml:space="preserve"> </v>
      </c>
      <c r="ES628" s="2216"/>
      <c r="ET628" s="2216"/>
      <c r="EU628" s="2216"/>
      <c r="EV628" s="2053"/>
      <c r="EW628" s="2052" t="str">
        <f t="shared" si="21"/>
        <v xml:space="preserve"> </v>
      </c>
      <c r="EX628" s="2216"/>
      <c r="EY628" s="2216"/>
      <c r="EZ628" s="2216"/>
      <c r="FA628" s="2053"/>
    </row>
    <row r="629" spans="1:157" ht="12.5">
      <c r="A629" s="25"/>
      <c r="B629" s="25"/>
      <c r="C629" s="25"/>
      <c r="D629" s="25"/>
      <c r="E629" s="25"/>
      <c r="F629" s="25"/>
      <c r="G629" s="3"/>
      <c r="H629" s="25"/>
      <c r="AZ629" s="58"/>
      <c r="BA629" s="58"/>
      <c r="BB629" s="58"/>
      <c r="BC629" s="58"/>
      <c r="BD629" s="58"/>
      <c r="BE629" s="2052">
        <f t="shared" si="0"/>
        <v>0</v>
      </c>
      <c r="BF629" s="2053"/>
      <c r="BG629" s="2214">
        <f t="shared" si="1"/>
        <v>0</v>
      </c>
      <c r="BH629" s="2215"/>
      <c r="BI629" s="2052">
        <f t="shared" si="2"/>
        <v>0</v>
      </c>
      <c r="BJ629" s="2053"/>
      <c r="BK629" s="2214">
        <f t="shared" si="3"/>
        <v>0</v>
      </c>
      <c r="BL629" s="2215"/>
      <c r="BM629" s="58"/>
      <c r="BN629" s="2028">
        <f t="shared" si="4"/>
        <v>0</v>
      </c>
      <c r="BO629" s="2029"/>
      <c r="BP629" s="2029"/>
      <c r="BQ629" s="2029"/>
      <c r="BR629" s="2030"/>
      <c r="BS629" s="2027">
        <f t="shared" si="5"/>
        <v>0</v>
      </c>
      <c r="BT629" s="2027"/>
      <c r="BU629" s="2027"/>
      <c r="BV629" s="2027"/>
      <c r="BW629" s="2027"/>
      <c r="BX629" s="2027">
        <f t="shared" si="6"/>
        <v>0</v>
      </c>
      <c r="BY629" s="2027"/>
      <c r="BZ629" s="2027"/>
      <c r="CA629" s="2027"/>
      <c r="CB629" s="2027"/>
      <c r="CC629" s="2027">
        <f t="shared" si="7"/>
        <v>0</v>
      </c>
      <c r="CD629" s="2027"/>
      <c r="CE629" s="2027"/>
      <c r="CF629" s="2027"/>
      <c r="CG629" s="2027"/>
      <c r="CH629" s="2027">
        <f t="shared" si="8"/>
        <v>0</v>
      </c>
      <c r="CI629" s="2027"/>
      <c r="CJ629" s="2027"/>
      <c r="CK629" s="2027"/>
      <c r="CL629" s="2027"/>
      <c r="CM629" s="2027">
        <f t="shared" si="9"/>
        <v>0</v>
      </c>
      <c r="CN629" s="2027"/>
      <c r="CO629" s="2027"/>
      <c r="CP629" s="2027"/>
      <c r="CQ629" s="2027"/>
      <c r="CR629" s="265"/>
      <c r="CS629" s="2394">
        <f t="shared" si="10"/>
        <v>0</v>
      </c>
      <c r="CT629" s="2394"/>
      <c r="CU629" s="2394"/>
      <c r="CV629" s="2394"/>
      <c r="CW629" s="2394"/>
      <c r="CX629" s="2394">
        <f t="shared" si="11"/>
        <v>0</v>
      </c>
      <c r="CY629" s="2394"/>
      <c r="CZ629" s="2394"/>
      <c r="DA629" s="2394"/>
      <c r="DB629" s="2394"/>
      <c r="DC629" s="2394">
        <f t="shared" si="12"/>
        <v>0</v>
      </c>
      <c r="DD629" s="2394"/>
      <c r="DE629" s="2394"/>
      <c r="DF629" s="2394"/>
      <c r="DG629" s="2394"/>
      <c r="DH629" s="2394">
        <f t="shared" si="13"/>
        <v>0</v>
      </c>
      <c r="DI629" s="2394"/>
      <c r="DJ629" s="2394"/>
      <c r="DK629" s="2394"/>
      <c r="DL629" s="2394"/>
      <c r="DM629" s="2394">
        <f t="shared" si="14"/>
        <v>0</v>
      </c>
      <c r="DN629" s="2394"/>
      <c r="DO629" s="2394"/>
      <c r="DP629" s="2394"/>
      <c r="DQ629" s="2394"/>
      <c r="DR629" s="2394">
        <f t="shared" si="15"/>
        <v>0</v>
      </c>
      <c r="DS629" s="2394"/>
      <c r="DT629" s="2394"/>
      <c r="DU629" s="2394"/>
      <c r="DV629" s="2394"/>
      <c r="DX629" s="2052" t="str">
        <f t="shared" si="16"/>
        <v xml:space="preserve"> </v>
      </c>
      <c r="DY629" s="2216"/>
      <c r="DZ629" s="2216"/>
      <c r="EA629" s="2216"/>
      <c r="EB629" s="2053"/>
      <c r="EC629" s="2052" t="str">
        <f t="shared" si="17"/>
        <v xml:space="preserve"> </v>
      </c>
      <c r="ED629" s="2216"/>
      <c r="EE629" s="2216"/>
      <c r="EF629" s="2216"/>
      <c r="EG629" s="2053"/>
      <c r="EH629" s="2052" t="str">
        <f t="shared" si="18"/>
        <v xml:space="preserve"> </v>
      </c>
      <c r="EI629" s="2216"/>
      <c r="EJ629" s="2216"/>
      <c r="EK629" s="2216"/>
      <c r="EL629" s="2053"/>
      <c r="EM629" s="2052" t="str">
        <f t="shared" si="19"/>
        <v xml:space="preserve"> </v>
      </c>
      <c r="EN629" s="2216"/>
      <c r="EO629" s="2216"/>
      <c r="EP629" s="2216"/>
      <c r="EQ629" s="2053"/>
      <c r="ER629" s="2052" t="str">
        <f t="shared" si="20"/>
        <v xml:space="preserve"> </v>
      </c>
      <c r="ES629" s="2216"/>
      <c r="ET629" s="2216"/>
      <c r="EU629" s="2216"/>
      <c r="EV629" s="2053"/>
      <c r="EW629" s="2052" t="str">
        <f t="shared" si="21"/>
        <v xml:space="preserve"> </v>
      </c>
      <c r="EX629" s="2216"/>
      <c r="EY629" s="2216"/>
      <c r="EZ629" s="2216"/>
      <c r="FA629" s="2053"/>
    </row>
    <row r="630" spans="1:157" ht="13">
      <c r="A630" s="50" t="s">
        <v>330</v>
      </c>
      <c r="B630" s="50"/>
      <c r="C630" s="50" t="s">
        <v>21</v>
      </c>
      <c r="AZ630" s="58"/>
      <c r="BA630" s="58"/>
      <c r="BB630" s="58"/>
      <c r="BC630" s="58"/>
      <c r="BD630" s="58"/>
      <c r="BE630" s="2052">
        <f t="shared" si="0"/>
        <v>0</v>
      </c>
      <c r="BF630" s="2053"/>
      <c r="BG630" s="2214">
        <f t="shared" si="1"/>
        <v>0</v>
      </c>
      <c r="BH630" s="2215"/>
      <c r="BI630" s="2052">
        <f t="shared" si="2"/>
        <v>0</v>
      </c>
      <c r="BJ630" s="2053"/>
      <c r="BK630" s="2214">
        <f t="shared" si="3"/>
        <v>0</v>
      </c>
      <c r="BL630" s="2215"/>
      <c r="BM630" s="58"/>
      <c r="BN630" s="2028">
        <f t="shared" si="4"/>
        <v>0</v>
      </c>
      <c r="BO630" s="2029"/>
      <c r="BP630" s="2029"/>
      <c r="BQ630" s="2029"/>
      <c r="BR630" s="2030"/>
      <c r="BS630" s="2027">
        <f t="shared" si="5"/>
        <v>0</v>
      </c>
      <c r="BT630" s="2027"/>
      <c r="BU630" s="2027"/>
      <c r="BV630" s="2027"/>
      <c r="BW630" s="2027"/>
      <c r="BX630" s="2027">
        <f t="shared" si="6"/>
        <v>0</v>
      </c>
      <c r="BY630" s="2027"/>
      <c r="BZ630" s="2027"/>
      <c r="CA630" s="2027"/>
      <c r="CB630" s="2027"/>
      <c r="CC630" s="2027">
        <f t="shared" si="7"/>
        <v>0</v>
      </c>
      <c r="CD630" s="2027"/>
      <c r="CE630" s="2027"/>
      <c r="CF630" s="2027"/>
      <c r="CG630" s="2027"/>
      <c r="CH630" s="2027">
        <f t="shared" si="8"/>
        <v>0</v>
      </c>
      <c r="CI630" s="2027"/>
      <c r="CJ630" s="2027"/>
      <c r="CK630" s="2027"/>
      <c r="CL630" s="2027"/>
      <c r="CM630" s="2027">
        <f t="shared" si="9"/>
        <v>0</v>
      </c>
      <c r="CN630" s="2027"/>
      <c r="CO630" s="2027"/>
      <c r="CP630" s="2027"/>
      <c r="CQ630" s="2027"/>
      <c r="CR630" s="265"/>
      <c r="CS630" s="2394">
        <f t="shared" si="10"/>
        <v>0</v>
      </c>
      <c r="CT630" s="2394"/>
      <c r="CU630" s="2394"/>
      <c r="CV630" s="2394"/>
      <c r="CW630" s="2394"/>
      <c r="CX630" s="2394">
        <f t="shared" si="11"/>
        <v>0</v>
      </c>
      <c r="CY630" s="2394"/>
      <c r="CZ630" s="2394"/>
      <c r="DA630" s="2394"/>
      <c r="DB630" s="2394"/>
      <c r="DC630" s="2394">
        <f t="shared" si="12"/>
        <v>0</v>
      </c>
      <c r="DD630" s="2394"/>
      <c r="DE630" s="2394"/>
      <c r="DF630" s="2394"/>
      <c r="DG630" s="2394"/>
      <c r="DH630" s="2394">
        <f t="shared" si="13"/>
        <v>0</v>
      </c>
      <c r="DI630" s="2394"/>
      <c r="DJ630" s="2394"/>
      <c r="DK630" s="2394"/>
      <c r="DL630" s="2394"/>
      <c r="DM630" s="2394">
        <f t="shared" si="14"/>
        <v>0</v>
      </c>
      <c r="DN630" s="2394"/>
      <c r="DO630" s="2394"/>
      <c r="DP630" s="2394"/>
      <c r="DQ630" s="2394"/>
      <c r="DR630" s="2394">
        <f t="shared" si="15"/>
        <v>0</v>
      </c>
      <c r="DS630" s="2394"/>
      <c r="DT630" s="2394"/>
      <c r="DU630" s="2394"/>
      <c r="DV630" s="2394"/>
      <c r="DX630" s="2052" t="str">
        <f t="shared" si="16"/>
        <v xml:space="preserve"> </v>
      </c>
      <c r="DY630" s="2216"/>
      <c r="DZ630" s="2216"/>
      <c r="EA630" s="2216"/>
      <c r="EB630" s="2053"/>
      <c r="EC630" s="2052" t="str">
        <f t="shared" si="17"/>
        <v xml:space="preserve"> </v>
      </c>
      <c r="ED630" s="2216"/>
      <c r="EE630" s="2216"/>
      <c r="EF630" s="2216"/>
      <c r="EG630" s="2053"/>
      <c r="EH630" s="2052" t="str">
        <f t="shared" si="18"/>
        <v xml:space="preserve"> </v>
      </c>
      <c r="EI630" s="2216"/>
      <c r="EJ630" s="2216"/>
      <c r="EK630" s="2216"/>
      <c r="EL630" s="2053"/>
      <c r="EM630" s="2052" t="str">
        <f t="shared" si="19"/>
        <v xml:space="preserve"> </v>
      </c>
      <c r="EN630" s="2216"/>
      <c r="EO630" s="2216"/>
      <c r="EP630" s="2216"/>
      <c r="EQ630" s="2053"/>
      <c r="ER630" s="2052" t="str">
        <f t="shared" si="20"/>
        <v xml:space="preserve"> </v>
      </c>
      <c r="ES630" s="2216"/>
      <c r="ET630" s="2216"/>
      <c r="EU630" s="2216"/>
      <c r="EV630" s="2053"/>
      <c r="EW630" s="2052" t="str">
        <f t="shared" si="21"/>
        <v xml:space="preserve"> </v>
      </c>
      <c r="EX630" s="2216"/>
      <c r="EY630" s="2216"/>
      <c r="EZ630" s="2216"/>
      <c r="FA630" s="2053"/>
    </row>
    <row r="631" spans="1:157" ht="13">
      <c r="A631" s="50"/>
      <c r="B631" s="50"/>
      <c r="C631" s="50"/>
      <c r="AZ631" s="58"/>
      <c r="BA631" s="58"/>
      <c r="BB631" s="58"/>
      <c r="BC631" s="58"/>
      <c r="BD631" s="58"/>
      <c r="BE631" s="2052">
        <f t="shared" si="0"/>
        <v>0</v>
      </c>
      <c r="BF631" s="2053"/>
      <c r="BG631" s="2214">
        <f t="shared" si="1"/>
        <v>0</v>
      </c>
      <c r="BH631" s="2215"/>
      <c r="BI631" s="2052">
        <f t="shared" si="2"/>
        <v>0</v>
      </c>
      <c r="BJ631" s="2053"/>
      <c r="BK631" s="2214">
        <f t="shared" si="3"/>
        <v>0</v>
      </c>
      <c r="BL631" s="2215"/>
      <c r="BM631" s="58"/>
      <c r="BN631" s="2028">
        <f t="shared" si="4"/>
        <v>0</v>
      </c>
      <c r="BO631" s="2029"/>
      <c r="BP631" s="2029"/>
      <c r="BQ631" s="2029"/>
      <c r="BR631" s="2030"/>
      <c r="BS631" s="2027">
        <f t="shared" si="5"/>
        <v>0</v>
      </c>
      <c r="BT631" s="2027"/>
      <c r="BU631" s="2027"/>
      <c r="BV631" s="2027"/>
      <c r="BW631" s="2027"/>
      <c r="BX631" s="2027">
        <f t="shared" si="6"/>
        <v>0</v>
      </c>
      <c r="BY631" s="2027"/>
      <c r="BZ631" s="2027"/>
      <c r="CA631" s="2027"/>
      <c r="CB631" s="2027"/>
      <c r="CC631" s="2027">
        <f t="shared" si="7"/>
        <v>0</v>
      </c>
      <c r="CD631" s="2027"/>
      <c r="CE631" s="2027"/>
      <c r="CF631" s="2027"/>
      <c r="CG631" s="2027"/>
      <c r="CH631" s="2027">
        <f t="shared" si="8"/>
        <v>0</v>
      </c>
      <c r="CI631" s="2027"/>
      <c r="CJ631" s="2027"/>
      <c r="CK631" s="2027"/>
      <c r="CL631" s="2027"/>
      <c r="CM631" s="2027">
        <f t="shared" si="9"/>
        <v>0</v>
      </c>
      <c r="CN631" s="2027"/>
      <c r="CO631" s="2027"/>
      <c r="CP631" s="2027"/>
      <c r="CQ631" s="2027"/>
      <c r="CR631" s="265"/>
      <c r="CS631" s="2394">
        <f t="shared" si="10"/>
        <v>0</v>
      </c>
      <c r="CT631" s="2394"/>
      <c r="CU631" s="2394"/>
      <c r="CV631" s="2394"/>
      <c r="CW631" s="2394"/>
      <c r="CX631" s="2394">
        <f t="shared" si="11"/>
        <v>0</v>
      </c>
      <c r="CY631" s="2394"/>
      <c r="CZ631" s="2394"/>
      <c r="DA631" s="2394"/>
      <c r="DB631" s="2394"/>
      <c r="DC631" s="2394">
        <f t="shared" si="12"/>
        <v>0</v>
      </c>
      <c r="DD631" s="2394"/>
      <c r="DE631" s="2394"/>
      <c r="DF631" s="2394"/>
      <c r="DG631" s="2394"/>
      <c r="DH631" s="2394">
        <f t="shared" si="13"/>
        <v>0</v>
      </c>
      <c r="DI631" s="2394"/>
      <c r="DJ631" s="2394"/>
      <c r="DK631" s="2394"/>
      <c r="DL631" s="2394"/>
      <c r="DM631" s="2394">
        <f t="shared" si="14"/>
        <v>0</v>
      </c>
      <c r="DN631" s="2394"/>
      <c r="DO631" s="2394"/>
      <c r="DP631" s="2394"/>
      <c r="DQ631" s="2394"/>
      <c r="DR631" s="2394">
        <f t="shared" si="15"/>
        <v>0</v>
      </c>
      <c r="DS631" s="2394"/>
      <c r="DT631" s="2394"/>
      <c r="DU631" s="2394"/>
      <c r="DV631" s="2394"/>
      <c r="DX631" s="2052" t="str">
        <f t="shared" si="16"/>
        <v xml:space="preserve"> </v>
      </c>
      <c r="DY631" s="2216"/>
      <c r="DZ631" s="2216"/>
      <c r="EA631" s="2216"/>
      <c r="EB631" s="2053"/>
      <c r="EC631" s="2052" t="str">
        <f t="shared" si="17"/>
        <v xml:space="preserve"> </v>
      </c>
      <c r="ED631" s="2216"/>
      <c r="EE631" s="2216"/>
      <c r="EF631" s="2216"/>
      <c r="EG631" s="2053"/>
      <c r="EH631" s="2052" t="str">
        <f t="shared" si="18"/>
        <v xml:space="preserve"> </v>
      </c>
      <c r="EI631" s="2216"/>
      <c r="EJ631" s="2216"/>
      <c r="EK631" s="2216"/>
      <c r="EL631" s="2053"/>
      <c r="EM631" s="2052" t="str">
        <f t="shared" si="19"/>
        <v xml:space="preserve"> </v>
      </c>
      <c r="EN631" s="2216"/>
      <c r="EO631" s="2216"/>
      <c r="EP631" s="2216"/>
      <c r="EQ631" s="2053"/>
      <c r="ER631" s="2052" t="str">
        <f t="shared" si="20"/>
        <v xml:space="preserve"> </v>
      </c>
      <c r="ES631" s="2216"/>
      <c r="ET631" s="2216"/>
      <c r="EU631" s="2216"/>
      <c r="EV631" s="2053"/>
      <c r="EW631" s="2052" t="str">
        <f t="shared" si="21"/>
        <v xml:space="preserve"> </v>
      </c>
      <c r="EX631" s="2216"/>
      <c r="EY631" s="2216"/>
      <c r="EZ631" s="2216"/>
      <c r="FA631" s="2053"/>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2">
        <f t="shared" si="0"/>
        <v>0</v>
      </c>
      <c r="BF632" s="2053"/>
      <c r="BG632" s="2214">
        <f t="shared" si="1"/>
        <v>0</v>
      </c>
      <c r="BH632" s="2215"/>
      <c r="BI632" s="2052">
        <f t="shared" si="2"/>
        <v>0</v>
      </c>
      <c r="BJ632" s="2053"/>
      <c r="BK632" s="2214">
        <f t="shared" si="3"/>
        <v>0</v>
      </c>
      <c r="BL632" s="2215"/>
      <c r="BM632" s="58"/>
      <c r="BN632" s="2028">
        <f t="shared" si="4"/>
        <v>0</v>
      </c>
      <c r="BO632" s="2029"/>
      <c r="BP632" s="2029"/>
      <c r="BQ632" s="2029"/>
      <c r="BR632" s="2030"/>
      <c r="BS632" s="2027">
        <f t="shared" si="5"/>
        <v>0</v>
      </c>
      <c r="BT632" s="2027"/>
      <c r="BU632" s="2027"/>
      <c r="BV632" s="2027"/>
      <c r="BW632" s="2027"/>
      <c r="BX632" s="2027">
        <f t="shared" si="6"/>
        <v>0</v>
      </c>
      <c r="BY632" s="2027"/>
      <c r="BZ632" s="2027"/>
      <c r="CA632" s="2027"/>
      <c r="CB632" s="2027"/>
      <c r="CC632" s="2027">
        <f t="shared" si="7"/>
        <v>0</v>
      </c>
      <c r="CD632" s="2027"/>
      <c r="CE632" s="2027"/>
      <c r="CF632" s="2027"/>
      <c r="CG632" s="2027"/>
      <c r="CH632" s="2027">
        <f t="shared" si="8"/>
        <v>0</v>
      </c>
      <c r="CI632" s="2027"/>
      <c r="CJ632" s="2027"/>
      <c r="CK632" s="2027"/>
      <c r="CL632" s="2027"/>
      <c r="CM632" s="2027">
        <f t="shared" si="9"/>
        <v>0</v>
      </c>
      <c r="CN632" s="2027"/>
      <c r="CO632" s="2027"/>
      <c r="CP632" s="2027"/>
      <c r="CQ632" s="2027"/>
      <c r="CR632" s="265"/>
      <c r="CS632" s="2394">
        <f t="shared" si="10"/>
        <v>0</v>
      </c>
      <c r="CT632" s="2394"/>
      <c r="CU632" s="2394"/>
      <c r="CV632" s="2394"/>
      <c r="CW632" s="2394"/>
      <c r="CX632" s="2394">
        <f t="shared" si="11"/>
        <v>0</v>
      </c>
      <c r="CY632" s="2394"/>
      <c r="CZ632" s="2394"/>
      <c r="DA632" s="2394"/>
      <c r="DB632" s="2394"/>
      <c r="DC632" s="2394">
        <f t="shared" si="12"/>
        <v>0</v>
      </c>
      <c r="DD632" s="2394"/>
      <c r="DE632" s="2394"/>
      <c r="DF632" s="2394"/>
      <c r="DG632" s="2394"/>
      <c r="DH632" s="2394">
        <f t="shared" si="13"/>
        <v>0</v>
      </c>
      <c r="DI632" s="2394"/>
      <c r="DJ632" s="2394"/>
      <c r="DK632" s="2394"/>
      <c r="DL632" s="2394"/>
      <c r="DM632" s="2394">
        <f t="shared" si="14"/>
        <v>0</v>
      </c>
      <c r="DN632" s="2394"/>
      <c r="DO632" s="2394"/>
      <c r="DP632" s="2394"/>
      <c r="DQ632" s="2394"/>
      <c r="DR632" s="2394">
        <f t="shared" si="15"/>
        <v>0</v>
      </c>
      <c r="DS632" s="2394"/>
      <c r="DT632" s="2394"/>
      <c r="DU632" s="2394"/>
      <c r="DV632" s="2394"/>
      <c r="DX632" s="2052" t="str">
        <f t="shared" si="16"/>
        <v xml:space="preserve"> </v>
      </c>
      <c r="DY632" s="2216"/>
      <c r="DZ632" s="2216"/>
      <c r="EA632" s="2216"/>
      <c r="EB632" s="2053"/>
      <c r="EC632" s="2052" t="str">
        <f t="shared" si="17"/>
        <v xml:space="preserve"> </v>
      </c>
      <c r="ED632" s="2216"/>
      <c r="EE632" s="2216"/>
      <c r="EF632" s="2216"/>
      <c r="EG632" s="2053"/>
      <c r="EH632" s="2052" t="str">
        <f t="shared" si="18"/>
        <v xml:space="preserve"> </v>
      </c>
      <c r="EI632" s="2216"/>
      <c r="EJ632" s="2216"/>
      <c r="EK632" s="2216"/>
      <c r="EL632" s="2053"/>
      <c r="EM632" s="2052" t="str">
        <f t="shared" si="19"/>
        <v xml:space="preserve"> </v>
      </c>
      <c r="EN632" s="2216"/>
      <c r="EO632" s="2216"/>
      <c r="EP632" s="2216"/>
      <c r="EQ632" s="2053"/>
      <c r="ER632" s="2052" t="str">
        <f t="shared" si="20"/>
        <v xml:space="preserve"> </v>
      </c>
      <c r="ES632" s="2216"/>
      <c r="ET632" s="2216"/>
      <c r="EU632" s="2216"/>
      <c r="EV632" s="2053"/>
      <c r="EW632" s="2052" t="str">
        <f t="shared" si="21"/>
        <v xml:space="preserve"> </v>
      </c>
      <c r="EX632" s="2216"/>
      <c r="EY632" s="2216"/>
      <c r="EZ632" s="2216"/>
      <c r="FA632" s="2053"/>
    </row>
    <row r="633" spans="1:157" ht="13">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2">
        <f t="shared" si="0"/>
        <v>0</v>
      </c>
      <c r="BF633" s="2053"/>
      <c r="BG633" s="2214">
        <f t="shared" si="1"/>
        <v>0</v>
      </c>
      <c r="BH633" s="2215"/>
      <c r="BI633" s="2052">
        <f t="shared" si="2"/>
        <v>0</v>
      </c>
      <c r="BJ633" s="2053"/>
      <c r="BK633" s="2214">
        <f t="shared" si="3"/>
        <v>0</v>
      </c>
      <c r="BL633" s="2215"/>
      <c r="BM633" s="58"/>
      <c r="BN633" s="2028">
        <f t="shared" si="4"/>
        <v>0</v>
      </c>
      <c r="BO633" s="2029"/>
      <c r="BP633" s="2029"/>
      <c r="BQ633" s="2029"/>
      <c r="BR633" s="2030"/>
      <c r="BS633" s="2027">
        <f t="shared" si="5"/>
        <v>0</v>
      </c>
      <c r="BT633" s="2027"/>
      <c r="BU633" s="2027"/>
      <c r="BV633" s="2027"/>
      <c r="BW633" s="2027"/>
      <c r="BX633" s="2027">
        <f t="shared" si="6"/>
        <v>0</v>
      </c>
      <c r="BY633" s="2027"/>
      <c r="BZ633" s="2027"/>
      <c r="CA633" s="2027"/>
      <c r="CB633" s="2027"/>
      <c r="CC633" s="2027">
        <f t="shared" si="7"/>
        <v>0</v>
      </c>
      <c r="CD633" s="2027"/>
      <c r="CE633" s="2027"/>
      <c r="CF633" s="2027"/>
      <c r="CG633" s="2027"/>
      <c r="CH633" s="2027">
        <f t="shared" si="8"/>
        <v>0</v>
      </c>
      <c r="CI633" s="2027"/>
      <c r="CJ633" s="2027"/>
      <c r="CK633" s="2027"/>
      <c r="CL633" s="2027"/>
      <c r="CM633" s="2027">
        <f t="shared" si="9"/>
        <v>0</v>
      </c>
      <c r="CN633" s="2027"/>
      <c r="CO633" s="2027"/>
      <c r="CP633" s="2027"/>
      <c r="CQ633" s="2027"/>
      <c r="CR633" s="265"/>
      <c r="CS633" s="2394">
        <f t="shared" si="10"/>
        <v>0</v>
      </c>
      <c r="CT633" s="2394"/>
      <c r="CU633" s="2394"/>
      <c r="CV633" s="2394"/>
      <c r="CW633" s="2394"/>
      <c r="CX633" s="2394">
        <f t="shared" si="11"/>
        <v>0</v>
      </c>
      <c r="CY633" s="2394"/>
      <c r="CZ633" s="2394"/>
      <c r="DA633" s="2394"/>
      <c r="DB633" s="2394"/>
      <c r="DC633" s="2394">
        <f t="shared" si="12"/>
        <v>0</v>
      </c>
      <c r="DD633" s="2394"/>
      <c r="DE633" s="2394"/>
      <c r="DF633" s="2394"/>
      <c r="DG633" s="2394"/>
      <c r="DH633" s="2394">
        <f t="shared" si="13"/>
        <v>0</v>
      </c>
      <c r="DI633" s="2394"/>
      <c r="DJ633" s="2394"/>
      <c r="DK633" s="2394"/>
      <c r="DL633" s="2394"/>
      <c r="DM633" s="2394">
        <f t="shared" si="14"/>
        <v>0</v>
      </c>
      <c r="DN633" s="2394"/>
      <c r="DO633" s="2394"/>
      <c r="DP633" s="2394"/>
      <c r="DQ633" s="2394"/>
      <c r="DR633" s="2394">
        <f t="shared" si="15"/>
        <v>0</v>
      </c>
      <c r="DS633" s="2394"/>
      <c r="DT633" s="2394"/>
      <c r="DU633" s="2394"/>
      <c r="DV633" s="2394"/>
      <c r="DX633" s="2052" t="str">
        <f t="shared" si="16"/>
        <v xml:space="preserve"> </v>
      </c>
      <c r="DY633" s="2216"/>
      <c r="DZ633" s="2216"/>
      <c r="EA633" s="2216"/>
      <c r="EB633" s="2053"/>
      <c r="EC633" s="2052" t="str">
        <f t="shared" si="17"/>
        <v xml:space="preserve"> </v>
      </c>
      <c r="ED633" s="2216"/>
      <c r="EE633" s="2216"/>
      <c r="EF633" s="2216"/>
      <c r="EG633" s="2053"/>
      <c r="EH633" s="2052" t="str">
        <f t="shared" si="18"/>
        <v xml:space="preserve"> </v>
      </c>
      <c r="EI633" s="2216"/>
      <c r="EJ633" s="2216"/>
      <c r="EK633" s="2216"/>
      <c r="EL633" s="2053"/>
      <c r="EM633" s="2052" t="str">
        <f t="shared" si="19"/>
        <v xml:space="preserve"> </v>
      </c>
      <c r="EN633" s="2216"/>
      <c r="EO633" s="2216"/>
      <c r="EP633" s="2216"/>
      <c r="EQ633" s="2053"/>
      <c r="ER633" s="2052" t="str">
        <f t="shared" si="20"/>
        <v xml:space="preserve"> </v>
      </c>
      <c r="ES633" s="2216"/>
      <c r="ET633" s="2216"/>
      <c r="EU633" s="2216"/>
      <c r="EV633" s="2053"/>
      <c r="EW633" s="2052" t="str">
        <f t="shared" si="21"/>
        <v xml:space="preserve"> </v>
      </c>
      <c r="EX633" s="2216"/>
      <c r="EY633" s="2216"/>
      <c r="EZ633" s="2216"/>
      <c r="FA633" s="2053"/>
    </row>
    <row r="634" spans="1:157" s="1839" customFormat="1" ht="12.75" customHeight="1">
      <c r="B634" s="2346" t="s">
        <v>486</v>
      </c>
      <c r="C634" s="2347"/>
      <c r="D634" s="2347"/>
      <c r="E634" s="2347"/>
      <c r="F634" s="2347"/>
      <c r="G634" s="2347"/>
      <c r="H634" s="2347"/>
      <c r="I634" s="2347"/>
      <c r="J634" s="2347"/>
      <c r="K634" s="2347"/>
      <c r="L634" s="2347"/>
      <c r="M634" s="2347"/>
      <c r="N634" s="2348"/>
      <c r="O634" s="2271" t="s">
        <v>2444</v>
      </c>
      <c r="P634" s="2211"/>
      <c r="Q634" s="2212"/>
      <c r="R634" s="2271" t="s">
        <v>2442</v>
      </c>
      <c r="S634" s="2211"/>
      <c r="T634" s="2212"/>
      <c r="U634" s="2421" t="s">
        <v>487</v>
      </c>
      <c r="V634" s="2421"/>
      <c r="W634" s="2422"/>
      <c r="X634" s="2271" t="s">
        <v>2167</v>
      </c>
      <c r="Y634" s="2211"/>
      <c r="Z634" s="2211"/>
      <c r="AA634" s="2211"/>
      <c r="AB634" s="2212"/>
      <c r="AC634" s="2407" t="s">
        <v>2165</v>
      </c>
      <c r="AD634" s="2408"/>
      <c r="AE634" s="2409"/>
      <c r="AF634" s="2271" t="s">
        <v>2168</v>
      </c>
      <c r="AG634" s="2211"/>
      <c r="AH634" s="2211"/>
      <c r="AI634" s="2211"/>
      <c r="AJ634" s="2212"/>
      <c r="AK634" s="2398" t="s">
        <v>2169</v>
      </c>
      <c r="AL634" s="2399"/>
      <c r="AM634" s="2399"/>
      <c r="AN634" s="2400"/>
      <c r="AO634" s="2281" t="s">
        <v>488</v>
      </c>
      <c r="AP634" s="2281"/>
      <c r="AQ634" s="2281"/>
      <c r="AR634" s="2281"/>
      <c r="AS634" s="2281"/>
      <c r="AT634" s="1840"/>
      <c r="AU634" s="1840"/>
      <c r="AV634" s="1840"/>
      <c r="AW634" s="1840"/>
      <c r="AX634" s="1840"/>
      <c r="AY634" s="1840"/>
      <c r="AZ634" s="181"/>
      <c r="BA634" s="181"/>
      <c r="BB634" s="181"/>
      <c r="BC634" s="181"/>
      <c r="BD634" s="181"/>
      <c r="BE634" s="2052">
        <f t="shared" si="0"/>
        <v>0</v>
      </c>
      <c r="BF634" s="2053"/>
      <c r="BG634" s="2214">
        <f t="shared" si="1"/>
        <v>0</v>
      </c>
      <c r="BH634" s="2215"/>
      <c r="BI634" s="2052">
        <f t="shared" si="2"/>
        <v>0</v>
      </c>
      <c r="BJ634" s="2053"/>
      <c r="BK634" s="2214">
        <f t="shared" si="3"/>
        <v>0</v>
      </c>
      <c r="BL634" s="2215"/>
      <c r="BM634" s="181"/>
      <c r="BN634" s="2028">
        <f t="shared" si="4"/>
        <v>0</v>
      </c>
      <c r="BO634" s="2029"/>
      <c r="BP634" s="2029"/>
      <c r="BQ634" s="2029"/>
      <c r="BR634" s="2030"/>
      <c r="BS634" s="2027">
        <f t="shared" si="5"/>
        <v>0</v>
      </c>
      <c r="BT634" s="2027"/>
      <c r="BU634" s="2027"/>
      <c r="BV634" s="2027"/>
      <c r="BW634" s="2027"/>
      <c r="BX634" s="2027">
        <f t="shared" si="6"/>
        <v>0</v>
      </c>
      <c r="BY634" s="2027"/>
      <c r="BZ634" s="2027"/>
      <c r="CA634" s="2027"/>
      <c r="CB634" s="2027"/>
      <c r="CC634" s="2027">
        <f t="shared" si="7"/>
        <v>0</v>
      </c>
      <c r="CD634" s="2027"/>
      <c r="CE634" s="2027"/>
      <c r="CF634" s="2027"/>
      <c r="CG634" s="2027"/>
      <c r="CH634" s="2027">
        <f t="shared" si="8"/>
        <v>0</v>
      </c>
      <c r="CI634" s="2027"/>
      <c r="CJ634" s="2027"/>
      <c r="CK634" s="2027"/>
      <c r="CL634" s="2027"/>
      <c r="CM634" s="2027">
        <f t="shared" si="9"/>
        <v>0</v>
      </c>
      <c r="CN634" s="2027"/>
      <c r="CO634" s="2027"/>
      <c r="CP634" s="2027"/>
      <c r="CQ634" s="2027"/>
      <c r="CR634" s="265"/>
      <c r="CS634" s="2394">
        <f t="shared" si="10"/>
        <v>0</v>
      </c>
      <c r="CT634" s="2394"/>
      <c r="CU634" s="2394"/>
      <c r="CV634" s="2394"/>
      <c r="CW634" s="2394"/>
      <c r="CX634" s="2394">
        <f t="shared" si="11"/>
        <v>0</v>
      </c>
      <c r="CY634" s="2394"/>
      <c r="CZ634" s="2394"/>
      <c r="DA634" s="2394"/>
      <c r="DB634" s="2394"/>
      <c r="DC634" s="2394">
        <f t="shared" si="12"/>
        <v>0</v>
      </c>
      <c r="DD634" s="2394"/>
      <c r="DE634" s="2394"/>
      <c r="DF634" s="2394"/>
      <c r="DG634" s="2394"/>
      <c r="DH634" s="2394">
        <f t="shared" si="13"/>
        <v>0</v>
      </c>
      <c r="DI634" s="2394"/>
      <c r="DJ634" s="2394"/>
      <c r="DK634" s="2394"/>
      <c r="DL634" s="2394"/>
      <c r="DM634" s="2394">
        <f t="shared" si="14"/>
        <v>0</v>
      </c>
      <c r="DN634" s="2394"/>
      <c r="DO634" s="2394"/>
      <c r="DP634" s="2394"/>
      <c r="DQ634" s="2394"/>
      <c r="DR634" s="2394">
        <f t="shared" si="15"/>
        <v>0</v>
      </c>
      <c r="DS634" s="2394"/>
      <c r="DT634" s="2394"/>
      <c r="DU634" s="2394"/>
      <c r="DV634" s="2394"/>
      <c r="DX634" s="2052" t="str">
        <f t="shared" si="16"/>
        <v xml:space="preserve"> </v>
      </c>
      <c r="DY634" s="2216"/>
      <c r="DZ634" s="2216"/>
      <c r="EA634" s="2216"/>
      <c r="EB634" s="2053"/>
      <c r="EC634" s="2052" t="str">
        <f t="shared" si="17"/>
        <v xml:space="preserve"> </v>
      </c>
      <c r="ED634" s="2216"/>
      <c r="EE634" s="2216"/>
      <c r="EF634" s="2216"/>
      <c r="EG634" s="2053"/>
      <c r="EH634" s="2052" t="str">
        <f t="shared" si="18"/>
        <v xml:space="preserve"> </v>
      </c>
      <c r="EI634" s="2216"/>
      <c r="EJ634" s="2216"/>
      <c r="EK634" s="2216"/>
      <c r="EL634" s="2053"/>
      <c r="EM634" s="2052" t="str">
        <f t="shared" si="19"/>
        <v xml:space="preserve"> </v>
      </c>
      <c r="EN634" s="2216"/>
      <c r="EO634" s="2216"/>
      <c r="EP634" s="2216"/>
      <c r="EQ634" s="2053"/>
      <c r="ER634" s="2052" t="str">
        <f t="shared" si="20"/>
        <v xml:space="preserve"> </v>
      </c>
      <c r="ES634" s="2216"/>
      <c r="ET634" s="2216"/>
      <c r="EU634" s="2216"/>
      <c r="EV634" s="2053"/>
      <c r="EW634" s="2052" t="str">
        <f t="shared" si="21"/>
        <v xml:space="preserve"> </v>
      </c>
      <c r="EX634" s="2216"/>
      <c r="EY634" s="2216"/>
      <c r="EZ634" s="2216"/>
      <c r="FA634" s="2053"/>
    </row>
    <row r="635" spans="1:157" s="1839" customFormat="1" ht="12.5">
      <c r="B635" s="2592"/>
      <c r="C635" s="2259"/>
      <c r="D635" s="2259"/>
      <c r="E635" s="2259"/>
      <c r="F635" s="2259"/>
      <c r="G635" s="2259"/>
      <c r="H635" s="2259"/>
      <c r="I635" s="2259"/>
      <c r="J635" s="2259"/>
      <c r="K635" s="2259"/>
      <c r="L635" s="2259"/>
      <c r="M635" s="2259"/>
      <c r="N635" s="2593"/>
      <c r="O635" s="2272"/>
      <c r="P635" s="2273"/>
      <c r="Q635" s="2274"/>
      <c r="R635" s="2272"/>
      <c r="S635" s="2273"/>
      <c r="T635" s="2274"/>
      <c r="U635" s="2423"/>
      <c r="V635" s="2423"/>
      <c r="W635" s="2424"/>
      <c r="X635" s="2272"/>
      <c r="Y635" s="2273"/>
      <c r="Z635" s="2273"/>
      <c r="AA635" s="2273"/>
      <c r="AB635" s="2274"/>
      <c r="AC635" s="2410"/>
      <c r="AD635" s="2411"/>
      <c r="AE635" s="2412"/>
      <c r="AF635" s="2272"/>
      <c r="AG635" s="2273"/>
      <c r="AH635" s="2273"/>
      <c r="AI635" s="2273"/>
      <c r="AJ635" s="2274"/>
      <c r="AK635" s="2401"/>
      <c r="AL635" s="2402"/>
      <c r="AM635" s="2402"/>
      <c r="AN635" s="2403"/>
      <c r="AO635" s="2281"/>
      <c r="AP635" s="2281"/>
      <c r="AQ635" s="2281"/>
      <c r="AR635" s="2281"/>
      <c r="AS635" s="2281"/>
      <c r="AT635" s="1840"/>
      <c r="AU635" s="1840"/>
      <c r="AV635" s="1840"/>
      <c r="AW635" s="1840"/>
      <c r="AX635" s="1840"/>
      <c r="AY635" s="1840"/>
      <c r="AZ635" s="181"/>
      <c r="BA635" s="181"/>
      <c r="BB635" s="181"/>
      <c r="BC635" s="181"/>
      <c r="BD635" s="181"/>
      <c r="BE635" s="181"/>
      <c r="BF635" s="181"/>
      <c r="BG635" s="2052">
        <f>SUM(BG610:BH634)</f>
        <v>29</v>
      </c>
      <c r="BH635" s="2053"/>
      <c r="BI635" s="181"/>
      <c r="BJ635" s="181"/>
      <c r="BK635" s="2052">
        <f>SUM(BK610:BL634)</f>
        <v>50</v>
      </c>
      <c r="BL635" s="2053"/>
      <c r="BM635" s="181"/>
      <c r="BN635" s="2052">
        <f>SUM(BN610:BR634)</f>
        <v>28</v>
      </c>
      <c r="BO635" s="2216"/>
      <c r="BP635" s="2216"/>
      <c r="BQ635" s="2216"/>
      <c r="BR635" s="2053"/>
      <c r="BS635" s="2213">
        <f>SUM(BS610:BW634)</f>
        <v>11</v>
      </c>
      <c r="BT635" s="2213"/>
      <c r="BU635" s="2213"/>
      <c r="BV635" s="2213"/>
      <c r="BW635" s="2213"/>
      <c r="BX635" s="2213">
        <f>SUM(BX610:CB634)</f>
        <v>26</v>
      </c>
      <c r="BY635" s="2213"/>
      <c r="BZ635" s="2213"/>
      <c r="CA635" s="2213"/>
      <c r="CB635" s="2213"/>
      <c r="CC635" s="2213">
        <f>SUM(CC610:CG634)</f>
        <v>14</v>
      </c>
      <c r="CD635" s="2213"/>
      <c r="CE635" s="2213"/>
      <c r="CF635" s="2213"/>
      <c r="CG635" s="2213"/>
      <c r="CH635" s="2213">
        <f>SUM(CH610:CL634)</f>
        <v>0</v>
      </c>
      <c r="CI635" s="2213"/>
      <c r="CJ635" s="2213"/>
      <c r="CK635" s="2213"/>
      <c r="CL635" s="2213"/>
      <c r="CM635" s="2213">
        <f>SUM(CM610:CQ634)</f>
        <v>0</v>
      </c>
      <c r="CN635" s="2213"/>
      <c r="CO635" s="2213"/>
      <c r="CP635" s="2213"/>
      <c r="CQ635" s="2213"/>
      <c r="CR635" s="698"/>
      <c r="CS635" s="2213">
        <f>SUM(CS610:CW634)</f>
        <v>14</v>
      </c>
      <c r="CT635" s="2213"/>
      <c r="CU635" s="2213"/>
      <c r="CV635" s="2213"/>
      <c r="CW635" s="2213"/>
      <c r="CX635" s="2213">
        <f>SUM(CX610:DB634)</f>
        <v>7</v>
      </c>
      <c r="CY635" s="2213"/>
      <c r="CZ635" s="2213"/>
      <c r="DA635" s="2213"/>
      <c r="DB635" s="2213"/>
      <c r="DC635" s="2213">
        <f>SUM(DC610:DG634)</f>
        <v>21</v>
      </c>
      <c r="DD635" s="2213"/>
      <c r="DE635" s="2213"/>
      <c r="DF635" s="2213"/>
      <c r="DG635" s="2213"/>
      <c r="DH635" s="2213">
        <f>SUM(DH610:DL634)</f>
        <v>8</v>
      </c>
      <c r="DI635" s="2213"/>
      <c r="DJ635" s="2213"/>
      <c r="DK635" s="2213"/>
      <c r="DL635" s="2213"/>
      <c r="DM635" s="2213">
        <f>SUM(DM610:DQ634)</f>
        <v>0</v>
      </c>
      <c r="DN635" s="2213"/>
      <c r="DO635" s="2213"/>
      <c r="DP635" s="2213"/>
      <c r="DQ635" s="2213"/>
      <c r="DR635" s="2213">
        <f>SUM(DR610:DV634)</f>
        <v>0</v>
      </c>
      <c r="DS635" s="2213"/>
      <c r="DT635" s="2213"/>
      <c r="DU635" s="2213"/>
      <c r="DV635" s="2213"/>
      <c r="DX635" s="2213">
        <f>SUM(DX610:EB634)</f>
        <v>2055</v>
      </c>
      <c r="DY635" s="2213"/>
      <c r="DZ635" s="2213"/>
      <c r="EA635" s="2213"/>
      <c r="EB635" s="2213"/>
      <c r="EC635" s="2213">
        <f>SUM(EC610:EG634)</f>
        <v>2247</v>
      </c>
      <c r="ED635" s="2213"/>
      <c r="EE635" s="2213"/>
      <c r="EF635" s="2213"/>
      <c r="EG635" s="2213"/>
      <c r="EH635" s="2213">
        <f>SUM(EH610:EL634)</f>
        <v>5054</v>
      </c>
      <c r="EI635" s="2213"/>
      <c r="EJ635" s="2213"/>
      <c r="EK635" s="2213"/>
      <c r="EL635" s="2213"/>
      <c r="EM635" s="2213">
        <f>SUM(EM610:EQ634)</f>
        <v>3678</v>
      </c>
      <c r="EN635" s="2213"/>
      <c r="EO635" s="2213"/>
      <c r="EP635" s="2213"/>
      <c r="EQ635" s="2213"/>
      <c r="ER635" s="2213">
        <f>SUM(ER610:EV634)</f>
        <v>0</v>
      </c>
      <c r="ES635" s="2213"/>
      <c r="ET635" s="2213"/>
      <c r="EU635" s="2213"/>
      <c r="EV635" s="2213"/>
      <c r="EW635" s="2213">
        <f>SUM(EW610:FA634)</f>
        <v>0</v>
      </c>
      <c r="EX635" s="2213"/>
      <c r="EY635" s="2213"/>
      <c r="EZ635" s="2213"/>
      <c r="FA635" s="2213"/>
    </row>
    <row r="636" spans="1:157" s="1839" customFormat="1" ht="13">
      <c r="B636" s="2594"/>
      <c r="C636" s="2259"/>
      <c r="D636" s="2259"/>
      <c r="E636" s="2259"/>
      <c r="F636" s="2259"/>
      <c r="G636" s="2259"/>
      <c r="H636" s="2259"/>
      <c r="I636" s="2259"/>
      <c r="J636" s="2259"/>
      <c r="K636" s="2259"/>
      <c r="L636" s="2259"/>
      <c r="M636" s="2259"/>
      <c r="N636" s="2593"/>
      <c r="O636" s="2275"/>
      <c r="P636" s="2276"/>
      <c r="Q636" s="2277"/>
      <c r="R636" s="2275"/>
      <c r="S636" s="2276"/>
      <c r="T636" s="2277"/>
      <c r="U636" s="2425"/>
      <c r="V636" s="2425"/>
      <c r="W636" s="2426"/>
      <c r="X636" s="2275"/>
      <c r="Y636" s="2276"/>
      <c r="Z636" s="2276"/>
      <c r="AA636" s="2276"/>
      <c r="AB636" s="2277"/>
      <c r="AC636" s="2413"/>
      <c r="AD636" s="2414"/>
      <c r="AE636" s="2415"/>
      <c r="AF636" s="2275"/>
      <c r="AG636" s="2276"/>
      <c r="AH636" s="2276"/>
      <c r="AI636" s="2276"/>
      <c r="AJ636" s="2277"/>
      <c r="AK636" s="2404"/>
      <c r="AL636" s="2405"/>
      <c r="AM636" s="2405"/>
      <c r="AN636" s="2406"/>
      <c r="AO636" s="2281"/>
      <c r="AP636" s="2281"/>
      <c r="AQ636" s="2281"/>
      <c r="AR636" s="2281"/>
      <c r="AS636" s="2281"/>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2454</v>
      </c>
      <c r="CM636" s="2052">
        <f>BN635+BS635+BX635+CC635+CH635+CM635</f>
        <v>79</v>
      </c>
      <c r="CN636" s="2216"/>
      <c r="CO636" s="2216"/>
      <c r="CP636" s="2216"/>
      <c r="CQ636" s="2053"/>
      <c r="CR636" s="698"/>
      <c r="CS636" s="181"/>
      <c r="CT636" s="181"/>
      <c r="CU636" s="181"/>
      <c r="CV636" s="181"/>
      <c r="CW636" s="181"/>
      <c r="CX636" s="181"/>
      <c r="CY636" s="181"/>
      <c r="CZ636" s="181"/>
      <c r="DA636" s="181"/>
      <c r="DB636" s="181"/>
      <c r="DC636" s="181"/>
      <c r="DD636" s="181"/>
      <c r="DE636" s="181"/>
      <c r="DF636" s="181"/>
    </row>
    <row r="637" spans="1:157" ht="13">
      <c r="B637" s="83" t="s">
        <v>117</v>
      </c>
      <c r="C637" s="2109" t="s">
        <v>2587</v>
      </c>
      <c r="D637" s="2172"/>
      <c r="E637" s="2172"/>
      <c r="F637" s="2172"/>
      <c r="G637" s="2172"/>
      <c r="H637" s="2172"/>
      <c r="I637" s="2172"/>
      <c r="J637" s="2172"/>
      <c r="K637" s="2172"/>
      <c r="L637" s="2172"/>
      <c r="M637" s="2172"/>
      <c r="N637" s="2591"/>
      <c r="O637" s="2448">
        <f>35*12</f>
        <v>420</v>
      </c>
      <c r="P637" s="2449"/>
      <c r="Q637" s="2450"/>
      <c r="R637" s="2187">
        <f>O637</f>
        <v>420</v>
      </c>
      <c r="S637" s="2185"/>
      <c r="T637" s="2186"/>
      <c r="U637" s="2395">
        <v>4.58E-2</v>
      </c>
      <c r="V637" s="2396"/>
      <c r="W637" s="2397"/>
      <c r="X637" s="2297" t="s">
        <v>2166</v>
      </c>
      <c r="Y637" s="2368"/>
      <c r="Z637" s="2368"/>
      <c r="AA637" s="2368"/>
      <c r="AB637" s="2369"/>
      <c r="AC637" s="2161">
        <v>1</v>
      </c>
      <c r="AD637" s="2162"/>
      <c r="AE637" s="2163"/>
      <c r="AF637" s="2278">
        <v>439552</v>
      </c>
      <c r="AG637" s="2279"/>
      <c r="AH637" s="2279"/>
      <c r="AI637" s="2279"/>
      <c r="AJ637" s="2280"/>
      <c r="AK637" s="2362"/>
      <c r="AL637" s="2363"/>
      <c r="AM637" s="2363"/>
      <c r="AN637" s="2364"/>
      <c r="AO637" s="2164">
        <v>7915000</v>
      </c>
      <c r="AP637" s="2164"/>
      <c r="AQ637" s="2164"/>
      <c r="AR637" s="2164"/>
      <c r="AS637" s="2164"/>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2">
        <f>BN635*1</f>
        <v>28</v>
      </c>
      <c r="BS637" s="58"/>
      <c r="BT637" s="58"/>
      <c r="BU637" s="58"/>
      <c r="BV637" s="58"/>
      <c r="BW637" s="1472">
        <f>BS635*1</f>
        <v>11</v>
      </c>
      <c r="BX637" s="58"/>
      <c r="BY637" s="58"/>
      <c r="BZ637" s="58"/>
      <c r="CA637" s="58"/>
      <c r="CB637" s="1472">
        <f>BX635*2</f>
        <v>52</v>
      </c>
      <c r="CC637" s="58"/>
      <c r="CD637" s="58"/>
      <c r="CE637" s="58"/>
      <c r="CF637" s="58"/>
      <c r="CG637" s="1472">
        <f>CC635*3</f>
        <v>42</v>
      </c>
      <c r="CH637" s="58"/>
      <c r="CI637" s="58"/>
      <c r="CJ637" s="58"/>
      <c r="CK637" s="58"/>
      <c r="CL637" s="1472">
        <f>CH635*4</f>
        <v>0</v>
      </c>
      <c r="CM637" s="58"/>
      <c r="CN637" s="58"/>
      <c r="CO637" s="58"/>
      <c r="CP637" s="58"/>
      <c r="CQ637" s="1472">
        <f>CM635*5</f>
        <v>0</v>
      </c>
      <c r="CS637" s="1472">
        <f>BR637+BW637+CB637+CG637+CL637+CQ637</f>
        <v>133</v>
      </c>
      <c r="CT637" s="134" t="s">
        <v>2456</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109" t="s">
        <v>2471</v>
      </c>
      <c r="D638" s="2172"/>
      <c r="E638" s="2172"/>
      <c r="F638" s="2172"/>
      <c r="G638" s="2172"/>
      <c r="H638" s="2172"/>
      <c r="I638" s="2172"/>
      <c r="J638" s="2172"/>
      <c r="K638" s="2172"/>
      <c r="L638" s="2172"/>
      <c r="M638" s="2172"/>
      <c r="N638" s="2591"/>
      <c r="O638" s="2448">
        <f>55*12</f>
        <v>660</v>
      </c>
      <c r="P638" s="2449"/>
      <c r="Q638" s="2450"/>
      <c r="R638" s="2187">
        <f>O638</f>
        <v>660</v>
      </c>
      <c r="S638" s="2185"/>
      <c r="T638" s="2186"/>
      <c r="U638" s="2395">
        <v>0.04</v>
      </c>
      <c r="V638" s="2396"/>
      <c r="W638" s="2397"/>
      <c r="X638" s="2297" t="s">
        <v>492</v>
      </c>
      <c r="Y638" s="2368"/>
      <c r="Z638" s="2368"/>
      <c r="AA638" s="2368"/>
      <c r="AB638" s="2369"/>
      <c r="AC638" s="2161">
        <v>2</v>
      </c>
      <c r="AD638" s="2162"/>
      <c r="AE638" s="2163"/>
      <c r="AF638" s="2278"/>
      <c r="AG638" s="2279"/>
      <c r="AH638" s="2279"/>
      <c r="AI638" s="2279"/>
      <c r="AJ638" s="2280"/>
      <c r="AK638" s="2362"/>
      <c r="AL638" s="2363"/>
      <c r="AM638" s="2363"/>
      <c r="AN638" s="2364"/>
      <c r="AO638" s="2164">
        <f>9415000+1880000</f>
        <v>11295000</v>
      </c>
      <c r="AP638" s="2164"/>
      <c r="AQ638" s="2164"/>
      <c r="AR638" s="2164"/>
      <c r="AS638" s="2164"/>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90">
        <f t="shared" ref="DX638:DX662" si="22">DX610*(BN610/$BN$635)</f>
        <v>354</v>
      </c>
      <c r="DY638" s="2590"/>
      <c r="DZ638" s="2590"/>
      <c r="EA638" s="2590"/>
      <c r="EB638" s="2590"/>
      <c r="EC638" s="2590" t="e">
        <f t="shared" ref="EC638:EC662" si="23">EC610*(BS610/$BS$635)</f>
        <v>#VALUE!</v>
      </c>
      <c r="ED638" s="2590"/>
      <c r="EE638" s="2590"/>
      <c r="EF638" s="2590"/>
      <c r="EG638" s="2590"/>
      <c r="EH638" s="2590" t="e">
        <f t="shared" ref="EH638:EH662" si="24">EH610*(BX610/$BX$635)</f>
        <v>#VALUE!</v>
      </c>
      <c r="EI638" s="2590"/>
      <c r="EJ638" s="2590"/>
      <c r="EK638" s="2590"/>
      <c r="EL638" s="2590"/>
      <c r="EM638" s="2590" t="e">
        <f t="shared" ref="EM638:EM662" si="25">EM610*(CC610/$CC$635)</f>
        <v>#VALUE!</v>
      </c>
      <c r="EN638" s="2590"/>
      <c r="EO638" s="2590"/>
      <c r="EP638" s="2590"/>
      <c r="EQ638" s="2590"/>
      <c r="ER638" s="2590" t="e">
        <f t="shared" ref="ER638:ER662" si="26">ER610*(CH610/$CH$635)</f>
        <v>#VALUE!</v>
      </c>
      <c r="ES638" s="2590"/>
      <c r="ET638" s="2590"/>
      <c r="EU638" s="2590"/>
      <c r="EV638" s="2590"/>
      <c r="EW638" s="2590" t="e">
        <f t="shared" ref="EW638:EW662" si="27">EW610*(CM610/$CM$635)</f>
        <v>#VALUE!</v>
      </c>
      <c r="EX638" s="2590"/>
      <c r="EY638" s="2590"/>
      <c r="EZ638" s="2590"/>
      <c r="FA638" s="2590"/>
    </row>
    <row r="639" spans="1:157" ht="12.75" customHeight="1">
      <c r="B639" s="84" t="s">
        <v>124</v>
      </c>
      <c r="C639" s="2109" t="s">
        <v>2553</v>
      </c>
      <c r="D639" s="2172"/>
      <c r="E639" s="2172"/>
      <c r="F639" s="2172"/>
      <c r="G639" s="2172"/>
      <c r="H639" s="2172"/>
      <c r="I639" s="2172"/>
      <c r="J639" s="2172"/>
      <c r="K639" s="2172"/>
      <c r="L639" s="2172"/>
      <c r="M639" s="2172"/>
      <c r="N639" s="2591"/>
      <c r="O639" s="2448">
        <f>55*12</f>
        <v>660</v>
      </c>
      <c r="P639" s="2449"/>
      <c r="Q639" s="2450"/>
      <c r="R639" s="2187">
        <f>O639</f>
        <v>660</v>
      </c>
      <c r="S639" s="2185"/>
      <c r="T639" s="2186"/>
      <c r="U639" s="2395">
        <v>0.03</v>
      </c>
      <c r="V639" s="2396"/>
      <c r="W639" s="2397"/>
      <c r="X639" s="2297" t="s">
        <v>492</v>
      </c>
      <c r="Y639" s="2368"/>
      <c r="Z639" s="2368"/>
      <c r="AA639" s="2368"/>
      <c r="AB639" s="2369"/>
      <c r="AC639" s="2161">
        <v>3</v>
      </c>
      <c r="AD639" s="2162"/>
      <c r="AE639" s="2163"/>
      <c r="AF639" s="2278"/>
      <c r="AG639" s="2279"/>
      <c r="AH639" s="2279"/>
      <c r="AI639" s="2279"/>
      <c r="AJ639" s="2280"/>
      <c r="AK639" s="2362"/>
      <c r="AL639" s="2363"/>
      <c r="AM639" s="2363"/>
      <c r="AN639" s="2364"/>
      <c r="AO639" s="2164">
        <v>10400000</v>
      </c>
      <c r="AP639" s="2164"/>
      <c r="AQ639" s="2164"/>
      <c r="AR639" s="2164"/>
      <c r="AS639" s="2164"/>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90" t="e">
        <f t="shared" si="22"/>
        <v>#VALUE!</v>
      </c>
      <c r="DY639" s="2590"/>
      <c r="DZ639" s="2590"/>
      <c r="EA639" s="2590"/>
      <c r="EB639" s="2590"/>
      <c r="EC639" s="2590">
        <f t="shared" si="23"/>
        <v>514.18181818181813</v>
      </c>
      <c r="ED639" s="2590"/>
      <c r="EE639" s="2590"/>
      <c r="EF639" s="2590"/>
      <c r="EG639" s="2590"/>
      <c r="EH639" s="2590" t="e">
        <f t="shared" si="24"/>
        <v>#VALUE!</v>
      </c>
      <c r="EI639" s="2590"/>
      <c r="EJ639" s="2590"/>
      <c r="EK639" s="2590"/>
      <c r="EL639" s="2590"/>
      <c r="EM639" s="2590" t="e">
        <f t="shared" si="25"/>
        <v>#VALUE!</v>
      </c>
      <c r="EN639" s="2590"/>
      <c r="EO639" s="2590"/>
      <c r="EP639" s="2590"/>
      <c r="EQ639" s="2590"/>
      <c r="ER639" s="2590" t="e">
        <f t="shared" si="26"/>
        <v>#VALUE!</v>
      </c>
      <c r="ES639" s="2590"/>
      <c r="ET639" s="2590"/>
      <c r="EU639" s="2590"/>
      <c r="EV639" s="2590"/>
      <c r="EW639" s="2590" t="e">
        <f t="shared" si="27"/>
        <v>#VALUE!</v>
      </c>
      <c r="EX639" s="2590"/>
      <c r="EY639" s="2590"/>
      <c r="EZ639" s="2590"/>
      <c r="FA639" s="2590"/>
    </row>
    <row r="640" spans="1:157" ht="12.5">
      <c r="B640" s="84" t="s">
        <v>618</v>
      </c>
      <c r="C640" s="2109" t="s">
        <v>2588</v>
      </c>
      <c r="D640" s="2172"/>
      <c r="E640" s="2172"/>
      <c r="F640" s="2172"/>
      <c r="G640" s="2172"/>
      <c r="H640" s="2172"/>
      <c r="I640" s="2172"/>
      <c r="J640" s="2172"/>
      <c r="K640" s="2172"/>
      <c r="L640" s="2172"/>
      <c r="M640" s="2172"/>
      <c r="N640" s="2591"/>
      <c r="O640" s="2448"/>
      <c r="P640" s="2449"/>
      <c r="Q640" s="2450"/>
      <c r="R640" s="2187"/>
      <c r="S640" s="2185"/>
      <c r="T640" s="2186"/>
      <c r="U640" s="2395"/>
      <c r="V640" s="2396"/>
      <c r="W640" s="2397"/>
      <c r="X640" s="2297" t="s">
        <v>492</v>
      </c>
      <c r="Y640" s="2368"/>
      <c r="Z640" s="2368"/>
      <c r="AA640" s="2368"/>
      <c r="AB640" s="2369"/>
      <c r="AC640" s="2161"/>
      <c r="AD640" s="2162"/>
      <c r="AE640" s="2163"/>
      <c r="AF640" s="2278"/>
      <c r="AG640" s="2279"/>
      <c r="AH640" s="2279"/>
      <c r="AI640" s="2279"/>
      <c r="AJ640" s="2280"/>
      <c r="AK640" s="2362"/>
      <c r="AL640" s="2363"/>
      <c r="AM640" s="2363"/>
      <c r="AN640" s="2364"/>
      <c r="AO640" s="2164">
        <v>491190</v>
      </c>
      <c r="AP640" s="2164"/>
      <c r="AQ640" s="2164"/>
      <c r="AR640" s="2164"/>
      <c r="AS640" s="2164"/>
      <c r="AT640" s="239"/>
      <c r="AU640" s="239"/>
      <c r="AV640" s="239"/>
      <c r="AW640" s="239"/>
      <c r="AX640" s="239"/>
      <c r="AY640" s="239"/>
      <c r="AZ640" s="61"/>
      <c r="BA640" s="58" t="s">
        <v>2166</v>
      </c>
      <c r="BB640" s="61"/>
      <c r="BC640" s="61"/>
      <c r="BD640" s="61"/>
      <c r="BE640" s="61"/>
      <c r="BF640" s="61"/>
      <c r="BG640" s="61"/>
      <c r="BH640" s="61"/>
      <c r="BI640" s="61"/>
      <c r="BJ640" s="61"/>
      <c r="BK640" s="61"/>
      <c r="BL640" s="61"/>
      <c r="BM640" s="61"/>
      <c r="BN640" s="2028">
        <f>IF(J772="SRO/Studio",O772,0)</f>
        <v>0</v>
      </c>
      <c r="BO640" s="2029"/>
      <c r="BP640" s="2029"/>
      <c r="BQ640" s="2029"/>
      <c r="BR640" s="2030"/>
      <c r="BS640" s="2027">
        <f>IF(J772="1 Bedroom",O772,0)</f>
        <v>0</v>
      </c>
      <c r="BT640" s="2027"/>
      <c r="BU640" s="2027"/>
      <c r="BV640" s="2027"/>
      <c r="BW640" s="2027"/>
      <c r="BX640" s="2027">
        <f>IF(J772="2 Bedrooms",O772,0)</f>
        <v>1</v>
      </c>
      <c r="BY640" s="2027"/>
      <c r="BZ640" s="2027"/>
      <c r="CA640" s="2027"/>
      <c r="CB640" s="2027"/>
      <c r="CC640" s="2027">
        <f>IF(J772="3 Bedrooms",O772,0)</f>
        <v>0</v>
      </c>
      <c r="CD640" s="2027"/>
      <c r="CE640" s="2027"/>
      <c r="CF640" s="2027"/>
      <c r="CG640" s="2027"/>
      <c r="CH640" s="2027">
        <f>IF(J772="4 Bedrooms",O772,0)</f>
        <v>0</v>
      </c>
      <c r="CI640" s="2027"/>
      <c r="CJ640" s="2027"/>
      <c r="CK640" s="2027"/>
      <c r="CL640" s="2027"/>
      <c r="CM640" s="2027">
        <f>IF(J772="5 Bedrooms",O772,0)</f>
        <v>0</v>
      </c>
      <c r="CN640" s="2027"/>
      <c r="CO640" s="2027"/>
      <c r="CP640" s="2027"/>
      <c r="CQ640" s="2027"/>
      <c r="CR640" s="265"/>
      <c r="CS640" s="58"/>
      <c r="CT640" s="58"/>
      <c r="CU640" s="58"/>
      <c r="CV640" s="58"/>
      <c r="CW640" s="58"/>
      <c r="CX640" s="58"/>
      <c r="CY640" s="58"/>
      <c r="CZ640" s="58"/>
      <c r="DA640" s="58"/>
      <c r="DB640" s="58"/>
      <c r="DC640" s="58"/>
      <c r="DD640" s="58"/>
      <c r="DE640" s="58"/>
      <c r="DF640" s="58"/>
      <c r="DX640" s="2590" t="e">
        <f t="shared" si="22"/>
        <v>#VALUE!</v>
      </c>
      <c r="DY640" s="2590"/>
      <c r="DZ640" s="2590"/>
      <c r="EA640" s="2590"/>
      <c r="EB640" s="2590"/>
      <c r="EC640" s="2590" t="e">
        <f t="shared" si="23"/>
        <v>#VALUE!</v>
      </c>
      <c r="ED640" s="2590"/>
      <c r="EE640" s="2590"/>
      <c r="EF640" s="2590"/>
      <c r="EG640" s="2590"/>
      <c r="EH640" s="2590">
        <f t="shared" si="24"/>
        <v>587.80769230769226</v>
      </c>
      <c r="EI640" s="2590"/>
      <c r="EJ640" s="2590"/>
      <c r="EK640" s="2590"/>
      <c r="EL640" s="2590"/>
      <c r="EM640" s="2590" t="e">
        <f t="shared" si="25"/>
        <v>#VALUE!</v>
      </c>
      <c r="EN640" s="2590"/>
      <c r="EO640" s="2590"/>
      <c r="EP640" s="2590"/>
      <c r="EQ640" s="2590"/>
      <c r="ER640" s="2590" t="e">
        <f t="shared" si="26"/>
        <v>#VALUE!</v>
      </c>
      <c r="ES640" s="2590"/>
      <c r="ET640" s="2590"/>
      <c r="EU640" s="2590"/>
      <c r="EV640" s="2590"/>
      <c r="EW640" s="2590" t="e">
        <f t="shared" si="27"/>
        <v>#VALUE!</v>
      </c>
      <c r="EX640" s="2590"/>
      <c r="EY640" s="2590"/>
      <c r="EZ640" s="2590"/>
      <c r="FA640" s="2590"/>
    </row>
    <row r="641" spans="1:157" ht="12.5">
      <c r="B641" s="84" t="s">
        <v>825</v>
      </c>
      <c r="C641" s="2109" t="s">
        <v>2564</v>
      </c>
      <c r="D641" s="2172"/>
      <c r="E641" s="2172"/>
      <c r="F641" s="2172"/>
      <c r="G641" s="2172"/>
      <c r="H641" s="2172"/>
      <c r="I641" s="2172"/>
      <c r="J641" s="2172"/>
      <c r="K641" s="2172"/>
      <c r="L641" s="2172"/>
      <c r="M641" s="2172"/>
      <c r="N641" s="2591"/>
      <c r="O641" s="2448">
        <f>55*12</f>
        <v>660</v>
      </c>
      <c r="P641" s="2449"/>
      <c r="Q641" s="2450"/>
      <c r="R641" s="2187">
        <f>O641</f>
        <v>660</v>
      </c>
      <c r="S641" s="2185"/>
      <c r="T641" s="2186"/>
      <c r="U641" s="2395">
        <v>0</v>
      </c>
      <c r="V641" s="2396"/>
      <c r="W641" s="2397"/>
      <c r="X641" s="2297" t="s">
        <v>493</v>
      </c>
      <c r="Y641" s="2368"/>
      <c r="Z641" s="2368"/>
      <c r="AA641" s="2368"/>
      <c r="AB641" s="2369"/>
      <c r="AC641" s="2161">
        <v>5</v>
      </c>
      <c r="AD641" s="2162"/>
      <c r="AE641" s="2163"/>
      <c r="AF641" s="2278"/>
      <c r="AG641" s="2279"/>
      <c r="AH641" s="2279"/>
      <c r="AI641" s="2279"/>
      <c r="AJ641" s="2280"/>
      <c r="AK641" s="2362"/>
      <c r="AL641" s="2363"/>
      <c r="AM641" s="2363"/>
      <c r="AN641" s="2364"/>
      <c r="AO641" s="2164">
        <v>1000000</v>
      </c>
      <c r="AP641" s="2164"/>
      <c r="AQ641" s="2164"/>
      <c r="AR641" s="2164"/>
      <c r="AS641" s="2164"/>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28">
        <f>IF(J773="SRO/Studio",O773,0)</f>
        <v>0</v>
      </c>
      <c r="BO641" s="2029"/>
      <c r="BP641" s="2029"/>
      <c r="BQ641" s="2029"/>
      <c r="BR641" s="2030"/>
      <c r="BS641" s="2027">
        <f>IF(J773="1 Bedroom",O773,0)</f>
        <v>0</v>
      </c>
      <c r="BT641" s="2027"/>
      <c r="BU641" s="2027"/>
      <c r="BV641" s="2027"/>
      <c r="BW641" s="2027"/>
      <c r="BX641" s="2027">
        <f>IF(J773="2 Bedrooms",O773,0)</f>
        <v>0</v>
      </c>
      <c r="BY641" s="2027"/>
      <c r="BZ641" s="2027"/>
      <c r="CA641" s="2027"/>
      <c r="CB641" s="2027"/>
      <c r="CC641" s="2027">
        <f>IF(J773="3 Bedrooms",O773,0)</f>
        <v>0</v>
      </c>
      <c r="CD641" s="2027"/>
      <c r="CE641" s="2027"/>
      <c r="CF641" s="2027"/>
      <c r="CG641" s="2027"/>
      <c r="CH641" s="2027">
        <f>IF(J773="4 Bedrooms",O773,0)</f>
        <v>0</v>
      </c>
      <c r="CI641" s="2027"/>
      <c r="CJ641" s="2027"/>
      <c r="CK641" s="2027"/>
      <c r="CL641" s="2027"/>
      <c r="CM641" s="2027">
        <f>IF(J773="5 Bedrooms",O773,0)</f>
        <v>0</v>
      </c>
      <c r="CN641" s="2027"/>
      <c r="CO641" s="2027"/>
      <c r="CP641" s="2027"/>
      <c r="CQ641" s="2027"/>
      <c r="CR641" s="265"/>
      <c r="CS641" s="58"/>
      <c r="CT641" s="58"/>
      <c r="CU641" s="58"/>
      <c r="CV641" s="58"/>
      <c r="CW641" s="58"/>
      <c r="CX641" s="58"/>
      <c r="CY641" s="58"/>
      <c r="CZ641" s="58"/>
      <c r="DA641" s="58"/>
      <c r="DB641" s="58"/>
      <c r="DC641" s="58"/>
      <c r="DD641" s="58"/>
      <c r="DE641" s="58"/>
      <c r="DF641" s="58"/>
      <c r="DX641" s="2590" t="e">
        <f t="shared" si="22"/>
        <v>#VALUE!</v>
      </c>
      <c r="DY641" s="2590"/>
      <c r="DZ641" s="2590"/>
      <c r="EA641" s="2590"/>
      <c r="EB641" s="2590"/>
      <c r="EC641" s="2590" t="e">
        <f t="shared" si="23"/>
        <v>#VALUE!</v>
      </c>
      <c r="ED641" s="2590"/>
      <c r="EE641" s="2590"/>
      <c r="EF641" s="2590"/>
      <c r="EG641" s="2590"/>
      <c r="EH641" s="2590" t="e">
        <f t="shared" si="24"/>
        <v>#VALUE!</v>
      </c>
      <c r="EI641" s="2590"/>
      <c r="EJ641" s="2590"/>
      <c r="EK641" s="2590"/>
      <c r="EL641" s="2590"/>
      <c r="EM641" s="2590">
        <f t="shared" si="25"/>
        <v>141.42857142857142</v>
      </c>
      <c r="EN641" s="2590"/>
      <c r="EO641" s="2590"/>
      <c r="EP641" s="2590"/>
      <c r="EQ641" s="2590"/>
      <c r="ER641" s="2590" t="e">
        <f t="shared" si="26"/>
        <v>#VALUE!</v>
      </c>
      <c r="ES641" s="2590"/>
      <c r="ET641" s="2590"/>
      <c r="EU641" s="2590"/>
      <c r="EV641" s="2590"/>
      <c r="EW641" s="2590" t="e">
        <f t="shared" si="27"/>
        <v>#VALUE!</v>
      </c>
      <c r="EX641" s="2590"/>
      <c r="EY641" s="2590"/>
      <c r="EZ641" s="2590"/>
      <c r="FA641" s="2590"/>
    </row>
    <row r="642" spans="1:157" ht="12.5">
      <c r="B642" s="84" t="s">
        <v>621</v>
      </c>
      <c r="C642" s="2109" t="s">
        <v>2589</v>
      </c>
      <c r="D642" s="2172"/>
      <c r="E642" s="2172"/>
      <c r="F642" s="2172"/>
      <c r="G642" s="2172"/>
      <c r="H642" s="2172"/>
      <c r="I642" s="2172"/>
      <c r="J642" s="2172"/>
      <c r="K642" s="2172"/>
      <c r="L642" s="2172"/>
      <c r="M642" s="2172"/>
      <c r="N642" s="2591"/>
      <c r="O642" s="2448">
        <f>55*12</f>
        <v>660</v>
      </c>
      <c r="P642" s="2449"/>
      <c r="Q642" s="2450"/>
      <c r="R642" s="2187">
        <f>O642</f>
        <v>660</v>
      </c>
      <c r="S642" s="2185"/>
      <c r="T642" s="2186"/>
      <c r="U642" s="2395">
        <v>0.03</v>
      </c>
      <c r="V642" s="2396"/>
      <c r="W642" s="2397"/>
      <c r="X642" s="2297" t="s">
        <v>2166</v>
      </c>
      <c r="Y642" s="2368"/>
      <c r="Z642" s="2368"/>
      <c r="AA642" s="2368"/>
      <c r="AB642" s="2369"/>
      <c r="AC642" s="2161">
        <v>4</v>
      </c>
      <c r="AD642" s="2162"/>
      <c r="AE642" s="2163"/>
      <c r="AF642" s="2278">
        <v>36219</v>
      </c>
      <c r="AG642" s="2279"/>
      <c r="AH642" s="2279"/>
      <c r="AI642" s="2279"/>
      <c r="AJ642" s="2280"/>
      <c r="AK642" s="2362"/>
      <c r="AL642" s="2363"/>
      <c r="AM642" s="2363"/>
      <c r="AN642" s="2364"/>
      <c r="AO642" s="2164">
        <v>8623532</v>
      </c>
      <c r="AP642" s="2164"/>
      <c r="AQ642" s="2164"/>
      <c r="AR642" s="2164"/>
      <c r="AS642" s="216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28">
        <f>IF(J774="SRO/Studio",O774,0)</f>
        <v>0</v>
      </c>
      <c r="BO642" s="2029"/>
      <c r="BP642" s="2029"/>
      <c r="BQ642" s="2029"/>
      <c r="BR642" s="2030"/>
      <c r="BS642" s="2027">
        <f>IF(J774="1 Bedroom",O774,0)</f>
        <v>0</v>
      </c>
      <c r="BT642" s="2027"/>
      <c r="BU642" s="2027"/>
      <c r="BV642" s="2027"/>
      <c r="BW642" s="2027"/>
      <c r="BX642" s="2027">
        <f>IF(J774="2 Bedrooms",O774,0)</f>
        <v>0</v>
      </c>
      <c r="BY642" s="2027"/>
      <c r="BZ642" s="2027"/>
      <c r="CA642" s="2027"/>
      <c r="CB642" s="2027"/>
      <c r="CC642" s="2027">
        <f>IF(J774="3 Bedrooms",O774,0)</f>
        <v>0</v>
      </c>
      <c r="CD642" s="2027"/>
      <c r="CE642" s="2027"/>
      <c r="CF642" s="2027"/>
      <c r="CG642" s="2027"/>
      <c r="CH642" s="2027">
        <f>IF(J774="4 Bedrooms",O774,0)</f>
        <v>0</v>
      </c>
      <c r="CI642" s="2027"/>
      <c r="CJ642" s="2027"/>
      <c r="CK642" s="2027"/>
      <c r="CL642" s="2027"/>
      <c r="CM642" s="2027">
        <f>IF(J774="5 Bedrooms",O774,0)</f>
        <v>0</v>
      </c>
      <c r="CN642" s="2027"/>
      <c r="CO642" s="2027"/>
      <c r="CP642" s="2027"/>
      <c r="CQ642" s="2027"/>
      <c r="CR642" s="1823"/>
      <c r="CV642" s="58"/>
      <c r="CW642" s="58"/>
      <c r="CX642" s="58"/>
      <c r="CY642" s="58"/>
      <c r="CZ642" s="58"/>
      <c r="DA642" s="58"/>
      <c r="DB642" s="58"/>
      <c r="DC642" s="58"/>
      <c r="DD642" s="58"/>
      <c r="DE642" s="58"/>
      <c r="DF642" s="58"/>
      <c r="DX642" s="2590" t="e">
        <f t="shared" si="22"/>
        <v>#VALUE!</v>
      </c>
      <c r="DY642" s="2590"/>
      <c r="DZ642" s="2590"/>
      <c r="EA642" s="2590"/>
      <c r="EB642" s="2590"/>
      <c r="EC642" s="2590" t="e">
        <f t="shared" si="23"/>
        <v>#VALUE!</v>
      </c>
      <c r="ED642" s="2590"/>
      <c r="EE642" s="2590"/>
      <c r="EF642" s="2590"/>
      <c r="EG642" s="2590"/>
      <c r="EH642" s="2590">
        <f t="shared" si="24"/>
        <v>138.30769230769232</v>
      </c>
      <c r="EI642" s="2590"/>
      <c r="EJ642" s="2590"/>
      <c r="EK642" s="2590"/>
      <c r="EL642" s="2590"/>
      <c r="EM642" s="2590" t="e">
        <f t="shared" si="25"/>
        <v>#VALUE!</v>
      </c>
      <c r="EN642" s="2590"/>
      <c r="EO642" s="2590"/>
      <c r="EP642" s="2590"/>
      <c r="EQ642" s="2590"/>
      <c r="ER642" s="2590" t="e">
        <f t="shared" si="26"/>
        <v>#VALUE!</v>
      </c>
      <c r="ES642" s="2590"/>
      <c r="ET642" s="2590"/>
      <c r="EU642" s="2590"/>
      <c r="EV642" s="2590"/>
      <c r="EW642" s="2590" t="e">
        <f t="shared" si="27"/>
        <v>#VALUE!</v>
      </c>
      <c r="EX642" s="2590"/>
      <c r="EY642" s="2590"/>
      <c r="EZ642" s="2590"/>
      <c r="FA642" s="2590"/>
    </row>
    <row r="643" spans="1:157" ht="12.5">
      <c r="B643" s="84" t="s">
        <v>489</v>
      </c>
      <c r="C643" s="2109"/>
      <c r="D643" s="2172"/>
      <c r="E643" s="2172"/>
      <c r="F643" s="2172"/>
      <c r="G643" s="2172"/>
      <c r="H643" s="2172"/>
      <c r="I643" s="2172"/>
      <c r="J643" s="2172"/>
      <c r="K643" s="2172"/>
      <c r="L643" s="2172"/>
      <c r="M643" s="2172"/>
      <c r="N643" s="2591"/>
      <c r="O643" s="1852"/>
      <c r="P643" s="1853"/>
      <c r="Q643" s="1854"/>
      <c r="R643" s="1849"/>
      <c r="S643" s="1847"/>
      <c r="T643" s="1848"/>
      <c r="U643" s="2395"/>
      <c r="V643" s="2396"/>
      <c r="W643" s="2397"/>
      <c r="X643" s="2297"/>
      <c r="Y643" s="2368"/>
      <c r="Z643" s="2368"/>
      <c r="AA643" s="2368"/>
      <c r="AB643" s="2369"/>
      <c r="AC643" s="2161"/>
      <c r="AD643" s="2162"/>
      <c r="AE643" s="2163"/>
      <c r="AF643" s="2278"/>
      <c r="AG643" s="2279"/>
      <c r="AH643" s="2279"/>
      <c r="AI643" s="2279"/>
      <c r="AJ643" s="2280"/>
      <c r="AK643" s="2362"/>
      <c r="AL643" s="2363"/>
      <c r="AM643" s="2363"/>
      <c r="AN643" s="2364"/>
      <c r="AO643" s="2164"/>
      <c r="AP643" s="2164"/>
      <c r="AQ643" s="2164"/>
      <c r="AR643" s="2164"/>
      <c r="AS643" s="216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28">
        <f>IF(J775="SRO/Studio",O775,0)</f>
        <v>0</v>
      </c>
      <c r="BO643" s="2029"/>
      <c r="BP643" s="2029"/>
      <c r="BQ643" s="2029"/>
      <c r="BR643" s="2030"/>
      <c r="BS643" s="2027">
        <f>IF(J775="1 Bedroom",O775,0)</f>
        <v>0</v>
      </c>
      <c r="BT643" s="2027"/>
      <c r="BU643" s="2027"/>
      <c r="BV643" s="2027"/>
      <c r="BW643" s="2027"/>
      <c r="BX643" s="2027">
        <f>IF(J775="2 Bedrooms",O775,0)</f>
        <v>0</v>
      </c>
      <c r="BY643" s="2027"/>
      <c r="BZ643" s="2027"/>
      <c r="CA643" s="2027"/>
      <c r="CB643" s="2027"/>
      <c r="CC643" s="2027">
        <f>IF(J775="3 Bedrooms",O775,0)</f>
        <v>0</v>
      </c>
      <c r="CD643" s="2027"/>
      <c r="CE643" s="2027"/>
      <c r="CF643" s="2027"/>
      <c r="CG643" s="2027"/>
      <c r="CH643" s="2027">
        <f>IF(J775="4 Bedrooms",O775,0)</f>
        <v>0</v>
      </c>
      <c r="CI643" s="2027"/>
      <c r="CJ643" s="2027"/>
      <c r="CK643" s="2027"/>
      <c r="CL643" s="2027"/>
      <c r="CM643" s="2027">
        <f>IF(J775="5 Bedrooms",O775,0)</f>
        <v>0</v>
      </c>
      <c r="CN643" s="2027"/>
      <c r="CO643" s="2027"/>
      <c r="CP643" s="2027"/>
      <c r="CQ643" s="2027"/>
      <c r="CV643" s="58"/>
      <c r="CW643" s="58"/>
      <c r="CX643" s="58"/>
      <c r="CY643" s="58"/>
      <c r="CZ643" s="58"/>
      <c r="DA643" s="58"/>
      <c r="DB643" s="58"/>
      <c r="DC643" s="58"/>
      <c r="DD643" s="58"/>
      <c r="DE643" s="58"/>
      <c r="DF643" s="58"/>
      <c r="DX643" s="2590" t="e">
        <f t="shared" si="22"/>
        <v>#VALUE!</v>
      </c>
      <c r="DY643" s="2590"/>
      <c r="DZ643" s="2590"/>
      <c r="EA643" s="2590"/>
      <c r="EB643" s="2590"/>
      <c r="EC643" s="2590" t="e">
        <f t="shared" si="23"/>
        <v>#VALUE!</v>
      </c>
      <c r="ED643" s="2590"/>
      <c r="EE643" s="2590"/>
      <c r="EF643" s="2590"/>
      <c r="EG643" s="2590"/>
      <c r="EH643" s="2590" t="e">
        <f t="shared" si="24"/>
        <v>#VALUE!</v>
      </c>
      <c r="EI643" s="2590"/>
      <c r="EJ643" s="2590"/>
      <c r="EK643" s="2590"/>
      <c r="EL643" s="2590"/>
      <c r="EM643" s="2590">
        <f t="shared" si="25"/>
        <v>424.28571428571428</v>
      </c>
      <c r="EN643" s="2590"/>
      <c r="EO643" s="2590"/>
      <c r="EP643" s="2590"/>
      <c r="EQ643" s="2590"/>
      <c r="ER643" s="2590" t="e">
        <f t="shared" si="26"/>
        <v>#VALUE!</v>
      </c>
      <c r="ES643" s="2590"/>
      <c r="ET643" s="2590"/>
      <c r="EU643" s="2590"/>
      <c r="EV643" s="2590"/>
      <c r="EW643" s="2590" t="e">
        <f t="shared" si="27"/>
        <v>#VALUE!</v>
      </c>
      <c r="EX643" s="2590"/>
      <c r="EY643" s="2590"/>
      <c r="EZ643" s="2590"/>
      <c r="FA643" s="2590"/>
    </row>
    <row r="644" spans="1:157" ht="13">
      <c r="B644" s="84" t="s">
        <v>490</v>
      </c>
      <c r="C644" s="2109" t="s">
        <v>2141</v>
      </c>
      <c r="D644" s="2172"/>
      <c r="E644" s="2172"/>
      <c r="F644" s="2172"/>
      <c r="G644" s="2172"/>
      <c r="H644" s="2172"/>
      <c r="I644" s="2172"/>
      <c r="J644" s="2172"/>
      <c r="K644" s="2172"/>
      <c r="L644" s="2172"/>
      <c r="M644" s="2172"/>
      <c r="N644" s="2591"/>
      <c r="O644" s="2448" t="s">
        <v>628</v>
      </c>
      <c r="P644" s="2449"/>
      <c r="Q644" s="2450"/>
      <c r="R644" s="2201" t="s">
        <v>628</v>
      </c>
      <c r="S644" s="2185"/>
      <c r="T644" s="2186"/>
      <c r="U644" s="2395" t="s">
        <v>628</v>
      </c>
      <c r="V644" s="2396"/>
      <c r="W644" s="2397"/>
      <c r="X644" s="2297" t="s">
        <v>493</v>
      </c>
      <c r="Y644" s="2368"/>
      <c r="Z644" s="2368"/>
      <c r="AA644" s="2368"/>
      <c r="AB644" s="2369"/>
      <c r="AC644" s="2161"/>
      <c r="AD644" s="2162"/>
      <c r="AE644" s="2163"/>
      <c r="AF644" s="2278"/>
      <c r="AG644" s="2279"/>
      <c r="AH644" s="2279"/>
      <c r="AI644" s="2279"/>
      <c r="AJ644" s="2280"/>
      <c r="AK644" s="2362"/>
      <c r="AL644" s="2363"/>
      <c r="AM644" s="2363"/>
      <c r="AN644" s="2364"/>
      <c r="AO644" s="2164">
        <v>1913441</v>
      </c>
      <c r="AP644" s="2164"/>
      <c r="AQ644" s="2164"/>
      <c r="AR644" s="2164"/>
      <c r="AS644" s="2164"/>
      <c r="AT644" s="239"/>
      <c r="AU644" s="239"/>
      <c r="AV644" s="239"/>
      <c r="AW644" s="239"/>
      <c r="AX644" s="239"/>
      <c r="AY644" s="239"/>
      <c r="AZ644" s="61"/>
      <c r="BA644" s="61"/>
      <c r="BB644" s="61"/>
      <c r="BC644" s="61"/>
      <c r="BD644" s="61"/>
      <c r="BE644" s="61"/>
      <c r="BF644" s="61"/>
      <c r="BG644" s="61"/>
      <c r="BH644" s="61"/>
      <c r="BI644" s="61"/>
      <c r="BJ644" s="61"/>
      <c r="BK644" s="61"/>
      <c r="BL644" s="61"/>
      <c r="BM644" s="61"/>
      <c r="BN644" s="2214">
        <f>SUM(BN640:BR643)</f>
        <v>0</v>
      </c>
      <c r="BO644" s="2217"/>
      <c r="BP644" s="2217"/>
      <c r="BQ644" s="2217"/>
      <c r="BR644" s="2215"/>
      <c r="BS644" s="2045">
        <f>SUM(BS640:BW643)</f>
        <v>0</v>
      </c>
      <c r="BT644" s="2046"/>
      <c r="BU644" s="2046"/>
      <c r="BV644" s="2046"/>
      <c r="BW644" s="2047"/>
      <c r="BX644" s="2045">
        <f>SUM(BX640:CB643)</f>
        <v>1</v>
      </c>
      <c r="BY644" s="2046"/>
      <c r="BZ644" s="2046"/>
      <c r="CA644" s="2046"/>
      <c r="CB644" s="2047"/>
      <c r="CC644" s="2045">
        <f>SUM(CC640:CG643)</f>
        <v>0</v>
      </c>
      <c r="CD644" s="2046"/>
      <c r="CE644" s="2046"/>
      <c r="CF644" s="2046"/>
      <c r="CG644" s="2047"/>
      <c r="CH644" s="2045">
        <f>SUM(CH640:CL643)</f>
        <v>0</v>
      </c>
      <c r="CI644" s="2046"/>
      <c r="CJ644" s="2046"/>
      <c r="CK644" s="2046"/>
      <c r="CL644" s="2047"/>
      <c r="CM644" s="2045">
        <f>SUM(CM640:CQ643)</f>
        <v>0</v>
      </c>
      <c r="CN644" s="2046"/>
      <c r="CO644" s="2046"/>
      <c r="CP644" s="2046"/>
      <c r="CQ644" s="2047"/>
      <c r="CS644" s="1472">
        <f>BN644+BS644+BX644+CC644+CH644+CM644</f>
        <v>1</v>
      </c>
      <c r="CT644" s="134" t="s">
        <v>2453</v>
      </c>
      <c r="CU644" s="58"/>
      <c r="CV644" s="58"/>
      <c r="CW644" s="58"/>
      <c r="CX644" s="58"/>
      <c r="CY644" s="58"/>
      <c r="CZ644" s="58"/>
      <c r="DA644" s="58"/>
      <c r="DB644" s="58"/>
      <c r="DC644" s="58"/>
      <c r="DD644" s="58"/>
      <c r="DE644" s="58"/>
      <c r="DF644" s="58"/>
      <c r="DX644" s="2590" t="e">
        <f t="shared" si="22"/>
        <v>#VALUE!</v>
      </c>
      <c r="DY644" s="2590"/>
      <c r="DZ644" s="2590"/>
      <c r="EA644" s="2590"/>
      <c r="EB644" s="2590"/>
      <c r="EC644" s="2590" t="e">
        <f t="shared" si="23"/>
        <v>#VALUE!</v>
      </c>
      <c r="ED644" s="2590"/>
      <c r="EE644" s="2590"/>
      <c r="EF644" s="2590"/>
      <c r="EG644" s="2590"/>
      <c r="EH644" s="2590">
        <f t="shared" si="24"/>
        <v>236.30769230769232</v>
      </c>
      <c r="EI644" s="2590"/>
      <c r="EJ644" s="2590"/>
      <c r="EK644" s="2590"/>
      <c r="EL644" s="2590"/>
      <c r="EM644" s="2590" t="e">
        <f t="shared" si="25"/>
        <v>#VALUE!</v>
      </c>
      <c r="EN644" s="2590"/>
      <c r="EO644" s="2590"/>
      <c r="EP644" s="2590"/>
      <c r="EQ644" s="2590"/>
      <c r="ER644" s="2590" t="e">
        <f t="shared" si="26"/>
        <v>#VALUE!</v>
      </c>
      <c r="ES644" s="2590"/>
      <c r="ET644" s="2590"/>
      <c r="EU644" s="2590"/>
      <c r="EV644" s="2590"/>
      <c r="EW644" s="2590" t="e">
        <f t="shared" si="27"/>
        <v>#VALUE!</v>
      </c>
      <c r="EX644" s="2590"/>
      <c r="EY644" s="2590"/>
      <c r="EZ644" s="2590"/>
      <c r="FA644" s="2590"/>
    </row>
    <row r="645" spans="1:157" ht="13">
      <c r="B645" s="84" t="s">
        <v>496</v>
      </c>
      <c r="C645" s="2109" t="s">
        <v>2565</v>
      </c>
      <c r="D645" s="2172"/>
      <c r="E645" s="2172"/>
      <c r="F645" s="2172"/>
      <c r="G645" s="2172"/>
      <c r="H645" s="2172"/>
      <c r="I645" s="2172"/>
      <c r="J645" s="2172"/>
      <c r="K645" s="2172"/>
      <c r="L645" s="2172"/>
      <c r="M645" s="2172"/>
      <c r="N645" s="2591"/>
      <c r="O645" s="2448" t="s">
        <v>628</v>
      </c>
      <c r="P645" s="2449"/>
      <c r="Q645" s="2450"/>
      <c r="R645" s="2201" t="s">
        <v>628</v>
      </c>
      <c r="S645" s="2185"/>
      <c r="T645" s="2186"/>
      <c r="U645" s="2395" t="s">
        <v>628</v>
      </c>
      <c r="V645" s="2396"/>
      <c r="W645" s="2397"/>
      <c r="X645" s="2297" t="s">
        <v>493</v>
      </c>
      <c r="Y645" s="2368"/>
      <c r="Z645" s="2368"/>
      <c r="AA645" s="2368"/>
      <c r="AB645" s="2369"/>
      <c r="AC645" s="2161"/>
      <c r="AD645" s="2162"/>
      <c r="AE645" s="2163"/>
      <c r="AF645" s="2278"/>
      <c r="AG645" s="2279"/>
      <c r="AH645" s="2279"/>
      <c r="AI645" s="2279"/>
      <c r="AJ645" s="2280"/>
      <c r="AK645" s="2362"/>
      <c r="AL645" s="2363"/>
      <c r="AM645" s="2363"/>
      <c r="AN645" s="2364"/>
      <c r="AO645" s="2164">
        <v>100</v>
      </c>
      <c r="AP645" s="2164"/>
      <c r="AQ645" s="2164"/>
      <c r="AR645" s="2164"/>
      <c r="AS645" s="2164"/>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2</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2</v>
      </c>
      <c r="CT645" s="134" t="s">
        <v>2455</v>
      </c>
      <c r="CU645" s="58"/>
      <c r="CV645" s="58"/>
      <c r="CW645" s="58"/>
      <c r="CX645" s="58"/>
      <c r="CY645" s="58"/>
      <c r="CZ645" s="58"/>
      <c r="DA645" s="58"/>
      <c r="DB645" s="58"/>
      <c r="DC645" s="58"/>
      <c r="DD645" s="58"/>
      <c r="DE645" s="58"/>
      <c r="DF645" s="58"/>
      <c r="DX645" s="2590" t="e">
        <f t="shared" si="22"/>
        <v>#VALUE!</v>
      </c>
      <c r="DY645" s="2590"/>
      <c r="DZ645" s="2590"/>
      <c r="EA645" s="2590"/>
      <c r="EB645" s="2590"/>
      <c r="EC645" s="2590" t="e">
        <f t="shared" si="23"/>
        <v>#VALUE!</v>
      </c>
      <c r="ED645" s="2590"/>
      <c r="EE645" s="2590"/>
      <c r="EF645" s="2590"/>
      <c r="EG645" s="2590"/>
      <c r="EH645" s="2590" t="e">
        <f t="shared" si="24"/>
        <v>#VALUE!</v>
      </c>
      <c r="EI645" s="2590"/>
      <c r="EJ645" s="2590"/>
      <c r="EK645" s="2590"/>
      <c r="EL645" s="2590"/>
      <c r="EM645" s="2590">
        <f t="shared" si="25"/>
        <v>727.71428571428567</v>
      </c>
      <c r="EN645" s="2590"/>
      <c r="EO645" s="2590"/>
      <c r="EP645" s="2590"/>
      <c r="EQ645" s="2590"/>
      <c r="ER645" s="2590" t="e">
        <f t="shared" si="26"/>
        <v>#VALUE!</v>
      </c>
      <c r="ES645" s="2590"/>
      <c r="ET645" s="2590"/>
      <c r="EU645" s="2590"/>
      <c r="EV645" s="2590"/>
      <c r="EW645" s="2590" t="e">
        <f t="shared" si="27"/>
        <v>#VALUE!</v>
      </c>
      <c r="EX645" s="2590"/>
      <c r="EY645" s="2590"/>
      <c r="EZ645" s="2590"/>
      <c r="FA645" s="2590"/>
    </row>
    <row r="646" spans="1:157" ht="12.5">
      <c r="B646" s="84" t="s">
        <v>683</v>
      </c>
      <c r="C646" s="2172"/>
      <c r="D646" s="2172"/>
      <c r="E646" s="2172"/>
      <c r="F646" s="2172"/>
      <c r="G646" s="2172"/>
      <c r="H646" s="2172"/>
      <c r="I646" s="2172"/>
      <c r="J646" s="2172"/>
      <c r="K646" s="2172"/>
      <c r="L646" s="2172"/>
      <c r="M646" s="2172"/>
      <c r="N646" s="2591"/>
      <c r="O646" s="2448"/>
      <c r="P646" s="2449"/>
      <c r="Q646" s="2450"/>
      <c r="R646" s="2187"/>
      <c r="S646" s="2185"/>
      <c r="T646" s="2186"/>
      <c r="U646" s="2395"/>
      <c r="V646" s="2396"/>
      <c r="W646" s="2397"/>
      <c r="X646" s="2297" t="s">
        <v>1387</v>
      </c>
      <c r="Y646" s="2368"/>
      <c r="Z646" s="2368"/>
      <c r="AA646" s="2368"/>
      <c r="AB646" s="2369"/>
      <c r="AC646" s="2161"/>
      <c r="AD646" s="2162"/>
      <c r="AE646" s="2163"/>
      <c r="AF646" s="2278"/>
      <c r="AG646" s="2279"/>
      <c r="AH646" s="2279"/>
      <c r="AI646" s="2279"/>
      <c r="AJ646" s="2280"/>
      <c r="AK646" s="2362"/>
      <c r="AL646" s="2363"/>
      <c r="AM646" s="2363"/>
      <c r="AN646" s="2364"/>
      <c r="AO646" s="2164"/>
      <c r="AP646" s="2164"/>
      <c r="AQ646" s="2164"/>
      <c r="AR646" s="2164"/>
      <c r="AS646" s="216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90">
        <f t="shared" si="22"/>
        <v>673.5</v>
      </c>
      <c r="DY646" s="2590"/>
      <c r="DZ646" s="2590"/>
      <c r="EA646" s="2590"/>
      <c r="EB646" s="2590"/>
      <c r="EC646" s="2590" t="e">
        <f t="shared" si="23"/>
        <v>#VALUE!</v>
      </c>
      <c r="ED646" s="2590"/>
      <c r="EE646" s="2590"/>
      <c r="EF646" s="2590"/>
      <c r="EG646" s="2590"/>
      <c r="EH646" s="2590" t="e">
        <f t="shared" si="24"/>
        <v>#VALUE!</v>
      </c>
      <c r="EI646" s="2590"/>
      <c r="EJ646" s="2590"/>
      <c r="EK646" s="2590"/>
      <c r="EL646" s="2590"/>
      <c r="EM646" s="2590" t="e">
        <f t="shared" si="25"/>
        <v>#VALUE!</v>
      </c>
      <c r="EN646" s="2590"/>
      <c r="EO646" s="2590"/>
      <c r="EP646" s="2590"/>
      <c r="EQ646" s="2590"/>
      <c r="ER646" s="2590" t="e">
        <f t="shared" si="26"/>
        <v>#VALUE!</v>
      </c>
      <c r="ES646" s="2590"/>
      <c r="ET646" s="2590"/>
      <c r="EU646" s="2590"/>
      <c r="EV646" s="2590"/>
      <c r="EW646" s="2590" t="e">
        <f t="shared" si="27"/>
        <v>#VALUE!</v>
      </c>
      <c r="EX646" s="2590"/>
      <c r="EY646" s="2590"/>
      <c r="EZ646" s="2590"/>
      <c r="FA646" s="2590"/>
    </row>
    <row r="647" spans="1:157" ht="12.5">
      <c r="B647" s="84" t="s">
        <v>374</v>
      </c>
      <c r="C647" s="2172"/>
      <c r="D647" s="2172"/>
      <c r="E647" s="2172"/>
      <c r="F647" s="2172"/>
      <c r="G647" s="2172"/>
      <c r="H647" s="2172"/>
      <c r="I647" s="2172"/>
      <c r="J647" s="2172"/>
      <c r="K647" s="2172"/>
      <c r="L647" s="2172"/>
      <c r="M647" s="2172"/>
      <c r="N647" s="2591"/>
      <c r="O647" s="2448"/>
      <c r="P647" s="2449"/>
      <c r="Q647" s="2450"/>
      <c r="R647" s="2187"/>
      <c r="S647" s="2185"/>
      <c r="T647" s="2186"/>
      <c r="U647" s="2395"/>
      <c r="V647" s="2396"/>
      <c r="W647" s="2397"/>
      <c r="X647" s="2297" t="s">
        <v>1387</v>
      </c>
      <c r="Y647" s="2368"/>
      <c r="Z647" s="2368"/>
      <c r="AA647" s="2368"/>
      <c r="AB647" s="2369"/>
      <c r="AC647" s="2161"/>
      <c r="AD647" s="2162"/>
      <c r="AE647" s="2163"/>
      <c r="AF647" s="2278"/>
      <c r="AG647" s="2279"/>
      <c r="AH647" s="2279"/>
      <c r="AI647" s="2279"/>
      <c r="AJ647" s="2280"/>
      <c r="AK647" s="2362"/>
      <c r="AL647" s="2363"/>
      <c r="AM647" s="2363"/>
      <c r="AN647" s="2364"/>
      <c r="AO647" s="2164"/>
      <c r="AP647" s="2164"/>
      <c r="AQ647" s="2164"/>
      <c r="AR647" s="2164"/>
      <c r="AS647" s="216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90" t="e">
        <f t="shared" si="22"/>
        <v>#VALUE!</v>
      </c>
      <c r="DY647" s="2590"/>
      <c r="DZ647" s="2590"/>
      <c r="EA647" s="2590"/>
      <c r="EB647" s="2590"/>
      <c r="EC647" s="2590">
        <f t="shared" si="23"/>
        <v>523.27272727272725</v>
      </c>
      <c r="ED647" s="2590"/>
      <c r="EE647" s="2590"/>
      <c r="EF647" s="2590"/>
      <c r="EG647" s="2590"/>
      <c r="EH647" s="2590" t="e">
        <f t="shared" si="24"/>
        <v>#VALUE!</v>
      </c>
      <c r="EI647" s="2590"/>
      <c r="EJ647" s="2590"/>
      <c r="EK647" s="2590"/>
      <c r="EL647" s="2590"/>
      <c r="EM647" s="2590" t="e">
        <f t="shared" si="25"/>
        <v>#VALUE!</v>
      </c>
      <c r="EN647" s="2590"/>
      <c r="EO647" s="2590"/>
      <c r="EP647" s="2590"/>
      <c r="EQ647" s="2590"/>
      <c r="ER647" s="2590" t="e">
        <f t="shared" si="26"/>
        <v>#VALUE!</v>
      </c>
      <c r="ES647" s="2590"/>
      <c r="ET647" s="2590"/>
      <c r="EU647" s="2590"/>
      <c r="EV647" s="2590"/>
      <c r="EW647" s="2590" t="e">
        <f t="shared" si="27"/>
        <v>#VALUE!</v>
      </c>
      <c r="EX647" s="2590"/>
      <c r="EY647" s="2590"/>
      <c r="EZ647" s="2590"/>
      <c r="FA647" s="2590"/>
    </row>
    <row r="648" spans="1:157" ht="12.5">
      <c r="B648" s="84" t="s">
        <v>375</v>
      </c>
      <c r="C648" s="2172"/>
      <c r="D648" s="2172"/>
      <c r="E648" s="2172"/>
      <c r="F648" s="2172"/>
      <c r="G648" s="2172"/>
      <c r="H648" s="2172"/>
      <c r="I648" s="2172"/>
      <c r="J648" s="2172"/>
      <c r="K648" s="2172"/>
      <c r="L648" s="2172"/>
      <c r="M648" s="2172"/>
      <c r="N648" s="2591"/>
      <c r="O648" s="2448"/>
      <c r="P648" s="2449"/>
      <c r="Q648" s="2450"/>
      <c r="R648" s="2187"/>
      <c r="S648" s="2185"/>
      <c r="T648" s="2186"/>
      <c r="U648" s="2395"/>
      <c r="V648" s="2396"/>
      <c r="W648" s="2397"/>
      <c r="X648" s="2297" t="s">
        <v>1387</v>
      </c>
      <c r="Y648" s="2368"/>
      <c r="Z648" s="2368"/>
      <c r="AA648" s="2368"/>
      <c r="AB648" s="2369"/>
      <c r="AC648" s="2161"/>
      <c r="AD648" s="2162"/>
      <c r="AE648" s="2163"/>
      <c r="AF648" s="2278"/>
      <c r="AG648" s="2279"/>
      <c r="AH648" s="2279"/>
      <c r="AI648" s="2279"/>
      <c r="AJ648" s="2280"/>
      <c r="AK648" s="2362"/>
      <c r="AL648" s="2363"/>
      <c r="AM648" s="2363"/>
      <c r="AN648" s="2364"/>
      <c r="AO648" s="2164"/>
      <c r="AP648" s="2164"/>
      <c r="AQ648" s="2164"/>
      <c r="AR648" s="2164"/>
      <c r="AS648" s="216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28">
        <f t="shared" ref="BN648:BN657" si="28">IF(J786="SRO/Studio",O786,0)</f>
        <v>0</v>
      </c>
      <c r="BO648" s="2029"/>
      <c r="BP648" s="2029"/>
      <c r="BQ648" s="2029"/>
      <c r="BR648" s="2030"/>
      <c r="BS648" s="2027">
        <f t="shared" ref="BS648:BS657" si="29">IF(J786="1 Bedroom",O786,0)</f>
        <v>0</v>
      </c>
      <c r="BT648" s="2027"/>
      <c r="BU648" s="2027"/>
      <c r="BV648" s="2027"/>
      <c r="BW648" s="2027"/>
      <c r="BX648" s="2027">
        <f t="shared" ref="BX648:BX657" si="30">IF(J786="2 Bedrooms",O786,0)</f>
        <v>0</v>
      </c>
      <c r="BY648" s="2027"/>
      <c r="BZ648" s="2027"/>
      <c r="CA648" s="2027"/>
      <c r="CB648" s="2027"/>
      <c r="CC648" s="2027">
        <f t="shared" ref="CC648:CC657" si="31">IF(J786="3 Bedrooms",O786,0)</f>
        <v>0</v>
      </c>
      <c r="CD648" s="2027"/>
      <c r="CE648" s="2027"/>
      <c r="CF648" s="2027"/>
      <c r="CG648" s="2027"/>
      <c r="CH648" s="2027">
        <f t="shared" ref="CH648:CH657" si="32">IF(J786="4 Bedrooms",O786,0)</f>
        <v>0</v>
      </c>
      <c r="CI648" s="2027"/>
      <c r="CJ648" s="2027"/>
      <c r="CK648" s="2027"/>
      <c r="CL648" s="2027"/>
      <c r="CM648" s="2027">
        <f t="shared" ref="CM648:CM657" si="33">IF(J786="5 Bedrooms",O786,0)</f>
        <v>0</v>
      </c>
      <c r="CN648" s="2027"/>
      <c r="CO648" s="2027"/>
      <c r="CP648" s="2027"/>
      <c r="CQ648" s="2027"/>
      <c r="CR648" s="265"/>
      <c r="CS648" s="2028">
        <f>IF(AND(BN648&gt;=1,AH786&gt;=0.1,AH786&lt;=1),O786,0)</f>
        <v>0</v>
      </c>
      <c r="CT648" s="2029"/>
      <c r="CU648" s="2029"/>
      <c r="CV648" s="2029"/>
      <c r="CW648" s="2030"/>
      <c r="CX648" s="2028">
        <f>IF(AND(BS648&gt;=1,AH786&gt;=0.1,AH786&lt;=1),O786,0)</f>
        <v>0</v>
      </c>
      <c r="CY648" s="2029"/>
      <c r="CZ648" s="2029"/>
      <c r="DA648" s="2029"/>
      <c r="DB648" s="2030"/>
      <c r="DC648" s="2028">
        <f>IF(AND(BX648&gt;=1,AH786&gt;=0.1,AH786&lt;=1),O786,0)</f>
        <v>0</v>
      </c>
      <c r="DD648" s="2029"/>
      <c r="DE648" s="2029"/>
      <c r="DF648" s="2029"/>
      <c r="DG648" s="2030"/>
      <c r="DH648" s="2028">
        <f>IF(AND(CC648&gt;=1,AH786&gt;=0.1,AH786&lt;=1),O786,0)</f>
        <v>0</v>
      </c>
      <c r="DI648" s="2029"/>
      <c r="DJ648" s="2029"/>
      <c r="DK648" s="2029"/>
      <c r="DL648" s="2030"/>
      <c r="DM648" s="2028">
        <f>IF(AND(CH648&gt;=1,AH786&gt;=0.1,AH786&lt;=1),O786,0)</f>
        <v>0</v>
      </c>
      <c r="DN648" s="2029"/>
      <c r="DO648" s="2029"/>
      <c r="DP648" s="2029"/>
      <c r="DQ648" s="2030"/>
      <c r="DR648" s="2028">
        <f>IF(AND(CM648&gt;=1,AH786&gt;=0.1,AH786&lt;=1),O786,0)</f>
        <v>0</v>
      </c>
      <c r="DS648" s="2029"/>
      <c r="DT648" s="2029"/>
      <c r="DU648" s="2029"/>
      <c r="DV648" s="2030"/>
      <c r="DX648" s="2590" t="e">
        <f t="shared" si="22"/>
        <v>#VALUE!</v>
      </c>
      <c r="DY648" s="2590"/>
      <c r="DZ648" s="2590"/>
      <c r="EA648" s="2590"/>
      <c r="EB648" s="2590"/>
      <c r="EC648" s="2590" t="e">
        <f t="shared" si="23"/>
        <v>#VALUE!</v>
      </c>
      <c r="ED648" s="2590"/>
      <c r="EE648" s="2590"/>
      <c r="EF648" s="2590"/>
      <c r="EG648" s="2590"/>
      <c r="EH648" s="2590">
        <f t="shared" si="24"/>
        <v>66.15384615384616</v>
      </c>
      <c r="EI648" s="2590"/>
      <c r="EJ648" s="2590"/>
      <c r="EK648" s="2590"/>
      <c r="EL648" s="2590"/>
      <c r="EM648" s="2590" t="e">
        <f t="shared" si="25"/>
        <v>#VALUE!</v>
      </c>
      <c r="EN648" s="2590"/>
      <c r="EO648" s="2590"/>
      <c r="EP648" s="2590"/>
      <c r="EQ648" s="2590"/>
      <c r="ER648" s="2590" t="e">
        <f t="shared" si="26"/>
        <v>#VALUE!</v>
      </c>
      <c r="ES648" s="2590"/>
      <c r="ET648" s="2590"/>
      <c r="EU648" s="2590"/>
      <c r="EV648" s="2590"/>
      <c r="EW648" s="2590" t="e">
        <f t="shared" si="27"/>
        <v>#VALUE!</v>
      </c>
      <c r="EX648" s="2590"/>
      <c r="EY648" s="2590"/>
      <c r="EZ648" s="2590"/>
      <c r="FA648" s="2590"/>
    </row>
    <row r="649" spans="1:157" ht="13">
      <c r="B649" s="2188" t="s">
        <v>133</v>
      </c>
      <c r="C649" s="2189"/>
      <c r="D649" s="2189"/>
      <c r="E649" s="2189"/>
      <c r="F649" s="2189"/>
      <c r="G649" s="2189"/>
      <c r="H649" s="2189"/>
      <c r="I649" s="2189"/>
      <c r="J649" s="2189"/>
      <c r="K649" s="2189"/>
      <c r="L649" s="2189"/>
      <c r="M649" s="2189"/>
      <c r="N649" s="2189"/>
      <c r="O649" s="2189"/>
      <c r="P649" s="2189"/>
      <c r="Q649" s="2189"/>
      <c r="R649" s="2189"/>
      <c r="S649" s="2189"/>
      <c r="T649" s="2189"/>
      <c r="U649" s="2189"/>
      <c r="V649" s="2189"/>
      <c r="W649" s="2189"/>
      <c r="X649" s="2189"/>
      <c r="Y649" s="2189"/>
      <c r="Z649" s="2189"/>
      <c r="AA649" s="2189"/>
      <c r="AB649" s="2189"/>
      <c r="AC649" s="2189"/>
      <c r="AD649" s="2189"/>
      <c r="AE649" s="2189"/>
      <c r="AF649" s="2189"/>
      <c r="AG649" s="2189"/>
      <c r="AH649" s="2189"/>
      <c r="AI649" s="2189"/>
      <c r="AJ649" s="2189"/>
      <c r="AK649" s="2189"/>
      <c r="AL649" s="2189"/>
      <c r="AM649" s="2189"/>
      <c r="AN649" s="2191"/>
      <c r="AO649" s="2054">
        <f>SUM(AO637:AR648)</f>
        <v>41638263</v>
      </c>
      <c r="AP649" s="2055"/>
      <c r="AQ649" s="2055"/>
      <c r="AR649" s="2055"/>
      <c r="AS649" s="2056"/>
      <c r="AZ649" s="58"/>
      <c r="BA649" s="58"/>
      <c r="BB649" s="58"/>
      <c r="BC649" s="58"/>
      <c r="BD649" s="58"/>
      <c r="BE649" s="58"/>
      <c r="BF649" s="58"/>
      <c r="BG649" s="58"/>
      <c r="BH649" s="58"/>
      <c r="BI649" s="58"/>
      <c r="BJ649" s="58"/>
      <c r="BK649" s="58"/>
      <c r="BL649" s="58"/>
      <c r="BM649" s="58"/>
      <c r="BN649" s="2028">
        <f t="shared" si="28"/>
        <v>0</v>
      </c>
      <c r="BO649" s="2029"/>
      <c r="BP649" s="2029"/>
      <c r="BQ649" s="2029"/>
      <c r="BR649" s="2030"/>
      <c r="BS649" s="2027">
        <f t="shared" si="29"/>
        <v>0</v>
      </c>
      <c r="BT649" s="2027"/>
      <c r="BU649" s="2027"/>
      <c r="BV649" s="2027"/>
      <c r="BW649" s="2027"/>
      <c r="BX649" s="2027">
        <f t="shared" si="30"/>
        <v>0</v>
      </c>
      <c r="BY649" s="2027"/>
      <c r="BZ649" s="2027"/>
      <c r="CA649" s="2027"/>
      <c r="CB649" s="2027"/>
      <c r="CC649" s="2027">
        <f t="shared" si="31"/>
        <v>0</v>
      </c>
      <c r="CD649" s="2027"/>
      <c r="CE649" s="2027"/>
      <c r="CF649" s="2027"/>
      <c r="CG649" s="2027"/>
      <c r="CH649" s="2027">
        <f t="shared" si="32"/>
        <v>0</v>
      </c>
      <c r="CI649" s="2027"/>
      <c r="CJ649" s="2027"/>
      <c r="CK649" s="2027"/>
      <c r="CL649" s="2027"/>
      <c r="CM649" s="2027">
        <f t="shared" si="33"/>
        <v>0</v>
      </c>
      <c r="CN649" s="2027"/>
      <c r="CO649" s="2027"/>
      <c r="CP649" s="2027"/>
      <c r="CQ649" s="2027"/>
      <c r="CR649" s="265"/>
      <c r="CS649" s="2028">
        <f t="shared" ref="CS649:CS657" si="34">IF(AND(BN649&gt;=1,AH787&gt;=0.1,AH787&lt;=1),O787,0)</f>
        <v>0</v>
      </c>
      <c r="CT649" s="2029"/>
      <c r="CU649" s="2029"/>
      <c r="CV649" s="2029"/>
      <c r="CW649" s="2030"/>
      <c r="CX649" s="2028">
        <f t="shared" ref="CX649:CX657" si="35">IF(AND(BS649&gt;=1,AH787&gt;=0.1,AH787&lt;=1),O787,0)</f>
        <v>0</v>
      </c>
      <c r="CY649" s="2029"/>
      <c r="CZ649" s="2029"/>
      <c r="DA649" s="2029"/>
      <c r="DB649" s="2030"/>
      <c r="DC649" s="2028">
        <f t="shared" ref="DC649:DC657" si="36">IF(AND(BX649&gt;=1,AH787&gt;=0.1,AH787&lt;=1),O787,0)</f>
        <v>0</v>
      </c>
      <c r="DD649" s="2029"/>
      <c r="DE649" s="2029"/>
      <c r="DF649" s="2029"/>
      <c r="DG649" s="2030"/>
      <c r="DH649" s="2028">
        <f t="shared" ref="DH649:DH657" si="37">IF(AND(CC649&gt;=1,AH787&gt;=0.1,AH787&lt;=1),O787,0)</f>
        <v>0</v>
      </c>
      <c r="DI649" s="2029"/>
      <c r="DJ649" s="2029"/>
      <c r="DK649" s="2029"/>
      <c r="DL649" s="2030"/>
      <c r="DM649" s="2028">
        <f t="shared" ref="DM649:DM657" si="38">IF(AND(CH649&gt;=1,AH787&gt;=0.1,AH787&lt;=1),O787,0)</f>
        <v>0</v>
      </c>
      <c r="DN649" s="2029"/>
      <c r="DO649" s="2029"/>
      <c r="DP649" s="2029"/>
      <c r="DQ649" s="2030"/>
      <c r="DR649" s="2028">
        <f t="shared" ref="DR649:DR657" si="39">IF(AND(CM649&gt;=1,AH787&gt;=0.1,AH787&lt;=1),O787,0)</f>
        <v>0</v>
      </c>
      <c r="DS649" s="2029"/>
      <c r="DT649" s="2029"/>
      <c r="DU649" s="2029"/>
      <c r="DV649" s="2030"/>
      <c r="DX649" s="2590" t="e">
        <f t="shared" si="22"/>
        <v>#VALUE!</v>
      </c>
      <c r="DY649" s="2590"/>
      <c r="DZ649" s="2590"/>
      <c r="EA649" s="2590"/>
      <c r="EB649" s="2590"/>
      <c r="EC649" s="2590" t="e">
        <f t="shared" si="23"/>
        <v>#VALUE!</v>
      </c>
      <c r="ED649" s="2590"/>
      <c r="EE649" s="2590"/>
      <c r="EF649" s="2590"/>
      <c r="EG649" s="2590"/>
      <c r="EH649" s="2590" t="e">
        <f t="shared" si="24"/>
        <v>#VALUE!</v>
      </c>
      <c r="EI649" s="2590"/>
      <c r="EJ649" s="2590"/>
      <c r="EK649" s="2590"/>
      <c r="EL649" s="2590"/>
      <c r="EM649" s="2590" t="e">
        <f t="shared" si="25"/>
        <v>#VALUE!</v>
      </c>
      <c r="EN649" s="2590"/>
      <c r="EO649" s="2590"/>
      <c r="EP649" s="2590"/>
      <c r="EQ649" s="2590"/>
      <c r="ER649" s="2590" t="e">
        <f t="shared" si="26"/>
        <v>#VALUE!</v>
      </c>
      <c r="ES649" s="2590"/>
      <c r="ET649" s="2590"/>
      <c r="EU649" s="2590"/>
      <c r="EV649" s="2590"/>
      <c r="EW649" s="2590" t="e">
        <f t="shared" si="27"/>
        <v>#VALUE!</v>
      </c>
      <c r="EX649" s="2590"/>
      <c r="EY649" s="2590"/>
      <c r="EZ649" s="2590"/>
      <c r="FA649" s="2590"/>
    </row>
    <row r="650" spans="1:157" ht="12.75" customHeight="1">
      <c r="B650" s="2188" t="s">
        <v>275</v>
      </c>
      <c r="C650" s="2189"/>
      <c r="D650" s="2189"/>
      <c r="E650" s="2189"/>
      <c r="F650" s="2189"/>
      <c r="G650" s="2189"/>
      <c r="H650" s="2189"/>
      <c r="I650" s="2189"/>
      <c r="J650" s="2189"/>
      <c r="K650" s="2189"/>
      <c r="L650" s="2189"/>
      <c r="M650" s="2189"/>
      <c r="N650" s="2189"/>
      <c r="O650" s="2189"/>
      <c r="P650" s="2189"/>
      <c r="Q650" s="2189"/>
      <c r="R650" s="2189"/>
      <c r="S650" s="2189"/>
      <c r="T650" s="2189"/>
      <c r="U650" s="2189"/>
      <c r="V650" s="2189"/>
      <c r="W650" s="2189"/>
      <c r="X650" s="2189"/>
      <c r="Y650" s="2189"/>
      <c r="Z650" s="2189"/>
      <c r="AA650" s="2189"/>
      <c r="AB650" s="2189"/>
      <c r="AC650" s="2189"/>
      <c r="AD650" s="2189"/>
      <c r="AE650" s="2189"/>
      <c r="AF650" s="2189"/>
      <c r="AG650" s="2189"/>
      <c r="AH650" s="2189"/>
      <c r="AI650" s="2189"/>
      <c r="AJ650" s="2189"/>
      <c r="AK650" s="2189"/>
      <c r="AL650" s="2189"/>
      <c r="AM650" s="2189"/>
      <c r="AN650" s="2191"/>
      <c r="AO650" s="2057">
        <f>32026832-150500</f>
        <v>31876332</v>
      </c>
      <c r="AP650" s="2058"/>
      <c r="AQ650" s="2058"/>
      <c r="AR650" s="2058"/>
      <c r="AS650" s="2059"/>
      <c r="AZ650" s="61"/>
      <c r="BA650" s="61"/>
      <c r="BB650" s="61"/>
      <c r="BC650" s="61"/>
      <c r="BD650" s="61"/>
      <c r="BE650" s="61"/>
      <c r="BF650" s="61"/>
      <c r="BG650" s="61"/>
      <c r="BH650" s="61"/>
      <c r="BI650" s="61"/>
      <c r="BJ650" s="61"/>
      <c r="BK650" s="61"/>
      <c r="BL650" s="61"/>
      <c r="BM650" s="61"/>
      <c r="BN650" s="2028">
        <f t="shared" si="28"/>
        <v>0</v>
      </c>
      <c r="BO650" s="2029"/>
      <c r="BP650" s="2029"/>
      <c r="BQ650" s="2029"/>
      <c r="BR650" s="2030"/>
      <c r="BS650" s="2027">
        <f t="shared" si="29"/>
        <v>0</v>
      </c>
      <c r="BT650" s="2027"/>
      <c r="BU650" s="2027"/>
      <c r="BV650" s="2027"/>
      <c r="BW650" s="2027"/>
      <c r="BX650" s="2027">
        <f t="shared" si="30"/>
        <v>0</v>
      </c>
      <c r="BY650" s="2027"/>
      <c r="BZ650" s="2027"/>
      <c r="CA650" s="2027"/>
      <c r="CB650" s="2027"/>
      <c r="CC650" s="2027">
        <f t="shared" si="31"/>
        <v>0</v>
      </c>
      <c r="CD650" s="2027"/>
      <c r="CE650" s="2027"/>
      <c r="CF650" s="2027"/>
      <c r="CG650" s="2027"/>
      <c r="CH650" s="2027">
        <f t="shared" si="32"/>
        <v>0</v>
      </c>
      <c r="CI650" s="2027"/>
      <c r="CJ650" s="2027"/>
      <c r="CK650" s="2027"/>
      <c r="CL650" s="2027"/>
      <c r="CM650" s="2027">
        <f t="shared" si="33"/>
        <v>0</v>
      </c>
      <c r="CN650" s="2027"/>
      <c r="CO650" s="2027"/>
      <c r="CP650" s="2027"/>
      <c r="CQ650" s="2027"/>
      <c r="CR650" s="265"/>
      <c r="CS650" s="2028">
        <f t="shared" si="34"/>
        <v>0</v>
      </c>
      <c r="CT650" s="2029"/>
      <c r="CU650" s="2029"/>
      <c r="CV650" s="2029"/>
      <c r="CW650" s="2030"/>
      <c r="CX650" s="2028">
        <f t="shared" si="35"/>
        <v>0</v>
      </c>
      <c r="CY650" s="2029"/>
      <c r="CZ650" s="2029"/>
      <c r="DA650" s="2029"/>
      <c r="DB650" s="2030"/>
      <c r="DC650" s="2028">
        <f t="shared" si="36"/>
        <v>0</v>
      </c>
      <c r="DD650" s="2029"/>
      <c r="DE650" s="2029"/>
      <c r="DF650" s="2029"/>
      <c r="DG650" s="2030"/>
      <c r="DH650" s="2028">
        <f t="shared" si="37"/>
        <v>0</v>
      </c>
      <c r="DI650" s="2029"/>
      <c r="DJ650" s="2029"/>
      <c r="DK650" s="2029"/>
      <c r="DL650" s="2030"/>
      <c r="DM650" s="2028">
        <f t="shared" si="38"/>
        <v>0</v>
      </c>
      <c r="DN650" s="2029"/>
      <c r="DO650" s="2029"/>
      <c r="DP650" s="2029"/>
      <c r="DQ650" s="2030"/>
      <c r="DR650" s="2028">
        <f t="shared" si="39"/>
        <v>0</v>
      </c>
      <c r="DS650" s="2029"/>
      <c r="DT650" s="2029"/>
      <c r="DU650" s="2029"/>
      <c r="DV650" s="2030"/>
      <c r="DX650" s="2590" t="e">
        <f t="shared" si="22"/>
        <v>#VALUE!</v>
      </c>
      <c r="DY650" s="2590"/>
      <c r="DZ650" s="2590"/>
      <c r="EA650" s="2590"/>
      <c r="EB650" s="2590"/>
      <c r="EC650" s="2590" t="e">
        <f t="shared" si="23"/>
        <v>#VALUE!</v>
      </c>
      <c r="ED650" s="2590"/>
      <c r="EE650" s="2590"/>
      <c r="EF650" s="2590"/>
      <c r="EG650" s="2590"/>
      <c r="EH650" s="2590" t="e">
        <f t="shared" si="24"/>
        <v>#VALUE!</v>
      </c>
      <c r="EI650" s="2590"/>
      <c r="EJ650" s="2590"/>
      <c r="EK650" s="2590"/>
      <c r="EL650" s="2590"/>
      <c r="EM650" s="2590" t="e">
        <f t="shared" si="25"/>
        <v>#VALUE!</v>
      </c>
      <c r="EN650" s="2590"/>
      <c r="EO650" s="2590"/>
      <c r="EP650" s="2590"/>
      <c r="EQ650" s="2590"/>
      <c r="ER650" s="2590" t="e">
        <f t="shared" si="26"/>
        <v>#VALUE!</v>
      </c>
      <c r="ES650" s="2590"/>
      <c r="ET650" s="2590"/>
      <c r="EU650" s="2590"/>
      <c r="EV650" s="2590"/>
      <c r="EW650" s="2590" t="e">
        <f t="shared" si="27"/>
        <v>#VALUE!</v>
      </c>
      <c r="EX650" s="2590"/>
      <c r="EY650" s="2590"/>
      <c r="EZ650" s="2590"/>
      <c r="FA650" s="2590"/>
    </row>
    <row r="651" spans="1:157" ht="12.75" customHeight="1">
      <c r="B651" s="2269" t="s">
        <v>276</v>
      </c>
      <c r="C651" s="2190"/>
      <c r="D651" s="2190"/>
      <c r="E651" s="2190"/>
      <c r="F651" s="2190"/>
      <c r="G651" s="2190"/>
      <c r="H651" s="2190"/>
      <c r="I651" s="2190"/>
      <c r="J651" s="2190"/>
      <c r="K651" s="2190"/>
      <c r="L651" s="2190"/>
      <c r="M651" s="2190"/>
      <c r="N651" s="2190"/>
      <c r="O651" s="2190"/>
      <c r="P651" s="2190"/>
      <c r="Q651" s="2190"/>
      <c r="R651" s="2190"/>
      <c r="S651" s="2190"/>
      <c r="T651" s="2190"/>
      <c r="U651" s="2190"/>
      <c r="V651" s="2190"/>
      <c r="W651" s="2190"/>
      <c r="X651" s="2190"/>
      <c r="Y651" s="2190"/>
      <c r="Z651" s="2190"/>
      <c r="AA651" s="2190"/>
      <c r="AB651" s="2190"/>
      <c r="AC651" s="2190"/>
      <c r="AD651" s="2190"/>
      <c r="AE651" s="2190"/>
      <c r="AF651" s="2190"/>
      <c r="AG651" s="2190"/>
      <c r="AH651" s="2190"/>
      <c r="AI651" s="2190"/>
      <c r="AJ651" s="2190"/>
      <c r="AK651" s="2190"/>
      <c r="AL651" s="2190"/>
      <c r="AM651" s="2190"/>
      <c r="AN651" s="2270"/>
      <c r="AO651" s="2054">
        <f>AO649+AO650</f>
        <v>73514595</v>
      </c>
      <c r="AP651" s="2055"/>
      <c r="AQ651" s="2055"/>
      <c r="AR651" s="2055"/>
      <c r="AS651" s="2056"/>
      <c r="AZ651" s="61"/>
      <c r="BA651" s="61"/>
      <c r="BB651" s="61"/>
      <c r="BC651" s="61"/>
      <c r="BD651" s="61"/>
      <c r="BE651" s="61"/>
      <c r="BF651" s="61"/>
      <c r="BG651" s="61"/>
      <c r="BH651" s="61"/>
      <c r="BI651" s="61"/>
      <c r="BJ651" s="61"/>
      <c r="BK651" s="61"/>
      <c r="BL651" s="61"/>
      <c r="BM651" s="61"/>
      <c r="BN651" s="2028">
        <f t="shared" si="28"/>
        <v>0</v>
      </c>
      <c r="BO651" s="2029"/>
      <c r="BP651" s="2029"/>
      <c r="BQ651" s="2029"/>
      <c r="BR651" s="2030"/>
      <c r="BS651" s="2027">
        <f t="shared" si="29"/>
        <v>0</v>
      </c>
      <c r="BT651" s="2027"/>
      <c r="BU651" s="2027"/>
      <c r="BV651" s="2027"/>
      <c r="BW651" s="2027"/>
      <c r="BX651" s="2027">
        <f t="shared" si="30"/>
        <v>0</v>
      </c>
      <c r="BY651" s="2027"/>
      <c r="BZ651" s="2027"/>
      <c r="CA651" s="2027"/>
      <c r="CB651" s="2027"/>
      <c r="CC651" s="2027">
        <f t="shared" si="31"/>
        <v>0</v>
      </c>
      <c r="CD651" s="2027"/>
      <c r="CE651" s="2027"/>
      <c r="CF651" s="2027"/>
      <c r="CG651" s="2027"/>
      <c r="CH651" s="2027">
        <f t="shared" si="32"/>
        <v>0</v>
      </c>
      <c r="CI651" s="2027"/>
      <c r="CJ651" s="2027"/>
      <c r="CK651" s="2027"/>
      <c r="CL651" s="2027"/>
      <c r="CM651" s="2027">
        <f t="shared" si="33"/>
        <v>0</v>
      </c>
      <c r="CN651" s="2027"/>
      <c r="CO651" s="2027"/>
      <c r="CP651" s="2027"/>
      <c r="CQ651" s="2027"/>
      <c r="CR651" s="265"/>
      <c r="CS651" s="2028">
        <f t="shared" si="34"/>
        <v>0</v>
      </c>
      <c r="CT651" s="2029"/>
      <c r="CU651" s="2029"/>
      <c r="CV651" s="2029"/>
      <c r="CW651" s="2030"/>
      <c r="CX651" s="2028">
        <f t="shared" si="35"/>
        <v>0</v>
      </c>
      <c r="CY651" s="2029"/>
      <c r="CZ651" s="2029"/>
      <c r="DA651" s="2029"/>
      <c r="DB651" s="2030"/>
      <c r="DC651" s="2028">
        <f t="shared" si="36"/>
        <v>0</v>
      </c>
      <c r="DD651" s="2029"/>
      <c r="DE651" s="2029"/>
      <c r="DF651" s="2029"/>
      <c r="DG651" s="2030"/>
      <c r="DH651" s="2028">
        <f t="shared" si="37"/>
        <v>0</v>
      </c>
      <c r="DI651" s="2029"/>
      <c r="DJ651" s="2029"/>
      <c r="DK651" s="2029"/>
      <c r="DL651" s="2030"/>
      <c r="DM651" s="2028">
        <f t="shared" si="38"/>
        <v>0</v>
      </c>
      <c r="DN651" s="2029"/>
      <c r="DO651" s="2029"/>
      <c r="DP651" s="2029"/>
      <c r="DQ651" s="2030"/>
      <c r="DR651" s="2028">
        <f t="shared" si="39"/>
        <v>0</v>
      </c>
      <c r="DS651" s="2029"/>
      <c r="DT651" s="2029"/>
      <c r="DU651" s="2029"/>
      <c r="DV651" s="2030"/>
      <c r="DX651" s="2590" t="e">
        <f t="shared" si="22"/>
        <v>#VALUE!</v>
      </c>
      <c r="DY651" s="2590"/>
      <c r="DZ651" s="2590"/>
      <c r="EA651" s="2590"/>
      <c r="EB651" s="2590"/>
      <c r="EC651" s="2590" t="e">
        <f t="shared" si="23"/>
        <v>#VALUE!</v>
      </c>
      <c r="ED651" s="2590"/>
      <c r="EE651" s="2590"/>
      <c r="EF651" s="2590"/>
      <c r="EG651" s="2590"/>
      <c r="EH651" s="2590" t="e">
        <f t="shared" si="24"/>
        <v>#VALUE!</v>
      </c>
      <c r="EI651" s="2590"/>
      <c r="EJ651" s="2590"/>
      <c r="EK651" s="2590"/>
      <c r="EL651" s="2590"/>
      <c r="EM651" s="2590" t="e">
        <f t="shared" si="25"/>
        <v>#VALUE!</v>
      </c>
      <c r="EN651" s="2590"/>
      <c r="EO651" s="2590"/>
      <c r="EP651" s="2590"/>
      <c r="EQ651" s="2590"/>
      <c r="ER651" s="2590" t="e">
        <f t="shared" si="26"/>
        <v>#VALUE!</v>
      </c>
      <c r="ES651" s="2590"/>
      <c r="ET651" s="2590"/>
      <c r="EU651" s="2590"/>
      <c r="EV651" s="2590"/>
      <c r="EW651" s="2590" t="e">
        <f t="shared" si="27"/>
        <v>#VALUE!</v>
      </c>
      <c r="EX651" s="2590"/>
      <c r="EY651" s="2590"/>
      <c r="EZ651" s="2590"/>
      <c r="FA651" s="2590"/>
    </row>
    <row r="652" spans="1:157" ht="13">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28">
        <f t="shared" si="28"/>
        <v>0</v>
      </c>
      <c r="BO652" s="2029"/>
      <c r="BP652" s="2029"/>
      <c r="BQ652" s="2029"/>
      <c r="BR652" s="2030"/>
      <c r="BS652" s="2027">
        <f t="shared" si="29"/>
        <v>0</v>
      </c>
      <c r="BT652" s="2027"/>
      <c r="BU652" s="2027"/>
      <c r="BV652" s="2027"/>
      <c r="BW652" s="2027"/>
      <c r="BX652" s="2027">
        <f t="shared" si="30"/>
        <v>0</v>
      </c>
      <c r="BY652" s="2027"/>
      <c r="BZ652" s="2027"/>
      <c r="CA652" s="2027"/>
      <c r="CB652" s="2027"/>
      <c r="CC652" s="2027">
        <f t="shared" si="31"/>
        <v>0</v>
      </c>
      <c r="CD652" s="2027"/>
      <c r="CE652" s="2027"/>
      <c r="CF652" s="2027"/>
      <c r="CG652" s="2027"/>
      <c r="CH652" s="2027">
        <f t="shared" si="32"/>
        <v>0</v>
      </c>
      <c r="CI652" s="2027"/>
      <c r="CJ652" s="2027"/>
      <c r="CK652" s="2027"/>
      <c r="CL652" s="2027"/>
      <c r="CM652" s="2027">
        <f t="shared" si="33"/>
        <v>0</v>
      </c>
      <c r="CN652" s="2027"/>
      <c r="CO652" s="2027"/>
      <c r="CP652" s="2027"/>
      <c r="CQ652" s="2027"/>
      <c r="CR652" s="265"/>
      <c r="CS652" s="2028">
        <f t="shared" si="34"/>
        <v>0</v>
      </c>
      <c r="CT652" s="2029"/>
      <c r="CU652" s="2029"/>
      <c r="CV652" s="2029"/>
      <c r="CW652" s="2030"/>
      <c r="CX652" s="2028">
        <f t="shared" si="35"/>
        <v>0</v>
      </c>
      <c r="CY652" s="2029"/>
      <c r="CZ652" s="2029"/>
      <c r="DA652" s="2029"/>
      <c r="DB652" s="2030"/>
      <c r="DC652" s="2028">
        <f t="shared" si="36"/>
        <v>0</v>
      </c>
      <c r="DD652" s="2029"/>
      <c r="DE652" s="2029"/>
      <c r="DF652" s="2029"/>
      <c r="DG652" s="2030"/>
      <c r="DH652" s="2028">
        <f t="shared" si="37"/>
        <v>0</v>
      </c>
      <c r="DI652" s="2029"/>
      <c r="DJ652" s="2029"/>
      <c r="DK652" s="2029"/>
      <c r="DL652" s="2030"/>
      <c r="DM652" s="2028">
        <f t="shared" si="38"/>
        <v>0</v>
      </c>
      <c r="DN652" s="2029"/>
      <c r="DO652" s="2029"/>
      <c r="DP652" s="2029"/>
      <c r="DQ652" s="2030"/>
      <c r="DR652" s="2028">
        <f t="shared" si="39"/>
        <v>0</v>
      </c>
      <c r="DS652" s="2029"/>
      <c r="DT652" s="2029"/>
      <c r="DU652" s="2029"/>
      <c r="DV652" s="2030"/>
      <c r="DX652" s="2590" t="e">
        <f t="shared" si="22"/>
        <v>#VALUE!</v>
      </c>
      <c r="DY652" s="2590"/>
      <c r="DZ652" s="2590"/>
      <c r="EA652" s="2590"/>
      <c r="EB652" s="2590"/>
      <c r="EC652" s="2590" t="e">
        <f t="shared" si="23"/>
        <v>#VALUE!</v>
      </c>
      <c r="ED652" s="2590"/>
      <c r="EE652" s="2590"/>
      <c r="EF652" s="2590"/>
      <c r="EG652" s="2590"/>
      <c r="EH652" s="2590" t="e">
        <f t="shared" si="24"/>
        <v>#VALUE!</v>
      </c>
      <c r="EI652" s="2590"/>
      <c r="EJ652" s="2590"/>
      <c r="EK652" s="2590"/>
      <c r="EL652" s="2590"/>
      <c r="EM652" s="2590" t="e">
        <f t="shared" si="25"/>
        <v>#VALUE!</v>
      </c>
      <c r="EN652" s="2590"/>
      <c r="EO652" s="2590"/>
      <c r="EP652" s="2590"/>
      <c r="EQ652" s="2590"/>
      <c r="ER652" s="2590" t="e">
        <f t="shared" si="26"/>
        <v>#VALUE!</v>
      </c>
      <c r="ES652" s="2590"/>
      <c r="ET652" s="2590"/>
      <c r="EU652" s="2590"/>
      <c r="EV652" s="2590"/>
      <c r="EW652" s="2590" t="e">
        <f t="shared" si="27"/>
        <v>#VALUE!</v>
      </c>
      <c r="EX652" s="2590"/>
      <c r="EY652" s="2590"/>
      <c r="EZ652" s="2590"/>
      <c r="FA652" s="2590"/>
    </row>
    <row r="653" spans="1:157" ht="12.5">
      <c r="A653" s="87" t="s">
        <v>117</v>
      </c>
      <c r="B653" s="12" t="s">
        <v>498</v>
      </c>
      <c r="G653" s="2173" t="str">
        <f>C637</f>
        <v>Citibank, N.A. Permanent Loan</v>
      </c>
      <c r="H653" s="2173"/>
      <c r="I653" s="2173"/>
      <c r="J653" s="2173"/>
      <c r="K653" s="2173"/>
      <c r="L653" s="2173"/>
      <c r="M653" s="2173"/>
      <c r="N653" s="2173"/>
      <c r="O653" s="2173"/>
      <c r="P653" s="2173"/>
      <c r="Q653" s="2173"/>
      <c r="R653" s="2173"/>
      <c r="S653" s="14"/>
      <c r="T653" s="87" t="s">
        <v>118</v>
      </c>
      <c r="U653" s="12" t="s">
        <v>498</v>
      </c>
      <c r="Z653" s="2173" t="str">
        <f>C638</f>
        <v>City of San Jose</v>
      </c>
      <c r="AA653" s="2173"/>
      <c r="AB653" s="2173"/>
      <c r="AC653" s="2173"/>
      <c r="AD653" s="2173"/>
      <c r="AE653" s="2173"/>
      <c r="AF653" s="2173"/>
      <c r="AG653" s="2173"/>
      <c r="AH653" s="2173"/>
      <c r="AI653" s="2173"/>
      <c r="AJ653" s="2173"/>
      <c r="AK653" s="2173"/>
      <c r="AZ653" s="61"/>
      <c r="BA653" s="61"/>
      <c r="BB653" s="61"/>
      <c r="BC653" s="61"/>
      <c r="BD653" s="61"/>
      <c r="BE653" s="61"/>
      <c r="BF653" s="61"/>
      <c r="BG653" s="61"/>
      <c r="BH653" s="61"/>
      <c r="BI653" s="61"/>
      <c r="BJ653" s="61"/>
      <c r="BK653" s="61"/>
      <c r="BL653" s="61"/>
      <c r="BM653" s="61"/>
      <c r="BN653" s="2028">
        <f t="shared" si="28"/>
        <v>0</v>
      </c>
      <c r="BO653" s="2029"/>
      <c r="BP653" s="2029"/>
      <c r="BQ653" s="2029"/>
      <c r="BR653" s="2030"/>
      <c r="BS653" s="2027">
        <f t="shared" si="29"/>
        <v>0</v>
      </c>
      <c r="BT653" s="2027"/>
      <c r="BU653" s="2027"/>
      <c r="BV653" s="2027"/>
      <c r="BW653" s="2027"/>
      <c r="BX653" s="2027">
        <f t="shared" si="30"/>
        <v>0</v>
      </c>
      <c r="BY653" s="2027"/>
      <c r="BZ653" s="2027"/>
      <c r="CA653" s="2027"/>
      <c r="CB653" s="2027"/>
      <c r="CC653" s="2027">
        <f t="shared" si="31"/>
        <v>0</v>
      </c>
      <c r="CD653" s="2027"/>
      <c r="CE653" s="2027"/>
      <c r="CF653" s="2027"/>
      <c r="CG653" s="2027"/>
      <c r="CH653" s="2027">
        <f t="shared" si="32"/>
        <v>0</v>
      </c>
      <c r="CI653" s="2027"/>
      <c r="CJ653" s="2027"/>
      <c r="CK653" s="2027"/>
      <c r="CL653" s="2027"/>
      <c r="CM653" s="2027">
        <f t="shared" si="33"/>
        <v>0</v>
      </c>
      <c r="CN653" s="2027"/>
      <c r="CO653" s="2027"/>
      <c r="CP653" s="2027"/>
      <c r="CQ653" s="2027"/>
      <c r="CR653" s="265"/>
      <c r="CS653" s="2028">
        <f t="shared" si="34"/>
        <v>0</v>
      </c>
      <c r="CT653" s="2029"/>
      <c r="CU653" s="2029"/>
      <c r="CV653" s="2029"/>
      <c r="CW653" s="2030"/>
      <c r="CX653" s="2028">
        <f t="shared" si="35"/>
        <v>0</v>
      </c>
      <c r="CY653" s="2029"/>
      <c r="CZ653" s="2029"/>
      <c r="DA653" s="2029"/>
      <c r="DB653" s="2030"/>
      <c r="DC653" s="2028">
        <f t="shared" si="36"/>
        <v>0</v>
      </c>
      <c r="DD653" s="2029"/>
      <c r="DE653" s="2029"/>
      <c r="DF653" s="2029"/>
      <c r="DG653" s="2030"/>
      <c r="DH653" s="2028">
        <f t="shared" si="37"/>
        <v>0</v>
      </c>
      <c r="DI653" s="2029"/>
      <c r="DJ653" s="2029"/>
      <c r="DK653" s="2029"/>
      <c r="DL653" s="2030"/>
      <c r="DM653" s="2028">
        <f t="shared" si="38"/>
        <v>0</v>
      </c>
      <c r="DN653" s="2029"/>
      <c r="DO653" s="2029"/>
      <c r="DP653" s="2029"/>
      <c r="DQ653" s="2030"/>
      <c r="DR653" s="2028">
        <f t="shared" si="39"/>
        <v>0</v>
      </c>
      <c r="DS653" s="2029"/>
      <c r="DT653" s="2029"/>
      <c r="DU653" s="2029"/>
      <c r="DV653" s="2030"/>
      <c r="DX653" s="2590" t="e">
        <f t="shared" si="22"/>
        <v>#VALUE!</v>
      </c>
      <c r="DY653" s="2590"/>
      <c r="DZ653" s="2590"/>
      <c r="EA653" s="2590"/>
      <c r="EB653" s="2590"/>
      <c r="EC653" s="2590" t="e">
        <f t="shared" si="23"/>
        <v>#VALUE!</v>
      </c>
      <c r="ED653" s="2590"/>
      <c r="EE653" s="2590"/>
      <c r="EF653" s="2590"/>
      <c r="EG653" s="2590"/>
      <c r="EH653" s="2590" t="e">
        <f t="shared" si="24"/>
        <v>#VALUE!</v>
      </c>
      <c r="EI653" s="2590"/>
      <c r="EJ653" s="2590"/>
      <c r="EK653" s="2590"/>
      <c r="EL653" s="2590"/>
      <c r="EM653" s="2590" t="e">
        <f t="shared" si="25"/>
        <v>#VALUE!</v>
      </c>
      <c r="EN653" s="2590"/>
      <c r="EO653" s="2590"/>
      <c r="EP653" s="2590"/>
      <c r="EQ653" s="2590"/>
      <c r="ER653" s="2590" t="e">
        <f t="shared" si="26"/>
        <v>#VALUE!</v>
      </c>
      <c r="ES653" s="2590"/>
      <c r="ET653" s="2590"/>
      <c r="EU653" s="2590"/>
      <c r="EV653" s="2590"/>
      <c r="EW653" s="2590" t="e">
        <f t="shared" si="27"/>
        <v>#VALUE!</v>
      </c>
      <c r="EX653" s="2590"/>
      <c r="EY653" s="2590"/>
      <c r="EZ653" s="2590"/>
      <c r="FA653" s="2590"/>
    </row>
    <row r="654" spans="1:157" ht="12.5">
      <c r="A654" s="35"/>
      <c r="B654" s="12" t="s">
        <v>90</v>
      </c>
      <c r="G654" s="2062" t="s">
        <v>2580</v>
      </c>
      <c r="H654" s="2063"/>
      <c r="I654" s="2063"/>
      <c r="J654" s="2063"/>
      <c r="K654" s="2063"/>
      <c r="L654" s="2063"/>
      <c r="M654" s="2063"/>
      <c r="N654" s="2063"/>
      <c r="O654" s="2063"/>
      <c r="P654" s="2063"/>
      <c r="Q654" s="2063"/>
      <c r="R654" s="2063"/>
      <c r="S654" s="14"/>
      <c r="T654" s="35"/>
      <c r="U654" s="12" t="s">
        <v>90</v>
      </c>
      <c r="Z654" s="2062" t="s">
        <v>2580</v>
      </c>
      <c r="AA654" s="2063"/>
      <c r="AB654" s="2063"/>
      <c r="AC654" s="2063"/>
      <c r="AD654" s="2063"/>
      <c r="AE654" s="2063"/>
      <c r="AF654" s="2063"/>
      <c r="AG654" s="2063"/>
      <c r="AH654" s="2063"/>
      <c r="AI654" s="2063"/>
      <c r="AJ654" s="2063"/>
      <c r="AK654" s="2063"/>
      <c r="AZ654" s="61"/>
      <c r="BA654" s="61"/>
      <c r="BB654" s="61"/>
      <c r="BC654" s="61"/>
      <c r="BD654" s="61"/>
      <c r="BE654" s="61"/>
      <c r="BF654" s="61"/>
      <c r="BG654" s="61"/>
      <c r="BH654" s="61"/>
      <c r="BI654" s="61"/>
      <c r="BJ654" s="61"/>
      <c r="BK654" s="61"/>
      <c r="BL654" s="61"/>
      <c r="BM654" s="61"/>
      <c r="BN654" s="2028">
        <f t="shared" si="28"/>
        <v>0</v>
      </c>
      <c r="BO654" s="2029"/>
      <c r="BP654" s="2029"/>
      <c r="BQ654" s="2029"/>
      <c r="BR654" s="2030"/>
      <c r="BS654" s="2027">
        <f t="shared" si="29"/>
        <v>0</v>
      </c>
      <c r="BT654" s="2027"/>
      <c r="BU654" s="2027"/>
      <c r="BV654" s="2027"/>
      <c r="BW654" s="2027"/>
      <c r="BX654" s="2027">
        <f t="shared" si="30"/>
        <v>0</v>
      </c>
      <c r="BY654" s="2027"/>
      <c r="BZ654" s="2027"/>
      <c r="CA654" s="2027"/>
      <c r="CB654" s="2027"/>
      <c r="CC654" s="2027">
        <f t="shared" si="31"/>
        <v>0</v>
      </c>
      <c r="CD654" s="2027"/>
      <c r="CE654" s="2027"/>
      <c r="CF654" s="2027"/>
      <c r="CG654" s="2027"/>
      <c r="CH654" s="2027">
        <f t="shared" si="32"/>
        <v>0</v>
      </c>
      <c r="CI654" s="2027"/>
      <c r="CJ654" s="2027"/>
      <c r="CK654" s="2027"/>
      <c r="CL654" s="2027"/>
      <c r="CM654" s="2027">
        <f t="shared" si="33"/>
        <v>0</v>
      </c>
      <c r="CN654" s="2027"/>
      <c r="CO654" s="2027"/>
      <c r="CP654" s="2027"/>
      <c r="CQ654" s="2027"/>
      <c r="CR654" s="265"/>
      <c r="CS654" s="2028">
        <f t="shared" si="34"/>
        <v>0</v>
      </c>
      <c r="CT654" s="2029"/>
      <c r="CU654" s="2029"/>
      <c r="CV654" s="2029"/>
      <c r="CW654" s="2030"/>
      <c r="CX654" s="2028">
        <f t="shared" si="35"/>
        <v>0</v>
      </c>
      <c r="CY654" s="2029"/>
      <c r="CZ654" s="2029"/>
      <c r="DA654" s="2029"/>
      <c r="DB654" s="2030"/>
      <c r="DC654" s="2028">
        <f t="shared" si="36"/>
        <v>0</v>
      </c>
      <c r="DD654" s="2029"/>
      <c r="DE654" s="2029"/>
      <c r="DF654" s="2029"/>
      <c r="DG654" s="2030"/>
      <c r="DH654" s="2028">
        <f t="shared" si="37"/>
        <v>0</v>
      </c>
      <c r="DI654" s="2029"/>
      <c r="DJ654" s="2029"/>
      <c r="DK654" s="2029"/>
      <c r="DL654" s="2030"/>
      <c r="DM654" s="2028">
        <f t="shared" si="38"/>
        <v>0</v>
      </c>
      <c r="DN654" s="2029"/>
      <c r="DO654" s="2029"/>
      <c r="DP654" s="2029"/>
      <c r="DQ654" s="2030"/>
      <c r="DR654" s="2028">
        <f t="shared" si="39"/>
        <v>0</v>
      </c>
      <c r="DS654" s="2029"/>
      <c r="DT654" s="2029"/>
      <c r="DU654" s="2029"/>
      <c r="DV654" s="2030"/>
      <c r="DX654" s="2590" t="e">
        <f t="shared" si="22"/>
        <v>#VALUE!</v>
      </c>
      <c r="DY654" s="2590"/>
      <c r="DZ654" s="2590"/>
      <c r="EA654" s="2590"/>
      <c r="EB654" s="2590"/>
      <c r="EC654" s="2590" t="e">
        <f t="shared" si="23"/>
        <v>#VALUE!</v>
      </c>
      <c r="ED654" s="2590"/>
      <c r="EE654" s="2590"/>
      <c r="EF654" s="2590"/>
      <c r="EG654" s="2590"/>
      <c r="EH654" s="2590" t="e">
        <f t="shared" si="24"/>
        <v>#VALUE!</v>
      </c>
      <c r="EI654" s="2590"/>
      <c r="EJ654" s="2590"/>
      <c r="EK654" s="2590"/>
      <c r="EL654" s="2590"/>
      <c r="EM654" s="2590" t="e">
        <f t="shared" si="25"/>
        <v>#VALUE!</v>
      </c>
      <c r="EN654" s="2590"/>
      <c r="EO654" s="2590"/>
      <c r="EP654" s="2590"/>
      <c r="EQ654" s="2590"/>
      <c r="ER654" s="2590" t="e">
        <f t="shared" si="26"/>
        <v>#VALUE!</v>
      </c>
      <c r="ES654" s="2590"/>
      <c r="ET654" s="2590"/>
      <c r="EU654" s="2590"/>
      <c r="EV654" s="2590"/>
      <c r="EW654" s="2590" t="e">
        <f t="shared" si="27"/>
        <v>#VALUE!</v>
      </c>
      <c r="EX654" s="2590"/>
      <c r="EY654" s="2590"/>
      <c r="EZ654" s="2590"/>
      <c r="FA654" s="2590"/>
    </row>
    <row r="655" spans="1:157" ht="12.5">
      <c r="A655" s="35"/>
      <c r="B655" s="12" t="s">
        <v>617</v>
      </c>
      <c r="G655" s="2062" t="s">
        <v>529</v>
      </c>
      <c r="H655" s="2063"/>
      <c r="I655" s="2063"/>
      <c r="J655" s="2063"/>
      <c r="K655" s="2063"/>
      <c r="L655" s="2063"/>
      <c r="M655" s="2063"/>
      <c r="N655" s="2063"/>
      <c r="O655" s="2063"/>
      <c r="P655" s="2063"/>
      <c r="Q655" s="2063"/>
      <c r="R655" s="2063"/>
      <c r="S655" s="88"/>
      <c r="T655" s="35"/>
      <c r="U655" s="12" t="s">
        <v>617</v>
      </c>
      <c r="Z655" s="2062" t="s">
        <v>529</v>
      </c>
      <c r="AA655" s="2063"/>
      <c r="AB655" s="2063"/>
      <c r="AC655" s="2063"/>
      <c r="AD655" s="2063"/>
      <c r="AE655" s="2063"/>
      <c r="AF655" s="2063"/>
      <c r="AG655" s="2063"/>
      <c r="AH655" s="2063"/>
      <c r="AI655" s="2063"/>
      <c r="AJ655" s="2063"/>
      <c r="AK655" s="2063"/>
      <c r="AZ655" s="61"/>
      <c r="BA655" s="61"/>
      <c r="BB655" s="61"/>
      <c r="BC655" s="61"/>
      <c r="BD655" s="61"/>
      <c r="BE655" s="61"/>
      <c r="BF655" s="61"/>
      <c r="BG655" s="61"/>
      <c r="BH655" s="61"/>
      <c r="BI655" s="61"/>
      <c r="BJ655" s="61"/>
      <c r="BK655" s="61"/>
      <c r="BL655" s="61"/>
      <c r="BM655" s="61"/>
      <c r="BN655" s="2028">
        <f t="shared" si="28"/>
        <v>0</v>
      </c>
      <c r="BO655" s="2029"/>
      <c r="BP655" s="2029"/>
      <c r="BQ655" s="2029"/>
      <c r="BR655" s="2030"/>
      <c r="BS655" s="2027">
        <f t="shared" si="29"/>
        <v>0</v>
      </c>
      <c r="BT655" s="2027"/>
      <c r="BU655" s="2027"/>
      <c r="BV655" s="2027"/>
      <c r="BW655" s="2027"/>
      <c r="BX655" s="2027">
        <f t="shared" si="30"/>
        <v>0</v>
      </c>
      <c r="BY655" s="2027"/>
      <c r="BZ655" s="2027"/>
      <c r="CA655" s="2027"/>
      <c r="CB655" s="2027"/>
      <c r="CC655" s="2027">
        <f t="shared" si="31"/>
        <v>0</v>
      </c>
      <c r="CD655" s="2027"/>
      <c r="CE655" s="2027"/>
      <c r="CF655" s="2027"/>
      <c r="CG655" s="2027"/>
      <c r="CH655" s="2027">
        <f t="shared" si="32"/>
        <v>0</v>
      </c>
      <c r="CI655" s="2027"/>
      <c r="CJ655" s="2027"/>
      <c r="CK655" s="2027"/>
      <c r="CL655" s="2027"/>
      <c r="CM655" s="2027">
        <f t="shared" si="33"/>
        <v>0</v>
      </c>
      <c r="CN655" s="2027"/>
      <c r="CO655" s="2027"/>
      <c r="CP655" s="2027"/>
      <c r="CQ655" s="2027"/>
      <c r="CR655" s="265"/>
      <c r="CS655" s="2028">
        <f t="shared" si="34"/>
        <v>0</v>
      </c>
      <c r="CT655" s="2029"/>
      <c r="CU655" s="2029"/>
      <c r="CV655" s="2029"/>
      <c r="CW655" s="2030"/>
      <c r="CX655" s="2028">
        <f t="shared" si="35"/>
        <v>0</v>
      </c>
      <c r="CY655" s="2029"/>
      <c r="CZ655" s="2029"/>
      <c r="DA655" s="2029"/>
      <c r="DB655" s="2030"/>
      <c r="DC655" s="2028">
        <f t="shared" si="36"/>
        <v>0</v>
      </c>
      <c r="DD655" s="2029"/>
      <c r="DE655" s="2029"/>
      <c r="DF655" s="2029"/>
      <c r="DG655" s="2030"/>
      <c r="DH655" s="2028">
        <f t="shared" si="37"/>
        <v>0</v>
      </c>
      <c r="DI655" s="2029"/>
      <c r="DJ655" s="2029"/>
      <c r="DK655" s="2029"/>
      <c r="DL655" s="2030"/>
      <c r="DM655" s="2028">
        <f t="shared" si="38"/>
        <v>0</v>
      </c>
      <c r="DN655" s="2029"/>
      <c r="DO655" s="2029"/>
      <c r="DP655" s="2029"/>
      <c r="DQ655" s="2030"/>
      <c r="DR655" s="2028">
        <f t="shared" si="39"/>
        <v>0</v>
      </c>
      <c r="DS655" s="2029"/>
      <c r="DT655" s="2029"/>
      <c r="DU655" s="2029"/>
      <c r="DV655" s="2030"/>
      <c r="DX655" s="2590" t="e">
        <f t="shared" si="22"/>
        <v>#VALUE!</v>
      </c>
      <c r="DY655" s="2590"/>
      <c r="DZ655" s="2590"/>
      <c r="EA655" s="2590"/>
      <c r="EB655" s="2590"/>
      <c r="EC655" s="2590" t="e">
        <f t="shared" si="23"/>
        <v>#VALUE!</v>
      </c>
      <c r="ED655" s="2590"/>
      <c r="EE655" s="2590"/>
      <c r="EF655" s="2590"/>
      <c r="EG655" s="2590"/>
      <c r="EH655" s="2590" t="e">
        <f t="shared" si="24"/>
        <v>#VALUE!</v>
      </c>
      <c r="EI655" s="2590"/>
      <c r="EJ655" s="2590"/>
      <c r="EK655" s="2590"/>
      <c r="EL655" s="2590"/>
      <c r="EM655" s="2590" t="e">
        <f t="shared" si="25"/>
        <v>#VALUE!</v>
      </c>
      <c r="EN655" s="2590"/>
      <c r="EO655" s="2590"/>
      <c r="EP655" s="2590"/>
      <c r="EQ655" s="2590"/>
      <c r="ER655" s="2590" t="e">
        <f t="shared" si="26"/>
        <v>#VALUE!</v>
      </c>
      <c r="ES655" s="2590"/>
      <c r="ET655" s="2590"/>
      <c r="EU655" s="2590"/>
      <c r="EV655" s="2590"/>
      <c r="EW655" s="2590" t="e">
        <f t="shared" si="27"/>
        <v>#VALUE!</v>
      </c>
      <c r="EX655" s="2590"/>
      <c r="EY655" s="2590"/>
      <c r="EZ655" s="2590"/>
      <c r="FA655" s="2590"/>
    </row>
    <row r="656" spans="1:157" ht="12.5">
      <c r="A656" s="35"/>
      <c r="B656" s="12" t="s">
        <v>17</v>
      </c>
      <c r="G656" s="2062" t="s">
        <v>2581</v>
      </c>
      <c r="H656" s="2063"/>
      <c r="I656" s="2063"/>
      <c r="J656" s="2063"/>
      <c r="K656" s="2063"/>
      <c r="L656" s="2063"/>
      <c r="M656" s="2063"/>
      <c r="N656" s="2063"/>
      <c r="O656" s="2063"/>
      <c r="P656" s="2063"/>
      <c r="Q656" s="2063"/>
      <c r="R656" s="2063"/>
      <c r="S656" s="14"/>
      <c r="T656" s="35"/>
      <c r="U656" s="12" t="s">
        <v>17</v>
      </c>
      <c r="Z656" s="2062" t="s">
        <v>2581</v>
      </c>
      <c r="AA656" s="2063"/>
      <c r="AB656" s="2063"/>
      <c r="AC656" s="2063"/>
      <c r="AD656" s="2063"/>
      <c r="AE656" s="2063"/>
      <c r="AF656" s="2063"/>
      <c r="AG656" s="2063"/>
      <c r="AH656" s="2063"/>
      <c r="AI656" s="2063"/>
      <c r="AJ656" s="2063"/>
      <c r="AK656" s="2063"/>
      <c r="AZ656" s="61"/>
      <c r="BA656" s="61"/>
      <c r="BB656" s="61"/>
      <c r="BC656" s="61"/>
      <c r="BD656" s="61"/>
      <c r="BE656" s="61"/>
      <c r="BF656" s="61"/>
      <c r="BG656" s="61"/>
      <c r="BH656" s="61"/>
      <c r="BI656" s="61"/>
      <c r="BJ656" s="61"/>
      <c r="BK656" s="61"/>
      <c r="BL656" s="61"/>
      <c r="BM656" s="61"/>
      <c r="BN656" s="2028">
        <f t="shared" si="28"/>
        <v>0</v>
      </c>
      <c r="BO656" s="2029"/>
      <c r="BP656" s="2029"/>
      <c r="BQ656" s="2029"/>
      <c r="BR656" s="2030"/>
      <c r="BS656" s="2027">
        <f t="shared" si="29"/>
        <v>0</v>
      </c>
      <c r="BT656" s="2027"/>
      <c r="BU656" s="2027"/>
      <c r="BV656" s="2027"/>
      <c r="BW656" s="2027"/>
      <c r="BX656" s="2027">
        <f t="shared" si="30"/>
        <v>0</v>
      </c>
      <c r="BY656" s="2027"/>
      <c r="BZ656" s="2027"/>
      <c r="CA656" s="2027"/>
      <c r="CB656" s="2027"/>
      <c r="CC656" s="2027">
        <f t="shared" si="31"/>
        <v>0</v>
      </c>
      <c r="CD656" s="2027"/>
      <c r="CE656" s="2027"/>
      <c r="CF656" s="2027"/>
      <c r="CG656" s="2027"/>
      <c r="CH656" s="2027">
        <f t="shared" si="32"/>
        <v>0</v>
      </c>
      <c r="CI656" s="2027"/>
      <c r="CJ656" s="2027"/>
      <c r="CK656" s="2027"/>
      <c r="CL656" s="2027"/>
      <c r="CM656" s="2027">
        <f t="shared" si="33"/>
        <v>0</v>
      </c>
      <c r="CN656" s="2027"/>
      <c r="CO656" s="2027"/>
      <c r="CP656" s="2027"/>
      <c r="CQ656" s="2027"/>
      <c r="CR656" s="265"/>
      <c r="CS656" s="2028">
        <f t="shared" si="34"/>
        <v>0</v>
      </c>
      <c r="CT656" s="2029"/>
      <c r="CU656" s="2029"/>
      <c r="CV656" s="2029"/>
      <c r="CW656" s="2030"/>
      <c r="CX656" s="2028">
        <f t="shared" si="35"/>
        <v>0</v>
      </c>
      <c r="CY656" s="2029"/>
      <c r="CZ656" s="2029"/>
      <c r="DA656" s="2029"/>
      <c r="DB656" s="2030"/>
      <c r="DC656" s="2028">
        <f t="shared" si="36"/>
        <v>0</v>
      </c>
      <c r="DD656" s="2029"/>
      <c r="DE656" s="2029"/>
      <c r="DF656" s="2029"/>
      <c r="DG656" s="2030"/>
      <c r="DH656" s="2028">
        <f t="shared" si="37"/>
        <v>0</v>
      </c>
      <c r="DI656" s="2029"/>
      <c r="DJ656" s="2029"/>
      <c r="DK656" s="2029"/>
      <c r="DL656" s="2030"/>
      <c r="DM656" s="2028">
        <f t="shared" si="38"/>
        <v>0</v>
      </c>
      <c r="DN656" s="2029"/>
      <c r="DO656" s="2029"/>
      <c r="DP656" s="2029"/>
      <c r="DQ656" s="2030"/>
      <c r="DR656" s="2028">
        <f t="shared" si="39"/>
        <v>0</v>
      </c>
      <c r="DS656" s="2029"/>
      <c r="DT656" s="2029"/>
      <c r="DU656" s="2029"/>
      <c r="DV656" s="2030"/>
      <c r="DX656" s="2590" t="e">
        <f t="shared" si="22"/>
        <v>#VALUE!</v>
      </c>
      <c r="DY656" s="2590"/>
      <c r="DZ656" s="2590"/>
      <c r="EA656" s="2590"/>
      <c r="EB656" s="2590"/>
      <c r="EC656" s="2590" t="e">
        <f t="shared" si="23"/>
        <v>#VALUE!</v>
      </c>
      <c r="ED656" s="2590"/>
      <c r="EE656" s="2590"/>
      <c r="EF656" s="2590"/>
      <c r="EG656" s="2590"/>
      <c r="EH656" s="2590" t="e">
        <f t="shared" si="24"/>
        <v>#VALUE!</v>
      </c>
      <c r="EI656" s="2590"/>
      <c r="EJ656" s="2590"/>
      <c r="EK656" s="2590"/>
      <c r="EL656" s="2590"/>
      <c r="EM656" s="2590" t="e">
        <f t="shared" si="25"/>
        <v>#VALUE!</v>
      </c>
      <c r="EN656" s="2590"/>
      <c r="EO656" s="2590"/>
      <c r="EP656" s="2590"/>
      <c r="EQ656" s="2590"/>
      <c r="ER656" s="2590" t="e">
        <f t="shared" si="26"/>
        <v>#VALUE!</v>
      </c>
      <c r="ES656" s="2590"/>
      <c r="ET656" s="2590"/>
      <c r="EU656" s="2590"/>
      <c r="EV656" s="2590"/>
      <c r="EW656" s="2590" t="e">
        <f t="shared" si="27"/>
        <v>#VALUE!</v>
      </c>
      <c r="EX656" s="2590"/>
      <c r="EY656" s="2590"/>
      <c r="EZ656" s="2590"/>
      <c r="FA656" s="2590"/>
    </row>
    <row r="657" spans="1:157" ht="12.5">
      <c r="A657" s="35"/>
      <c r="B657" s="12" t="s">
        <v>327</v>
      </c>
      <c r="G657" s="2181" t="s">
        <v>2582</v>
      </c>
      <c r="H657" s="2087"/>
      <c r="I657" s="2087"/>
      <c r="J657" s="2087"/>
      <c r="K657" s="2087"/>
      <c r="L657" s="2087"/>
      <c r="O657" s="137" t="s">
        <v>212</v>
      </c>
      <c r="P657" s="2172"/>
      <c r="Q657" s="2172"/>
      <c r="R657" s="2172"/>
      <c r="S657" s="16"/>
      <c r="T657" s="35"/>
      <c r="U657" s="12" t="s">
        <v>327</v>
      </c>
      <c r="Z657" s="2181" t="s">
        <v>2582</v>
      </c>
      <c r="AA657" s="2087"/>
      <c r="AB657" s="2087"/>
      <c r="AC657" s="2087"/>
      <c r="AD657" s="2087"/>
      <c r="AE657" s="2087"/>
      <c r="AH657" s="137" t="s">
        <v>212</v>
      </c>
      <c r="AI657" s="2172"/>
      <c r="AJ657" s="2172"/>
      <c r="AK657" s="2172"/>
      <c r="AZ657" s="61"/>
      <c r="BA657" s="61"/>
      <c r="BB657" s="61"/>
      <c r="BC657" s="61"/>
      <c r="BD657" s="61"/>
      <c r="BE657" s="61"/>
      <c r="BF657" s="61"/>
      <c r="BG657" s="61"/>
      <c r="BH657" s="61"/>
      <c r="BI657" s="61"/>
      <c r="BJ657" s="61"/>
      <c r="BK657" s="61"/>
      <c r="BL657" s="61"/>
      <c r="BM657" s="61"/>
      <c r="BN657" s="2028">
        <f t="shared" si="28"/>
        <v>0</v>
      </c>
      <c r="BO657" s="2029"/>
      <c r="BP657" s="2029"/>
      <c r="BQ657" s="2029"/>
      <c r="BR657" s="2030"/>
      <c r="BS657" s="2027">
        <f t="shared" si="29"/>
        <v>0</v>
      </c>
      <c r="BT657" s="2027"/>
      <c r="BU657" s="2027"/>
      <c r="BV657" s="2027"/>
      <c r="BW657" s="2027"/>
      <c r="BX657" s="2027">
        <f t="shared" si="30"/>
        <v>0</v>
      </c>
      <c r="BY657" s="2027"/>
      <c r="BZ657" s="2027"/>
      <c r="CA657" s="2027"/>
      <c r="CB657" s="2027"/>
      <c r="CC657" s="2027">
        <f t="shared" si="31"/>
        <v>0</v>
      </c>
      <c r="CD657" s="2027"/>
      <c r="CE657" s="2027"/>
      <c r="CF657" s="2027"/>
      <c r="CG657" s="2027"/>
      <c r="CH657" s="2027">
        <f t="shared" si="32"/>
        <v>0</v>
      </c>
      <c r="CI657" s="2027"/>
      <c r="CJ657" s="2027"/>
      <c r="CK657" s="2027"/>
      <c r="CL657" s="2027"/>
      <c r="CM657" s="2027">
        <f t="shared" si="33"/>
        <v>0</v>
      </c>
      <c r="CN657" s="2027"/>
      <c r="CO657" s="2027"/>
      <c r="CP657" s="2027"/>
      <c r="CQ657" s="2027"/>
      <c r="CR657" s="265"/>
      <c r="CS657" s="2028">
        <f t="shared" si="34"/>
        <v>0</v>
      </c>
      <c r="CT657" s="2029"/>
      <c r="CU657" s="2029"/>
      <c r="CV657" s="2029"/>
      <c r="CW657" s="2030"/>
      <c r="CX657" s="2028">
        <f t="shared" si="35"/>
        <v>0</v>
      </c>
      <c r="CY657" s="2029"/>
      <c r="CZ657" s="2029"/>
      <c r="DA657" s="2029"/>
      <c r="DB657" s="2030"/>
      <c r="DC657" s="2028">
        <f t="shared" si="36"/>
        <v>0</v>
      </c>
      <c r="DD657" s="2029"/>
      <c r="DE657" s="2029"/>
      <c r="DF657" s="2029"/>
      <c r="DG657" s="2030"/>
      <c r="DH657" s="2028">
        <f t="shared" si="37"/>
        <v>0</v>
      </c>
      <c r="DI657" s="2029"/>
      <c r="DJ657" s="2029"/>
      <c r="DK657" s="2029"/>
      <c r="DL657" s="2030"/>
      <c r="DM657" s="2028">
        <f t="shared" si="38"/>
        <v>0</v>
      </c>
      <c r="DN657" s="2029"/>
      <c r="DO657" s="2029"/>
      <c r="DP657" s="2029"/>
      <c r="DQ657" s="2030"/>
      <c r="DR657" s="2028">
        <f t="shared" si="39"/>
        <v>0</v>
      </c>
      <c r="DS657" s="2029"/>
      <c r="DT657" s="2029"/>
      <c r="DU657" s="2029"/>
      <c r="DV657" s="2030"/>
      <c r="DX657" s="2590" t="e">
        <f t="shared" si="22"/>
        <v>#VALUE!</v>
      </c>
      <c r="DY657" s="2590"/>
      <c r="DZ657" s="2590"/>
      <c r="EA657" s="2590"/>
      <c r="EB657" s="2590"/>
      <c r="EC657" s="2590" t="e">
        <f t="shared" si="23"/>
        <v>#VALUE!</v>
      </c>
      <c r="ED657" s="2590"/>
      <c r="EE657" s="2590"/>
      <c r="EF657" s="2590"/>
      <c r="EG657" s="2590"/>
      <c r="EH657" s="2590" t="e">
        <f t="shared" si="24"/>
        <v>#VALUE!</v>
      </c>
      <c r="EI657" s="2590"/>
      <c r="EJ657" s="2590"/>
      <c r="EK657" s="2590"/>
      <c r="EL657" s="2590"/>
      <c r="EM657" s="2590" t="e">
        <f t="shared" si="25"/>
        <v>#VALUE!</v>
      </c>
      <c r="EN657" s="2590"/>
      <c r="EO657" s="2590"/>
      <c r="EP657" s="2590"/>
      <c r="EQ657" s="2590"/>
      <c r="ER657" s="2590" t="e">
        <f t="shared" si="26"/>
        <v>#VALUE!</v>
      </c>
      <c r="ES657" s="2590"/>
      <c r="ET657" s="2590"/>
      <c r="EU657" s="2590"/>
      <c r="EV657" s="2590"/>
      <c r="EW657" s="2590" t="e">
        <f t="shared" si="27"/>
        <v>#VALUE!</v>
      </c>
      <c r="EX657" s="2590"/>
      <c r="EY657" s="2590"/>
      <c r="EZ657" s="2590"/>
      <c r="FA657" s="2590"/>
    </row>
    <row r="658" spans="1:157" ht="12.5">
      <c r="A658" s="35"/>
      <c r="B658" s="12" t="s">
        <v>18</v>
      </c>
      <c r="H658" s="2062" t="s">
        <v>2590</v>
      </c>
      <c r="I658" s="2063"/>
      <c r="J658" s="2063"/>
      <c r="K658" s="2063"/>
      <c r="L658" s="2063"/>
      <c r="M658" s="2063"/>
      <c r="N658" s="2063"/>
      <c r="O658" s="2063"/>
      <c r="P658" s="2063"/>
      <c r="Q658" s="2063"/>
      <c r="R658" s="2063"/>
      <c r="S658" s="14"/>
      <c r="T658" s="35"/>
      <c r="U658" s="12" t="s">
        <v>18</v>
      </c>
      <c r="AA658" s="2063"/>
      <c r="AB658" s="2063"/>
      <c r="AC658" s="2063"/>
      <c r="AD658" s="2063"/>
      <c r="AE658" s="2063"/>
      <c r="AF658" s="2063"/>
      <c r="AG658" s="2063"/>
      <c r="AH658" s="2063"/>
      <c r="AI658" s="2063"/>
      <c r="AJ658" s="2063"/>
      <c r="AK658" s="2063"/>
      <c r="AZ658" s="61"/>
      <c r="BA658" s="61"/>
      <c r="BB658" s="61"/>
      <c r="BC658" s="61"/>
      <c r="BD658" s="61"/>
      <c r="BE658" s="61"/>
      <c r="BF658" s="61"/>
      <c r="BG658" s="61"/>
      <c r="BH658" s="61"/>
      <c r="BI658" s="61"/>
      <c r="BJ658" s="61"/>
      <c r="BK658" s="61"/>
      <c r="BL658" s="61"/>
      <c r="BM658" s="61"/>
      <c r="BN658" s="2214">
        <f>SUM(BN648:BR657)</f>
        <v>0</v>
      </c>
      <c r="BO658" s="2217"/>
      <c r="BP658" s="2217"/>
      <c r="BQ658" s="2217"/>
      <c r="BR658" s="2215"/>
      <c r="BS658" s="2045">
        <f>SUM(BS648:BW657)</f>
        <v>0</v>
      </c>
      <c r="BT658" s="2046"/>
      <c r="BU658" s="2046"/>
      <c r="BV658" s="2046"/>
      <c r="BW658" s="2047"/>
      <c r="BX658" s="2045">
        <f>SUM(BX648:CB657)</f>
        <v>0</v>
      </c>
      <c r="BY658" s="2046"/>
      <c r="BZ658" s="2046"/>
      <c r="CA658" s="2046"/>
      <c r="CB658" s="2047"/>
      <c r="CC658" s="2045">
        <f>SUM(CC648:CG657)</f>
        <v>0</v>
      </c>
      <c r="CD658" s="2046"/>
      <c r="CE658" s="2046"/>
      <c r="CF658" s="2046"/>
      <c r="CG658" s="2047"/>
      <c r="CH658" s="2045">
        <f>SUM(CH648:CL657)</f>
        <v>0</v>
      </c>
      <c r="CI658" s="2046"/>
      <c r="CJ658" s="2046"/>
      <c r="CK658" s="2046"/>
      <c r="CL658" s="2047"/>
      <c r="CM658" s="2045">
        <f>SUM(CM648:CQ657)</f>
        <v>0</v>
      </c>
      <c r="CN658" s="2046"/>
      <c r="CO658" s="2046"/>
      <c r="CP658" s="2046"/>
      <c r="CQ658" s="2047"/>
      <c r="CR658" s="1823"/>
      <c r="CS658" s="2595">
        <f>SUM(CS648:CW657)</f>
        <v>0</v>
      </c>
      <c r="CT658" s="2595"/>
      <c r="CU658" s="2595"/>
      <c r="CV658" s="2595"/>
      <c r="CW658" s="2595"/>
      <c r="CX658" s="2595">
        <f>SUM(CX648:DB657)</f>
        <v>0</v>
      </c>
      <c r="CY658" s="2595"/>
      <c r="CZ658" s="2595"/>
      <c r="DA658" s="2595"/>
      <c r="DB658" s="2595"/>
      <c r="DC658" s="2595">
        <f>SUM(DC648:DG657)</f>
        <v>0</v>
      </c>
      <c r="DD658" s="2595"/>
      <c r="DE658" s="2595"/>
      <c r="DF658" s="2595"/>
      <c r="DG658" s="2595"/>
      <c r="DH658" s="2595">
        <f>SUM(DH648:DL657)</f>
        <v>0</v>
      </c>
      <c r="DI658" s="2595"/>
      <c r="DJ658" s="2595"/>
      <c r="DK658" s="2595"/>
      <c r="DL658" s="2595"/>
      <c r="DM658" s="2595">
        <f>SUM(DM648:DQ657)</f>
        <v>0</v>
      </c>
      <c r="DN658" s="2595"/>
      <c r="DO658" s="2595"/>
      <c r="DP658" s="2595"/>
      <c r="DQ658" s="2595"/>
      <c r="DR658" s="2595">
        <f>SUM(DR648:DV657)</f>
        <v>0</v>
      </c>
      <c r="DS658" s="2595"/>
      <c r="DT658" s="2595"/>
      <c r="DU658" s="2595"/>
      <c r="DV658" s="2595"/>
      <c r="DX658" s="2590" t="e">
        <f t="shared" si="22"/>
        <v>#VALUE!</v>
      </c>
      <c r="DY658" s="2590"/>
      <c r="DZ658" s="2590"/>
      <c r="EA658" s="2590"/>
      <c r="EB658" s="2590"/>
      <c r="EC658" s="2590" t="e">
        <f t="shared" si="23"/>
        <v>#VALUE!</v>
      </c>
      <c r="ED658" s="2590"/>
      <c r="EE658" s="2590"/>
      <c r="EF658" s="2590"/>
      <c r="EG658" s="2590"/>
      <c r="EH658" s="2590" t="e">
        <f t="shared" si="24"/>
        <v>#VALUE!</v>
      </c>
      <c r="EI658" s="2590"/>
      <c r="EJ658" s="2590"/>
      <c r="EK658" s="2590"/>
      <c r="EL658" s="2590"/>
      <c r="EM658" s="2590" t="e">
        <f t="shared" si="25"/>
        <v>#VALUE!</v>
      </c>
      <c r="EN658" s="2590"/>
      <c r="EO658" s="2590"/>
      <c r="EP658" s="2590"/>
      <c r="EQ658" s="2590"/>
      <c r="ER658" s="2590" t="e">
        <f t="shared" si="26"/>
        <v>#VALUE!</v>
      </c>
      <c r="ES658" s="2590"/>
      <c r="ET658" s="2590"/>
      <c r="EU658" s="2590"/>
      <c r="EV658" s="2590"/>
      <c r="EW658" s="2590" t="e">
        <f t="shared" si="27"/>
        <v>#VALUE!</v>
      </c>
      <c r="EX658" s="2590"/>
      <c r="EY658" s="2590"/>
      <c r="EZ658" s="2590"/>
      <c r="FA658" s="2590"/>
    </row>
    <row r="659" spans="1:157" ht="12.5">
      <c r="A659" s="35"/>
      <c r="B659" s="12" t="s">
        <v>20</v>
      </c>
      <c r="N659" s="2136" t="s">
        <v>580</v>
      </c>
      <c r="O659" s="2069"/>
      <c r="T659" s="35"/>
      <c r="U659" s="12" t="s">
        <v>20</v>
      </c>
      <c r="AG659" s="2069" t="s">
        <v>580</v>
      </c>
      <c r="AH659" s="2069"/>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90" t="e">
        <f t="shared" si="22"/>
        <v>#VALUE!</v>
      </c>
      <c r="DY659" s="2590"/>
      <c r="DZ659" s="2590"/>
      <c r="EA659" s="2590"/>
      <c r="EB659" s="2590"/>
      <c r="EC659" s="2590" t="e">
        <f t="shared" si="23"/>
        <v>#VALUE!</v>
      </c>
      <c r="ED659" s="2590"/>
      <c r="EE659" s="2590"/>
      <c r="EF659" s="2590"/>
      <c r="EG659" s="2590"/>
      <c r="EH659" s="2590" t="e">
        <f t="shared" si="24"/>
        <v>#VALUE!</v>
      </c>
      <c r="EI659" s="2590"/>
      <c r="EJ659" s="2590"/>
      <c r="EK659" s="2590"/>
      <c r="EL659" s="2590"/>
      <c r="EM659" s="2590" t="e">
        <f t="shared" si="25"/>
        <v>#VALUE!</v>
      </c>
      <c r="EN659" s="2590"/>
      <c r="EO659" s="2590"/>
      <c r="EP659" s="2590"/>
      <c r="EQ659" s="2590"/>
      <c r="ER659" s="2590" t="e">
        <f t="shared" si="26"/>
        <v>#VALUE!</v>
      </c>
      <c r="ES659" s="2590"/>
      <c r="ET659" s="2590"/>
      <c r="EU659" s="2590"/>
      <c r="EV659" s="2590"/>
      <c r="EW659" s="2590" t="e">
        <f t="shared" si="27"/>
        <v>#VALUE!</v>
      </c>
      <c r="EX659" s="2590"/>
      <c r="EY659" s="2590"/>
      <c r="EZ659" s="2590"/>
      <c r="FA659" s="2590"/>
    </row>
    <row r="660" spans="1:157" ht="13">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2452</v>
      </c>
      <c r="CU660" s="58"/>
      <c r="CV660" s="58"/>
      <c r="CW660" s="58"/>
      <c r="CX660" s="58"/>
      <c r="CY660" s="58"/>
      <c r="CZ660" s="58"/>
      <c r="DA660" s="58"/>
      <c r="DB660" s="58"/>
      <c r="DC660" s="58"/>
      <c r="DD660" s="58"/>
      <c r="DE660" s="58"/>
      <c r="DF660" s="58"/>
      <c r="DQ660" s="136" t="s">
        <v>2465</v>
      </c>
      <c r="DR660" s="2590">
        <f>SUM(CS658:DV658)</f>
        <v>0</v>
      </c>
      <c r="DS660" s="2590"/>
      <c r="DT660" s="2590"/>
      <c r="DU660" s="2590"/>
      <c r="DV660" s="2590"/>
      <c r="DX660" s="2590" t="e">
        <f t="shared" si="22"/>
        <v>#VALUE!</v>
      </c>
      <c r="DY660" s="2590"/>
      <c r="DZ660" s="2590"/>
      <c r="EA660" s="2590"/>
      <c r="EB660" s="2590"/>
      <c r="EC660" s="2590" t="e">
        <f t="shared" si="23"/>
        <v>#VALUE!</v>
      </c>
      <c r="ED660" s="2590"/>
      <c r="EE660" s="2590"/>
      <c r="EF660" s="2590"/>
      <c r="EG660" s="2590"/>
      <c r="EH660" s="2590" t="e">
        <f t="shared" si="24"/>
        <v>#VALUE!</v>
      </c>
      <c r="EI660" s="2590"/>
      <c r="EJ660" s="2590"/>
      <c r="EK660" s="2590"/>
      <c r="EL660" s="2590"/>
      <c r="EM660" s="2590" t="e">
        <f t="shared" si="25"/>
        <v>#VALUE!</v>
      </c>
      <c r="EN660" s="2590"/>
      <c r="EO660" s="2590"/>
      <c r="EP660" s="2590"/>
      <c r="EQ660" s="2590"/>
      <c r="ER660" s="2590" t="e">
        <f t="shared" si="26"/>
        <v>#VALUE!</v>
      </c>
      <c r="ES660" s="2590"/>
      <c r="ET660" s="2590"/>
      <c r="EU660" s="2590"/>
      <c r="EV660" s="2590"/>
      <c r="EW660" s="2590" t="e">
        <f t="shared" si="27"/>
        <v>#VALUE!</v>
      </c>
      <c r="EX660" s="2590"/>
      <c r="EY660" s="2590"/>
      <c r="EZ660" s="2590"/>
      <c r="FA660" s="2590"/>
    </row>
    <row r="661" spans="1:157" ht="13">
      <c r="A661" s="87" t="s">
        <v>124</v>
      </c>
      <c r="B661" s="12" t="s">
        <v>498</v>
      </c>
      <c r="G661" s="2173" t="str">
        <f>C639</f>
        <v>County of Santa Clara</v>
      </c>
      <c r="H661" s="2173"/>
      <c r="I661" s="2173"/>
      <c r="J661" s="2173"/>
      <c r="K661" s="2173"/>
      <c r="L661" s="2173"/>
      <c r="M661" s="2173"/>
      <c r="N661" s="2173"/>
      <c r="O661" s="2173"/>
      <c r="P661" s="2173"/>
      <c r="Q661" s="2173"/>
      <c r="R661" s="2173"/>
      <c r="T661" s="87" t="s">
        <v>618</v>
      </c>
      <c r="U661" s="12" t="s">
        <v>498</v>
      </c>
      <c r="Z661" s="2173" t="str">
        <f>C640</f>
        <v>CSC - Accrued/Deferred Interest</v>
      </c>
      <c r="AA661" s="2173"/>
      <c r="AB661" s="2173"/>
      <c r="AC661" s="2173"/>
      <c r="AD661" s="2173"/>
      <c r="AE661" s="2173"/>
      <c r="AF661" s="2173"/>
      <c r="AG661" s="2173"/>
      <c r="AH661" s="2173"/>
      <c r="AI661" s="2173"/>
      <c r="AJ661" s="2173"/>
      <c r="AK661" s="2173"/>
      <c r="AZ661" s="61"/>
      <c r="BA661" s="61"/>
      <c r="BB661" s="61"/>
      <c r="BC661" s="61"/>
      <c r="BD661" s="61"/>
      <c r="BE661" s="61"/>
      <c r="BF661" s="61"/>
      <c r="BG661" s="61"/>
      <c r="BH661" s="61"/>
      <c r="BI661" s="61"/>
      <c r="BJ661" s="61"/>
      <c r="BK661" s="61"/>
      <c r="BL661" s="61"/>
      <c r="BM661" s="61"/>
      <c r="CR661" s="177"/>
      <c r="CS661" s="1472">
        <f>BR659+BW659+CB659+CG659+CL659+CQ659</f>
        <v>0</v>
      </c>
      <c r="CT661" s="134" t="s">
        <v>1992</v>
      </c>
      <c r="CU661" s="58"/>
      <c r="CV661" s="58"/>
      <c r="CW661" s="58"/>
      <c r="CX661" s="58"/>
      <c r="CY661" s="58"/>
      <c r="CZ661" s="58"/>
      <c r="DA661" s="58"/>
      <c r="DB661" s="58"/>
      <c r="DC661" s="58"/>
      <c r="DD661" s="58"/>
      <c r="DE661" s="58"/>
      <c r="DF661" s="58"/>
      <c r="DX661" s="2590" t="e">
        <f t="shared" si="22"/>
        <v>#VALUE!</v>
      </c>
      <c r="DY661" s="2590"/>
      <c r="DZ661" s="2590"/>
      <c r="EA661" s="2590"/>
      <c r="EB661" s="2590"/>
      <c r="EC661" s="2590" t="e">
        <f t="shared" si="23"/>
        <v>#VALUE!</v>
      </c>
      <c r="ED661" s="2590"/>
      <c r="EE661" s="2590"/>
      <c r="EF661" s="2590"/>
      <c r="EG661" s="2590"/>
      <c r="EH661" s="2590" t="e">
        <f t="shared" si="24"/>
        <v>#VALUE!</v>
      </c>
      <c r="EI661" s="2590"/>
      <c r="EJ661" s="2590"/>
      <c r="EK661" s="2590"/>
      <c r="EL661" s="2590"/>
      <c r="EM661" s="2590" t="e">
        <f t="shared" si="25"/>
        <v>#VALUE!</v>
      </c>
      <c r="EN661" s="2590"/>
      <c r="EO661" s="2590"/>
      <c r="EP661" s="2590"/>
      <c r="EQ661" s="2590"/>
      <c r="ER661" s="2590" t="e">
        <f t="shared" si="26"/>
        <v>#VALUE!</v>
      </c>
      <c r="ES661" s="2590"/>
      <c r="ET661" s="2590"/>
      <c r="EU661" s="2590"/>
      <c r="EV661" s="2590"/>
      <c r="EW661" s="2590" t="e">
        <f t="shared" si="27"/>
        <v>#VALUE!</v>
      </c>
      <c r="EX661" s="2590"/>
      <c r="EY661" s="2590"/>
      <c r="EZ661" s="2590"/>
      <c r="FA661" s="2590"/>
    </row>
    <row r="662" spans="1:157" ht="12.5">
      <c r="A662" s="35"/>
      <c r="B662" s="12" t="s">
        <v>90</v>
      </c>
      <c r="G662" s="2062" t="s">
        <v>2574</v>
      </c>
      <c r="H662" s="2063"/>
      <c r="I662" s="2063"/>
      <c r="J662" s="2063"/>
      <c r="K662" s="2063"/>
      <c r="L662" s="2063"/>
      <c r="M662" s="2063"/>
      <c r="N662" s="2063"/>
      <c r="O662" s="2063"/>
      <c r="P662" s="2063"/>
      <c r="Q662" s="2063"/>
      <c r="R662" s="2063"/>
      <c r="T662" s="35"/>
      <c r="U662" s="12" t="s">
        <v>90</v>
      </c>
      <c r="Z662" s="2062" t="s">
        <v>2574</v>
      </c>
      <c r="AA662" s="2063"/>
      <c r="AB662" s="2063"/>
      <c r="AC662" s="2063"/>
      <c r="AD662" s="2063"/>
      <c r="AE662" s="2063"/>
      <c r="AF662" s="2063"/>
      <c r="AG662" s="2063"/>
      <c r="AH662" s="2063"/>
      <c r="AI662" s="2063"/>
      <c r="AJ662" s="2063"/>
      <c r="AK662" s="206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90" t="e">
        <f t="shared" si="22"/>
        <v>#VALUE!</v>
      </c>
      <c r="DY662" s="2590"/>
      <c r="DZ662" s="2590"/>
      <c r="EA662" s="2590"/>
      <c r="EB662" s="2590"/>
      <c r="EC662" s="2590" t="e">
        <f t="shared" si="23"/>
        <v>#VALUE!</v>
      </c>
      <c r="ED662" s="2590"/>
      <c r="EE662" s="2590"/>
      <c r="EF662" s="2590"/>
      <c r="EG662" s="2590"/>
      <c r="EH662" s="2590" t="e">
        <f t="shared" si="24"/>
        <v>#VALUE!</v>
      </c>
      <c r="EI662" s="2590"/>
      <c r="EJ662" s="2590"/>
      <c r="EK662" s="2590"/>
      <c r="EL662" s="2590"/>
      <c r="EM662" s="2590" t="e">
        <f t="shared" si="25"/>
        <v>#VALUE!</v>
      </c>
      <c r="EN662" s="2590"/>
      <c r="EO662" s="2590"/>
      <c r="EP662" s="2590"/>
      <c r="EQ662" s="2590"/>
      <c r="ER662" s="2590" t="e">
        <f t="shared" si="26"/>
        <v>#VALUE!</v>
      </c>
      <c r="ES662" s="2590"/>
      <c r="ET662" s="2590"/>
      <c r="EU662" s="2590"/>
      <c r="EV662" s="2590"/>
      <c r="EW662" s="2590" t="e">
        <f t="shared" si="27"/>
        <v>#VALUE!</v>
      </c>
      <c r="EX662" s="2590"/>
      <c r="EY662" s="2590"/>
      <c r="EZ662" s="2590"/>
      <c r="FA662" s="2590"/>
    </row>
    <row r="663" spans="1:157" ht="13">
      <c r="A663" s="35"/>
      <c r="B663" s="12" t="s">
        <v>617</v>
      </c>
      <c r="G663" s="2062" t="s">
        <v>2469</v>
      </c>
      <c r="H663" s="2063"/>
      <c r="I663" s="2063"/>
      <c r="J663" s="2063"/>
      <c r="K663" s="2063"/>
      <c r="L663" s="2063"/>
      <c r="M663" s="2063"/>
      <c r="N663" s="2063"/>
      <c r="O663" s="2063"/>
      <c r="P663" s="2063"/>
      <c r="Q663" s="2063"/>
      <c r="R663" s="2063"/>
      <c r="T663" s="35"/>
      <c r="U663" s="12" t="s">
        <v>617</v>
      </c>
      <c r="Z663" s="2062" t="s">
        <v>2469</v>
      </c>
      <c r="AA663" s="2063"/>
      <c r="AB663" s="2063"/>
      <c r="AC663" s="2063"/>
      <c r="AD663" s="2063"/>
      <c r="AE663" s="2063"/>
      <c r="AF663" s="2063"/>
      <c r="AG663" s="2063"/>
      <c r="AH663" s="2063"/>
      <c r="AI663" s="2063"/>
      <c r="AJ663" s="2063"/>
      <c r="AK663" s="2063"/>
      <c r="AZ663" s="61"/>
      <c r="BA663" s="61"/>
      <c r="BB663" s="61"/>
      <c r="BC663" s="61"/>
      <c r="BD663" s="61"/>
      <c r="BE663" s="61"/>
      <c r="BF663" s="61"/>
      <c r="BG663" s="61"/>
      <c r="BH663" s="61"/>
      <c r="BI663" s="61"/>
      <c r="BJ663" s="61"/>
      <c r="BK663" s="61"/>
      <c r="BL663" s="61"/>
      <c r="BM663" s="61"/>
      <c r="BN663" s="2045">
        <f>BN635+BN644+BN658</f>
        <v>28</v>
      </c>
      <c r="BO663" s="2046"/>
      <c r="BP663" s="2046"/>
      <c r="BQ663" s="2046"/>
      <c r="BR663" s="2047"/>
      <c r="BS663" s="2045">
        <f>BS635+BS644+BS658</f>
        <v>11</v>
      </c>
      <c r="BT663" s="2046"/>
      <c r="BU663" s="2046"/>
      <c r="BV663" s="2046"/>
      <c r="BW663" s="2047"/>
      <c r="BX663" s="2045">
        <f>BX635+BX644+BX658</f>
        <v>27</v>
      </c>
      <c r="BY663" s="2046"/>
      <c r="BZ663" s="2046"/>
      <c r="CA663" s="2046"/>
      <c r="CB663" s="2047"/>
      <c r="CC663" s="2045">
        <f>CC635+CC644+CC658</f>
        <v>14</v>
      </c>
      <c r="CD663" s="2046"/>
      <c r="CE663" s="2046"/>
      <c r="CF663" s="2046"/>
      <c r="CG663" s="2047"/>
      <c r="CH663" s="2045">
        <f>CH635+CH644+CH658</f>
        <v>0</v>
      </c>
      <c r="CI663" s="2046"/>
      <c r="CJ663" s="2046"/>
      <c r="CK663" s="2046"/>
      <c r="CL663" s="2047"/>
      <c r="CM663" s="2052">
        <f>CM658+CM644+CM635</f>
        <v>0</v>
      </c>
      <c r="CN663" s="2216"/>
      <c r="CO663" s="2216"/>
      <c r="CP663" s="2216"/>
      <c r="CQ663" s="2053"/>
      <c r="CR663" s="177"/>
      <c r="CS663" s="1472">
        <f>CS637+CS661</f>
        <v>133</v>
      </c>
      <c r="CT663" s="134" t="s">
        <v>2457</v>
      </c>
      <c r="CU663" s="58"/>
      <c r="CV663" s="58"/>
      <c r="CW663" s="58"/>
      <c r="CX663" s="58"/>
      <c r="CY663" s="58"/>
      <c r="CZ663" s="58"/>
      <c r="DA663" s="58"/>
      <c r="DB663" s="58"/>
      <c r="DC663" s="58"/>
      <c r="DD663" s="58"/>
      <c r="DE663" s="58"/>
      <c r="DF663" s="58"/>
      <c r="DX663" s="2590">
        <f>SUMIF(DX638:EB662,"&gt;0")</f>
        <v>1027.5</v>
      </c>
      <c r="DY663" s="2590"/>
      <c r="DZ663" s="2590"/>
      <c r="EA663" s="2590"/>
      <c r="EB663" s="2590"/>
      <c r="EC663" s="2590">
        <f>SUMIF(EC638:EG662,"&gt;0")</f>
        <v>1037.4545454545455</v>
      </c>
      <c r="ED663" s="2590"/>
      <c r="EE663" s="2590"/>
      <c r="EF663" s="2590"/>
      <c r="EG663" s="2590"/>
      <c r="EH663" s="2590">
        <f>SUMIF(EH638:EL662,"&gt;0")</f>
        <v>1028.5769230769231</v>
      </c>
      <c r="EI663" s="2590"/>
      <c r="EJ663" s="2590"/>
      <c r="EK663" s="2590"/>
      <c r="EL663" s="2590"/>
      <c r="EM663" s="2590">
        <f>SUMIF(EM638:EQ662,"&gt;0")</f>
        <v>1293.4285714285713</v>
      </c>
      <c r="EN663" s="2590"/>
      <c r="EO663" s="2590"/>
      <c r="EP663" s="2590"/>
      <c r="EQ663" s="2590"/>
      <c r="ER663" s="2590">
        <f>SUMIF(ER638:EV662,"&gt;0")</f>
        <v>0</v>
      </c>
      <c r="ES663" s="2590"/>
      <c r="ET663" s="2590"/>
      <c r="EU663" s="2590"/>
      <c r="EV663" s="2590"/>
      <c r="EW663" s="2590">
        <f>SUMIF(EW638:FA662,"&gt;0")</f>
        <v>0</v>
      </c>
      <c r="EX663" s="2590"/>
      <c r="EY663" s="2590"/>
      <c r="EZ663" s="2590"/>
      <c r="FA663" s="2590"/>
    </row>
    <row r="664" spans="1:157" ht="12.5">
      <c r="A664" s="35"/>
      <c r="B664" s="12" t="s">
        <v>17</v>
      </c>
      <c r="G664" s="2062" t="s">
        <v>2575</v>
      </c>
      <c r="H664" s="2063"/>
      <c r="I664" s="2063"/>
      <c r="J664" s="2063"/>
      <c r="K664" s="2063"/>
      <c r="L664" s="2063"/>
      <c r="M664" s="2063"/>
      <c r="N664" s="2063"/>
      <c r="O664" s="2063"/>
      <c r="P664" s="2063"/>
      <c r="Q664" s="2063"/>
      <c r="R664" s="2063"/>
      <c r="T664" s="35"/>
      <c r="U664" s="12" t="s">
        <v>17</v>
      </c>
      <c r="Z664" s="2062" t="s">
        <v>2575</v>
      </c>
      <c r="AA664" s="2063"/>
      <c r="AB664" s="2063"/>
      <c r="AC664" s="2063"/>
      <c r="AD664" s="2063"/>
      <c r="AE664" s="2063"/>
      <c r="AF664" s="2063"/>
      <c r="AG664" s="2063"/>
      <c r="AH664" s="2063"/>
      <c r="AI664" s="2063"/>
      <c r="AJ664" s="2063"/>
      <c r="AK664" s="206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181" t="s">
        <v>2576</v>
      </c>
      <c r="H665" s="2087"/>
      <c r="I665" s="2087"/>
      <c r="J665" s="2087"/>
      <c r="K665" s="2087"/>
      <c r="L665" s="2087"/>
      <c r="O665" s="137" t="s">
        <v>212</v>
      </c>
      <c r="P665" s="2172"/>
      <c r="Q665" s="2172"/>
      <c r="R665" s="2172"/>
      <c r="T665" s="35"/>
      <c r="U665" s="12" t="s">
        <v>327</v>
      </c>
      <c r="Z665" s="2181" t="s">
        <v>2576</v>
      </c>
      <c r="AA665" s="2087"/>
      <c r="AB665" s="2087"/>
      <c r="AC665" s="2087"/>
      <c r="AD665" s="2087"/>
      <c r="AE665" s="2087"/>
      <c r="AH665" s="137" t="s">
        <v>212</v>
      </c>
      <c r="AI665" s="2172"/>
      <c r="AJ665" s="2172"/>
      <c r="AK665" s="217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62" t="s">
        <v>2573</v>
      </c>
      <c r="I666" s="2063"/>
      <c r="J666" s="2063"/>
      <c r="K666" s="2063"/>
      <c r="L666" s="2063"/>
      <c r="M666" s="2063"/>
      <c r="N666" s="2063"/>
      <c r="O666" s="2063"/>
      <c r="P666" s="2063"/>
      <c r="Q666" s="2063"/>
      <c r="R666" s="2063"/>
      <c r="T666" s="35"/>
      <c r="U666" s="12" t="s">
        <v>18</v>
      </c>
      <c r="AA666" s="2062" t="s">
        <v>2586</v>
      </c>
      <c r="AB666" s="2063"/>
      <c r="AC666" s="2063"/>
      <c r="AD666" s="2063"/>
      <c r="AE666" s="2063"/>
      <c r="AF666" s="2063"/>
      <c r="AG666" s="2063"/>
      <c r="AH666" s="2063"/>
      <c r="AI666" s="2063"/>
      <c r="AJ666" s="2063"/>
      <c r="AK666" s="2063"/>
      <c r="AZ666" s="58"/>
      <c r="BA666" s="58"/>
      <c r="BB666" s="58"/>
      <c r="BC666" s="58"/>
      <c r="BD666" s="58"/>
      <c r="BE666" s="58"/>
      <c r="BF666" s="58"/>
      <c r="BG666" s="58"/>
      <c r="BH666" s="58"/>
      <c r="BI666" s="58"/>
      <c r="BJ666" s="58"/>
      <c r="BK666" s="58"/>
      <c r="BL666" s="58"/>
      <c r="BM666" s="58"/>
      <c r="BN666" s="58"/>
      <c r="BO666" s="58"/>
      <c r="BP666" s="307" t="s">
        <v>1569</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
      <c r="A667" s="35"/>
      <c r="B667" s="12" t="s">
        <v>20</v>
      </c>
      <c r="N667" s="2136" t="s">
        <v>580</v>
      </c>
      <c r="O667" s="2069"/>
      <c r="T667" s="35"/>
      <c r="U667" s="12" t="s">
        <v>20</v>
      </c>
      <c r="AG667" s="2069" t="s">
        <v>580</v>
      </c>
      <c r="AH667" s="2069"/>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173" t="str">
        <f>C641</f>
        <v>FHLB SF AHP</v>
      </c>
      <c r="H669" s="2173"/>
      <c r="I669" s="2173"/>
      <c r="J669" s="2173"/>
      <c r="K669" s="2173"/>
      <c r="L669" s="2173"/>
      <c r="M669" s="2173"/>
      <c r="N669" s="2173"/>
      <c r="O669" s="2173"/>
      <c r="P669" s="2173"/>
      <c r="Q669" s="2173"/>
      <c r="R669" s="2173"/>
      <c r="T669" s="87" t="s">
        <v>621</v>
      </c>
      <c r="U669" s="12" t="s">
        <v>498</v>
      </c>
      <c r="Z669" s="2173" t="str">
        <f>C642</f>
        <v>CA HCD AHSC</v>
      </c>
      <c r="AA669" s="2173"/>
      <c r="AB669" s="2173"/>
      <c r="AC669" s="2173"/>
      <c r="AD669" s="2173"/>
      <c r="AE669" s="2173"/>
      <c r="AF669" s="2173"/>
      <c r="AG669" s="2173"/>
      <c r="AH669" s="2173"/>
      <c r="AI669" s="2173"/>
      <c r="AJ669" s="2173"/>
      <c r="AK669" s="2173"/>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62" t="s">
        <v>2577</v>
      </c>
      <c r="H670" s="2063"/>
      <c r="I670" s="2063"/>
      <c r="J670" s="2063"/>
      <c r="K670" s="2063"/>
      <c r="L670" s="2063"/>
      <c r="M670" s="2063"/>
      <c r="N670" s="2063"/>
      <c r="O670" s="2063"/>
      <c r="P670" s="2063"/>
      <c r="Q670" s="2063"/>
      <c r="R670" s="2063"/>
      <c r="T670" s="35"/>
      <c r="U670" s="12" t="s">
        <v>90</v>
      </c>
      <c r="Z670" s="2063" t="s">
        <v>2593</v>
      </c>
      <c r="AA670" s="2063"/>
      <c r="AB670" s="2063"/>
      <c r="AC670" s="2063"/>
      <c r="AD670" s="2063"/>
      <c r="AE670" s="2063"/>
      <c r="AF670" s="2063"/>
      <c r="AG670" s="2063"/>
      <c r="AH670" s="2063"/>
      <c r="AI670" s="2063"/>
      <c r="AJ670" s="2063"/>
      <c r="AK670" s="2063"/>
      <c r="AZ670" s="58"/>
      <c r="BA670" s="447">
        <f t="shared" ref="BA670:BA694" si="40">IF($G728=0,"N/A",VLOOKUP($T$189,TC_Rent,(MATCH($B728,bedrooms,FALSE))))</f>
        <v>2764</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617</v>
      </c>
      <c r="G671" s="2062" t="s">
        <v>775</v>
      </c>
      <c r="H671" s="2063"/>
      <c r="I671" s="2063"/>
      <c r="J671" s="2063"/>
      <c r="K671" s="2063"/>
      <c r="L671" s="2063"/>
      <c r="M671" s="2063"/>
      <c r="N671" s="2063"/>
      <c r="O671" s="2063"/>
      <c r="P671" s="2063"/>
      <c r="Q671" s="2063"/>
      <c r="R671" s="2063"/>
      <c r="T671" s="35"/>
      <c r="U671" s="12" t="s">
        <v>617</v>
      </c>
      <c r="Z671" s="2110" t="s">
        <v>71</v>
      </c>
      <c r="AA671" s="2110"/>
      <c r="AB671" s="2110"/>
      <c r="AC671" s="2110"/>
      <c r="AD671" s="2110"/>
      <c r="AE671" s="2110"/>
      <c r="AF671" s="2110"/>
      <c r="AG671" s="2110"/>
      <c r="AH671" s="2110"/>
      <c r="AI671" s="2110"/>
      <c r="AJ671" s="2110"/>
      <c r="AK671" s="2110"/>
      <c r="AZ671" s="58"/>
      <c r="BA671" s="447">
        <f t="shared" si="40"/>
        <v>2962</v>
      </c>
      <c r="BB671" s="58"/>
      <c r="BC671" s="58"/>
      <c r="BD671" s="58"/>
      <c r="BE671" s="58"/>
      <c r="BF671" s="383"/>
      <c r="BG671" s="457">
        <f t="shared" ref="BG671:BG695" si="41">G728</f>
        <v>14</v>
      </c>
      <c r="BH671" s="461">
        <f>BG671/$BG$696</f>
        <v>0.17721518987341772</v>
      </c>
      <c r="BI671" s="462">
        <f t="shared" ref="BI671:BI695" si="42">IF(BH671=0," ",BH671*AH728)</f>
        <v>5.3164556962025315E-2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62" t="s">
        <v>2578</v>
      </c>
      <c r="H672" s="2063"/>
      <c r="I672" s="2063"/>
      <c r="J672" s="2063"/>
      <c r="K672" s="2063"/>
      <c r="L672" s="2063"/>
      <c r="M672" s="2063"/>
      <c r="N672" s="2063"/>
      <c r="O672" s="2063"/>
      <c r="P672" s="2063"/>
      <c r="Q672" s="2063"/>
      <c r="R672" s="2063"/>
      <c r="T672" s="35"/>
      <c r="U672" s="12" t="s">
        <v>17</v>
      </c>
      <c r="Z672" s="2110" t="s">
        <v>2594</v>
      </c>
      <c r="AA672" s="2110"/>
      <c r="AB672" s="2110"/>
      <c r="AC672" s="2110"/>
      <c r="AD672" s="2110"/>
      <c r="AE672" s="2110"/>
      <c r="AF672" s="2110"/>
      <c r="AG672" s="2110"/>
      <c r="AH672" s="2110"/>
      <c r="AI672" s="2110"/>
      <c r="AJ672" s="2110"/>
      <c r="AK672" s="2110"/>
      <c r="AZ672" s="58"/>
      <c r="BA672" s="447">
        <f t="shared" si="40"/>
        <v>3554</v>
      </c>
      <c r="BB672" s="58"/>
      <c r="BC672" s="58"/>
      <c r="BD672" s="58"/>
      <c r="BE672" s="58"/>
      <c r="BF672" s="383"/>
      <c r="BG672" s="458">
        <f t="shared" si="41"/>
        <v>7</v>
      </c>
      <c r="BH672" s="461">
        <f t="shared" ref="BH672:BH695" si="43">BG672/$BG$696</f>
        <v>8.8607594936708861E-2</v>
      </c>
      <c r="BI672" s="462">
        <f t="shared" si="42"/>
        <v>2.6582278481012658E-2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327</v>
      </c>
      <c r="G673" s="2181" t="s">
        <v>2579</v>
      </c>
      <c r="H673" s="2087"/>
      <c r="I673" s="2087"/>
      <c r="J673" s="2087"/>
      <c r="K673" s="2087"/>
      <c r="L673" s="2087"/>
      <c r="O673" s="137" t="s">
        <v>212</v>
      </c>
      <c r="P673" s="2172"/>
      <c r="Q673" s="2172"/>
      <c r="R673" s="2172"/>
      <c r="T673" s="35"/>
      <c r="U673" s="12" t="s">
        <v>327</v>
      </c>
      <c r="Z673" s="2181" t="s">
        <v>2595</v>
      </c>
      <c r="AA673" s="2087"/>
      <c r="AB673" s="2087"/>
      <c r="AC673" s="2087"/>
      <c r="AD673" s="2087"/>
      <c r="AE673" s="2087"/>
      <c r="AH673" s="137" t="s">
        <v>212</v>
      </c>
      <c r="AI673" s="2172"/>
      <c r="AJ673" s="2172"/>
      <c r="AK673" s="2172"/>
      <c r="AZ673" s="58"/>
      <c r="BA673" s="447">
        <f t="shared" si="40"/>
        <v>4106</v>
      </c>
      <c r="BB673" s="58"/>
      <c r="BC673" s="58"/>
      <c r="BD673" s="58"/>
      <c r="BE673" s="58"/>
      <c r="BF673" s="383"/>
      <c r="BG673" s="458">
        <f t="shared" si="41"/>
        <v>17</v>
      </c>
      <c r="BH673" s="461">
        <f t="shared" si="43"/>
        <v>0.21518987341772153</v>
      </c>
      <c r="BI673" s="462">
        <f t="shared" si="42"/>
        <v>6.4556962025316453E-2</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62" t="s">
        <v>2573</v>
      </c>
      <c r="I674" s="2063"/>
      <c r="J674" s="2063"/>
      <c r="K674" s="2063"/>
      <c r="L674" s="2063"/>
      <c r="M674" s="2063"/>
      <c r="N674" s="2063"/>
      <c r="O674" s="2063"/>
      <c r="P674" s="2063"/>
      <c r="Q674" s="2063"/>
      <c r="R674" s="2063"/>
      <c r="T674" s="35"/>
      <c r="U674" s="12" t="s">
        <v>18</v>
      </c>
      <c r="AA674" s="2063" t="s">
        <v>2573</v>
      </c>
      <c r="AB674" s="2063"/>
      <c r="AC674" s="2063"/>
      <c r="AD674" s="2063"/>
      <c r="AE674" s="2063"/>
      <c r="AF674" s="2063"/>
      <c r="AG674" s="2063"/>
      <c r="AH674" s="2063"/>
      <c r="AI674" s="2063"/>
      <c r="AJ674" s="2063"/>
      <c r="AK674" s="2063"/>
      <c r="AZ674" s="58"/>
      <c r="BA674" s="447">
        <f t="shared" si="40"/>
        <v>3554</v>
      </c>
      <c r="BB674" s="58"/>
      <c r="BC674" s="58"/>
      <c r="BD674" s="58"/>
      <c r="BE674" s="58"/>
      <c r="BF674" s="383"/>
      <c r="BG674" s="458">
        <f t="shared" si="41"/>
        <v>2</v>
      </c>
      <c r="BH674" s="461">
        <f t="shared" si="43"/>
        <v>2.5316455696202531E-2</v>
      </c>
      <c r="BI674" s="462">
        <f t="shared" si="42"/>
        <v>7.5949367088607592E-3</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136" t="s">
        <v>580</v>
      </c>
      <c r="O675" s="2069"/>
      <c r="T675" s="35"/>
      <c r="U675" s="12" t="s">
        <v>20</v>
      </c>
      <c r="AG675" s="2069" t="s">
        <v>580</v>
      </c>
      <c r="AH675" s="2069"/>
      <c r="AZ675" s="58"/>
      <c r="BA675" s="447">
        <f t="shared" si="40"/>
        <v>4106</v>
      </c>
      <c r="BB675" s="58"/>
      <c r="BC675" s="58"/>
      <c r="BD675" s="58"/>
      <c r="BE675" s="58"/>
      <c r="BF675" s="383"/>
      <c r="BG675" s="458">
        <f t="shared" si="41"/>
        <v>4</v>
      </c>
      <c r="BH675" s="461">
        <f t="shared" si="43"/>
        <v>5.0632911392405063E-2</v>
      </c>
      <c r="BI675" s="462">
        <f t="shared" si="42"/>
        <v>1.5189873417721518E-2</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7">
        <f t="shared" si="40"/>
        <v>3554</v>
      </c>
      <c r="BB676" s="58"/>
      <c r="BC676" s="58"/>
      <c r="BD676" s="58"/>
      <c r="BE676" s="58"/>
      <c r="BF676" s="383"/>
      <c r="BG676" s="458">
        <f t="shared" si="41"/>
        <v>6</v>
      </c>
      <c r="BH676" s="461">
        <f t="shared" si="43"/>
        <v>7.5949367088607597E-2</v>
      </c>
      <c r="BI676" s="462">
        <f t="shared" si="42"/>
        <v>2.2784810126582278E-2</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489</v>
      </c>
      <c r="B677" s="12" t="s">
        <v>498</v>
      </c>
      <c r="G677" s="2173">
        <f>C643</f>
        <v>0</v>
      </c>
      <c r="H677" s="2173"/>
      <c r="I677" s="2173"/>
      <c r="J677" s="2173"/>
      <c r="K677" s="2173"/>
      <c r="L677" s="2173"/>
      <c r="M677" s="2173"/>
      <c r="N677" s="2173"/>
      <c r="O677" s="2173"/>
      <c r="P677" s="2173"/>
      <c r="Q677" s="2173"/>
      <c r="R677" s="2173"/>
      <c r="T677" s="87" t="s">
        <v>490</v>
      </c>
      <c r="U677" s="12" t="s">
        <v>498</v>
      </c>
      <c r="Z677" s="2173" t="str">
        <f>C644</f>
        <v>Deferred Developer Fee</v>
      </c>
      <c r="AA677" s="2173"/>
      <c r="AB677" s="2173"/>
      <c r="AC677" s="2173"/>
      <c r="AD677" s="2173"/>
      <c r="AE677" s="2173"/>
      <c r="AF677" s="2173"/>
      <c r="AG677" s="2173"/>
      <c r="AH677" s="2173"/>
      <c r="AI677" s="2173"/>
      <c r="AJ677" s="2173"/>
      <c r="AK677" s="2173"/>
      <c r="AZ677" s="58"/>
      <c r="BA677" s="447">
        <f t="shared" si="40"/>
        <v>4106</v>
      </c>
      <c r="BB677" s="58"/>
      <c r="BC677" s="58"/>
      <c r="BD677" s="58"/>
      <c r="BE677" s="58"/>
      <c r="BF677" s="383"/>
      <c r="BG677" s="458">
        <f t="shared" si="41"/>
        <v>4</v>
      </c>
      <c r="BH677" s="461">
        <f t="shared" si="43"/>
        <v>5.0632911392405063E-2</v>
      </c>
      <c r="BI677" s="462">
        <f t="shared" si="42"/>
        <v>2.5316455696202531E-2</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1851"/>
      <c r="H678" s="1845"/>
      <c r="I678" s="1845"/>
      <c r="J678" s="1845"/>
      <c r="K678" s="1845"/>
      <c r="L678" s="1845"/>
      <c r="M678" s="1845"/>
      <c r="N678" s="1845"/>
      <c r="O678" s="1845"/>
      <c r="P678" s="1845"/>
      <c r="Q678" s="1845"/>
      <c r="R678" s="1845"/>
      <c r="T678" s="35"/>
      <c r="U678" s="12" t="s">
        <v>90</v>
      </c>
      <c r="Z678" s="2063" t="s">
        <v>628</v>
      </c>
      <c r="AA678" s="2063"/>
      <c r="AB678" s="2063"/>
      <c r="AC678" s="2063"/>
      <c r="AD678" s="2063"/>
      <c r="AE678" s="2063"/>
      <c r="AF678" s="2063"/>
      <c r="AG678" s="2063"/>
      <c r="AH678" s="2063"/>
      <c r="AI678" s="2063"/>
      <c r="AJ678" s="2063"/>
      <c r="AK678" s="2063"/>
      <c r="AZ678" s="58"/>
      <c r="BA678" s="447">
        <f t="shared" si="40"/>
        <v>2764</v>
      </c>
      <c r="BB678" s="58"/>
      <c r="BC678" s="58"/>
      <c r="BD678" s="58"/>
      <c r="BE678" s="58"/>
      <c r="BF678" s="383"/>
      <c r="BG678" s="458">
        <f t="shared" si="41"/>
        <v>6</v>
      </c>
      <c r="BH678" s="461">
        <f t="shared" si="43"/>
        <v>7.5949367088607597E-2</v>
      </c>
      <c r="BI678" s="462">
        <f t="shared" si="42"/>
        <v>3.7974683544303799E-2</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617</v>
      </c>
      <c r="G679" s="1850"/>
      <c r="H679" s="1846"/>
      <c r="I679" s="1846"/>
      <c r="J679" s="1846"/>
      <c r="K679" s="1846"/>
      <c r="L679" s="1846"/>
      <c r="M679" s="1846"/>
      <c r="N679" s="1846"/>
      <c r="O679" s="1846"/>
      <c r="P679" s="1846"/>
      <c r="Q679" s="1846"/>
      <c r="R679" s="1846"/>
      <c r="T679" s="35"/>
      <c r="U679" s="12" t="s">
        <v>617</v>
      </c>
      <c r="Z679" s="2110"/>
      <c r="AA679" s="2110"/>
      <c r="AB679" s="2110"/>
      <c r="AC679" s="2110"/>
      <c r="AD679" s="2110"/>
      <c r="AE679" s="2110"/>
      <c r="AF679" s="2110"/>
      <c r="AG679" s="2110"/>
      <c r="AH679" s="2110"/>
      <c r="AI679" s="2110"/>
      <c r="AJ679" s="2110"/>
      <c r="AK679" s="2110"/>
      <c r="AZ679" s="58"/>
      <c r="BA679" s="447">
        <f t="shared" si="40"/>
        <v>2962</v>
      </c>
      <c r="BB679" s="58"/>
      <c r="BC679" s="58"/>
      <c r="BD679" s="58"/>
      <c r="BE679" s="58"/>
      <c r="BF679" s="383"/>
      <c r="BG679" s="458">
        <f t="shared" si="41"/>
        <v>14</v>
      </c>
      <c r="BH679" s="461">
        <f t="shared" si="43"/>
        <v>0.17721518987341772</v>
      </c>
      <c r="BI679" s="462">
        <f t="shared" si="42"/>
        <v>8.8607594936708861E-2</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1850"/>
      <c r="H680" s="1846"/>
      <c r="I680" s="1846"/>
      <c r="J680" s="1846"/>
      <c r="K680" s="1846"/>
      <c r="L680" s="1846"/>
      <c r="M680" s="1846"/>
      <c r="N680" s="1846"/>
      <c r="O680" s="1846"/>
      <c r="P680" s="1846"/>
      <c r="Q680" s="1846"/>
      <c r="R680" s="1846"/>
      <c r="T680" s="35"/>
      <c r="U680" s="12" t="s">
        <v>17</v>
      </c>
      <c r="Z680" s="2110"/>
      <c r="AA680" s="2110"/>
      <c r="AB680" s="2110"/>
      <c r="AC680" s="2110"/>
      <c r="AD680" s="2110"/>
      <c r="AE680" s="2110"/>
      <c r="AF680" s="2110"/>
      <c r="AG680" s="2110"/>
      <c r="AH680" s="2110"/>
      <c r="AI680" s="2110"/>
      <c r="AJ680" s="2110"/>
      <c r="AK680" s="2110"/>
      <c r="AZ680" s="58"/>
      <c r="BA680" s="447">
        <f t="shared" si="40"/>
        <v>3554</v>
      </c>
      <c r="BB680" s="58"/>
      <c r="BC680" s="58"/>
      <c r="BD680" s="58"/>
      <c r="BE680" s="58"/>
      <c r="BF680" s="383"/>
      <c r="BG680" s="458">
        <f t="shared" si="41"/>
        <v>4</v>
      </c>
      <c r="BH680" s="461">
        <f t="shared" si="43"/>
        <v>5.0632911392405063E-2</v>
      </c>
      <c r="BI680" s="462">
        <f t="shared" si="42"/>
        <v>2.5316455696202531E-2</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327</v>
      </c>
      <c r="G681" s="1855"/>
      <c r="H681" s="1855"/>
      <c r="I681" s="1855"/>
      <c r="J681" s="1855"/>
      <c r="K681" s="1855"/>
      <c r="L681" s="1855"/>
      <c r="O681" s="137" t="s">
        <v>212</v>
      </c>
      <c r="P681" s="2172"/>
      <c r="Q681" s="2172"/>
      <c r="R681" s="2172"/>
      <c r="T681" s="35"/>
      <c r="U681" s="12" t="s">
        <v>327</v>
      </c>
      <c r="Z681" s="2087"/>
      <c r="AA681" s="2087"/>
      <c r="AB681" s="2087"/>
      <c r="AC681" s="2087"/>
      <c r="AD681" s="2087"/>
      <c r="AE681" s="2087"/>
      <c r="AH681" s="137" t="s">
        <v>212</v>
      </c>
      <c r="AI681" s="2172"/>
      <c r="AJ681" s="2172"/>
      <c r="AK681" s="2172"/>
      <c r="AZ681" s="58"/>
      <c r="BA681" s="447" t="str">
        <f t="shared" si="40"/>
        <v>N/A</v>
      </c>
      <c r="BB681" s="58"/>
      <c r="BC681" s="58"/>
      <c r="BD681" s="58"/>
      <c r="BE681" s="58"/>
      <c r="BF681" s="383"/>
      <c r="BG681" s="458">
        <f t="shared" si="41"/>
        <v>1</v>
      </c>
      <c r="BH681" s="461">
        <f t="shared" si="43"/>
        <v>1.2658227848101266E-2</v>
      </c>
      <c r="BI681" s="462">
        <f t="shared" si="42"/>
        <v>6.3291139240506328E-3</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62"/>
      <c r="I682" s="2063"/>
      <c r="J682" s="2063"/>
      <c r="K682" s="2063"/>
      <c r="L682" s="2063"/>
      <c r="M682" s="2063"/>
      <c r="N682" s="2063"/>
      <c r="O682" s="2063"/>
      <c r="P682" s="2063"/>
      <c r="Q682" s="2063"/>
      <c r="R682" s="2063"/>
      <c r="T682" s="35"/>
      <c r="U682" s="12" t="s">
        <v>18</v>
      </c>
      <c r="AA682" s="2063"/>
      <c r="AB682" s="2063"/>
      <c r="AC682" s="2063"/>
      <c r="AD682" s="2063"/>
      <c r="AE682" s="2063"/>
      <c r="AF682" s="2063"/>
      <c r="AG682" s="2063"/>
      <c r="AH682" s="2063"/>
      <c r="AI682" s="2063"/>
      <c r="AJ682" s="2063"/>
      <c r="AK682" s="2063"/>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69"/>
      <c r="O683" s="2069"/>
      <c r="T683" s="35"/>
      <c r="U683" s="12" t="s">
        <v>20</v>
      </c>
      <c r="AG683" s="2069"/>
      <c r="AH683" s="2069"/>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496</v>
      </c>
      <c r="B685" s="12" t="s">
        <v>498</v>
      </c>
      <c r="G685" s="2173" t="str">
        <f>C645</f>
        <v>General Partner Equity</v>
      </c>
      <c r="H685" s="2173"/>
      <c r="I685" s="2173"/>
      <c r="J685" s="2173"/>
      <c r="K685" s="2173"/>
      <c r="L685" s="2173"/>
      <c r="M685" s="2173"/>
      <c r="N685" s="2173"/>
      <c r="O685" s="2173"/>
      <c r="P685" s="2173"/>
      <c r="Q685" s="2173"/>
      <c r="R685" s="2173"/>
      <c r="T685" s="87" t="s">
        <v>683</v>
      </c>
      <c r="U685" s="12" t="s">
        <v>498</v>
      </c>
      <c r="Z685" s="2173">
        <f>C646</f>
        <v>0</v>
      </c>
      <c r="AA685" s="2173"/>
      <c r="AB685" s="2173"/>
      <c r="AC685" s="2173"/>
      <c r="AD685" s="2173"/>
      <c r="AE685" s="2173"/>
      <c r="AF685" s="2173"/>
      <c r="AG685" s="2173"/>
      <c r="AH685" s="2173"/>
      <c r="AI685" s="2173"/>
      <c r="AJ685" s="2173"/>
      <c r="AK685" s="2173"/>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63" t="s">
        <v>2591</v>
      </c>
      <c r="H686" s="2063"/>
      <c r="I686" s="2063"/>
      <c r="J686" s="2063"/>
      <c r="K686" s="2063"/>
      <c r="L686" s="2063"/>
      <c r="M686" s="2063"/>
      <c r="N686" s="2063"/>
      <c r="O686" s="2063"/>
      <c r="P686" s="2063"/>
      <c r="Q686" s="2063"/>
      <c r="R686" s="2063"/>
      <c r="T686" s="35"/>
      <c r="U686" s="12" t="s">
        <v>90</v>
      </c>
      <c r="Z686" s="2063"/>
      <c r="AA686" s="2063"/>
      <c r="AB686" s="2063"/>
      <c r="AC686" s="2063"/>
      <c r="AD686" s="2063"/>
      <c r="AE686" s="2063"/>
      <c r="AF686" s="2063"/>
      <c r="AG686" s="2063"/>
      <c r="AH686" s="2063"/>
      <c r="AI686" s="2063"/>
      <c r="AJ686" s="2063"/>
      <c r="AK686" s="2063"/>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617</v>
      </c>
      <c r="G687" s="2063" t="s">
        <v>2469</v>
      </c>
      <c r="H687" s="2063"/>
      <c r="I687" s="2063"/>
      <c r="J687" s="2063"/>
      <c r="K687" s="2063"/>
      <c r="L687" s="2063"/>
      <c r="M687" s="2063"/>
      <c r="N687" s="2063"/>
      <c r="O687" s="2063"/>
      <c r="P687" s="2063"/>
      <c r="Q687" s="2063"/>
      <c r="R687" s="2063"/>
      <c r="T687" s="35"/>
      <c r="U687" s="12" t="s">
        <v>617</v>
      </c>
      <c r="Z687" s="2110"/>
      <c r="AA687" s="2110"/>
      <c r="AB687" s="2110"/>
      <c r="AC687" s="2110"/>
      <c r="AD687" s="2110"/>
      <c r="AE687" s="2110"/>
      <c r="AF687" s="2110"/>
      <c r="AG687" s="2110"/>
      <c r="AH687" s="2110"/>
      <c r="AI687" s="2110"/>
      <c r="AJ687" s="2110"/>
      <c r="AK687" s="2110"/>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63" t="s">
        <v>2467</v>
      </c>
      <c r="H688" s="2063"/>
      <c r="I688" s="2063"/>
      <c r="J688" s="2063"/>
      <c r="K688" s="2063"/>
      <c r="L688" s="2063"/>
      <c r="M688" s="2063"/>
      <c r="N688" s="2063"/>
      <c r="O688" s="2063"/>
      <c r="P688" s="2063"/>
      <c r="Q688" s="2063"/>
      <c r="R688" s="2063"/>
      <c r="T688" s="35"/>
      <c r="U688" s="12" t="s">
        <v>17</v>
      </c>
      <c r="Z688" s="2110"/>
      <c r="AA688" s="2110"/>
      <c r="AB688" s="2110"/>
      <c r="AC688" s="2110"/>
      <c r="AD688" s="2110"/>
      <c r="AE688" s="2110"/>
      <c r="AF688" s="2110"/>
      <c r="AG688" s="2110"/>
      <c r="AH688" s="2110"/>
      <c r="AI688" s="2110"/>
      <c r="AJ688" s="2110"/>
      <c r="AK688" s="2110"/>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327</v>
      </c>
      <c r="G689" s="2181" t="s">
        <v>2484</v>
      </c>
      <c r="H689" s="2087"/>
      <c r="I689" s="2087"/>
      <c r="J689" s="2087"/>
      <c r="K689" s="2087"/>
      <c r="L689" s="2087"/>
      <c r="O689" s="137" t="s">
        <v>212</v>
      </c>
      <c r="P689" s="2172"/>
      <c r="Q689" s="2172"/>
      <c r="R689" s="2172"/>
      <c r="T689" s="35"/>
      <c r="U689" s="12" t="s">
        <v>327</v>
      </c>
      <c r="Z689" s="2087"/>
      <c r="AA689" s="2087"/>
      <c r="AB689" s="2087"/>
      <c r="AC689" s="2087"/>
      <c r="AD689" s="2087"/>
      <c r="AE689" s="2087"/>
      <c r="AH689" s="137" t="s">
        <v>212</v>
      </c>
      <c r="AI689" s="2172"/>
      <c r="AJ689" s="2172"/>
      <c r="AK689" s="2172"/>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63" t="s">
        <v>2592</v>
      </c>
      <c r="I690" s="2063"/>
      <c r="J690" s="2063"/>
      <c r="K690" s="2063"/>
      <c r="L690" s="2063"/>
      <c r="M690" s="2063"/>
      <c r="N690" s="2063"/>
      <c r="O690" s="2063"/>
      <c r="P690" s="2063"/>
      <c r="Q690" s="2063"/>
      <c r="R690" s="2063"/>
      <c r="T690" s="35"/>
      <c r="U690" s="12" t="s">
        <v>18</v>
      </c>
      <c r="AA690" s="2063"/>
      <c r="AB690" s="2063"/>
      <c r="AC690" s="2063"/>
      <c r="AD690" s="2063"/>
      <c r="AE690" s="2063"/>
      <c r="AF690" s="2063"/>
      <c r="AG690" s="2063"/>
      <c r="AH690" s="2063"/>
      <c r="AI690" s="2063"/>
      <c r="AJ690" s="2063"/>
      <c r="AK690" s="2063"/>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69" t="s">
        <v>580</v>
      </c>
      <c r="O691" s="2069"/>
      <c r="T691" s="35"/>
      <c r="U691" s="12" t="s">
        <v>20</v>
      </c>
      <c r="AG691" s="2069"/>
      <c r="AH691" s="2069"/>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374</v>
      </c>
      <c r="B693" s="12" t="s">
        <v>498</v>
      </c>
      <c r="G693" s="2173">
        <f>C647</f>
        <v>0</v>
      </c>
      <c r="H693" s="2173"/>
      <c r="I693" s="2173"/>
      <c r="J693" s="2173"/>
      <c r="K693" s="2173"/>
      <c r="L693" s="2173"/>
      <c r="M693" s="2173"/>
      <c r="N693" s="2173"/>
      <c r="O693" s="2173"/>
      <c r="P693" s="2173"/>
      <c r="Q693" s="2173"/>
      <c r="R693" s="2173"/>
      <c r="T693" s="87" t="s">
        <v>375</v>
      </c>
      <c r="U693" s="12" t="s">
        <v>498</v>
      </c>
      <c r="Z693" s="2173">
        <f>C648</f>
        <v>0</v>
      </c>
      <c r="AA693" s="2173"/>
      <c r="AB693" s="2173"/>
      <c r="AC693" s="2173"/>
      <c r="AD693" s="2173"/>
      <c r="AE693" s="2173"/>
      <c r="AF693" s="2173"/>
      <c r="AG693" s="2173"/>
      <c r="AH693" s="2173"/>
      <c r="AI693" s="2173"/>
      <c r="AJ693" s="2173"/>
      <c r="AK693" s="2173"/>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63"/>
      <c r="H694" s="2063"/>
      <c r="I694" s="2063"/>
      <c r="J694" s="2063"/>
      <c r="K694" s="2063"/>
      <c r="L694" s="2063"/>
      <c r="M694" s="2063"/>
      <c r="N694" s="2063"/>
      <c r="O694" s="2063"/>
      <c r="P694" s="2063"/>
      <c r="Q694" s="2063"/>
      <c r="R694" s="2063"/>
      <c r="T694" s="35"/>
      <c r="U694" s="12" t="s">
        <v>90</v>
      </c>
      <c r="Z694" s="2063"/>
      <c r="AA694" s="2063"/>
      <c r="AB694" s="2063"/>
      <c r="AC694" s="2063"/>
      <c r="AD694" s="2063"/>
      <c r="AE694" s="2063"/>
      <c r="AF694" s="2063"/>
      <c r="AG694" s="2063"/>
      <c r="AH694" s="2063"/>
      <c r="AI694" s="2063"/>
      <c r="AJ694" s="2063"/>
      <c r="AK694" s="2063"/>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617</v>
      </c>
      <c r="G695" s="2063"/>
      <c r="H695" s="2063"/>
      <c r="I695" s="2063"/>
      <c r="J695" s="2063"/>
      <c r="K695" s="2063"/>
      <c r="L695" s="2063"/>
      <c r="M695" s="2063"/>
      <c r="N695" s="2063"/>
      <c r="O695" s="2063"/>
      <c r="P695" s="2063"/>
      <c r="Q695" s="2063"/>
      <c r="R695" s="2063"/>
      <c r="U695" s="12" t="s">
        <v>617</v>
      </c>
      <c r="Z695" s="2110"/>
      <c r="AA695" s="2110"/>
      <c r="AB695" s="2110"/>
      <c r="AC695" s="2110"/>
      <c r="AD695" s="2110"/>
      <c r="AE695" s="2110"/>
      <c r="AF695" s="2110"/>
      <c r="AG695" s="2110"/>
      <c r="AH695" s="2110"/>
      <c r="AI695" s="2110"/>
      <c r="AJ695" s="2110"/>
      <c r="AK695" s="2110"/>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63"/>
      <c r="H696" s="2063"/>
      <c r="I696" s="2063"/>
      <c r="J696" s="2063"/>
      <c r="K696" s="2063"/>
      <c r="L696" s="2063"/>
      <c r="M696" s="2063"/>
      <c r="N696" s="2063"/>
      <c r="O696" s="2063"/>
      <c r="P696" s="2063"/>
      <c r="Q696" s="2063"/>
      <c r="R696" s="2063"/>
      <c r="U696" s="12" t="s">
        <v>17</v>
      </c>
      <c r="Z696" s="2110"/>
      <c r="AA696" s="2110"/>
      <c r="AB696" s="2110"/>
      <c r="AC696" s="2110"/>
      <c r="AD696" s="2110"/>
      <c r="AE696" s="2110"/>
      <c r="AF696" s="2110"/>
      <c r="AG696" s="2110"/>
      <c r="AH696" s="2110"/>
      <c r="AI696" s="2110"/>
      <c r="AJ696" s="2110"/>
      <c r="AK696" s="2110"/>
      <c r="AZ696" s="58"/>
      <c r="BA696" s="58"/>
      <c r="BB696" s="58"/>
      <c r="BC696" s="58"/>
      <c r="BD696" s="58"/>
      <c r="BF696" s="454" t="s">
        <v>972</v>
      </c>
      <c r="BG696" s="463">
        <f>SUM(BG671:BG695)</f>
        <v>79</v>
      </c>
      <c r="BH696" s="464">
        <f>SUM(BH671:BH695)</f>
        <v>1.0000000000000002</v>
      </c>
      <c r="BI696" s="464">
        <f>SUM(BI671:BI695)</f>
        <v>0.37341772151898739</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327</v>
      </c>
      <c r="G697" s="2087"/>
      <c r="H697" s="2087"/>
      <c r="I697" s="2087"/>
      <c r="J697" s="2087"/>
      <c r="K697" s="2087"/>
      <c r="L697" s="2087"/>
      <c r="O697" s="137" t="s">
        <v>212</v>
      </c>
      <c r="P697" s="2172"/>
      <c r="Q697" s="2172"/>
      <c r="R697" s="2172"/>
      <c r="U697" s="12" t="s">
        <v>327</v>
      </c>
      <c r="Z697" s="2087"/>
      <c r="AA697" s="2087"/>
      <c r="AB697" s="2087"/>
      <c r="AC697" s="2087"/>
      <c r="AD697" s="2087"/>
      <c r="AE697" s="2087"/>
      <c r="AH697" s="137" t="s">
        <v>212</v>
      </c>
      <c r="AI697" s="2172"/>
      <c r="AJ697" s="2172"/>
      <c r="AK697" s="2172"/>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63"/>
      <c r="I698" s="2063"/>
      <c r="J698" s="2063"/>
      <c r="K698" s="2063"/>
      <c r="L698" s="2063"/>
      <c r="M698" s="2063"/>
      <c r="N698" s="2063"/>
      <c r="O698" s="2063"/>
      <c r="P698" s="2063"/>
      <c r="Q698" s="2063"/>
      <c r="R698" s="2063"/>
      <c r="U698" s="12" t="s">
        <v>18</v>
      </c>
      <c r="AA698" s="2063"/>
      <c r="AB698" s="2063"/>
      <c r="AC698" s="2063"/>
      <c r="AD698" s="2063"/>
      <c r="AE698" s="2063"/>
      <c r="AF698" s="2063"/>
      <c r="AG698" s="2063"/>
      <c r="AH698" s="2063"/>
      <c r="AI698" s="2063"/>
      <c r="AJ698" s="2063"/>
      <c r="AK698" s="2063"/>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69"/>
      <c r="O699" s="2069"/>
      <c r="U699" s="12" t="s">
        <v>20</v>
      </c>
      <c r="AG699" s="2069"/>
      <c r="AH699" s="2069"/>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1948</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69" t="s">
        <v>580</v>
      </c>
      <c r="AF703" s="206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14</v>
      </c>
      <c r="BH703" s="461">
        <f>BG703/$BG$728</f>
        <v>0.17721518987341772</v>
      </c>
      <c r="BI703" s="462">
        <f t="shared" ref="BI703:BI727" si="45">IF(BH703=0," ",BH703*AM728)</f>
        <v>4.7637802487680674E-2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69" t="s">
        <v>708</v>
      </c>
      <c r="AF704" s="206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7</v>
      </c>
      <c r="BH704" s="461">
        <f t="shared" ref="BH704:BH727" si="46">BG704/$BG$728</f>
        <v>8.8607594936708861E-2</v>
      </c>
      <c r="BI704" s="462">
        <f t="shared" si="45"/>
        <v>2.5427567756989376E-2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57">
        <v>44231</v>
      </c>
      <c r="AF705" s="2257"/>
      <c r="AG705" s="2257"/>
      <c r="AH705" s="2257"/>
      <c r="AI705" s="225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17</v>
      </c>
      <c r="BH705" s="461">
        <f t="shared" si="46"/>
        <v>0.21518987341772153</v>
      </c>
      <c r="BI705" s="462">
        <f t="shared" si="45"/>
        <v>5.7884501684676924E-2</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57">
        <v>44231</v>
      </c>
      <c r="AF706" s="2257"/>
      <c r="AG706" s="2257"/>
      <c r="AH706" s="2257"/>
      <c r="AI706" s="225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2</v>
      </c>
      <c r="BH706" s="461">
        <f t="shared" si="46"/>
        <v>2.5316455696202531E-2</v>
      </c>
      <c r="BI706" s="462">
        <f t="shared" si="45"/>
        <v>6.5479970651161927E-3</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4</v>
      </c>
      <c r="BH707" s="461">
        <f t="shared" si="46"/>
        <v>5.0632911392405063E-2</v>
      </c>
      <c r="BI707" s="462">
        <f t="shared" si="45"/>
        <v>1.3619882749335746E-2</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57">
        <v>44440</v>
      </c>
      <c r="AF708" s="2257"/>
      <c r="AG708" s="2257"/>
      <c r="AH708" s="2257"/>
      <c r="AI708" s="225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6</v>
      </c>
      <c r="BH708" s="461">
        <f t="shared" si="46"/>
        <v>7.5949367088607597E-2</v>
      </c>
      <c r="BI708" s="462">
        <f t="shared" si="45"/>
        <v>1.9643991195348577E-2</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459">
        <v>0.53910000000000002</v>
      </c>
      <c r="AF709" s="2459"/>
      <c r="AG709" s="2459"/>
      <c r="AH709" s="2459"/>
      <c r="AI709" s="245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4</v>
      </c>
      <c r="BH709" s="461">
        <f t="shared" si="46"/>
        <v>5.0632911392405063E-2</v>
      </c>
      <c r="BI709" s="462">
        <f t="shared" si="45"/>
        <v>2.2695055669133726E-2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173" t="str">
        <f>H334</f>
        <v>City of San Jose</v>
      </c>
      <c r="X710" s="2173"/>
      <c r="Y710" s="2173"/>
      <c r="Z710" s="2173"/>
      <c r="AA710" s="2173"/>
      <c r="AB710" s="2173"/>
      <c r="AC710" s="2173"/>
      <c r="AD710" s="2173"/>
      <c r="AE710" s="2173"/>
      <c r="AF710" s="2173"/>
      <c r="AG710" s="2173"/>
      <c r="AH710" s="2173"/>
      <c r="AI710" s="2173"/>
      <c r="AJ710" s="2173"/>
      <c r="AK710" s="217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6</v>
      </c>
      <c r="BH710" s="461">
        <f t="shared" si="46"/>
        <v>7.5949367088607597E-2</v>
      </c>
      <c r="BI710" s="462">
        <f t="shared" si="45"/>
        <v>3.2739985325580964E-2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14</v>
      </c>
      <c r="BH711" s="461">
        <f t="shared" si="46"/>
        <v>0.17721518987341772</v>
      </c>
      <c r="BI711" s="462">
        <f t="shared" si="45"/>
        <v>8.8607594936708861E-2</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69" t="s">
        <v>708</v>
      </c>
      <c r="AF712" s="206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4</v>
      </c>
      <c r="BH712" s="461">
        <f t="shared" si="46"/>
        <v>5.0632911392405063E-2</v>
      </c>
      <c r="BI712" s="462">
        <f t="shared" si="45"/>
        <v>2.5316455696202531E-2</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63"/>
      <c r="X713" s="2063"/>
      <c r="Y713" s="2063"/>
      <c r="Z713" s="2063"/>
      <c r="AA713" s="2063"/>
      <c r="AB713" s="2063"/>
      <c r="AC713" s="2063"/>
      <c r="AD713" s="2063"/>
      <c r="AE713" s="2063"/>
      <c r="AF713" s="2063"/>
      <c r="AG713" s="2063"/>
      <c r="AH713" s="2063"/>
      <c r="AI713" s="2063"/>
      <c r="AJ713" s="2063"/>
      <c r="AK713" s="206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1</v>
      </c>
      <c r="BH713" s="461">
        <f t="shared" si="46"/>
        <v>1.2658227848101266E-2</v>
      </c>
      <c r="BI713" s="462">
        <f t="shared" si="45"/>
        <v>6.3291139240506328E-3</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63"/>
      <c r="K714" s="2063"/>
      <c r="L714" s="2063"/>
      <c r="M714" s="2063"/>
      <c r="N714" s="2063"/>
      <c r="O714" s="2063"/>
      <c r="P714" s="2063"/>
      <c r="Q714" s="2063"/>
      <c r="R714" s="2063"/>
      <c r="S714" s="2063"/>
      <c r="T714" s="2063"/>
      <c r="U714" s="2063"/>
      <c r="V714" s="2063"/>
      <c r="W714" s="2063"/>
      <c r="X714" s="206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87"/>
      <c r="K715" s="2087"/>
      <c r="L715" s="2087"/>
      <c r="M715" s="2087"/>
      <c r="N715" s="2087"/>
      <c r="O715" s="2087"/>
      <c r="P715" s="7" t="s">
        <v>212</v>
      </c>
      <c r="Q715" s="7"/>
      <c r="R715" s="2172"/>
      <c r="S715" s="2172"/>
      <c r="T715" s="217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469</v>
      </c>
      <c r="W716" s="2063" t="s">
        <v>318</v>
      </c>
      <c r="X716" s="2063"/>
      <c r="Y716" s="2063"/>
      <c r="Z716" s="2063"/>
      <c r="AA716" s="2063"/>
      <c r="AB716" s="2063"/>
      <c r="AC716" s="2063"/>
      <c r="AD716" s="2063"/>
      <c r="AE716" s="2063"/>
      <c r="AF716" s="2063"/>
      <c r="AG716" s="2063"/>
      <c r="AH716" s="2063"/>
      <c r="AI716" s="2063"/>
      <c r="AJ716" s="2063"/>
      <c r="AK716" s="206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63" t="s">
        <v>345</v>
      </c>
      <c r="F717" s="2063"/>
      <c r="G717" s="2063"/>
      <c r="H717" s="2063"/>
      <c r="I717" s="2063"/>
      <c r="J717" s="2063"/>
      <c r="K717" s="2063"/>
      <c r="L717" s="2063"/>
      <c r="M717" s="2063"/>
      <c r="N717" s="2063"/>
      <c r="O717" s="2063"/>
      <c r="P717" s="2063"/>
      <c r="Q717" s="2063"/>
      <c r="R717" s="2063"/>
      <c r="S717" s="2063"/>
      <c r="T717" s="2063"/>
      <c r="U717" s="2063"/>
      <c r="V717" s="2063"/>
      <c r="W717" s="2063"/>
      <c r="X717" s="2063"/>
      <c r="Y717" s="2063"/>
      <c r="Z717" s="2063"/>
      <c r="AA717" s="2063"/>
      <c r="AB717" s="2063"/>
      <c r="AC717" s="2063"/>
      <c r="AD717" s="2063"/>
      <c r="AE717" s="2063"/>
      <c r="AF717" s="2063"/>
      <c r="AG717" s="2063"/>
      <c r="AH717" s="2063"/>
      <c r="AI717" s="2063"/>
      <c r="AJ717" s="2063"/>
      <c r="AK717" s="206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86" t="s">
        <v>100</v>
      </c>
      <c r="B719" s="1886"/>
      <c r="C719" s="1886"/>
      <c r="D719" s="1886"/>
      <c r="E719" s="1886"/>
      <c r="F719" s="1886"/>
      <c r="G719" s="1886"/>
      <c r="H719" s="1886"/>
      <c r="I719" s="1886"/>
      <c r="J719" s="1886"/>
      <c r="K719" s="1886"/>
      <c r="L719" s="1886"/>
      <c r="M719" s="1886"/>
      <c r="N719" s="1886"/>
      <c r="O719" s="1886"/>
      <c r="P719" s="1886"/>
      <c r="Q719" s="1886"/>
      <c r="R719" s="1886"/>
      <c r="S719" s="1886"/>
      <c r="T719" s="1886"/>
      <c r="U719" s="1886"/>
      <c r="V719" s="1886"/>
      <c r="W719" s="1886"/>
      <c r="X719" s="1886"/>
      <c r="Y719" s="1886"/>
      <c r="Z719" s="1886"/>
      <c r="AA719" s="1886"/>
      <c r="AB719" s="1886"/>
      <c r="AC719" s="1886"/>
      <c r="AD719" s="1886"/>
      <c r="AE719" s="1886"/>
      <c r="AF719" s="1886"/>
      <c r="AG719" s="1886"/>
      <c r="AH719" s="1886"/>
      <c r="AI719" s="1886"/>
      <c r="AJ719" s="1886"/>
      <c r="AK719" s="1886"/>
      <c r="AL719" s="1886"/>
      <c r="AM719" s="1886"/>
      <c r="AN719" s="1886"/>
      <c r="AO719" s="1886"/>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86"/>
      <c r="B720" s="1886"/>
      <c r="C720" s="1886"/>
      <c r="D720" s="1886"/>
      <c r="E720" s="1886"/>
      <c r="F720" s="1886"/>
      <c r="G720" s="1886"/>
      <c r="H720" s="1886"/>
      <c r="I720" s="1886"/>
      <c r="J720" s="1886"/>
      <c r="K720" s="1886"/>
      <c r="L720" s="1886"/>
      <c r="M720" s="1886"/>
      <c r="N720" s="1886"/>
      <c r="O720" s="1886"/>
      <c r="P720" s="1886"/>
      <c r="Q720" s="1886"/>
      <c r="R720" s="1886"/>
      <c r="S720" s="1886"/>
      <c r="T720" s="1886"/>
      <c r="U720" s="1886"/>
      <c r="V720" s="1886"/>
      <c r="W720" s="1886"/>
      <c r="X720" s="1886"/>
      <c r="Y720" s="1886"/>
      <c r="Z720" s="1886"/>
      <c r="AA720" s="1886"/>
      <c r="AB720" s="1886"/>
      <c r="AC720" s="1886"/>
      <c r="AD720" s="1886"/>
      <c r="AE720" s="1886"/>
      <c r="AF720" s="1886"/>
      <c r="AG720" s="1886"/>
      <c r="AH720" s="1886"/>
      <c r="AI720" s="1886"/>
      <c r="AJ720" s="1886"/>
      <c r="AK720" s="1886"/>
      <c r="AL720" s="1886"/>
      <c r="AM720" s="1886"/>
      <c r="AN720" s="1886"/>
      <c r="AO720" s="1886"/>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86"/>
      <c r="B721" s="1886"/>
      <c r="C721" s="1886"/>
      <c r="D721" s="1886"/>
      <c r="E721" s="1886"/>
      <c r="F721" s="1886"/>
      <c r="G721" s="1886"/>
      <c r="H721" s="1886"/>
      <c r="I721" s="1886"/>
      <c r="J721" s="1886"/>
      <c r="K721" s="1886"/>
      <c r="L721" s="1886"/>
      <c r="M721" s="1886"/>
      <c r="N721" s="1886"/>
      <c r="O721" s="1886"/>
      <c r="P721" s="1886"/>
      <c r="Q721" s="1886"/>
      <c r="R721" s="1886"/>
      <c r="S721" s="1886"/>
      <c r="T721" s="1886"/>
      <c r="U721" s="1886"/>
      <c r="V721" s="1886"/>
      <c r="W721" s="1886"/>
      <c r="X721" s="1886"/>
      <c r="Y721" s="1886"/>
      <c r="Z721" s="1886"/>
      <c r="AA721" s="1886"/>
      <c r="AB721" s="1886"/>
      <c r="AC721" s="1886"/>
      <c r="AD721" s="1886"/>
      <c r="AE721" s="1886"/>
      <c r="AF721" s="1886"/>
      <c r="AG721" s="1886"/>
      <c r="AH721" s="1886"/>
      <c r="AI721" s="1886"/>
      <c r="AJ721" s="1886"/>
      <c r="AK721" s="1886"/>
      <c r="AL721" s="1886"/>
      <c r="AM721" s="1886"/>
      <c r="AN721" s="1886"/>
      <c r="AO721" s="1886"/>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52" t="s">
        <v>409</v>
      </c>
      <c r="C724" s="2153"/>
      <c r="D724" s="2153"/>
      <c r="E724" s="2153"/>
      <c r="F724" s="2154"/>
      <c r="G724" s="2152" t="s">
        <v>293</v>
      </c>
      <c r="H724" s="2153"/>
      <c r="I724" s="2153"/>
      <c r="J724" s="2154"/>
      <c r="K724" s="2287" t="s">
        <v>2171</v>
      </c>
      <c r="L724" s="2288"/>
      <c r="M724" s="2288"/>
      <c r="N724" s="2289"/>
      <c r="O724" s="2152" t="s">
        <v>480</v>
      </c>
      <c r="P724" s="2153"/>
      <c r="Q724" s="2153"/>
      <c r="R724" s="2153"/>
      <c r="S724" s="2154"/>
      <c r="T724" s="2152" t="s">
        <v>294</v>
      </c>
      <c r="U724" s="2153"/>
      <c r="V724" s="2153"/>
      <c r="W724" s="2153"/>
      <c r="X724" s="2154"/>
      <c r="Y724" s="2152" t="s">
        <v>295</v>
      </c>
      <c r="Z724" s="2153"/>
      <c r="AA724" s="2153"/>
      <c r="AB724" s="2154"/>
      <c r="AC724" s="2152" t="s">
        <v>296</v>
      </c>
      <c r="AD724" s="2153"/>
      <c r="AE724" s="2153"/>
      <c r="AF724" s="2153"/>
      <c r="AG724" s="2154"/>
      <c r="AH724" s="2152" t="s">
        <v>410</v>
      </c>
      <c r="AI724" s="2153"/>
      <c r="AJ724" s="2153"/>
      <c r="AK724" s="2153"/>
      <c r="AL724" s="2154"/>
      <c r="AM724" s="2152" t="s">
        <v>684</v>
      </c>
      <c r="AN724" s="2153"/>
      <c r="AO724" s="2154"/>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155"/>
      <c r="C725" s="2156"/>
      <c r="D725" s="2156"/>
      <c r="E725" s="2156"/>
      <c r="F725" s="2157"/>
      <c r="G725" s="2155"/>
      <c r="H725" s="2156"/>
      <c r="I725" s="2156"/>
      <c r="J725" s="2157"/>
      <c r="K725" s="2290"/>
      <c r="L725" s="2291"/>
      <c r="M725" s="2291"/>
      <c r="N725" s="2292"/>
      <c r="O725" s="2155"/>
      <c r="P725" s="2156"/>
      <c r="Q725" s="2156"/>
      <c r="R725" s="2156"/>
      <c r="S725" s="2157"/>
      <c r="T725" s="2155"/>
      <c r="U725" s="2156"/>
      <c r="V725" s="2156"/>
      <c r="W725" s="2156"/>
      <c r="X725" s="2157"/>
      <c r="Y725" s="2155"/>
      <c r="Z725" s="2156"/>
      <c r="AA725" s="2156"/>
      <c r="AB725" s="2157"/>
      <c r="AC725" s="2155"/>
      <c r="AD725" s="2156"/>
      <c r="AE725" s="2156"/>
      <c r="AF725" s="2156"/>
      <c r="AG725" s="2157"/>
      <c r="AH725" s="2155"/>
      <c r="AI725" s="2156"/>
      <c r="AJ725" s="2156"/>
      <c r="AK725" s="2156"/>
      <c r="AL725" s="2157"/>
      <c r="AM725" s="2155"/>
      <c r="AN725" s="2156"/>
      <c r="AO725" s="2157"/>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155"/>
      <c r="C726" s="2156"/>
      <c r="D726" s="2156"/>
      <c r="E726" s="2156"/>
      <c r="F726" s="2157"/>
      <c r="G726" s="2155"/>
      <c r="H726" s="2156"/>
      <c r="I726" s="2156"/>
      <c r="J726" s="2157"/>
      <c r="K726" s="2290"/>
      <c r="L726" s="2291"/>
      <c r="M726" s="2291"/>
      <c r="N726" s="2292"/>
      <c r="O726" s="2155"/>
      <c r="P726" s="2156"/>
      <c r="Q726" s="2156"/>
      <c r="R726" s="2156"/>
      <c r="S726" s="2157"/>
      <c r="T726" s="2155"/>
      <c r="U726" s="2156"/>
      <c r="V726" s="2156"/>
      <c r="W726" s="2156"/>
      <c r="X726" s="2157"/>
      <c r="Y726" s="2155"/>
      <c r="Z726" s="2156"/>
      <c r="AA726" s="2156"/>
      <c r="AB726" s="2157"/>
      <c r="AC726" s="2155"/>
      <c r="AD726" s="2156"/>
      <c r="AE726" s="2156"/>
      <c r="AF726" s="2156"/>
      <c r="AG726" s="2157"/>
      <c r="AH726" s="2155"/>
      <c r="AI726" s="2156"/>
      <c r="AJ726" s="2156"/>
      <c r="AK726" s="2156"/>
      <c r="AL726" s="2157"/>
      <c r="AM726" s="2155"/>
      <c r="AN726" s="2156"/>
      <c r="AO726" s="2157"/>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158"/>
      <c r="C727" s="2159"/>
      <c r="D727" s="2159"/>
      <c r="E727" s="2159"/>
      <c r="F727" s="2160"/>
      <c r="G727" s="2158"/>
      <c r="H727" s="2159"/>
      <c r="I727" s="2159"/>
      <c r="J727" s="2160"/>
      <c r="K727" s="2290"/>
      <c r="L727" s="2291"/>
      <c r="M727" s="2291"/>
      <c r="N727" s="2292"/>
      <c r="O727" s="2158"/>
      <c r="P727" s="2159"/>
      <c r="Q727" s="2159"/>
      <c r="R727" s="2159"/>
      <c r="S727" s="2160"/>
      <c r="T727" s="2158"/>
      <c r="U727" s="2159"/>
      <c r="V727" s="2159"/>
      <c r="W727" s="2159"/>
      <c r="X727" s="2160"/>
      <c r="Y727" s="2158"/>
      <c r="Z727" s="2159"/>
      <c r="AA727" s="2159"/>
      <c r="AB727" s="2160"/>
      <c r="AC727" s="2158"/>
      <c r="AD727" s="2159"/>
      <c r="AE727" s="2159"/>
      <c r="AF727" s="2159"/>
      <c r="AG727" s="2160"/>
      <c r="AH727" s="2158"/>
      <c r="AI727" s="2159"/>
      <c r="AJ727" s="2159"/>
      <c r="AK727" s="2159"/>
      <c r="AL727" s="2160"/>
      <c r="AM727" s="2158"/>
      <c r="AN727" s="2159"/>
      <c r="AO727" s="2160"/>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035" t="s">
        <v>335</v>
      </c>
      <c r="C728" s="2036"/>
      <c r="D728" s="2036"/>
      <c r="E728" s="2036"/>
      <c r="F728" s="2037"/>
      <c r="G728" s="2370">
        <v>14</v>
      </c>
      <c r="H728" s="2371"/>
      <c r="I728" s="2371"/>
      <c r="J728" s="2372"/>
      <c r="K728" s="2094">
        <v>404</v>
      </c>
      <c r="L728" s="2095"/>
      <c r="M728" s="2095"/>
      <c r="N728" s="2096"/>
      <c r="O728" s="2090">
        <f>743-Y728</f>
        <v>708</v>
      </c>
      <c r="P728" s="2091"/>
      <c r="Q728" s="2091"/>
      <c r="R728" s="2091"/>
      <c r="S728" s="2092"/>
      <c r="T728" s="2300">
        <f t="shared" ref="T728:T752" si="47">G728*O728</f>
        <v>9912</v>
      </c>
      <c r="U728" s="2301"/>
      <c r="V728" s="2301"/>
      <c r="W728" s="2301"/>
      <c r="X728" s="2302"/>
      <c r="Y728" s="2090">
        <v>35</v>
      </c>
      <c r="Z728" s="2091"/>
      <c r="AA728" s="2091"/>
      <c r="AB728" s="2092"/>
      <c r="AC728" s="2300">
        <f t="shared" ref="AC728:AC752" si="48">O728+Y728</f>
        <v>743</v>
      </c>
      <c r="AD728" s="2301"/>
      <c r="AE728" s="2301"/>
      <c r="AF728" s="2301"/>
      <c r="AG728" s="2302"/>
      <c r="AH728" s="2284">
        <v>0.3</v>
      </c>
      <c r="AI728" s="2285"/>
      <c r="AJ728" s="2285"/>
      <c r="AK728" s="2285"/>
      <c r="AL728" s="2286"/>
      <c r="AM728" s="2365">
        <f t="shared" ref="AM728:AM752" si="49">IF($AH728&gt;0,($AC728/$BA670), " ")</f>
        <v>0.26881331403762665</v>
      </c>
      <c r="AN728" s="2366"/>
      <c r="AO728" s="2367"/>
      <c r="AP728" s="239"/>
      <c r="AQ728" s="239"/>
      <c r="AR728" s="239"/>
      <c r="AS728" s="239"/>
      <c r="AT728" s="239"/>
      <c r="AU728" s="239"/>
      <c r="AV728" s="239"/>
      <c r="AW728" s="239"/>
      <c r="AX728" s="239"/>
      <c r="AY728" s="239"/>
      <c r="AZ728" s="58"/>
      <c r="BA728" s="58"/>
      <c r="BB728" s="58"/>
      <c r="BC728" s="58"/>
      <c r="BD728" s="58"/>
      <c r="BE728" s="58"/>
      <c r="BF728" s="58"/>
      <c r="BG728" s="1422">
        <f>SUM(BG703:BG727)</f>
        <v>79</v>
      </c>
      <c r="BH728" s="464">
        <f>SUM(BH703:BH727)</f>
        <v>1.0000000000000002</v>
      </c>
      <c r="BI728" s="464">
        <f>SUM(BI703:BI727)</f>
        <v>0.34644994849082428</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035" t="s">
        <v>336</v>
      </c>
      <c r="C729" s="2036"/>
      <c r="D729" s="2036"/>
      <c r="E729" s="2036"/>
      <c r="F729" s="2037"/>
      <c r="G729" s="2370">
        <v>7</v>
      </c>
      <c r="H729" s="2371"/>
      <c r="I729" s="2371"/>
      <c r="J729" s="2372"/>
      <c r="K729" s="2094">
        <v>550</v>
      </c>
      <c r="L729" s="2095"/>
      <c r="M729" s="2095"/>
      <c r="N729" s="2096"/>
      <c r="O729" s="2090">
        <f>850-Y729</f>
        <v>808</v>
      </c>
      <c r="P729" s="2091"/>
      <c r="Q729" s="2091"/>
      <c r="R729" s="2091"/>
      <c r="S729" s="2092"/>
      <c r="T729" s="2300">
        <f t="shared" si="47"/>
        <v>5656</v>
      </c>
      <c r="U729" s="2301"/>
      <c r="V729" s="2301"/>
      <c r="W729" s="2301"/>
      <c r="X729" s="2302"/>
      <c r="Y729" s="2090">
        <v>42</v>
      </c>
      <c r="Z729" s="2091"/>
      <c r="AA729" s="2091"/>
      <c r="AB729" s="2092"/>
      <c r="AC729" s="2300">
        <f t="shared" si="48"/>
        <v>850</v>
      </c>
      <c r="AD729" s="2301"/>
      <c r="AE729" s="2301"/>
      <c r="AF729" s="2301"/>
      <c r="AG729" s="2302"/>
      <c r="AH729" s="2284">
        <v>0.3</v>
      </c>
      <c r="AI729" s="2285"/>
      <c r="AJ729" s="2285"/>
      <c r="AK729" s="2285"/>
      <c r="AL729" s="2286"/>
      <c r="AM729" s="2365">
        <f t="shared" si="49"/>
        <v>0.28696826468602293</v>
      </c>
      <c r="AN729" s="2366"/>
      <c r="AO729" s="2367"/>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035" t="s">
        <v>168</v>
      </c>
      <c r="C730" s="2036"/>
      <c r="D730" s="2036"/>
      <c r="E730" s="2036"/>
      <c r="F730" s="2037"/>
      <c r="G730" s="2370">
        <v>17</v>
      </c>
      <c r="H730" s="2371"/>
      <c r="I730" s="2371"/>
      <c r="J730" s="2372"/>
      <c r="K730" s="2094">
        <v>812</v>
      </c>
      <c r="L730" s="2095"/>
      <c r="M730" s="2095"/>
      <c r="N730" s="2096"/>
      <c r="O730" s="2090">
        <f>956-Y730</f>
        <v>899</v>
      </c>
      <c r="P730" s="2091"/>
      <c r="Q730" s="2091"/>
      <c r="R730" s="2091"/>
      <c r="S730" s="2092"/>
      <c r="T730" s="2300">
        <f t="shared" si="47"/>
        <v>15283</v>
      </c>
      <c r="U730" s="2301"/>
      <c r="V730" s="2301"/>
      <c r="W730" s="2301"/>
      <c r="X730" s="2302"/>
      <c r="Y730" s="2090">
        <v>57</v>
      </c>
      <c r="Z730" s="2091"/>
      <c r="AA730" s="2091"/>
      <c r="AB730" s="2092"/>
      <c r="AC730" s="2300">
        <f t="shared" si="48"/>
        <v>956</v>
      </c>
      <c r="AD730" s="2301"/>
      <c r="AE730" s="2301"/>
      <c r="AF730" s="2301"/>
      <c r="AG730" s="2302"/>
      <c r="AH730" s="2284">
        <v>0.3</v>
      </c>
      <c r="AI730" s="2285"/>
      <c r="AJ730" s="2285"/>
      <c r="AK730" s="2285"/>
      <c r="AL730" s="2286"/>
      <c r="AM730" s="2365">
        <f t="shared" si="49"/>
        <v>0.268992684299381</v>
      </c>
      <c r="AN730" s="2366"/>
      <c r="AO730" s="2367"/>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035" t="s">
        <v>169</v>
      </c>
      <c r="C731" s="2036"/>
      <c r="D731" s="2036"/>
      <c r="E731" s="2036"/>
      <c r="F731" s="2037"/>
      <c r="G731" s="2370">
        <v>2</v>
      </c>
      <c r="H731" s="2371"/>
      <c r="I731" s="2371"/>
      <c r="J731" s="2372"/>
      <c r="K731" s="2094">
        <v>940</v>
      </c>
      <c r="L731" s="2095"/>
      <c r="M731" s="2095"/>
      <c r="N731" s="2096"/>
      <c r="O731" s="2090">
        <f>1062-Y731</f>
        <v>990</v>
      </c>
      <c r="P731" s="2091"/>
      <c r="Q731" s="2091"/>
      <c r="R731" s="2091"/>
      <c r="S731" s="2092"/>
      <c r="T731" s="2300">
        <f t="shared" si="47"/>
        <v>1980</v>
      </c>
      <c r="U731" s="2301"/>
      <c r="V731" s="2301"/>
      <c r="W731" s="2301"/>
      <c r="X731" s="2302"/>
      <c r="Y731" s="2090">
        <v>72</v>
      </c>
      <c r="Z731" s="2091"/>
      <c r="AA731" s="2091"/>
      <c r="AB731" s="2092"/>
      <c r="AC731" s="2300">
        <f t="shared" si="48"/>
        <v>1062</v>
      </c>
      <c r="AD731" s="2301"/>
      <c r="AE731" s="2301"/>
      <c r="AF731" s="2301"/>
      <c r="AG731" s="2302"/>
      <c r="AH731" s="2284">
        <v>0.3</v>
      </c>
      <c r="AI731" s="2285"/>
      <c r="AJ731" s="2285"/>
      <c r="AK731" s="2285"/>
      <c r="AL731" s="2286"/>
      <c r="AM731" s="2365">
        <f t="shared" si="49"/>
        <v>0.2586458840720896</v>
      </c>
      <c r="AN731" s="2366"/>
      <c r="AO731" s="2367"/>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035" t="s">
        <v>168</v>
      </c>
      <c r="C732" s="2036"/>
      <c r="D732" s="2036"/>
      <c r="E732" s="2036"/>
      <c r="F732" s="2037"/>
      <c r="G732" s="2370">
        <v>4</v>
      </c>
      <c r="H732" s="2371"/>
      <c r="I732" s="2371"/>
      <c r="J732" s="2372"/>
      <c r="K732" s="2094">
        <f>K730</f>
        <v>812</v>
      </c>
      <c r="L732" s="2095"/>
      <c r="M732" s="2095"/>
      <c r="N732" s="2096"/>
      <c r="O732" s="2090">
        <f>O730</f>
        <v>899</v>
      </c>
      <c r="P732" s="2091"/>
      <c r="Q732" s="2091"/>
      <c r="R732" s="2091"/>
      <c r="S732" s="2092"/>
      <c r="T732" s="2300">
        <f t="shared" si="47"/>
        <v>3596</v>
      </c>
      <c r="U732" s="2301"/>
      <c r="V732" s="2301"/>
      <c r="W732" s="2301"/>
      <c r="X732" s="2302"/>
      <c r="Y732" s="2090">
        <v>57</v>
      </c>
      <c r="Z732" s="2091"/>
      <c r="AA732" s="2091"/>
      <c r="AB732" s="2092"/>
      <c r="AC732" s="2300">
        <f t="shared" si="48"/>
        <v>956</v>
      </c>
      <c r="AD732" s="2301"/>
      <c r="AE732" s="2301"/>
      <c r="AF732" s="2301"/>
      <c r="AG732" s="2302"/>
      <c r="AH732" s="2284">
        <v>0.3</v>
      </c>
      <c r="AI732" s="2285"/>
      <c r="AJ732" s="2285"/>
      <c r="AK732" s="2285"/>
      <c r="AL732" s="2286"/>
      <c r="AM732" s="2365">
        <f t="shared" si="49"/>
        <v>0.268992684299381</v>
      </c>
      <c r="AN732" s="2366"/>
      <c r="AO732" s="2367"/>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035" t="s">
        <v>169</v>
      </c>
      <c r="C733" s="2036"/>
      <c r="D733" s="2036"/>
      <c r="E733" s="2036"/>
      <c r="F733" s="2037"/>
      <c r="G733" s="2370">
        <v>6</v>
      </c>
      <c r="H733" s="2371"/>
      <c r="I733" s="2371"/>
      <c r="J733" s="2372"/>
      <c r="K733" s="2094">
        <f>K731</f>
        <v>940</v>
      </c>
      <c r="L733" s="2095"/>
      <c r="M733" s="2095"/>
      <c r="N733" s="2096"/>
      <c r="O733" s="2090">
        <f>O731</f>
        <v>990</v>
      </c>
      <c r="P733" s="2091"/>
      <c r="Q733" s="2091"/>
      <c r="R733" s="2091"/>
      <c r="S733" s="2092"/>
      <c r="T733" s="2300">
        <f t="shared" si="47"/>
        <v>5940</v>
      </c>
      <c r="U733" s="2301"/>
      <c r="V733" s="2301"/>
      <c r="W733" s="2301"/>
      <c r="X733" s="2302"/>
      <c r="Y733" s="2090">
        <v>72</v>
      </c>
      <c r="Z733" s="2091"/>
      <c r="AA733" s="2091"/>
      <c r="AB733" s="2092"/>
      <c r="AC733" s="2300">
        <f t="shared" si="48"/>
        <v>1062</v>
      </c>
      <c r="AD733" s="2301"/>
      <c r="AE733" s="2301"/>
      <c r="AF733" s="2301"/>
      <c r="AG733" s="2302"/>
      <c r="AH733" s="2284">
        <v>0.3</v>
      </c>
      <c r="AI733" s="2285"/>
      <c r="AJ733" s="2285"/>
      <c r="AK733" s="2285"/>
      <c r="AL733" s="2286"/>
      <c r="AM733" s="2365">
        <f t="shared" si="49"/>
        <v>0.2586458840720896</v>
      </c>
      <c r="AN733" s="2366"/>
      <c r="AO733" s="2367"/>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035" t="s">
        <v>168</v>
      </c>
      <c r="C734" s="2036"/>
      <c r="D734" s="2036"/>
      <c r="E734" s="2036"/>
      <c r="F734" s="2037"/>
      <c r="G734" s="2370">
        <v>4</v>
      </c>
      <c r="H734" s="2371"/>
      <c r="I734" s="2371"/>
      <c r="J734" s="2372"/>
      <c r="K734" s="2094">
        <f>K732</f>
        <v>812</v>
      </c>
      <c r="L734" s="2095"/>
      <c r="M734" s="2095"/>
      <c r="N734" s="2096"/>
      <c r="O734" s="2090">
        <f>1593-Y734</f>
        <v>1536</v>
      </c>
      <c r="P734" s="2091"/>
      <c r="Q734" s="2091"/>
      <c r="R734" s="2091"/>
      <c r="S734" s="2092"/>
      <c r="T734" s="2300">
        <f t="shared" si="47"/>
        <v>6144</v>
      </c>
      <c r="U734" s="2301"/>
      <c r="V734" s="2301"/>
      <c r="W734" s="2301"/>
      <c r="X734" s="2302"/>
      <c r="Y734" s="2090">
        <v>57</v>
      </c>
      <c r="Z734" s="2091"/>
      <c r="AA734" s="2091"/>
      <c r="AB734" s="2092"/>
      <c r="AC734" s="2300">
        <f t="shared" si="48"/>
        <v>1593</v>
      </c>
      <c r="AD734" s="2301"/>
      <c r="AE734" s="2301"/>
      <c r="AF734" s="2301"/>
      <c r="AG734" s="2302"/>
      <c r="AH734" s="2284">
        <v>0.5</v>
      </c>
      <c r="AI734" s="2285"/>
      <c r="AJ734" s="2285"/>
      <c r="AK734" s="2285"/>
      <c r="AL734" s="2286"/>
      <c r="AM734" s="2365">
        <f t="shared" si="49"/>
        <v>0.44822734946539111</v>
      </c>
      <c r="AN734" s="2366"/>
      <c r="AO734" s="2367"/>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035" t="s">
        <v>169</v>
      </c>
      <c r="C735" s="2036"/>
      <c r="D735" s="2036"/>
      <c r="E735" s="2036"/>
      <c r="F735" s="2037"/>
      <c r="G735" s="2370">
        <v>6</v>
      </c>
      <c r="H735" s="2371"/>
      <c r="I735" s="2371"/>
      <c r="J735" s="2372"/>
      <c r="K735" s="2094">
        <f>K733</f>
        <v>940</v>
      </c>
      <c r="L735" s="2095"/>
      <c r="M735" s="2095"/>
      <c r="N735" s="2096"/>
      <c r="O735" s="2090">
        <f>1770-Y735</f>
        <v>1698</v>
      </c>
      <c r="P735" s="2091"/>
      <c r="Q735" s="2091"/>
      <c r="R735" s="2091"/>
      <c r="S735" s="2092"/>
      <c r="T735" s="2300">
        <f t="shared" si="47"/>
        <v>10188</v>
      </c>
      <c r="U735" s="2301"/>
      <c r="V735" s="2301"/>
      <c r="W735" s="2301"/>
      <c r="X735" s="2302"/>
      <c r="Y735" s="2090">
        <v>72</v>
      </c>
      <c r="Z735" s="2091"/>
      <c r="AA735" s="2091"/>
      <c r="AB735" s="2092"/>
      <c r="AC735" s="2300">
        <f t="shared" si="48"/>
        <v>1770</v>
      </c>
      <c r="AD735" s="2301"/>
      <c r="AE735" s="2301"/>
      <c r="AF735" s="2301"/>
      <c r="AG735" s="2302"/>
      <c r="AH735" s="2284">
        <v>0.5</v>
      </c>
      <c r="AI735" s="2285"/>
      <c r="AJ735" s="2285"/>
      <c r="AK735" s="2285"/>
      <c r="AL735" s="2286"/>
      <c r="AM735" s="2365">
        <f t="shared" si="49"/>
        <v>0.43107647345348271</v>
      </c>
      <c r="AN735" s="2366"/>
      <c r="AO735" s="2367"/>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035" t="s">
        <v>335</v>
      </c>
      <c r="C736" s="2036"/>
      <c r="D736" s="2036"/>
      <c r="E736" s="2036"/>
      <c r="F736" s="2037"/>
      <c r="G736" s="2370">
        <v>14</v>
      </c>
      <c r="H736" s="2371"/>
      <c r="I736" s="2371"/>
      <c r="J736" s="2372"/>
      <c r="K736" s="2094">
        <v>404</v>
      </c>
      <c r="L736" s="2095"/>
      <c r="M736" s="2095"/>
      <c r="N736" s="2096"/>
      <c r="O736" s="2090">
        <f>1382-Y736</f>
        <v>1347</v>
      </c>
      <c r="P736" s="2091"/>
      <c r="Q736" s="2091"/>
      <c r="R736" s="2091"/>
      <c r="S736" s="2092"/>
      <c r="T736" s="2300">
        <f t="shared" si="47"/>
        <v>18858</v>
      </c>
      <c r="U736" s="2301"/>
      <c r="V736" s="2301"/>
      <c r="W736" s="2301"/>
      <c r="X736" s="2302"/>
      <c r="Y736" s="2090">
        <v>35</v>
      </c>
      <c r="Z736" s="2091"/>
      <c r="AA736" s="2091"/>
      <c r="AB736" s="2092"/>
      <c r="AC736" s="2300">
        <f t="shared" si="48"/>
        <v>1382</v>
      </c>
      <c r="AD736" s="2301"/>
      <c r="AE736" s="2301"/>
      <c r="AF736" s="2301"/>
      <c r="AG736" s="2302"/>
      <c r="AH736" s="2284">
        <v>0.5</v>
      </c>
      <c r="AI736" s="2285"/>
      <c r="AJ736" s="2285"/>
      <c r="AK736" s="2285"/>
      <c r="AL736" s="2286"/>
      <c r="AM736" s="2365">
        <f t="shared" si="49"/>
        <v>0.5</v>
      </c>
      <c r="AN736" s="2366"/>
      <c r="AO736" s="2367"/>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035" t="s">
        <v>336</v>
      </c>
      <c r="C737" s="2036"/>
      <c r="D737" s="2036"/>
      <c r="E737" s="2036"/>
      <c r="F737" s="2037"/>
      <c r="G737" s="2370">
        <v>4</v>
      </c>
      <c r="H737" s="2371"/>
      <c r="I737" s="2371"/>
      <c r="J737" s="2372"/>
      <c r="K737" s="2094">
        <v>550</v>
      </c>
      <c r="L737" s="2095"/>
      <c r="M737" s="2095"/>
      <c r="N737" s="2096"/>
      <c r="O737" s="2090">
        <f>1481-Y737</f>
        <v>1439</v>
      </c>
      <c r="P737" s="2091"/>
      <c r="Q737" s="2091"/>
      <c r="R737" s="2091"/>
      <c r="S737" s="2092"/>
      <c r="T737" s="2300">
        <f t="shared" si="47"/>
        <v>5756</v>
      </c>
      <c r="U737" s="2301"/>
      <c r="V737" s="2301"/>
      <c r="W737" s="2301"/>
      <c r="X737" s="2302"/>
      <c r="Y737" s="2090">
        <v>42</v>
      </c>
      <c r="Z737" s="2091"/>
      <c r="AA737" s="2091"/>
      <c r="AB737" s="2092"/>
      <c r="AC737" s="2300">
        <f t="shared" si="48"/>
        <v>1481</v>
      </c>
      <c r="AD737" s="2301"/>
      <c r="AE737" s="2301"/>
      <c r="AF737" s="2301"/>
      <c r="AG737" s="2302"/>
      <c r="AH737" s="2284">
        <v>0.5</v>
      </c>
      <c r="AI737" s="2285"/>
      <c r="AJ737" s="2285"/>
      <c r="AK737" s="2285"/>
      <c r="AL737" s="2286"/>
      <c r="AM737" s="2365">
        <f t="shared" si="49"/>
        <v>0.5</v>
      </c>
      <c r="AN737" s="2366"/>
      <c r="AO737" s="2367"/>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035" t="s">
        <v>168</v>
      </c>
      <c r="C738" s="2036"/>
      <c r="D738" s="2036"/>
      <c r="E738" s="2036"/>
      <c r="F738" s="2037"/>
      <c r="G738" s="2370">
        <v>1</v>
      </c>
      <c r="H738" s="2371"/>
      <c r="I738" s="2371"/>
      <c r="J738" s="2372"/>
      <c r="K738" s="2094">
        <v>812</v>
      </c>
      <c r="L738" s="2095"/>
      <c r="M738" s="2095"/>
      <c r="N738" s="2096"/>
      <c r="O738" s="2090">
        <f>1777-Y738</f>
        <v>1720</v>
      </c>
      <c r="P738" s="2091"/>
      <c r="Q738" s="2091"/>
      <c r="R738" s="2091"/>
      <c r="S738" s="2092"/>
      <c r="T738" s="2300">
        <f t="shared" si="47"/>
        <v>1720</v>
      </c>
      <c r="U738" s="2301"/>
      <c r="V738" s="2301"/>
      <c r="W738" s="2301"/>
      <c r="X738" s="2302"/>
      <c r="Y738" s="2090">
        <v>57</v>
      </c>
      <c r="Z738" s="2091"/>
      <c r="AA738" s="2091"/>
      <c r="AB738" s="2092"/>
      <c r="AC738" s="2300">
        <f t="shared" si="48"/>
        <v>1777</v>
      </c>
      <c r="AD738" s="2301"/>
      <c r="AE738" s="2301"/>
      <c r="AF738" s="2301"/>
      <c r="AG738" s="2302"/>
      <c r="AH738" s="2284">
        <v>0.5</v>
      </c>
      <c r="AI738" s="2285"/>
      <c r="AJ738" s="2285"/>
      <c r="AK738" s="2285"/>
      <c r="AL738" s="2286"/>
      <c r="AM738" s="2365">
        <f t="shared" si="49"/>
        <v>0.5</v>
      </c>
      <c r="AN738" s="2366"/>
      <c r="AO738" s="2367"/>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035"/>
      <c r="C739" s="2036"/>
      <c r="D739" s="2036"/>
      <c r="E739" s="2036"/>
      <c r="F739" s="2037"/>
      <c r="G739" s="2370"/>
      <c r="H739" s="2371"/>
      <c r="I739" s="2371"/>
      <c r="J739" s="2372"/>
      <c r="K739" s="2094"/>
      <c r="L739" s="2095"/>
      <c r="M739" s="2095"/>
      <c r="N739" s="2096"/>
      <c r="O739" s="2090"/>
      <c r="P739" s="2091"/>
      <c r="Q739" s="2091"/>
      <c r="R739" s="2091"/>
      <c r="S739" s="2092"/>
      <c r="T739" s="2300">
        <f t="shared" si="47"/>
        <v>0</v>
      </c>
      <c r="U739" s="2301"/>
      <c r="V739" s="2301"/>
      <c r="W739" s="2301"/>
      <c r="X739" s="2302"/>
      <c r="Y739" s="2090">
        <v>0</v>
      </c>
      <c r="Z739" s="2091"/>
      <c r="AA739" s="2091"/>
      <c r="AB739" s="2092"/>
      <c r="AC739" s="2300">
        <f t="shared" si="48"/>
        <v>0</v>
      </c>
      <c r="AD739" s="2301"/>
      <c r="AE739" s="2301"/>
      <c r="AF739" s="2301"/>
      <c r="AG739" s="2302"/>
      <c r="AH739" s="2284">
        <v>0</v>
      </c>
      <c r="AI739" s="2285"/>
      <c r="AJ739" s="2285"/>
      <c r="AK739" s="2285"/>
      <c r="AL739" s="2286"/>
      <c r="AM739" s="2365" t="str">
        <f t="shared" si="49"/>
        <v xml:space="preserve"> </v>
      </c>
      <c r="AN739" s="2366"/>
      <c r="AO739" s="2367"/>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035"/>
      <c r="C740" s="2036"/>
      <c r="D740" s="2036"/>
      <c r="E740" s="2036"/>
      <c r="F740" s="2037"/>
      <c r="G740" s="2370"/>
      <c r="H740" s="2371"/>
      <c r="I740" s="2371"/>
      <c r="J740" s="2372"/>
      <c r="K740" s="2094"/>
      <c r="L740" s="2095"/>
      <c r="M740" s="2095"/>
      <c r="N740" s="2096"/>
      <c r="O740" s="2090"/>
      <c r="P740" s="2091"/>
      <c r="Q740" s="2091"/>
      <c r="R740" s="2091"/>
      <c r="S740" s="2092"/>
      <c r="T740" s="2300">
        <f t="shared" si="47"/>
        <v>0</v>
      </c>
      <c r="U740" s="2301"/>
      <c r="V740" s="2301"/>
      <c r="W740" s="2301"/>
      <c r="X740" s="2302"/>
      <c r="Y740" s="2090">
        <v>0</v>
      </c>
      <c r="Z740" s="2091"/>
      <c r="AA740" s="2091"/>
      <c r="AB740" s="2092"/>
      <c r="AC740" s="2300">
        <f t="shared" si="48"/>
        <v>0</v>
      </c>
      <c r="AD740" s="2301"/>
      <c r="AE740" s="2301"/>
      <c r="AF740" s="2301"/>
      <c r="AG740" s="2302"/>
      <c r="AH740" s="2284">
        <v>0</v>
      </c>
      <c r="AI740" s="2285"/>
      <c r="AJ740" s="2285"/>
      <c r="AK740" s="2285"/>
      <c r="AL740" s="2286"/>
      <c r="AM740" s="2365" t="str">
        <f t="shared" si="49"/>
        <v xml:space="preserve"> </v>
      </c>
      <c r="AN740" s="2366"/>
      <c r="AO740" s="2367"/>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035"/>
      <c r="C741" s="2036"/>
      <c r="D741" s="2036"/>
      <c r="E741" s="2036"/>
      <c r="F741" s="2037"/>
      <c r="G741" s="2370"/>
      <c r="H741" s="2371"/>
      <c r="I741" s="2371"/>
      <c r="J741" s="2372"/>
      <c r="K741" s="2094"/>
      <c r="L741" s="2095"/>
      <c r="M741" s="2095"/>
      <c r="N741" s="2096"/>
      <c r="O741" s="2090"/>
      <c r="P741" s="2091"/>
      <c r="Q741" s="2091"/>
      <c r="R741" s="2091"/>
      <c r="S741" s="2092"/>
      <c r="T741" s="2300">
        <f t="shared" si="47"/>
        <v>0</v>
      </c>
      <c r="U741" s="2301"/>
      <c r="V741" s="2301"/>
      <c r="W741" s="2301"/>
      <c r="X741" s="2302"/>
      <c r="Y741" s="2090">
        <v>0</v>
      </c>
      <c r="Z741" s="2091"/>
      <c r="AA741" s="2091"/>
      <c r="AB741" s="2092"/>
      <c r="AC741" s="2300">
        <f t="shared" si="48"/>
        <v>0</v>
      </c>
      <c r="AD741" s="2301"/>
      <c r="AE741" s="2301"/>
      <c r="AF741" s="2301"/>
      <c r="AG741" s="2302"/>
      <c r="AH741" s="2284">
        <v>0</v>
      </c>
      <c r="AI741" s="2285"/>
      <c r="AJ741" s="2285"/>
      <c r="AK741" s="2285"/>
      <c r="AL741" s="2286"/>
      <c r="AM741" s="2365" t="str">
        <f t="shared" si="49"/>
        <v xml:space="preserve"> </v>
      </c>
      <c r="AN741" s="2366"/>
      <c r="AO741" s="2367"/>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035"/>
      <c r="C742" s="2036"/>
      <c r="D742" s="2036"/>
      <c r="E742" s="2036"/>
      <c r="F742" s="2037"/>
      <c r="G742" s="2370"/>
      <c r="H742" s="2371"/>
      <c r="I742" s="2371"/>
      <c r="J742" s="2372"/>
      <c r="K742" s="2094"/>
      <c r="L742" s="2095"/>
      <c r="M742" s="2095"/>
      <c r="N742" s="2096"/>
      <c r="O742" s="2090"/>
      <c r="P742" s="2091"/>
      <c r="Q742" s="2091"/>
      <c r="R742" s="2091"/>
      <c r="S742" s="2092"/>
      <c r="T742" s="2300">
        <f t="shared" si="47"/>
        <v>0</v>
      </c>
      <c r="U742" s="2301"/>
      <c r="V742" s="2301"/>
      <c r="W742" s="2301"/>
      <c r="X742" s="2302"/>
      <c r="Y742" s="2090">
        <v>0</v>
      </c>
      <c r="Z742" s="2091"/>
      <c r="AA742" s="2091"/>
      <c r="AB742" s="2092"/>
      <c r="AC742" s="2300">
        <f t="shared" si="48"/>
        <v>0</v>
      </c>
      <c r="AD742" s="2301"/>
      <c r="AE742" s="2301"/>
      <c r="AF742" s="2301"/>
      <c r="AG742" s="2302"/>
      <c r="AH742" s="2284">
        <v>0</v>
      </c>
      <c r="AI742" s="2285"/>
      <c r="AJ742" s="2285"/>
      <c r="AK742" s="2285"/>
      <c r="AL742" s="2286"/>
      <c r="AM742" s="2365" t="str">
        <f t="shared" si="49"/>
        <v xml:space="preserve"> </v>
      </c>
      <c r="AN742" s="2366"/>
      <c r="AO742" s="2367"/>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035"/>
      <c r="C743" s="2036"/>
      <c r="D743" s="2036"/>
      <c r="E743" s="2036"/>
      <c r="F743" s="2037"/>
      <c r="G743" s="2370"/>
      <c r="H743" s="2371"/>
      <c r="I743" s="2371"/>
      <c r="J743" s="2372"/>
      <c r="K743" s="2094"/>
      <c r="L743" s="2095"/>
      <c r="M743" s="2095"/>
      <c r="N743" s="2096"/>
      <c r="O743" s="2090"/>
      <c r="P743" s="2091"/>
      <c r="Q743" s="2091"/>
      <c r="R743" s="2091"/>
      <c r="S743" s="2092"/>
      <c r="T743" s="2300">
        <f t="shared" si="47"/>
        <v>0</v>
      </c>
      <c r="U743" s="2301"/>
      <c r="V743" s="2301"/>
      <c r="W743" s="2301"/>
      <c r="X743" s="2302"/>
      <c r="Y743" s="2090">
        <v>0</v>
      </c>
      <c r="Z743" s="2091"/>
      <c r="AA743" s="2091"/>
      <c r="AB743" s="2092"/>
      <c r="AC743" s="2300">
        <f t="shared" si="48"/>
        <v>0</v>
      </c>
      <c r="AD743" s="2301"/>
      <c r="AE743" s="2301"/>
      <c r="AF743" s="2301"/>
      <c r="AG743" s="2302"/>
      <c r="AH743" s="2284">
        <v>0</v>
      </c>
      <c r="AI743" s="2285"/>
      <c r="AJ743" s="2285"/>
      <c r="AK743" s="2285"/>
      <c r="AL743" s="2286"/>
      <c r="AM743" s="2365" t="str">
        <f t="shared" si="49"/>
        <v xml:space="preserve"> </v>
      </c>
      <c r="AN743" s="2366"/>
      <c r="AO743" s="2367"/>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035"/>
      <c r="C744" s="2036"/>
      <c r="D744" s="2036"/>
      <c r="E744" s="2036"/>
      <c r="F744" s="2037"/>
      <c r="G744" s="2370"/>
      <c r="H744" s="2371"/>
      <c r="I744" s="2371"/>
      <c r="J744" s="2372"/>
      <c r="K744" s="2094"/>
      <c r="L744" s="2095"/>
      <c r="M744" s="2095"/>
      <c r="N744" s="2096"/>
      <c r="O744" s="2090"/>
      <c r="P744" s="2091"/>
      <c r="Q744" s="2091"/>
      <c r="R744" s="2091"/>
      <c r="S744" s="2092"/>
      <c r="T744" s="2300">
        <f t="shared" si="47"/>
        <v>0</v>
      </c>
      <c r="U744" s="2301"/>
      <c r="V744" s="2301"/>
      <c r="W744" s="2301"/>
      <c r="X744" s="2302"/>
      <c r="Y744" s="2090">
        <v>0</v>
      </c>
      <c r="Z744" s="2091"/>
      <c r="AA744" s="2091"/>
      <c r="AB744" s="2092"/>
      <c r="AC744" s="2300">
        <f t="shared" si="48"/>
        <v>0</v>
      </c>
      <c r="AD744" s="2301"/>
      <c r="AE744" s="2301"/>
      <c r="AF744" s="2301"/>
      <c r="AG744" s="2302"/>
      <c r="AH744" s="2284">
        <v>0</v>
      </c>
      <c r="AI744" s="2285"/>
      <c r="AJ744" s="2285"/>
      <c r="AK744" s="2285"/>
      <c r="AL744" s="2286"/>
      <c r="AM744" s="2365" t="str">
        <f t="shared" si="49"/>
        <v xml:space="preserve"> </v>
      </c>
      <c r="AN744" s="2366"/>
      <c r="AO744" s="2367"/>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035"/>
      <c r="C745" s="2036"/>
      <c r="D745" s="2036"/>
      <c r="E745" s="2036"/>
      <c r="F745" s="2037"/>
      <c r="G745" s="2370"/>
      <c r="H745" s="2371"/>
      <c r="I745" s="2371"/>
      <c r="J745" s="2372"/>
      <c r="K745" s="2094"/>
      <c r="L745" s="2095"/>
      <c r="M745" s="2095"/>
      <c r="N745" s="2096"/>
      <c r="O745" s="2090"/>
      <c r="P745" s="2091"/>
      <c r="Q745" s="2091"/>
      <c r="R745" s="2091"/>
      <c r="S745" s="2092"/>
      <c r="T745" s="2300">
        <f t="shared" si="47"/>
        <v>0</v>
      </c>
      <c r="U745" s="2301"/>
      <c r="V745" s="2301"/>
      <c r="W745" s="2301"/>
      <c r="X745" s="2302"/>
      <c r="Y745" s="2090">
        <v>0</v>
      </c>
      <c r="Z745" s="2091"/>
      <c r="AA745" s="2091"/>
      <c r="AB745" s="2092"/>
      <c r="AC745" s="2300">
        <f t="shared" si="48"/>
        <v>0</v>
      </c>
      <c r="AD745" s="2301"/>
      <c r="AE745" s="2301"/>
      <c r="AF745" s="2301"/>
      <c r="AG745" s="2302"/>
      <c r="AH745" s="2284">
        <v>0</v>
      </c>
      <c r="AI745" s="2285"/>
      <c r="AJ745" s="2285"/>
      <c r="AK745" s="2285"/>
      <c r="AL745" s="2286"/>
      <c r="AM745" s="2365" t="str">
        <f t="shared" si="49"/>
        <v xml:space="preserve"> </v>
      </c>
      <c r="AN745" s="2366"/>
      <c r="AO745" s="2367"/>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035"/>
      <c r="C746" s="2036"/>
      <c r="D746" s="2036"/>
      <c r="E746" s="2036"/>
      <c r="F746" s="2037"/>
      <c r="G746" s="2370"/>
      <c r="H746" s="2371"/>
      <c r="I746" s="2371"/>
      <c r="J746" s="2372"/>
      <c r="K746" s="2094"/>
      <c r="L746" s="2095"/>
      <c r="M746" s="2095"/>
      <c r="N746" s="2096"/>
      <c r="O746" s="2090"/>
      <c r="P746" s="2091"/>
      <c r="Q746" s="2091"/>
      <c r="R746" s="2091"/>
      <c r="S746" s="2092"/>
      <c r="T746" s="2300">
        <f t="shared" si="47"/>
        <v>0</v>
      </c>
      <c r="U746" s="2301"/>
      <c r="V746" s="2301"/>
      <c r="W746" s="2301"/>
      <c r="X746" s="2302"/>
      <c r="Y746" s="2090">
        <v>0</v>
      </c>
      <c r="Z746" s="2091"/>
      <c r="AA746" s="2091"/>
      <c r="AB746" s="2092"/>
      <c r="AC746" s="2300">
        <f t="shared" si="48"/>
        <v>0</v>
      </c>
      <c r="AD746" s="2301"/>
      <c r="AE746" s="2301"/>
      <c r="AF746" s="2301"/>
      <c r="AG746" s="2302"/>
      <c r="AH746" s="2284">
        <v>0</v>
      </c>
      <c r="AI746" s="2285"/>
      <c r="AJ746" s="2285"/>
      <c r="AK746" s="2285"/>
      <c r="AL746" s="2286"/>
      <c r="AM746" s="2365" t="str">
        <f t="shared" si="49"/>
        <v xml:space="preserve"> </v>
      </c>
      <c r="AN746" s="2366"/>
      <c r="AO746" s="2367"/>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035"/>
      <c r="C747" s="2036"/>
      <c r="D747" s="2036"/>
      <c r="E747" s="2036"/>
      <c r="F747" s="2037"/>
      <c r="G747" s="2370"/>
      <c r="H747" s="2371"/>
      <c r="I747" s="2371"/>
      <c r="J747" s="2372"/>
      <c r="K747" s="2094"/>
      <c r="L747" s="2095"/>
      <c r="M747" s="2095"/>
      <c r="N747" s="2096"/>
      <c r="O747" s="2090"/>
      <c r="P747" s="2091"/>
      <c r="Q747" s="2091"/>
      <c r="R747" s="2091"/>
      <c r="S747" s="2092"/>
      <c r="T747" s="2300">
        <f t="shared" si="47"/>
        <v>0</v>
      </c>
      <c r="U747" s="2301"/>
      <c r="V747" s="2301"/>
      <c r="W747" s="2301"/>
      <c r="X747" s="2302"/>
      <c r="Y747" s="2090">
        <v>0</v>
      </c>
      <c r="Z747" s="2091"/>
      <c r="AA747" s="2091"/>
      <c r="AB747" s="2092"/>
      <c r="AC747" s="2300">
        <f t="shared" si="48"/>
        <v>0</v>
      </c>
      <c r="AD747" s="2301"/>
      <c r="AE747" s="2301"/>
      <c r="AF747" s="2301"/>
      <c r="AG747" s="2302"/>
      <c r="AH747" s="2284">
        <v>0</v>
      </c>
      <c r="AI747" s="2285"/>
      <c r="AJ747" s="2285"/>
      <c r="AK747" s="2285"/>
      <c r="AL747" s="2286"/>
      <c r="AM747" s="2365" t="str">
        <f t="shared" si="49"/>
        <v xml:space="preserve"> </v>
      </c>
      <c r="AN747" s="2366"/>
      <c r="AO747" s="2367"/>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035"/>
      <c r="C748" s="2036"/>
      <c r="D748" s="2036"/>
      <c r="E748" s="2036"/>
      <c r="F748" s="2037"/>
      <c r="G748" s="2370"/>
      <c r="H748" s="2371"/>
      <c r="I748" s="2371"/>
      <c r="J748" s="2372"/>
      <c r="K748" s="2094"/>
      <c r="L748" s="2095"/>
      <c r="M748" s="2095"/>
      <c r="N748" s="2096"/>
      <c r="O748" s="2090"/>
      <c r="P748" s="2091"/>
      <c r="Q748" s="2091"/>
      <c r="R748" s="2091"/>
      <c r="S748" s="2092"/>
      <c r="T748" s="2300">
        <f t="shared" si="47"/>
        <v>0</v>
      </c>
      <c r="U748" s="2301"/>
      <c r="V748" s="2301"/>
      <c r="W748" s="2301"/>
      <c r="X748" s="2302"/>
      <c r="Y748" s="2090">
        <v>0</v>
      </c>
      <c r="Z748" s="2091"/>
      <c r="AA748" s="2091"/>
      <c r="AB748" s="2092"/>
      <c r="AC748" s="2300">
        <f t="shared" si="48"/>
        <v>0</v>
      </c>
      <c r="AD748" s="2301"/>
      <c r="AE748" s="2301"/>
      <c r="AF748" s="2301"/>
      <c r="AG748" s="2302"/>
      <c r="AH748" s="2284">
        <v>0</v>
      </c>
      <c r="AI748" s="2285"/>
      <c r="AJ748" s="2285"/>
      <c r="AK748" s="2285"/>
      <c r="AL748" s="2286"/>
      <c r="AM748" s="2365" t="str">
        <f t="shared" si="49"/>
        <v xml:space="preserve"> </v>
      </c>
      <c r="AN748" s="2366"/>
      <c r="AO748" s="2367"/>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035"/>
      <c r="C749" s="2036"/>
      <c r="D749" s="2036"/>
      <c r="E749" s="2036"/>
      <c r="F749" s="2037"/>
      <c r="G749" s="2370"/>
      <c r="H749" s="2371"/>
      <c r="I749" s="2371"/>
      <c r="J749" s="2372"/>
      <c r="K749" s="2094"/>
      <c r="L749" s="2095"/>
      <c r="M749" s="2095"/>
      <c r="N749" s="2096"/>
      <c r="O749" s="2090"/>
      <c r="P749" s="2091"/>
      <c r="Q749" s="2091"/>
      <c r="R749" s="2091"/>
      <c r="S749" s="2092"/>
      <c r="T749" s="2300">
        <f t="shared" si="47"/>
        <v>0</v>
      </c>
      <c r="U749" s="2301"/>
      <c r="V749" s="2301"/>
      <c r="W749" s="2301"/>
      <c r="X749" s="2302"/>
      <c r="Y749" s="2090">
        <v>0</v>
      </c>
      <c r="Z749" s="2091"/>
      <c r="AA749" s="2091"/>
      <c r="AB749" s="2092"/>
      <c r="AC749" s="2300">
        <f t="shared" si="48"/>
        <v>0</v>
      </c>
      <c r="AD749" s="2301"/>
      <c r="AE749" s="2301"/>
      <c r="AF749" s="2301"/>
      <c r="AG749" s="2302"/>
      <c r="AH749" s="2284">
        <v>0</v>
      </c>
      <c r="AI749" s="2285"/>
      <c r="AJ749" s="2285"/>
      <c r="AK749" s="2285"/>
      <c r="AL749" s="2286"/>
      <c r="AM749" s="2365" t="str">
        <f t="shared" si="49"/>
        <v xml:space="preserve"> </v>
      </c>
      <c r="AN749" s="2366"/>
      <c r="AO749" s="2367"/>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35"/>
      <c r="C750" s="2036"/>
      <c r="D750" s="2036"/>
      <c r="E750" s="2036"/>
      <c r="F750" s="2037"/>
      <c r="G750" s="2370"/>
      <c r="H750" s="2371"/>
      <c r="I750" s="2371"/>
      <c r="J750" s="2372"/>
      <c r="K750" s="2094"/>
      <c r="L750" s="2095"/>
      <c r="M750" s="2095"/>
      <c r="N750" s="2096"/>
      <c r="O750" s="2090"/>
      <c r="P750" s="2091"/>
      <c r="Q750" s="2091"/>
      <c r="R750" s="2091"/>
      <c r="S750" s="2092"/>
      <c r="T750" s="2300">
        <f t="shared" si="47"/>
        <v>0</v>
      </c>
      <c r="U750" s="2301"/>
      <c r="V750" s="2301"/>
      <c r="W750" s="2301"/>
      <c r="X750" s="2302"/>
      <c r="Y750" s="2090">
        <v>0</v>
      </c>
      <c r="Z750" s="2091"/>
      <c r="AA750" s="2091"/>
      <c r="AB750" s="2092"/>
      <c r="AC750" s="2300">
        <f t="shared" si="48"/>
        <v>0</v>
      </c>
      <c r="AD750" s="2301"/>
      <c r="AE750" s="2301"/>
      <c r="AF750" s="2301"/>
      <c r="AG750" s="2302"/>
      <c r="AH750" s="2284">
        <v>0</v>
      </c>
      <c r="AI750" s="2285"/>
      <c r="AJ750" s="2285"/>
      <c r="AK750" s="2285"/>
      <c r="AL750" s="2286"/>
      <c r="AM750" s="2365" t="str">
        <f t="shared" si="49"/>
        <v xml:space="preserve"> </v>
      </c>
      <c r="AN750" s="2366"/>
      <c r="AO750" s="2367"/>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35"/>
      <c r="C751" s="2036"/>
      <c r="D751" s="2036"/>
      <c r="E751" s="2036"/>
      <c r="F751" s="2037"/>
      <c r="G751" s="2370"/>
      <c r="H751" s="2371"/>
      <c r="I751" s="2371"/>
      <c r="J751" s="2372"/>
      <c r="K751" s="2094"/>
      <c r="L751" s="2095"/>
      <c r="M751" s="2095"/>
      <c r="N751" s="2096"/>
      <c r="O751" s="2090"/>
      <c r="P751" s="2091"/>
      <c r="Q751" s="2091"/>
      <c r="R751" s="2091"/>
      <c r="S751" s="2092"/>
      <c r="T751" s="2300">
        <f t="shared" si="47"/>
        <v>0</v>
      </c>
      <c r="U751" s="2301"/>
      <c r="V751" s="2301"/>
      <c r="W751" s="2301"/>
      <c r="X751" s="2302"/>
      <c r="Y751" s="2090">
        <v>0</v>
      </c>
      <c r="Z751" s="2091"/>
      <c r="AA751" s="2091"/>
      <c r="AB751" s="2092"/>
      <c r="AC751" s="2300">
        <f t="shared" si="48"/>
        <v>0</v>
      </c>
      <c r="AD751" s="2301"/>
      <c r="AE751" s="2301"/>
      <c r="AF751" s="2301"/>
      <c r="AG751" s="2302"/>
      <c r="AH751" s="2284">
        <v>0</v>
      </c>
      <c r="AI751" s="2285"/>
      <c r="AJ751" s="2285"/>
      <c r="AK751" s="2285"/>
      <c r="AL751" s="2286"/>
      <c r="AM751" s="2365" t="str">
        <f t="shared" si="49"/>
        <v xml:space="preserve"> </v>
      </c>
      <c r="AN751" s="2366"/>
      <c r="AO751" s="2367"/>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035"/>
      <c r="C752" s="2036"/>
      <c r="D752" s="2036"/>
      <c r="E752" s="2036"/>
      <c r="F752" s="2037"/>
      <c r="G752" s="2370"/>
      <c r="H752" s="2371"/>
      <c r="I752" s="2371"/>
      <c r="J752" s="2372"/>
      <c r="K752" s="2094"/>
      <c r="L752" s="2095"/>
      <c r="M752" s="2095"/>
      <c r="N752" s="2096"/>
      <c r="O752" s="2090"/>
      <c r="P752" s="2091"/>
      <c r="Q752" s="2091"/>
      <c r="R752" s="2091"/>
      <c r="S752" s="2092"/>
      <c r="T752" s="2300">
        <f t="shared" si="47"/>
        <v>0</v>
      </c>
      <c r="U752" s="2301"/>
      <c r="V752" s="2301"/>
      <c r="W752" s="2301"/>
      <c r="X752" s="2302"/>
      <c r="Y752" s="2090">
        <v>0</v>
      </c>
      <c r="Z752" s="2091"/>
      <c r="AA752" s="2091"/>
      <c r="AB752" s="2092"/>
      <c r="AC752" s="2300">
        <f t="shared" si="48"/>
        <v>0</v>
      </c>
      <c r="AD752" s="2301"/>
      <c r="AE752" s="2301"/>
      <c r="AF752" s="2301"/>
      <c r="AG752" s="2302"/>
      <c r="AH752" s="2284">
        <v>0</v>
      </c>
      <c r="AI752" s="2285"/>
      <c r="AJ752" s="2285"/>
      <c r="AK752" s="2285"/>
      <c r="AL752" s="2286"/>
      <c r="AM752" s="2365" t="str">
        <f t="shared" si="49"/>
        <v xml:space="preserve"> </v>
      </c>
      <c r="AN752" s="2366"/>
      <c r="AO752" s="2367"/>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88" t="s">
        <v>130</v>
      </c>
      <c r="C753" s="2189"/>
      <c r="D753" s="2189"/>
      <c r="E753" s="2189"/>
      <c r="F753" s="2191"/>
      <c r="G753" s="2460">
        <f>SUM(G728:J752)</f>
        <v>79</v>
      </c>
      <c r="H753" s="2461"/>
      <c r="I753" s="2461"/>
      <c r="J753" s="2462"/>
      <c r="O753" s="1587" t="s">
        <v>129</v>
      </c>
      <c r="P753" s="1588"/>
      <c r="Q753" s="1588"/>
      <c r="R753" s="1588"/>
      <c r="S753" s="1589"/>
      <c r="T753" s="2300">
        <f>SUM(T728:X752)</f>
        <v>85033</v>
      </c>
      <c r="U753" s="2301"/>
      <c r="V753" s="2301"/>
      <c r="W753" s="2301"/>
      <c r="X753" s="2302"/>
      <c r="AC753" s="1591" t="s">
        <v>973</v>
      </c>
      <c r="AD753" s="1590"/>
      <c r="AE753" s="1590"/>
      <c r="AF753" s="1590"/>
      <c r="AG753" s="1592"/>
      <c r="AH753" s="2391">
        <f>BI696</f>
        <v>0.37341772151898739</v>
      </c>
      <c r="AI753" s="2392"/>
      <c r="AJ753" s="2392"/>
      <c r="AK753" s="2392"/>
      <c r="AL753" s="2393"/>
      <c r="AM753" s="2391">
        <f>BI728</f>
        <v>0.34644994849082428</v>
      </c>
      <c r="AN753" s="2392"/>
      <c r="AO753" s="2393"/>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03" t="s">
        <v>708</v>
      </c>
      <c r="AG755" s="2303"/>
      <c r="AH755" s="2303"/>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2177</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2178</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2179</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2180</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2181</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2182</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52" t="s">
        <v>409</v>
      </c>
      <c r="K768" s="2153"/>
      <c r="L768" s="2153"/>
      <c r="M768" s="2153"/>
      <c r="N768" s="2154"/>
      <c r="O768" s="2390" t="s">
        <v>293</v>
      </c>
      <c r="P768" s="2390"/>
      <c r="Q768" s="2390"/>
      <c r="R768" s="2390"/>
      <c r="S768" s="2390"/>
      <c r="T768" s="2287" t="s">
        <v>2171</v>
      </c>
      <c r="U768" s="2288"/>
      <c r="V768" s="2288"/>
      <c r="W768" s="2289"/>
      <c r="X768" s="2152" t="s">
        <v>480</v>
      </c>
      <c r="Y768" s="2153"/>
      <c r="Z768" s="2153"/>
      <c r="AA768" s="2153"/>
      <c r="AB768" s="2154"/>
      <c r="AC768" s="2152" t="s">
        <v>294</v>
      </c>
      <c r="AD768" s="2153"/>
      <c r="AE768" s="2153"/>
      <c r="AF768" s="2153"/>
      <c r="AG768" s="2154"/>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55"/>
      <c r="K769" s="2156"/>
      <c r="L769" s="2156"/>
      <c r="M769" s="2156"/>
      <c r="N769" s="2157"/>
      <c r="O769" s="2390"/>
      <c r="P769" s="2390"/>
      <c r="Q769" s="2390"/>
      <c r="R769" s="2390"/>
      <c r="S769" s="2390"/>
      <c r="T769" s="2290"/>
      <c r="U769" s="2291"/>
      <c r="V769" s="2291"/>
      <c r="W769" s="2292"/>
      <c r="X769" s="2155"/>
      <c r="Y769" s="2156"/>
      <c r="Z769" s="2156"/>
      <c r="AA769" s="2156"/>
      <c r="AB769" s="2157"/>
      <c r="AC769" s="2155"/>
      <c r="AD769" s="2156"/>
      <c r="AE769" s="2156"/>
      <c r="AF769" s="2156"/>
      <c r="AG769" s="2157"/>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55"/>
      <c r="K770" s="2156"/>
      <c r="L770" s="2156"/>
      <c r="M770" s="2156"/>
      <c r="N770" s="2157"/>
      <c r="O770" s="2390"/>
      <c r="P770" s="2390"/>
      <c r="Q770" s="2390"/>
      <c r="R770" s="2390"/>
      <c r="S770" s="2390"/>
      <c r="T770" s="2290"/>
      <c r="U770" s="2291"/>
      <c r="V770" s="2291"/>
      <c r="W770" s="2292"/>
      <c r="X770" s="2155"/>
      <c r="Y770" s="2156"/>
      <c r="Z770" s="2156"/>
      <c r="AA770" s="2156"/>
      <c r="AB770" s="2157"/>
      <c r="AC770" s="2155"/>
      <c r="AD770" s="2156"/>
      <c r="AE770" s="2156"/>
      <c r="AF770" s="2156"/>
      <c r="AG770" s="2157"/>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58"/>
      <c r="K771" s="2159"/>
      <c r="L771" s="2159"/>
      <c r="M771" s="2159"/>
      <c r="N771" s="2160"/>
      <c r="O771" s="2390"/>
      <c r="P771" s="2390"/>
      <c r="Q771" s="2390"/>
      <c r="R771" s="2390"/>
      <c r="S771" s="2390"/>
      <c r="T771" s="2293"/>
      <c r="U771" s="2294"/>
      <c r="V771" s="2294"/>
      <c r="W771" s="2295"/>
      <c r="X771" s="2158"/>
      <c r="Y771" s="2159"/>
      <c r="Z771" s="2159"/>
      <c r="AA771" s="2159"/>
      <c r="AB771" s="2160"/>
      <c r="AC771" s="2158"/>
      <c r="AD771" s="2159"/>
      <c r="AE771" s="2159"/>
      <c r="AF771" s="2159"/>
      <c r="AG771" s="2160"/>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35" t="s">
        <v>168</v>
      </c>
      <c r="K772" s="2036"/>
      <c r="L772" s="2036"/>
      <c r="M772" s="2036"/>
      <c r="N772" s="2037"/>
      <c r="O772" s="2101">
        <v>1</v>
      </c>
      <c r="P772" s="2101"/>
      <c r="Q772" s="2101"/>
      <c r="R772" s="2101"/>
      <c r="S772" s="2101"/>
      <c r="T772" s="2094"/>
      <c r="U772" s="2095"/>
      <c r="V772" s="2095"/>
      <c r="W772" s="2096"/>
      <c r="X772" s="2090"/>
      <c r="Y772" s="2091"/>
      <c r="Z772" s="2091"/>
      <c r="AA772" s="2091"/>
      <c r="AB772" s="2092"/>
      <c r="AC772" s="2300">
        <f>X772*O772</f>
        <v>0</v>
      </c>
      <c r="AD772" s="2301"/>
      <c r="AE772" s="2301"/>
      <c r="AF772" s="2301"/>
      <c r="AG772" s="2302"/>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35"/>
      <c r="K773" s="2036"/>
      <c r="L773" s="2036"/>
      <c r="M773" s="2036"/>
      <c r="N773" s="2037"/>
      <c r="O773" s="2101"/>
      <c r="P773" s="2101"/>
      <c r="Q773" s="2101"/>
      <c r="R773" s="2101"/>
      <c r="S773" s="2101"/>
      <c r="T773" s="2094"/>
      <c r="U773" s="2095"/>
      <c r="V773" s="2095"/>
      <c r="W773" s="2096"/>
      <c r="X773" s="2090"/>
      <c r="Y773" s="2091"/>
      <c r="Z773" s="2091"/>
      <c r="AA773" s="2091"/>
      <c r="AB773" s="2092"/>
      <c r="AC773" s="2300">
        <f>X773*O773</f>
        <v>0</v>
      </c>
      <c r="AD773" s="2301"/>
      <c r="AE773" s="2301"/>
      <c r="AF773" s="2301"/>
      <c r="AG773" s="2302"/>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35"/>
      <c r="K774" s="2036"/>
      <c r="L774" s="2036"/>
      <c r="M774" s="2036"/>
      <c r="N774" s="2037"/>
      <c r="O774" s="2101"/>
      <c r="P774" s="2101"/>
      <c r="Q774" s="2101"/>
      <c r="R774" s="2101"/>
      <c r="S774" s="2101"/>
      <c r="T774" s="2094"/>
      <c r="U774" s="2095"/>
      <c r="V774" s="2095"/>
      <c r="W774" s="2096"/>
      <c r="X774" s="2090"/>
      <c r="Y774" s="2091"/>
      <c r="Z774" s="2091"/>
      <c r="AA774" s="2091"/>
      <c r="AB774" s="2092"/>
      <c r="AC774" s="2300">
        <f>X774*O774</f>
        <v>0</v>
      </c>
      <c r="AD774" s="2301"/>
      <c r="AE774" s="2301"/>
      <c r="AF774" s="2301"/>
      <c r="AG774" s="2302"/>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35"/>
      <c r="K775" s="2036"/>
      <c r="L775" s="2036"/>
      <c r="M775" s="2036"/>
      <c r="N775" s="2037"/>
      <c r="O775" s="2101"/>
      <c r="P775" s="2101"/>
      <c r="Q775" s="2101"/>
      <c r="R775" s="2101"/>
      <c r="S775" s="2101"/>
      <c r="T775" s="2094"/>
      <c r="U775" s="2095"/>
      <c r="V775" s="2095"/>
      <c r="W775" s="2096"/>
      <c r="X775" s="2090"/>
      <c r="Y775" s="2091"/>
      <c r="Z775" s="2091"/>
      <c r="AA775" s="2091"/>
      <c r="AB775" s="2092"/>
      <c r="AC775" s="2300">
        <f>X775*O775</f>
        <v>0</v>
      </c>
      <c r="AD775" s="2301"/>
      <c r="AE775" s="2301"/>
      <c r="AF775" s="2301"/>
      <c r="AG775" s="2302"/>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8" t="s">
        <v>130</v>
      </c>
      <c r="K776" s="2189"/>
      <c r="L776" s="2189"/>
      <c r="M776" s="2189"/>
      <c r="N776" s="2191"/>
      <c r="O776" s="2474">
        <f>SUM(O772:S775)</f>
        <v>1</v>
      </c>
      <c r="P776" s="2475"/>
      <c r="Q776" s="2475"/>
      <c r="R776" s="2475"/>
      <c r="S776" s="2476"/>
      <c r="X776" s="2478" t="s">
        <v>129</v>
      </c>
      <c r="Y776" s="2479"/>
      <c r="Z776" s="2479"/>
      <c r="AA776" s="2479"/>
      <c r="AB776" s="2480"/>
      <c r="AC776" s="2300">
        <f>SUM(AC772:AG775)</f>
        <v>0</v>
      </c>
      <c r="AD776" s="2301"/>
      <c r="AE776" s="2301"/>
      <c r="AF776" s="2301"/>
      <c r="AG776" s="2302"/>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5" t="s">
        <v>708</v>
      </c>
      <c r="K778" s="2065"/>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52" t="s">
        <v>409</v>
      </c>
      <c r="K782" s="2153"/>
      <c r="L782" s="2153"/>
      <c r="M782" s="2153"/>
      <c r="N782" s="2154"/>
      <c r="O782" s="2390" t="s">
        <v>293</v>
      </c>
      <c r="P782" s="2390"/>
      <c r="Q782" s="2390"/>
      <c r="R782" s="2390"/>
      <c r="S782" s="2390"/>
      <c r="T782" s="2287" t="s">
        <v>2171</v>
      </c>
      <c r="U782" s="2288"/>
      <c r="V782" s="2288"/>
      <c r="W782" s="2289"/>
      <c r="X782" s="2152" t="s">
        <v>480</v>
      </c>
      <c r="Y782" s="2153"/>
      <c r="Z782" s="2153"/>
      <c r="AA782" s="2153"/>
      <c r="AB782" s="2154"/>
      <c r="AC782" s="2152" t="s">
        <v>294</v>
      </c>
      <c r="AD782" s="2153"/>
      <c r="AE782" s="2153"/>
      <c r="AF782" s="2153"/>
      <c r="AG782" s="2154"/>
      <c r="AH782" s="2468" t="s">
        <v>2463</v>
      </c>
      <c r="AI782" s="2153"/>
      <c r="AJ782" s="2153"/>
      <c r="AK782" s="2153"/>
      <c r="AL782" s="215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55"/>
      <c r="K783" s="2156"/>
      <c r="L783" s="2156"/>
      <c r="M783" s="2156"/>
      <c r="N783" s="2157"/>
      <c r="O783" s="2390"/>
      <c r="P783" s="2390"/>
      <c r="Q783" s="2390"/>
      <c r="R783" s="2390"/>
      <c r="S783" s="2390"/>
      <c r="T783" s="2290"/>
      <c r="U783" s="2291"/>
      <c r="V783" s="2291"/>
      <c r="W783" s="2292"/>
      <c r="X783" s="2155"/>
      <c r="Y783" s="2156"/>
      <c r="Z783" s="2156"/>
      <c r="AA783" s="2156"/>
      <c r="AB783" s="2157"/>
      <c r="AC783" s="2155"/>
      <c r="AD783" s="2156"/>
      <c r="AE783" s="2156"/>
      <c r="AF783" s="2156"/>
      <c r="AG783" s="2157"/>
      <c r="AH783" s="2155"/>
      <c r="AI783" s="2156"/>
      <c r="AJ783" s="2156"/>
      <c r="AK783" s="2156"/>
      <c r="AL783" s="215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55"/>
      <c r="K784" s="2156"/>
      <c r="L784" s="2156"/>
      <c r="M784" s="2156"/>
      <c r="N784" s="2157"/>
      <c r="O784" s="2390"/>
      <c r="P784" s="2390"/>
      <c r="Q784" s="2390"/>
      <c r="R784" s="2390"/>
      <c r="S784" s="2390"/>
      <c r="T784" s="2290"/>
      <c r="U784" s="2291"/>
      <c r="V784" s="2291"/>
      <c r="W784" s="2292"/>
      <c r="X784" s="2155"/>
      <c r="Y784" s="2156"/>
      <c r="Z784" s="2156"/>
      <c r="AA784" s="2156"/>
      <c r="AB784" s="2157"/>
      <c r="AC784" s="2155"/>
      <c r="AD784" s="2156"/>
      <c r="AE784" s="2156"/>
      <c r="AF784" s="2156"/>
      <c r="AG784" s="2157"/>
      <c r="AH784" s="2155"/>
      <c r="AI784" s="2156"/>
      <c r="AJ784" s="2156"/>
      <c r="AK784" s="2156"/>
      <c r="AL784" s="215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58"/>
      <c r="K785" s="2159"/>
      <c r="L785" s="2159"/>
      <c r="M785" s="2159"/>
      <c r="N785" s="2160"/>
      <c r="O785" s="2390"/>
      <c r="P785" s="2390"/>
      <c r="Q785" s="2390"/>
      <c r="R785" s="2390"/>
      <c r="S785" s="2390"/>
      <c r="T785" s="2293"/>
      <c r="U785" s="2294"/>
      <c r="V785" s="2294"/>
      <c r="W785" s="2295"/>
      <c r="X785" s="2158"/>
      <c r="Y785" s="2159"/>
      <c r="Z785" s="2159"/>
      <c r="AA785" s="2159"/>
      <c r="AB785" s="2160"/>
      <c r="AC785" s="2158"/>
      <c r="AD785" s="2159"/>
      <c r="AE785" s="2159"/>
      <c r="AF785" s="2159"/>
      <c r="AG785" s="2160"/>
      <c r="AH785" s="2158"/>
      <c r="AI785" s="2159"/>
      <c r="AJ785" s="2159"/>
      <c r="AK785" s="2159"/>
      <c r="AL785" s="216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35"/>
      <c r="K786" s="2036"/>
      <c r="L786" s="2036"/>
      <c r="M786" s="2036"/>
      <c r="N786" s="2037"/>
      <c r="O786" s="2101"/>
      <c r="P786" s="2101"/>
      <c r="Q786" s="2101"/>
      <c r="R786" s="2101"/>
      <c r="S786" s="2101"/>
      <c r="T786" s="2094"/>
      <c r="U786" s="2095"/>
      <c r="V786" s="2095"/>
      <c r="W786" s="2096"/>
      <c r="X786" s="2090"/>
      <c r="Y786" s="2091"/>
      <c r="Z786" s="2091"/>
      <c r="AA786" s="2091"/>
      <c r="AB786" s="2092"/>
      <c r="AC786" s="2300">
        <f t="shared" ref="AC786:AC795" si="50">X786*O786</f>
        <v>0</v>
      </c>
      <c r="AD786" s="2301"/>
      <c r="AE786" s="2301"/>
      <c r="AF786" s="2301"/>
      <c r="AG786" s="2302"/>
      <c r="AH786" s="2284"/>
      <c r="AI786" s="2285"/>
      <c r="AJ786" s="2285"/>
      <c r="AK786" s="2285"/>
      <c r="AL786" s="228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35"/>
      <c r="K787" s="2036"/>
      <c r="L787" s="2036"/>
      <c r="M787" s="2036"/>
      <c r="N787" s="2037"/>
      <c r="O787" s="2101"/>
      <c r="P787" s="2101"/>
      <c r="Q787" s="2101"/>
      <c r="R787" s="2101"/>
      <c r="S787" s="2101"/>
      <c r="T787" s="2094"/>
      <c r="U787" s="2095"/>
      <c r="V787" s="2095"/>
      <c r="W787" s="2096"/>
      <c r="X787" s="2090"/>
      <c r="Y787" s="2091"/>
      <c r="Z787" s="2091"/>
      <c r="AA787" s="2091"/>
      <c r="AB787" s="2092"/>
      <c r="AC787" s="2300">
        <f t="shared" si="50"/>
        <v>0</v>
      </c>
      <c r="AD787" s="2301"/>
      <c r="AE787" s="2301"/>
      <c r="AF787" s="2301"/>
      <c r="AG787" s="2302"/>
      <c r="AH787" s="2284"/>
      <c r="AI787" s="2285"/>
      <c r="AJ787" s="2285"/>
      <c r="AK787" s="2285"/>
      <c r="AL787" s="228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35"/>
      <c r="K788" s="2036"/>
      <c r="L788" s="2036"/>
      <c r="M788" s="2036"/>
      <c r="N788" s="2037"/>
      <c r="O788" s="2101"/>
      <c r="P788" s="2101"/>
      <c r="Q788" s="2101"/>
      <c r="R788" s="2101"/>
      <c r="S788" s="2101"/>
      <c r="T788" s="2094"/>
      <c r="U788" s="2095"/>
      <c r="V788" s="2095"/>
      <c r="W788" s="2096"/>
      <c r="X788" s="2090"/>
      <c r="Y788" s="2091"/>
      <c r="Z788" s="2091"/>
      <c r="AA788" s="2091"/>
      <c r="AB788" s="2092"/>
      <c r="AC788" s="2300">
        <f t="shared" si="50"/>
        <v>0</v>
      </c>
      <c r="AD788" s="2301"/>
      <c r="AE788" s="2301"/>
      <c r="AF788" s="2301"/>
      <c r="AG788" s="2302"/>
      <c r="AH788" s="2284"/>
      <c r="AI788" s="2285"/>
      <c r="AJ788" s="2285"/>
      <c r="AK788" s="2285"/>
      <c r="AL788" s="228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35"/>
      <c r="K789" s="2036"/>
      <c r="L789" s="2036"/>
      <c r="M789" s="2036"/>
      <c r="N789" s="2037"/>
      <c r="O789" s="2101"/>
      <c r="P789" s="2101"/>
      <c r="Q789" s="2101"/>
      <c r="R789" s="2101"/>
      <c r="S789" s="2101"/>
      <c r="T789" s="2094"/>
      <c r="U789" s="2095"/>
      <c r="V789" s="2095"/>
      <c r="W789" s="2096"/>
      <c r="X789" s="2090"/>
      <c r="Y789" s="2091"/>
      <c r="Z789" s="2091"/>
      <c r="AA789" s="2091"/>
      <c r="AB789" s="2092"/>
      <c r="AC789" s="2300">
        <f t="shared" si="50"/>
        <v>0</v>
      </c>
      <c r="AD789" s="2301"/>
      <c r="AE789" s="2301"/>
      <c r="AF789" s="2301"/>
      <c r="AG789" s="2302"/>
      <c r="AH789" s="2284"/>
      <c r="AI789" s="2285"/>
      <c r="AJ789" s="2285"/>
      <c r="AK789" s="2285"/>
      <c r="AL789" s="228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35"/>
      <c r="K790" s="2036"/>
      <c r="L790" s="2036"/>
      <c r="M790" s="2036"/>
      <c r="N790" s="2037"/>
      <c r="O790" s="2101"/>
      <c r="P790" s="2101"/>
      <c r="Q790" s="2101"/>
      <c r="R790" s="2101"/>
      <c r="S790" s="2101"/>
      <c r="T790" s="2094"/>
      <c r="U790" s="2095"/>
      <c r="V790" s="2095"/>
      <c r="W790" s="2096"/>
      <c r="X790" s="2090"/>
      <c r="Y790" s="2091"/>
      <c r="Z790" s="2091"/>
      <c r="AA790" s="2091"/>
      <c r="AB790" s="2092"/>
      <c r="AC790" s="2300">
        <f t="shared" si="50"/>
        <v>0</v>
      </c>
      <c r="AD790" s="2301"/>
      <c r="AE790" s="2301"/>
      <c r="AF790" s="2301"/>
      <c r="AG790" s="2302"/>
      <c r="AH790" s="2284"/>
      <c r="AI790" s="2285"/>
      <c r="AJ790" s="2285"/>
      <c r="AK790" s="2285"/>
      <c r="AL790" s="228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35"/>
      <c r="K791" s="2036"/>
      <c r="L791" s="2036"/>
      <c r="M791" s="2036"/>
      <c r="N791" s="2037"/>
      <c r="O791" s="2101"/>
      <c r="P791" s="2101"/>
      <c r="Q791" s="2101"/>
      <c r="R791" s="2101"/>
      <c r="S791" s="2101"/>
      <c r="T791" s="2094"/>
      <c r="U791" s="2095"/>
      <c r="V791" s="2095"/>
      <c r="W791" s="2096"/>
      <c r="X791" s="2090"/>
      <c r="Y791" s="2091"/>
      <c r="Z791" s="2091"/>
      <c r="AA791" s="2091"/>
      <c r="AB791" s="2092"/>
      <c r="AC791" s="2300">
        <f t="shared" si="50"/>
        <v>0</v>
      </c>
      <c r="AD791" s="2301"/>
      <c r="AE791" s="2301"/>
      <c r="AF791" s="2301"/>
      <c r="AG791" s="2302"/>
      <c r="AH791" s="2284"/>
      <c r="AI791" s="2285"/>
      <c r="AJ791" s="2285"/>
      <c r="AK791" s="2285"/>
      <c r="AL791" s="228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35"/>
      <c r="K792" s="2036"/>
      <c r="L792" s="2036"/>
      <c r="M792" s="2036"/>
      <c r="N792" s="2037"/>
      <c r="O792" s="2101"/>
      <c r="P792" s="2101"/>
      <c r="Q792" s="2101"/>
      <c r="R792" s="2101"/>
      <c r="S792" s="2101"/>
      <c r="T792" s="2094"/>
      <c r="U792" s="2095"/>
      <c r="V792" s="2095"/>
      <c r="W792" s="2096"/>
      <c r="X792" s="2090"/>
      <c r="Y792" s="2091"/>
      <c r="Z792" s="2091"/>
      <c r="AA792" s="2091"/>
      <c r="AB792" s="2092"/>
      <c r="AC792" s="2300">
        <f t="shared" si="50"/>
        <v>0</v>
      </c>
      <c r="AD792" s="2301"/>
      <c r="AE792" s="2301"/>
      <c r="AF792" s="2301"/>
      <c r="AG792" s="2302"/>
      <c r="AH792" s="2284"/>
      <c r="AI792" s="2285"/>
      <c r="AJ792" s="2285"/>
      <c r="AK792" s="2285"/>
      <c r="AL792" s="228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35"/>
      <c r="K793" s="2036"/>
      <c r="L793" s="2036"/>
      <c r="M793" s="2036"/>
      <c r="N793" s="2037"/>
      <c r="O793" s="2101"/>
      <c r="P793" s="2101"/>
      <c r="Q793" s="2101"/>
      <c r="R793" s="2101"/>
      <c r="S793" s="2101"/>
      <c r="T793" s="2094"/>
      <c r="U793" s="2095"/>
      <c r="V793" s="2095"/>
      <c r="W793" s="2096"/>
      <c r="X793" s="2090"/>
      <c r="Y793" s="2091"/>
      <c r="Z793" s="2091"/>
      <c r="AA793" s="2091"/>
      <c r="AB793" s="2092"/>
      <c r="AC793" s="2300">
        <f t="shared" si="50"/>
        <v>0</v>
      </c>
      <c r="AD793" s="2301"/>
      <c r="AE793" s="2301"/>
      <c r="AF793" s="2301"/>
      <c r="AG793" s="2302"/>
      <c r="AH793" s="2284"/>
      <c r="AI793" s="2285"/>
      <c r="AJ793" s="2285"/>
      <c r="AK793" s="2285"/>
      <c r="AL793" s="228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35"/>
      <c r="K794" s="2036"/>
      <c r="L794" s="2036"/>
      <c r="M794" s="2036"/>
      <c r="N794" s="2037"/>
      <c r="O794" s="2101"/>
      <c r="P794" s="2101"/>
      <c r="Q794" s="2101"/>
      <c r="R794" s="2101"/>
      <c r="S794" s="2101"/>
      <c r="T794" s="2094"/>
      <c r="U794" s="2095"/>
      <c r="V794" s="2095"/>
      <c r="W794" s="2096"/>
      <c r="X794" s="2090"/>
      <c r="Y794" s="2091"/>
      <c r="Z794" s="2091"/>
      <c r="AA794" s="2091"/>
      <c r="AB794" s="2092"/>
      <c r="AC794" s="2300">
        <f t="shared" si="50"/>
        <v>0</v>
      </c>
      <c r="AD794" s="2301"/>
      <c r="AE794" s="2301"/>
      <c r="AF794" s="2301"/>
      <c r="AG794" s="2302"/>
      <c r="AH794" s="2284"/>
      <c r="AI794" s="2285"/>
      <c r="AJ794" s="2285"/>
      <c r="AK794" s="2285"/>
      <c r="AL794" s="228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35"/>
      <c r="K795" s="2036"/>
      <c r="L795" s="2036"/>
      <c r="M795" s="2036"/>
      <c r="N795" s="2037"/>
      <c r="O795" s="2101"/>
      <c r="P795" s="2101"/>
      <c r="Q795" s="2101"/>
      <c r="R795" s="2101"/>
      <c r="S795" s="2101"/>
      <c r="T795" s="2094"/>
      <c r="U795" s="2095"/>
      <c r="V795" s="2095"/>
      <c r="W795" s="2096"/>
      <c r="X795" s="2090"/>
      <c r="Y795" s="2091"/>
      <c r="Z795" s="2091"/>
      <c r="AA795" s="2091"/>
      <c r="AB795" s="2092"/>
      <c r="AC795" s="2300">
        <f t="shared" si="50"/>
        <v>0</v>
      </c>
      <c r="AD795" s="2301"/>
      <c r="AE795" s="2301"/>
      <c r="AF795" s="2301"/>
      <c r="AG795" s="2302"/>
      <c r="AH795" s="2284"/>
      <c r="AI795" s="2285"/>
      <c r="AJ795" s="2285"/>
      <c r="AK795" s="2285"/>
      <c r="AL795" s="228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8" t="s">
        <v>130</v>
      </c>
      <c r="K796" s="2189"/>
      <c r="L796" s="2189"/>
      <c r="M796" s="2189"/>
      <c r="N796" s="2191"/>
      <c r="O796" s="2283">
        <f>SUM(O786:S795)</f>
        <v>0</v>
      </c>
      <c r="P796" s="2283"/>
      <c r="Q796" s="2283"/>
      <c r="R796" s="2283"/>
      <c r="S796" s="2283"/>
      <c r="X796" s="1604" t="s">
        <v>129</v>
      </c>
      <c r="Y796" s="1605"/>
      <c r="Z796" s="1605"/>
      <c r="AA796" s="1605"/>
      <c r="AB796" s="1606"/>
      <c r="AC796" s="2300">
        <f>SUM(AC786:AG795)</f>
        <v>0</v>
      </c>
      <c r="AD796" s="2301"/>
      <c r="AE796" s="2301"/>
      <c r="AF796" s="2301"/>
      <c r="AG796" s="230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65">
        <f>T753+AC776+AC796</f>
        <v>85033</v>
      </c>
      <c r="Z798" s="2165"/>
      <c r="AA798" s="2165"/>
      <c r="AB798" s="2165"/>
      <c r="AC798" s="216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65">
        <f>(T753+AC776+AC796)*12</f>
        <v>1020396</v>
      </c>
      <c r="Z799" s="2165"/>
      <c r="AA799" s="2165"/>
      <c r="AB799" s="2165"/>
      <c r="AC799" s="2165"/>
      <c r="AZ799" s="58"/>
      <c r="BA799" s="51" t="s">
        <v>669</v>
      </c>
      <c r="BB799" s="51"/>
      <c r="BC799" s="51"/>
      <c r="BD799" s="51"/>
      <c r="BE799" s="51"/>
      <c r="BF799" s="51"/>
      <c r="BG799" s="51"/>
      <c r="BH799" s="51"/>
      <c r="BI799" s="51"/>
      <c r="BJ799" s="51"/>
      <c r="BK799" s="51"/>
      <c r="BL799" s="51"/>
      <c r="BM799" s="51"/>
      <c r="BN799" s="2388" t="s">
        <v>504</v>
      </c>
      <c r="BO799" s="2389"/>
      <c r="BP799" s="58"/>
      <c r="BQ799" s="58"/>
      <c r="BR799" s="58"/>
      <c r="BS799" s="51" t="s">
        <v>671</v>
      </c>
      <c r="BT799" s="51"/>
      <c r="BU799" s="51"/>
      <c r="BV799" s="51"/>
      <c r="BW799" s="51"/>
      <c r="BX799" s="51"/>
      <c r="BY799" s="51"/>
      <c r="BZ799" s="51"/>
      <c r="CA799" s="51"/>
      <c r="CB799" s="2385" t="str">
        <f>T189</f>
        <v>Santa Clara</v>
      </c>
      <c r="CC799" s="2386"/>
      <c r="CD799" s="2386"/>
      <c r="CE799" s="2386"/>
      <c r="CF799" s="2386"/>
      <c r="CG799" s="2386"/>
      <c r="CH799" s="238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3">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2439</v>
      </c>
      <c r="BP802" s="54"/>
      <c r="BQ802" s="54"/>
      <c r="BR802" s="54"/>
      <c r="BS802" s="54"/>
      <c r="BT802" s="54"/>
      <c r="BV802" s="53" t="s">
        <v>2440</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51">
        <v>20</v>
      </c>
      <c r="AA804" s="2352"/>
      <c r="AB804" s="2352"/>
      <c r="AC804" s="2352"/>
      <c r="AD804" s="2352"/>
      <c r="AE804" s="235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67">
        <v>20</v>
      </c>
      <c r="AA805" s="2352"/>
      <c r="AB805" s="2352"/>
      <c r="AC805" s="2352"/>
      <c r="AD805" s="2352"/>
      <c r="AE805" s="235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04">
        <v>52475</v>
      </c>
      <c r="AA806" s="2305"/>
      <c r="AB806" s="2305"/>
      <c r="AC806" s="2305"/>
      <c r="AD806" s="2305"/>
      <c r="AE806" s="230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54">
        <f>'Subsidy Contract Calculation'!I30</f>
        <v>484992</v>
      </c>
      <c r="AA807" s="2055"/>
      <c r="AB807" s="2055"/>
      <c r="AC807" s="2055"/>
      <c r="AD807" s="2055"/>
      <c r="AE807" s="205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57">
        <v>10000</v>
      </c>
      <c r="AA811" s="2058"/>
      <c r="AB811" s="2058"/>
      <c r="AC811" s="2058"/>
      <c r="AD811" s="2058"/>
      <c r="AE811" s="205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57"/>
      <c r="AA812" s="2058"/>
      <c r="AB812" s="2058"/>
      <c r="AC812" s="2058"/>
      <c r="AD812" s="2058"/>
      <c r="AE812" s="205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57"/>
      <c r="AA813" s="2058"/>
      <c r="AB813" s="2058"/>
      <c r="AC813" s="2058"/>
      <c r="AD813" s="2058"/>
      <c r="AE813" s="205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8" t="s">
        <v>345</v>
      </c>
      <c r="Q814" s="2309"/>
      <c r="R814" s="2309"/>
      <c r="S814" s="2309"/>
      <c r="T814" s="2309"/>
      <c r="U814" s="2309"/>
      <c r="V814" s="2309"/>
      <c r="W814" s="2309"/>
      <c r="X814" s="2309"/>
      <c r="Y814" s="2310"/>
      <c r="Z814" s="2057"/>
      <c r="AA814" s="2058"/>
      <c r="AB814" s="2058"/>
      <c r="AC814" s="2058"/>
      <c r="AD814" s="2058"/>
      <c r="AE814" s="205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54">
        <f>SUM(Z811:AE814)</f>
        <v>10000</v>
      </c>
      <c r="AA815" s="2055"/>
      <c r="AB815" s="2055"/>
      <c r="AC815" s="2055"/>
      <c r="AD815" s="2055"/>
      <c r="AE815" s="205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054">
        <f>Z815+Y799+Z807</f>
        <v>1515388</v>
      </c>
      <c r="AA816" s="2055"/>
      <c r="AB816" s="2055"/>
      <c r="AC816" s="2055"/>
      <c r="AD816" s="2055"/>
      <c r="AE816" s="205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63" t="s">
        <v>131</v>
      </c>
      <c r="N821" s="2463"/>
      <c r="O821" s="2463"/>
      <c r="P821" s="2464"/>
      <c r="Q821" s="2307" t="s">
        <v>300</v>
      </c>
      <c r="R821" s="2307"/>
      <c r="S821" s="2307"/>
      <c r="T821" s="2307"/>
      <c r="U821" s="2307" t="s">
        <v>301</v>
      </c>
      <c r="V821" s="2307"/>
      <c r="W821" s="2307"/>
      <c r="X821" s="2307"/>
      <c r="Y821" s="2307" t="s">
        <v>302</v>
      </c>
      <c r="Z821" s="2307"/>
      <c r="AA821" s="2307"/>
      <c r="AB821" s="2307"/>
      <c r="AC821" s="2307" t="s">
        <v>373</v>
      </c>
      <c r="AD821" s="2307"/>
      <c r="AE821" s="2307"/>
      <c r="AF821" s="2307"/>
      <c r="AG821" s="2441" t="s">
        <v>346</v>
      </c>
      <c r="AH821" s="2441"/>
      <c r="AI821" s="2441"/>
      <c r="AJ821" s="244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65"/>
      <c r="N822" s="2465"/>
      <c r="O822" s="2465"/>
      <c r="P822" s="2466"/>
      <c r="Q822" s="2307"/>
      <c r="R822" s="2307"/>
      <c r="S822" s="2307"/>
      <c r="T822" s="2307"/>
      <c r="U822" s="2307"/>
      <c r="V822" s="2307"/>
      <c r="W822" s="2307"/>
      <c r="X822" s="2307"/>
      <c r="Y822" s="2307"/>
      <c r="Z822" s="2307"/>
      <c r="AA822" s="2307"/>
      <c r="AB822" s="2307"/>
      <c r="AC822" s="2307"/>
      <c r="AD822" s="2307"/>
      <c r="AE822" s="2307"/>
      <c r="AF822" s="2307"/>
      <c r="AG822" s="2441"/>
      <c r="AH822" s="2441"/>
      <c r="AI822" s="2441"/>
      <c r="AJ822" s="244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74" t="s">
        <v>43</v>
      </c>
      <c r="D823" s="2375"/>
      <c r="E823" s="2375"/>
      <c r="F823" s="2375"/>
      <c r="G823" s="2375"/>
      <c r="H823" s="2375"/>
      <c r="I823" s="80"/>
      <c r="J823" s="80"/>
      <c r="K823" s="80"/>
      <c r="L823" s="81"/>
      <c r="M823" s="2282">
        <v>11</v>
      </c>
      <c r="N823" s="2282"/>
      <c r="O823" s="2282"/>
      <c r="P823" s="2282"/>
      <c r="Q823" s="2282">
        <v>13</v>
      </c>
      <c r="R823" s="2282"/>
      <c r="S823" s="2282"/>
      <c r="T823" s="2282"/>
      <c r="U823" s="2282">
        <v>16</v>
      </c>
      <c r="V823" s="2282"/>
      <c r="W823" s="2282"/>
      <c r="X823" s="2282"/>
      <c r="Y823" s="2282">
        <v>19</v>
      </c>
      <c r="Z823" s="2282"/>
      <c r="AA823" s="2282"/>
      <c r="AB823" s="2282"/>
      <c r="AC823" s="2278"/>
      <c r="AD823" s="2279"/>
      <c r="AE823" s="2279"/>
      <c r="AF823" s="2280"/>
      <c r="AG823" s="2278"/>
      <c r="AH823" s="2279"/>
      <c r="AI823" s="2279"/>
      <c r="AJ823" s="228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084" t="s">
        <v>44</v>
      </c>
      <c r="D824" s="2085"/>
      <c r="E824" s="2085"/>
      <c r="F824" s="2085"/>
      <c r="G824" s="2085"/>
      <c r="H824" s="2085"/>
      <c r="I824" s="77"/>
      <c r="J824" s="77"/>
      <c r="K824" s="77"/>
      <c r="L824" s="78"/>
      <c r="M824" s="2282"/>
      <c r="N824" s="2282"/>
      <c r="O824" s="2282"/>
      <c r="P824" s="2282"/>
      <c r="Q824" s="2282"/>
      <c r="R824" s="2282"/>
      <c r="S824" s="2282"/>
      <c r="T824" s="2282"/>
      <c r="U824" s="2282"/>
      <c r="V824" s="2282"/>
      <c r="W824" s="2282"/>
      <c r="X824" s="2282"/>
      <c r="Y824" s="2282"/>
      <c r="Z824" s="2282"/>
      <c r="AA824" s="2282"/>
      <c r="AB824" s="2282"/>
      <c r="AC824" s="2278"/>
      <c r="AD824" s="2279"/>
      <c r="AE824" s="2279"/>
      <c r="AF824" s="2280"/>
      <c r="AG824" s="2278"/>
      <c r="AH824" s="2279"/>
      <c r="AI824" s="2279"/>
      <c r="AJ824" s="228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084" t="s">
        <v>45</v>
      </c>
      <c r="D825" s="2085"/>
      <c r="E825" s="2085"/>
      <c r="F825" s="2085"/>
      <c r="G825" s="2085"/>
      <c r="H825" s="2085"/>
      <c r="I825" s="96"/>
      <c r="J825" s="96"/>
      <c r="K825" s="96"/>
      <c r="L825" s="97"/>
      <c r="M825" s="2282">
        <v>5</v>
      </c>
      <c r="N825" s="2282"/>
      <c r="O825" s="2282"/>
      <c r="P825" s="2282"/>
      <c r="Q825" s="2282">
        <v>6</v>
      </c>
      <c r="R825" s="2282"/>
      <c r="S825" s="2282"/>
      <c r="T825" s="2282"/>
      <c r="U825" s="2282">
        <v>9</v>
      </c>
      <c r="V825" s="2282"/>
      <c r="W825" s="2282"/>
      <c r="X825" s="2282"/>
      <c r="Y825" s="2282">
        <v>12</v>
      </c>
      <c r="Z825" s="2282"/>
      <c r="AA825" s="2282"/>
      <c r="AB825" s="2282"/>
      <c r="AC825" s="2278"/>
      <c r="AD825" s="2279"/>
      <c r="AE825" s="2279"/>
      <c r="AF825" s="2280"/>
      <c r="AG825" s="2278"/>
      <c r="AH825" s="2279"/>
      <c r="AI825" s="2279"/>
      <c r="AJ825" s="228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084" t="s">
        <v>824</v>
      </c>
      <c r="D826" s="2085"/>
      <c r="E826" s="2085"/>
      <c r="F826" s="2085"/>
      <c r="G826" s="2085"/>
      <c r="H826" s="2085"/>
      <c r="I826" s="96"/>
      <c r="J826" s="96"/>
      <c r="K826" s="96"/>
      <c r="L826" s="97"/>
      <c r="M826" s="2282"/>
      <c r="N826" s="2282"/>
      <c r="O826" s="2282"/>
      <c r="P826" s="2282"/>
      <c r="Q826" s="2282"/>
      <c r="R826" s="2282"/>
      <c r="S826" s="2282"/>
      <c r="T826" s="2282"/>
      <c r="U826" s="2282"/>
      <c r="V826" s="2282"/>
      <c r="W826" s="2282"/>
      <c r="X826" s="2282"/>
      <c r="Y826" s="2282"/>
      <c r="Z826" s="2282"/>
      <c r="AA826" s="2282"/>
      <c r="AB826" s="2282"/>
      <c r="AC826" s="2278"/>
      <c r="AD826" s="2279"/>
      <c r="AE826" s="2279"/>
      <c r="AF826" s="2280"/>
      <c r="AG826" s="2278"/>
      <c r="AH826" s="2279"/>
      <c r="AI826" s="2279"/>
      <c r="AJ826" s="228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084" t="s">
        <v>494</v>
      </c>
      <c r="D827" s="2085"/>
      <c r="E827" s="2085"/>
      <c r="F827" s="2085"/>
      <c r="G827" s="2085"/>
      <c r="H827" s="2085"/>
      <c r="I827" s="96"/>
      <c r="J827" s="96"/>
      <c r="K827" s="96"/>
      <c r="L827" s="97"/>
      <c r="M827" s="2282">
        <v>19</v>
      </c>
      <c r="N827" s="2282"/>
      <c r="O827" s="2282"/>
      <c r="P827" s="2282"/>
      <c r="Q827" s="2282">
        <v>23</v>
      </c>
      <c r="R827" s="2282"/>
      <c r="S827" s="2282"/>
      <c r="T827" s="2282"/>
      <c r="U827" s="2282">
        <v>32</v>
      </c>
      <c r="V827" s="2282"/>
      <c r="W827" s="2282"/>
      <c r="X827" s="2282"/>
      <c r="Y827" s="2282">
        <v>41</v>
      </c>
      <c r="Z827" s="2282"/>
      <c r="AA827" s="2282"/>
      <c r="AB827" s="2282"/>
      <c r="AC827" s="2278"/>
      <c r="AD827" s="2279"/>
      <c r="AE827" s="2279"/>
      <c r="AF827" s="2280"/>
      <c r="AG827" s="2278"/>
      <c r="AH827" s="2279"/>
      <c r="AI827" s="2279"/>
      <c r="AJ827" s="228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78" t="s">
        <v>845</v>
      </c>
      <c r="D828" s="2085"/>
      <c r="E828" s="2085"/>
      <c r="F828" s="2085"/>
      <c r="G828" s="2085"/>
      <c r="H828" s="2085"/>
      <c r="I828" s="96"/>
      <c r="J828" s="96"/>
      <c r="K828" s="96"/>
      <c r="L828" s="97"/>
      <c r="M828" s="2282"/>
      <c r="N828" s="2282"/>
      <c r="O828" s="2282"/>
      <c r="P828" s="2282"/>
      <c r="Q828" s="2282"/>
      <c r="R828" s="2282"/>
      <c r="S828" s="2282"/>
      <c r="T828" s="2282"/>
      <c r="U828" s="2282"/>
      <c r="V828" s="2282"/>
      <c r="W828" s="2282"/>
      <c r="X828" s="2282"/>
      <c r="Y828" s="2282"/>
      <c r="Z828" s="2282"/>
      <c r="AA828" s="2282"/>
      <c r="AB828" s="2282"/>
      <c r="AC828" s="2278"/>
      <c r="AD828" s="2279"/>
      <c r="AE828" s="2279"/>
      <c r="AF828" s="2280"/>
      <c r="AG828" s="2278"/>
      <c r="AH828" s="2279"/>
      <c r="AI828" s="2279"/>
      <c r="AJ828" s="228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320" t="s">
        <v>345</v>
      </c>
      <c r="G829" s="2298"/>
      <c r="H829" s="2298"/>
      <c r="I829" s="2298"/>
      <c r="J829" s="2298"/>
      <c r="K829" s="2298"/>
      <c r="L829" s="2299"/>
      <c r="M829" s="2282"/>
      <c r="N829" s="2282"/>
      <c r="O829" s="2282"/>
      <c r="P829" s="2282"/>
      <c r="Q829" s="2282"/>
      <c r="R829" s="2282"/>
      <c r="S829" s="2282"/>
      <c r="T829" s="2282"/>
      <c r="U829" s="2282"/>
      <c r="V829" s="2282"/>
      <c r="W829" s="2282"/>
      <c r="X829" s="2282"/>
      <c r="Y829" s="2282"/>
      <c r="Z829" s="2282"/>
      <c r="AA829" s="2282"/>
      <c r="AB829" s="2282"/>
      <c r="AC829" s="2278"/>
      <c r="AD829" s="2279"/>
      <c r="AE829" s="2279"/>
      <c r="AF829" s="2280"/>
      <c r="AG829" s="2278"/>
      <c r="AH829" s="2279"/>
      <c r="AI829" s="2279"/>
      <c r="AJ829" s="228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8" t="s">
        <v>129</v>
      </c>
      <c r="D830" s="2189"/>
      <c r="E830" s="2189"/>
      <c r="F830" s="2189"/>
      <c r="G830" s="2189"/>
      <c r="H830" s="2189"/>
      <c r="I830" s="2189"/>
      <c r="J830" s="2189"/>
      <c r="K830" s="2189"/>
      <c r="L830" s="2191"/>
      <c r="M830" s="2296">
        <f>SUM(M823:P829)</f>
        <v>35</v>
      </c>
      <c r="N830" s="2296"/>
      <c r="O830" s="2296"/>
      <c r="P830" s="2296"/>
      <c r="Q830" s="2296">
        <f>SUM(Q823:T829)</f>
        <v>42</v>
      </c>
      <c r="R830" s="2296"/>
      <c r="S830" s="2296"/>
      <c r="T830" s="2296"/>
      <c r="U830" s="2296">
        <f>SUM(U823:X829)</f>
        <v>57</v>
      </c>
      <c r="V830" s="2296"/>
      <c r="W830" s="2296"/>
      <c r="X830" s="2296"/>
      <c r="Y830" s="2296">
        <f>SUM(Y823:AB829)</f>
        <v>72</v>
      </c>
      <c r="Z830" s="2296"/>
      <c r="AA830" s="2296"/>
      <c r="AB830" s="2296"/>
      <c r="AC830" s="2296">
        <f>SUM(AC823:AF829)</f>
        <v>0</v>
      </c>
      <c r="AD830" s="2296"/>
      <c r="AE830" s="2296"/>
      <c r="AF830" s="2296"/>
      <c r="AG830" s="2296">
        <f>SUM(AG823:AJ829)</f>
        <v>0</v>
      </c>
      <c r="AH830" s="2296"/>
      <c r="AI830" s="2296"/>
      <c r="AJ830" s="229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469" t="s">
        <v>2596</v>
      </c>
      <c r="D835" s="2470"/>
      <c r="E835" s="2470"/>
      <c r="F835" s="2470"/>
      <c r="G835" s="2470"/>
      <c r="H835" s="2470"/>
      <c r="I835" s="2470"/>
      <c r="J835" s="2470"/>
      <c r="K835" s="2470"/>
      <c r="L835" s="2470"/>
      <c r="M835" s="2470"/>
      <c r="N835" s="2470"/>
      <c r="O835" s="2470"/>
      <c r="P835" s="2470"/>
      <c r="Q835" s="2470"/>
      <c r="R835" s="2470"/>
      <c r="S835" s="2470"/>
      <c r="T835" s="2470"/>
      <c r="U835" s="2470"/>
      <c r="V835" s="2470"/>
      <c r="W835" s="2470"/>
      <c r="X835" s="2470"/>
      <c r="Y835" s="2470"/>
      <c r="Z835" s="2470"/>
      <c r="AA835" s="2470"/>
      <c r="AB835" s="2470"/>
      <c r="AC835" s="2470"/>
      <c r="AD835" s="2470"/>
      <c r="AE835" s="2470"/>
      <c r="AF835" s="2470"/>
      <c r="AG835" s="2470"/>
      <c r="AH835" s="2470"/>
      <c r="AI835" s="2470"/>
      <c r="AJ835" s="247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64">
        <v>900</v>
      </c>
      <c r="X840" s="2164"/>
      <c r="Y840" s="2164"/>
      <c r="Z840" s="2164"/>
      <c r="AA840" s="2164"/>
      <c r="AB840" s="2164"/>
      <c r="AC840" s="216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64">
        <v>1000</v>
      </c>
      <c r="X841" s="2164"/>
      <c r="Y841" s="2164"/>
      <c r="Z841" s="2164"/>
      <c r="AA841" s="2164"/>
      <c r="AB841" s="2164"/>
      <c r="AC841" s="216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64">
        <v>24265</v>
      </c>
      <c r="X842" s="2164"/>
      <c r="Y842" s="2164"/>
      <c r="Z842" s="2164"/>
      <c r="AA842" s="2164"/>
      <c r="AB842" s="2164"/>
      <c r="AC842" s="216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64">
        <v>107000</v>
      </c>
      <c r="X843" s="2164"/>
      <c r="Y843" s="2164"/>
      <c r="Z843" s="2164"/>
      <c r="AA843" s="2164"/>
      <c r="AB843" s="2164"/>
      <c r="AC843" s="216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97" t="s">
        <v>2597</v>
      </c>
      <c r="N844" s="2298"/>
      <c r="O844" s="2298"/>
      <c r="P844" s="2298"/>
      <c r="Q844" s="2298"/>
      <c r="R844" s="2298"/>
      <c r="S844" s="2298"/>
      <c r="T844" s="2298"/>
      <c r="U844" s="2298"/>
      <c r="V844" s="2299"/>
      <c r="W844" s="2164">
        <v>37000</v>
      </c>
      <c r="X844" s="2164"/>
      <c r="Y844" s="2164"/>
      <c r="Z844" s="2164"/>
      <c r="AA844" s="2164"/>
      <c r="AB844" s="2164"/>
      <c r="AC844" s="216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47">
        <f>ROUNDDOWN(BC932*2,2)</f>
        <v>0</v>
      </c>
      <c r="BJ844" s="2447"/>
      <c r="BK844" s="2447"/>
      <c r="BL844" s="2447"/>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054">
        <f>SUM(W840:AC844)</f>
        <v>170165</v>
      </c>
      <c r="X845" s="2055"/>
      <c r="Y845" s="2055"/>
      <c r="Z845" s="2055"/>
      <c r="AA845" s="2055"/>
      <c r="AB845" s="2055"/>
      <c r="AC845" s="205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88" t="s">
        <v>357</v>
      </c>
      <c r="K847" s="2189"/>
      <c r="L847" s="2189"/>
      <c r="M847" s="2189"/>
      <c r="N847" s="2189"/>
      <c r="O847" s="2189"/>
      <c r="P847" s="2189"/>
      <c r="Q847" s="2189"/>
      <c r="R847" s="2189"/>
      <c r="S847" s="2189"/>
      <c r="T847" s="2189"/>
      <c r="U847" s="2189"/>
      <c r="V847" s="2191"/>
      <c r="W847" s="2057">
        <v>48000</v>
      </c>
      <c r="X847" s="2058"/>
      <c r="Y847" s="2058"/>
      <c r="Z847" s="2058"/>
      <c r="AA847" s="2058"/>
      <c r="AB847" s="2058"/>
      <c r="AC847" s="2059"/>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22">
        <v>0</v>
      </c>
      <c r="X849" s="2322"/>
      <c r="Y849" s="2322"/>
      <c r="Z849" s="2322"/>
      <c r="AA849" s="2322"/>
      <c r="AB849" s="2322"/>
      <c r="AC849" s="232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22"/>
      <c r="X850" s="2322"/>
      <c r="Y850" s="2322"/>
      <c r="Z850" s="2322"/>
      <c r="AA850" s="2322"/>
      <c r="AB850" s="2322"/>
      <c r="AC850" s="232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22">
        <v>64000</v>
      </c>
      <c r="X851" s="2322"/>
      <c r="Y851" s="2322"/>
      <c r="Z851" s="2322"/>
      <c r="AA851" s="2322"/>
      <c r="AB851" s="2322"/>
      <c r="AC851" s="232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50"/>
      <c r="BH851" s="2350"/>
      <c r="BI851" s="2350"/>
      <c r="BJ851" s="2350"/>
      <c r="BK851" s="2350"/>
      <c r="BL851" s="2350"/>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22">
        <v>95000</v>
      </c>
      <c r="X852" s="2322"/>
      <c r="Y852" s="2322"/>
      <c r="Z852" s="2322"/>
      <c r="AA852" s="2322"/>
      <c r="AB852" s="2322"/>
      <c r="AC852" s="232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27">
        <f>SUM(W849:AC852)</f>
        <v>159000</v>
      </c>
      <c r="X853" s="2327"/>
      <c r="Y853" s="2327"/>
      <c r="Z853" s="2327"/>
      <c r="AA853" s="2327"/>
      <c r="AB853" s="2327"/>
      <c r="AC853" s="232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3">
        <f>SUM(AZ821:AZ849)</f>
        <v>7.5000000000000011E-2</v>
      </c>
      <c r="BA854" s="2323"/>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166">
        <v>62500</v>
      </c>
      <c r="X855" s="2167"/>
      <c r="Y855" s="2167"/>
      <c r="Z855" s="2167"/>
      <c r="AA855" s="2167"/>
      <c r="AB855" s="2167"/>
      <c r="AC855" s="2168"/>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2023</v>
      </c>
      <c r="K856" s="77"/>
      <c r="L856" s="77"/>
      <c r="M856" s="77"/>
      <c r="N856" s="77"/>
      <c r="O856" s="77"/>
      <c r="P856" s="77"/>
      <c r="Q856" s="77"/>
      <c r="R856" s="77"/>
      <c r="S856" s="77"/>
      <c r="T856" s="2331">
        <v>1</v>
      </c>
      <c r="U856" s="2219"/>
      <c r="V856" s="2332"/>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166">
        <v>57000</v>
      </c>
      <c r="X857" s="2167"/>
      <c r="Y857" s="2167"/>
      <c r="Z857" s="2167"/>
      <c r="AA857" s="2167"/>
      <c r="AB857" s="2167"/>
      <c r="AC857" s="2168"/>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2024</v>
      </c>
      <c r="K858" s="77"/>
      <c r="L858" s="77"/>
      <c r="M858" s="77"/>
      <c r="N858" s="77"/>
      <c r="O858" s="77"/>
      <c r="P858" s="77"/>
      <c r="Q858" s="77"/>
      <c r="R858" s="77"/>
      <c r="S858" s="77"/>
      <c r="T858" s="2331">
        <v>1</v>
      </c>
      <c r="U858" s="2219"/>
      <c r="V858" s="2332"/>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97" t="s">
        <v>2598</v>
      </c>
      <c r="N859" s="2298"/>
      <c r="O859" s="2298"/>
      <c r="P859" s="2298"/>
      <c r="Q859" s="2298"/>
      <c r="R859" s="2298"/>
      <c r="S859" s="2298"/>
      <c r="T859" s="2298"/>
      <c r="U859" s="2298"/>
      <c r="V859" s="2299"/>
      <c r="W859" s="2166">
        <v>40500</v>
      </c>
      <c r="X859" s="2167"/>
      <c r="Y859" s="2167"/>
      <c r="Z859" s="2167"/>
      <c r="AA859" s="2167"/>
      <c r="AB859" s="2167"/>
      <c r="AC859" s="2168"/>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442">
        <f>SUM(W855:AC859)</f>
        <v>160000</v>
      </c>
      <c r="X860" s="2443"/>
      <c r="Y860" s="2443"/>
      <c r="Z860" s="2443"/>
      <c r="AA860" s="2443"/>
      <c r="AB860" s="2443"/>
      <c r="AC860" s="2444"/>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166">
        <v>50250</v>
      </c>
      <c r="X861" s="2167"/>
      <c r="Y861" s="2167"/>
      <c r="Z861" s="2167"/>
      <c r="AA861" s="2167"/>
      <c r="AB861" s="2167"/>
      <c r="AC861" s="2168"/>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164"/>
      <c r="X863" s="2164"/>
      <c r="Y863" s="2164"/>
      <c r="Z863" s="2164"/>
      <c r="AA863" s="2164"/>
      <c r="AB863" s="2164"/>
      <c r="AC863" s="2164"/>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164">
        <v>60000</v>
      </c>
      <c r="X864" s="2164"/>
      <c r="Y864" s="2164"/>
      <c r="Z864" s="2164"/>
      <c r="AA864" s="2164"/>
      <c r="AB864" s="2164"/>
      <c r="AC864" s="2164"/>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164">
        <v>12000</v>
      </c>
      <c r="X865" s="2164"/>
      <c r="Y865" s="2164"/>
      <c r="Z865" s="2164"/>
      <c r="AA865" s="2164"/>
      <c r="AB865" s="2164"/>
      <c r="AC865" s="2164"/>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164">
        <v>8000</v>
      </c>
      <c r="X866" s="2164"/>
      <c r="Y866" s="2164"/>
      <c r="Z866" s="2164"/>
      <c r="AA866" s="2164"/>
      <c r="AB866" s="2164"/>
      <c r="AC866" s="2164"/>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164">
        <v>13000</v>
      </c>
      <c r="X867" s="2164"/>
      <c r="Y867" s="2164"/>
      <c r="Z867" s="2164"/>
      <c r="AA867" s="2164"/>
      <c r="AB867" s="2164"/>
      <c r="AC867" s="216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164">
        <v>18000</v>
      </c>
      <c r="X868" s="2164"/>
      <c r="Y868" s="2164"/>
      <c r="Z868" s="2164"/>
      <c r="AA868" s="2164"/>
      <c r="AB868" s="2164"/>
      <c r="AC868" s="216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97" t="s">
        <v>2599</v>
      </c>
      <c r="N869" s="2298"/>
      <c r="O869" s="2298"/>
      <c r="P869" s="2298"/>
      <c r="Q869" s="2298"/>
      <c r="R869" s="2298"/>
      <c r="S869" s="2298"/>
      <c r="T869" s="2298"/>
      <c r="U869" s="2298"/>
      <c r="V869" s="2299"/>
      <c r="W869" s="2164">
        <v>12000</v>
      </c>
      <c r="X869" s="2164"/>
      <c r="Y869" s="2164"/>
      <c r="Z869" s="2164"/>
      <c r="AA869" s="2164"/>
      <c r="AB869" s="2164"/>
      <c r="AC869" s="2164"/>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165">
        <f>SUM(W863:AC869)</f>
        <v>123000</v>
      </c>
      <c r="X870" s="2165"/>
      <c r="Y870" s="2165"/>
      <c r="Z870" s="2165"/>
      <c r="AA870" s="2165"/>
      <c r="AB870" s="2165"/>
      <c r="AC870" s="216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1469</v>
      </c>
      <c r="J872" s="76" t="s">
        <v>175</v>
      </c>
      <c r="K872" s="77"/>
      <c r="L872" s="77"/>
      <c r="M872" s="2297" t="s">
        <v>2600</v>
      </c>
      <c r="N872" s="2298"/>
      <c r="O872" s="2298"/>
      <c r="P872" s="2298"/>
      <c r="Q872" s="2298"/>
      <c r="R872" s="2298"/>
      <c r="S872" s="2298"/>
      <c r="T872" s="2298"/>
      <c r="U872" s="2298"/>
      <c r="V872" s="2299"/>
      <c r="W872" s="2057">
        <v>6250</v>
      </c>
      <c r="X872" s="2058"/>
      <c r="Y872" s="2058"/>
      <c r="Z872" s="2058"/>
      <c r="AA872" s="2058"/>
      <c r="AB872" s="2058"/>
      <c r="AC872" s="2059"/>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1470</v>
      </c>
      <c r="J873" s="76" t="s">
        <v>175</v>
      </c>
      <c r="K873" s="77"/>
      <c r="L873" s="77"/>
      <c r="M873" s="2320" t="s">
        <v>345</v>
      </c>
      <c r="N873" s="2298"/>
      <c r="O873" s="2298"/>
      <c r="P873" s="2298"/>
      <c r="Q873" s="2298"/>
      <c r="R873" s="2298"/>
      <c r="S873" s="2298"/>
      <c r="T873" s="2298"/>
      <c r="U873" s="2298"/>
      <c r="V873" s="2299"/>
      <c r="W873" s="2057"/>
      <c r="X873" s="2058"/>
      <c r="Y873" s="2058"/>
      <c r="Z873" s="2058"/>
      <c r="AA873" s="2058"/>
      <c r="AB873" s="2058"/>
      <c r="AC873" s="2059"/>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20" t="s">
        <v>345</v>
      </c>
      <c r="N874" s="2298"/>
      <c r="O874" s="2298"/>
      <c r="P874" s="2298"/>
      <c r="Q874" s="2298"/>
      <c r="R874" s="2298"/>
      <c r="S874" s="2298"/>
      <c r="T874" s="2298"/>
      <c r="U874" s="2298"/>
      <c r="V874" s="2299"/>
      <c r="W874" s="2057"/>
      <c r="X874" s="2058"/>
      <c r="Y874" s="2058"/>
      <c r="Z874" s="2058"/>
      <c r="AA874" s="2058"/>
      <c r="AB874" s="2058"/>
      <c r="AC874" s="205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20" t="s">
        <v>345</v>
      </c>
      <c r="N875" s="2298"/>
      <c r="O875" s="2298"/>
      <c r="P875" s="2298"/>
      <c r="Q875" s="2298"/>
      <c r="R875" s="2298"/>
      <c r="S875" s="2298"/>
      <c r="T875" s="2298"/>
      <c r="U875" s="2298"/>
      <c r="V875" s="2299"/>
      <c r="W875" s="2057"/>
      <c r="X875" s="2058"/>
      <c r="Y875" s="2058"/>
      <c r="Z875" s="2058"/>
      <c r="AA875" s="2058"/>
      <c r="AB875" s="2058"/>
      <c r="AC875" s="205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20" t="s">
        <v>345</v>
      </c>
      <c r="N876" s="2298"/>
      <c r="O876" s="2298"/>
      <c r="P876" s="2298"/>
      <c r="Q876" s="2298"/>
      <c r="R876" s="2298"/>
      <c r="S876" s="2298"/>
      <c r="T876" s="2298"/>
      <c r="U876" s="2298"/>
      <c r="V876" s="2299"/>
      <c r="W876" s="2057"/>
      <c r="X876" s="2058"/>
      <c r="Y876" s="2058"/>
      <c r="Z876" s="2058"/>
      <c r="AA876" s="2058"/>
      <c r="AB876" s="2058"/>
      <c r="AC876" s="205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054">
        <f>SUM(W872:AC876)</f>
        <v>6250</v>
      </c>
      <c r="X877" s="2055"/>
      <c r="Y877" s="2055"/>
      <c r="Z877" s="2055"/>
      <c r="AA877" s="2055"/>
      <c r="AB877" s="2055"/>
      <c r="AC877" s="205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055">
        <f>W845+W853+W860+W861+W870+W877+W847</f>
        <v>716665</v>
      </c>
      <c r="AD881" s="2055"/>
      <c r="AE881" s="2055"/>
      <c r="AF881" s="2055"/>
      <c r="AG881" s="2055"/>
      <c r="AH881" s="205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29">
        <f>O796+O776+G753</f>
        <v>80</v>
      </c>
      <c r="AD882" s="2329"/>
      <c r="AE882" s="2329"/>
      <c r="AF882" s="2329"/>
      <c r="AG882" s="2329"/>
      <c r="AH882" s="233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472" t="s">
        <v>33</v>
      </c>
      <c r="F883" s="2472"/>
      <c r="G883" s="2472"/>
      <c r="H883" s="2472"/>
      <c r="I883" s="2472"/>
      <c r="J883" s="2472"/>
      <c r="K883" s="2472"/>
      <c r="L883" s="2472"/>
      <c r="M883" s="2472"/>
      <c r="N883" s="2472"/>
      <c r="O883" s="2472"/>
      <c r="P883" s="2472"/>
      <c r="Q883" s="2472"/>
      <c r="R883" s="2472"/>
      <c r="S883" s="2472"/>
      <c r="T883" s="2472"/>
      <c r="U883" s="2472"/>
      <c r="V883" s="2472"/>
      <c r="W883" s="2472"/>
      <c r="X883" s="2472"/>
      <c r="Y883" s="2472"/>
      <c r="Z883" s="2472"/>
      <c r="AA883" s="2472"/>
      <c r="AB883" s="2473"/>
      <c r="AC883" s="2165">
        <f>IF(ISERROR((ROUNDDOWN(AC881/AC882,0))),0,(ROUNDDOWN(AC881/AC882,0)))</f>
        <v>8958</v>
      </c>
      <c r="AD883" s="2165"/>
      <c r="AE883" s="2165"/>
      <c r="AF883" s="2165"/>
      <c r="AG883" s="2165"/>
      <c r="AH883" s="216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376">
        <f>(AF637+AF642+AC881+AC886+AC887+AC888+AC889)/12*3</f>
        <v>324259.75</v>
      </c>
      <c r="AD884" s="2377"/>
      <c r="AE884" s="2377"/>
      <c r="AF884" s="2377"/>
      <c r="AG884" s="2377"/>
      <c r="AH884" s="237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1358</v>
      </c>
      <c r="AC885" s="2059"/>
      <c r="AD885" s="2164"/>
      <c r="AE885" s="2164"/>
      <c r="AF885" s="2164"/>
      <c r="AG885" s="2164"/>
      <c r="AH885" s="216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58">
        <f>43000+6000</f>
        <v>49000</v>
      </c>
      <c r="AD886" s="2058"/>
      <c r="AE886" s="2058"/>
      <c r="AF886" s="2058"/>
      <c r="AG886" s="2058"/>
      <c r="AH886" s="205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58">
        <v>40000</v>
      </c>
      <c r="AD887" s="2058"/>
      <c r="AE887" s="2058"/>
      <c r="AF887" s="2058"/>
      <c r="AG887" s="2058"/>
      <c r="AH887" s="205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2170</v>
      </c>
      <c r="AC888" s="2278">
        <v>11603</v>
      </c>
      <c r="AD888" s="2279"/>
      <c r="AE888" s="2279"/>
      <c r="AF888" s="2279"/>
      <c r="AG888" s="2279"/>
      <c r="AH888" s="228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58">
        <v>4000</v>
      </c>
      <c r="AD889" s="2058"/>
      <c r="AE889" s="2058"/>
      <c r="AF889" s="2058"/>
      <c r="AG889" s="2058"/>
      <c r="AH889" s="2059"/>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2025</v>
      </c>
      <c r="AC890" s="2058"/>
      <c r="AD890" s="2058"/>
      <c r="AE890" s="2058"/>
      <c r="AF890" s="2058"/>
      <c r="AG890" s="2058"/>
      <c r="AH890" s="205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49" t="s">
        <v>1039</v>
      </c>
      <c r="D891" s="2150"/>
      <c r="E891" s="2150"/>
      <c r="F891" s="2150"/>
      <c r="G891" s="2150"/>
      <c r="H891" s="2150"/>
      <c r="I891" s="2150"/>
      <c r="J891" s="2150"/>
      <c r="K891" s="2150"/>
      <c r="L891" s="2150"/>
      <c r="M891" s="2150"/>
      <c r="N891" s="2150"/>
      <c r="O891" s="2150"/>
      <c r="P891" s="2150"/>
      <c r="Q891" s="2150"/>
      <c r="R891" s="2150"/>
      <c r="S891" s="2150"/>
      <c r="T891" s="2150"/>
      <c r="U891" s="2150"/>
      <c r="V891" s="2150"/>
      <c r="W891" s="2150"/>
      <c r="X891" s="2150"/>
      <c r="Y891" s="2150"/>
      <c r="Z891" s="2150"/>
      <c r="AA891" s="2150"/>
      <c r="AB891" s="2151"/>
      <c r="AC891" s="2164"/>
      <c r="AD891" s="2164"/>
      <c r="AE891" s="2164"/>
      <c r="AF891" s="2164"/>
      <c r="AG891" s="2164"/>
      <c r="AH891" s="216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149" t="s">
        <v>1039</v>
      </c>
      <c r="D892" s="2150"/>
      <c r="E892" s="2150"/>
      <c r="F892" s="2150"/>
      <c r="G892" s="2150"/>
      <c r="H892" s="2150"/>
      <c r="I892" s="2150"/>
      <c r="J892" s="2150"/>
      <c r="K892" s="2150"/>
      <c r="L892" s="2150"/>
      <c r="M892" s="2150"/>
      <c r="N892" s="2150"/>
      <c r="O892" s="2150"/>
      <c r="P892" s="2150"/>
      <c r="Q892" s="2150"/>
      <c r="R892" s="2150"/>
      <c r="S892" s="2150"/>
      <c r="T892" s="2150"/>
      <c r="U892" s="2150"/>
      <c r="V892" s="2150"/>
      <c r="W892" s="2150"/>
      <c r="X892" s="2150"/>
      <c r="Y892" s="2150"/>
      <c r="Z892" s="2150"/>
      <c r="AA892" s="2150"/>
      <c r="AB892" s="2151"/>
      <c r="AC892" s="2164"/>
      <c r="AD892" s="2164"/>
      <c r="AE892" s="2164"/>
      <c r="AF892" s="2164"/>
      <c r="AG892" s="2164"/>
      <c r="AH892" s="216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57">
        <v>0</v>
      </c>
      <c r="AA896" s="2058"/>
      <c r="AB896" s="2058"/>
      <c r="AC896" s="2058"/>
      <c r="AD896" s="2058"/>
      <c r="AE896" s="2059"/>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57"/>
      <c r="AA897" s="2058"/>
      <c r="AB897" s="2058"/>
      <c r="AC897" s="2058"/>
      <c r="AD897" s="2058"/>
      <c r="AE897" s="205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57"/>
      <c r="AA898" s="2058"/>
      <c r="AB898" s="2058"/>
      <c r="AC898" s="2058"/>
      <c r="AD898" s="2058"/>
      <c r="AE898" s="205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054">
        <f>Z896-(Z897+Z898)</f>
        <v>0</v>
      </c>
      <c r="AA899" s="2055"/>
      <c r="AB899" s="2055"/>
      <c r="AC899" s="2055"/>
      <c r="AD899" s="2055"/>
      <c r="AE899" s="2056"/>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17"/>
      <c r="BE901" s="2317"/>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19"/>
      <c r="BE902" s="2319"/>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18"/>
      <c r="BE903" s="2318"/>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18"/>
      <c r="BE904" s="2318"/>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18"/>
      <c r="BE905" s="2318"/>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17"/>
      <c r="BE906" s="2318"/>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202" t="s">
        <v>101</v>
      </c>
      <c r="B907" s="2202"/>
      <c r="C907" s="2202"/>
      <c r="D907" s="2202"/>
      <c r="E907" s="2202"/>
      <c r="F907" s="2202"/>
      <c r="G907" s="2202"/>
      <c r="H907" s="2202"/>
      <c r="I907" s="2202"/>
      <c r="J907" s="2202"/>
      <c r="K907" s="2202"/>
      <c r="L907" s="2202"/>
      <c r="M907" s="2202"/>
      <c r="N907" s="2202"/>
      <c r="O907" s="2202"/>
      <c r="P907" s="2202"/>
      <c r="Q907" s="2202"/>
      <c r="R907" s="2202"/>
      <c r="S907" s="2202"/>
      <c r="T907" s="2202"/>
      <c r="U907" s="2202"/>
      <c r="V907" s="2202"/>
      <c r="W907" s="2202"/>
      <c r="X907" s="2202"/>
      <c r="Y907" s="2202"/>
      <c r="Z907" s="2202"/>
      <c r="AA907" s="2202"/>
      <c r="AB907" s="2202"/>
      <c r="AC907" s="2202"/>
      <c r="AD907" s="2202"/>
      <c r="AE907" s="2202"/>
      <c r="AF907" s="2202"/>
      <c r="AG907" s="2202"/>
      <c r="AH907" s="2202"/>
      <c r="AI907" s="2202"/>
      <c r="AJ907" s="2202"/>
      <c r="AK907" s="2202"/>
      <c r="AL907" s="2202"/>
      <c r="AM907" s="144"/>
      <c r="AN907" s="144"/>
      <c r="AO907" s="144"/>
      <c r="AP907" s="144"/>
      <c r="AQ907" s="144"/>
      <c r="AR907" s="144"/>
      <c r="AS907" s="144"/>
      <c r="AT907" s="144"/>
      <c r="AU907" s="144"/>
      <c r="AV907" s="144"/>
      <c r="AW907" s="144"/>
      <c r="AX907" s="144"/>
      <c r="AY907" s="144"/>
      <c r="AZ907" s="61"/>
      <c r="BA907" s="25"/>
      <c r="BB907" s="127"/>
      <c r="BC907" s="1609"/>
      <c r="BD907" s="2328"/>
      <c r="BE907" s="2328"/>
      <c r="BF907" s="2328"/>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203"/>
      <c r="B908" s="2203"/>
      <c r="C908" s="2203"/>
      <c r="D908" s="2203"/>
      <c r="E908" s="2203"/>
      <c r="F908" s="2203"/>
      <c r="G908" s="2203"/>
      <c r="H908" s="2203"/>
      <c r="I908" s="2203"/>
      <c r="J908" s="2203"/>
      <c r="K908" s="2203"/>
      <c r="L908" s="2203"/>
      <c r="M908" s="2203"/>
      <c r="N908" s="2203"/>
      <c r="O908" s="2203"/>
      <c r="P908" s="2203"/>
      <c r="Q908" s="2203"/>
      <c r="R908" s="2203"/>
      <c r="S908" s="2203"/>
      <c r="T908" s="2203"/>
      <c r="U908" s="2203"/>
      <c r="V908" s="2203"/>
      <c r="W908" s="2203"/>
      <c r="X908" s="2203"/>
      <c r="Y908" s="2203"/>
      <c r="Z908" s="2203"/>
      <c r="AA908" s="2203"/>
      <c r="AB908" s="2203"/>
      <c r="AC908" s="2203"/>
      <c r="AD908" s="2203"/>
      <c r="AE908" s="2203"/>
      <c r="AF908" s="2203"/>
      <c r="AG908" s="2203"/>
      <c r="AH908" s="2203"/>
      <c r="AI908" s="2203"/>
      <c r="AJ908" s="2203"/>
      <c r="AK908" s="2203"/>
      <c r="AL908" s="2203"/>
      <c r="AM908" s="144"/>
      <c r="AN908" s="144"/>
      <c r="AO908" s="144"/>
      <c r="AP908" s="144"/>
      <c r="AQ908" s="144"/>
      <c r="AR908" s="144"/>
      <c r="AS908" s="144"/>
      <c r="AT908" s="144"/>
      <c r="AU908" s="144"/>
      <c r="AV908" s="144"/>
      <c r="AW908" s="144"/>
      <c r="AX908" s="144"/>
      <c r="AY908" s="144"/>
      <c r="AZ908" s="61"/>
      <c r="BA908" s="25"/>
      <c r="BB908" s="127"/>
      <c r="BC908" s="1609"/>
      <c r="BD908" s="2321"/>
      <c r="BE908" s="2321"/>
      <c r="BF908" s="2321"/>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18"/>
      <c r="BE909" s="2318"/>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17"/>
      <c r="BE910" s="2318"/>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6" t="s">
        <v>854</v>
      </c>
      <c r="G912" s="2347"/>
      <c r="H912" s="2347"/>
      <c r="I912" s="2347"/>
      <c r="J912" s="2347"/>
      <c r="K912" s="2347"/>
      <c r="L912" s="2347"/>
      <c r="M912" s="2347"/>
      <c r="N912" s="2347"/>
      <c r="O912" s="2347"/>
      <c r="P912" s="2347"/>
      <c r="Q912" s="2347"/>
      <c r="R912" s="2347"/>
      <c r="S912" s="2347"/>
      <c r="T912" s="2348"/>
      <c r="U912" s="2271" t="s">
        <v>32</v>
      </c>
      <c r="V912" s="2211"/>
      <c r="W912" s="2211"/>
      <c r="X912" s="2211"/>
      <c r="Y912" s="2211"/>
      <c r="Z912" s="2211"/>
      <c r="AA912" s="73"/>
      <c r="AB912" s="161"/>
      <c r="AC912" s="161"/>
      <c r="AD912" s="161"/>
      <c r="AE912" s="161"/>
      <c r="AF912" s="162"/>
      <c r="AZ912" s="61"/>
      <c r="BA912" s="1608"/>
      <c r="BB912" s="127"/>
      <c r="BC912" s="127"/>
      <c r="BD912" s="2317"/>
      <c r="BE912" s="2318"/>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272" t="s">
        <v>883</v>
      </c>
      <c r="G913" s="2273"/>
      <c r="H913" s="2273"/>
      <c r="I913" s="2273"/>
      <c r="J913" s="2273"/>
      <c r="K913" s="2273"/>
      <c r="L913" s="2273"/>
      <c r="M913" s="2273"/>
      <c r="N913" s="2273"/>
      <c r="O913" s="2273"/>
      <c r="P913" s="2273"/>
      <c r="Q913" s="2273"/>
      <c r="R913" s="2273"/>
      <c r="S913" s="2273"/>
      <c r="T913" s="2274"/>
      <c r="U913" s="2272"/>
      <c r="V913" s="2273"/>
      <c r="W913" s="2273"/>
      <c r="X913" s="2273"/>
      <c r="Y913" s="2273"/>
      <c r="Z913" s="2273"/>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275"/>
      <c r="G914" s="2276"/>
      <c r="H914" s="2276"/>
      <c r="I914" s="2276"/>
      <c r="J914" s="2276"/>
      <c r="K914" s="2276"/>
      <c r="L914" s="2276"/>
      <c r="M914" s="2276"/>
      <c r="N914" s="2276"/>
      <c r="O914" s="2276"/>
      <c r="P914" s="2276"/>
      <c r="Q914" s="2276"/>
      <c r="R914" s="2276"/>
      <c r="S914" s="2276"/>
      <c r="T914" s="2277"/>
      <c r="U914" s="2275"/>
      <c r="V914" s="2276"/>
      <c r="W914" s="2276"/>
      <c r="X914" s="2276"/>
      <c r="Y914" s="2276"/>
      <c r="Z914" s="2276"/>
      <c r="AA914" s="164"/>
      <c r="AB914" s="2336" t="s">
        <v>412</v>
      </c>
      <c r="AC914" s="2336"/>
      <c r="AD914" s="2336"/>
      <c r="AE914" s="2336"/>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13" t="s">
        <v>580</v>
      </c>
      <c r="V915" s="2060"/>
      <c r="W915" s="2060"/>
      <c r="X915" s="2060"/>
      <c r="Y915" s="2060"/>
      <c r="Z915" s="2061"/>
      <c r="AA915" s="2311">
        <f>AM564</f>
        <v>37912211</v>
      </c>
      <c r="AB915" s="2031"/>
      <c r="AC915" s="2031"/>
      <c r="AD915" s="2031"/>
      <c r="AE915" s="2031"/>
      <c r="AF915" s="231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13" t="s">
        <v>580</v>
      </c>
      <c r="V916" s="2060"/>
      <c r="W916" s="2060"/>
      <c r="X916" s="2060"/>
      <c r="Y916" s="2060"/>
      <c r="Z916" s="2061"/>
      <c r="AA916" s="2311">
        <f>AM565</f>
        <v>5289742</v>
      </c>
      <c r="AB916" s="2031"/>
      <c r="AC916" s="2031"/>
      <c r="AD916" s="2031"/>
      <c r="AE916" s="2031"/>
      <c r="AF916" s="231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13" t="s">
        <v>628</v>
      </c>
      <c r="V917" s="2060"/>
      <c r="W917" s="2060"/>
      <c r="X917" s="2060"/>
      <c r="Y917" s="2060"/>
      <c r="Z917" s="2061"/>
      <c r="AA917" s="2311"/>
      <c r="AB917" s="2031"/>
      <c r="AC917" s="2031"/>
      <c r="AD917" s="2031"/>
      <c r="AE917" s="2031"/>
      <c r="AF917" s="231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13" t="s">
        <v>628</v>
      </c>
      <c r="V918" s="2060"/>
      <c r="W918" s="2060"/>
      <c r="X918" s="2060"/>
      <c r="Y918" s="2060"/>
      <c r="Z918" s="2061"/>
      <c r="AA918" s="2311"/>
      <c r="AB918" s="2031"/>
      <c r="AC918" s="2031"/>
      <c r="AD918" s="2031"/>
      <c r="AE918" s="2031"/>
      <c r="AF918" s="231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13" t="s">
        <v>628</v>
      </c>
      <c r="V919" s="2060"/>
      <c r="W919" s="2060"/>
      <c r="X919" s="2060"/>
      <c r="Y919" s="2060"/>
      <c r="Z919" s="2061"/>
      <c r="AA919" s="2311"/>
      <c r="AB919" s="2031"/>
      <c r="AC919" s="2031"/>
      <c r="AD919" s="2031"/>
      <c r="AE919" s="2031"/>
      <c r="AF919" s="231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13" t="s">
        <v>628</v>
      </c>
      <c r="V920" s="2060"/>
      <c r="W920" s="2060"/>
      <c r="X920" s="2060"/>
      <c r="Y920" s="2060"/>
      <c r="Z920" s="2061"/>
      <c r="AA920" s="2311"/>
      <c r="AB920" s="2031"/>
      <c r="AC920" s="2031"/>
      <c r="AD920" s="2031"/>
      <c r="AE920" s="2031"/>
      <c r="AF920" s="231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13" t="s">
        <v>628</v>
      </c>
      <c r="V921" s="2060"/>
      <c r="W921" s="2060"/>
      <c r="X921" s="2060"/>
      <c r="Y921" s="2060"/>
      <c r="Z921" s="2061"/>
      <c r="AA921" s="2311"/>
      <c r="AB921" s="2031"/>
      <c r="AC921" s="2031"/>
      <c r="AD921" s="2031"/>
      <c r="AE921" s="2031"/>
      <c r="AF921" s="231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13" t="s">
        <v>628</v>
      </c>
      <c r="V922" s="2060"/>
      <c r="W922" s="2060"/>
      <c r="X922" s="2060"/>
      <c r="Y922" s="2060"/>
      <c r="Z922" s="2061"/>
      <c r="AA922" s="2311"/>
      <c r="AB922" s="2031"/>
      <c r="AC922" s="2031"/>
      <c r="AD922" s="2031"/>
      <c r="AE922" s="2031"/>
      <c r="AF922" s="231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13" t="s">
        <v>628</v>
      </c>
      <c r="V923" s="2060"/>
      <c r="W923" s="2060"/>
      <c r="X923" s="2060"/>
      <c r="Y923" s="2060"/>
      <c r="Z923" s="2061"/>
      <c r="AA923" s="2311"/>
      <c r="AB923" s="2031"/>
      <c r="AC923" s="2031"/>
      <c r="AD923" s="2031"/>
      <c r="AE923" s="2031"/>
      <c r="AF923" s="231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13" t="s">
        <v>628</v>
      </c>
      <c r="V924" s="2060"/>
      <c r="W924" s="2060"/>
      <c r="X924" s="2060"/>
      <c r="Y924" s="2060"/>
      <c r="Z924" s="2061"/>
      <c r="AA924" s="2311"/>
      <c r="AB924" s="2031"/>
      <c r="AC924" s="2031"/>
      <c r="AD924" s="2031"/>
      <c r="AE924" s="2031"/>
      <c r="AF924" s="231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1521</v>
      </c>
      <c r="G925" s="77"/>
      <c r="H925" s="77"/>
      <c r="I925" s="77"/>
      <c r="J925" s="77"/>
      <c r="K925" s="77"/>
      <c r="L925" s="77"/>
      <c r="M925" s="77"/>
      <c r="N925" s="77"/>
      <c r="O925" s="77"/>
      <c r="P925" s="77"/>
      <c r="Q925" s="77"/>
      <c r="R925" s="77"/>
      <c r="S925" s="77"/>
      <c r="T925" s="78"/>
      <c r="U925" s="2313" t="s">
        <v>628</v>
      </c>
      <c r="V925" s="2060"/>
      <c r="W925" s="2060"/>
      <c r="X925" s="2060"/>
      <c r="Y925" s="2060"/>
      <c r="Z925" s="2061"/>
      <c r="AA925" s="2311"/>
      <c r="AB925" s="2031"/>
      <c r="AC925" s="2031"/>
      <c r="AD925" s="2031"/>
      <c r="AE925" s="2031"/>
      <c r="AF925" s="231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13" t="s">
        <v>628</v>
      </c>
      <c r="V926" s="2060"/>
      <c r="W926" s="2060"/>
      <c r="X926" s="2060"/>
      <c r="Y926" s="2060"/>
      <c r="Z926" s="2061"/>
      <c r="AA926" s="2311"/>
      <c r="AB926" s="2031"/>
      <c r="AC926" s="2031"/>
      <c r="AD926" s="2031"/>
      <c r="AE926" s="2031"/>
      <c r="AF926" s="231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13" t="s">
        <v>628</v>
      </c>
      <c r="V927" s="2060"/>
      <c r="W927" s="2060"/>
      <c r="X927" s="2060"/>
      <c r="Y927" s="2060"/>
      <c r="Z927" s="2061"/>
      <c r="AA927" s="2311"/>
      <c r="AB927" s="2031"/>
      <c r="AC927" s="2031"/>
      <c r="AD927" s="2031"/>
      <c r="AE927" s="2031"/>
      <c r="AF927" s="231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1502</v>
      </c>
      <c r="G928" s="148"/>
      <c r="H928" s="148"/>
      <c r="I928" s="148"/>
      <c r="J928" s="148"/>
      <c r="K928" s="148"/>
      <c r="L928" s="148"/>
      <c r="M928" s="148"/>
      <c r="N928" s="148"/>
      <c r="O928" s="148"/>
      <c r="P928" s="148"/>
      <c r="Q928" s="148"/>
      <c r="R928" s="148"/>
      <c r="S928" s="148"/>
      <c r="T928" s="337"/>
      <c r="U928" s="2313" t="s">
        <v>628</v>
      </c>
      <c r="V928" s="2060"/>
      <c r="W928" s="2060"/>
      <c r="X928" s="2060"/>
      <c r="Y928" s="2060"/>
      <c r="Z928" s="2061"/>
      <c r="AA928" s="2311"/>
      <c r="AB928" s="2031"/>
      <c r="AC928" s="2031"/>
      <c r="AD928" s="2031"/>
      <c r="AE928" s="2031"/>
      <c r="AF928" s="231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1503</v>
      </c>
      <c r="G929" s="77"/>
      <c r="H929" s="77"/>
      <c r="I929" s="77"/>
      <c r="J929" s="77"/>
      <c r="K929" s="77"/>
      <c r="L929" s="77"/>
      <c r="M929" s="77"/>
      <c r="N929" s="77"/>
      <c r="O929" s="77"/>
      <c r="P929" s="148"/>
      <c r="Q929" s="148"/>
      <c r="R929" s="148"/>
      <c r="S929" s="148"/>
      <c r="T929" s="337"/>
      <c r="U929" s="2313" t="s">
        <v>628</v>
      </c>
      <c r="V929" s="2060"/>
      <c r="W929" s="2060"/>
      <c r="X929" s="2060"/>
      <c r="Y929" s="2060"/>
      <c r="Z929" s="2061"/>
      <c r="AA929" s="2311"/>
      <c r="AB929" s="2031"/>
      <c r="AC929" s="2031"/>
      <c r="AD929" s="2031"/>
      <c r="AE929" s="2031"/>
      <c r="AF929" s="231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13" t="s">
        <v>708</v>
      </c>
      <c r="Q930" s="2060"/>
      <c r="R930" s="2060"/>
      <c r="S930" s="2060"/>
      <c r="T930" s="2061"/>
      <c r="U930" s="2313" t="s">
        <v>628</v>
      </c>
      <c r="V930" s="2060"/>
      <c r="W930" s="2060"/>
      <c r="X930" s="2060"/>
      <c r="Y930" s="2060"/>
      <c r="Z930" s="2061"/>
      <c r="AA930" s="2311"/>
      <c r="AB930" s="2031"/>
      <c r="AC930" s="2031"/>
      <c r="AD930" s="2031"/>
      <c r="AE930" s="2031"/>
      <c r="AF930" s="231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43" t="s">
        <v>2602</v>
      </c>
      <c r="J931" s="2344"/>
      <c r="K931" s="2344"/>
      <c r="L931" s="2344"/>
      <c r="M931" s="2344"/>
      <c r="N931" s="2344"/>
      <c r="O931" s="2344"/>
      <c r="P931" s="2344"/>
      <c r="Q931" s="2344"/>
      <c r="R931" s="2344"/>
      <c r="S931" s="2344"/>
      <c r="T931" s="2345"/>
      <c r="U931" s="2313" t="s">
        <v>580</v>
      </c>
      <c r="V931" s="2060"/>
      <c r="W931" s="2060"/>
      <c r="X931" s="2060"/>
      <c r="Y931" s="2060"/>
      <c r="Z931" s="2061"/>
      <c r="AA931" s="2311">
        <f>AO642</f>
        <v>8623532</v>
      </c>
      <c r="AB931" s="2031"/>
      <c r="AC931" s="2031"/>
      <c r="AD931" s="2031"/>
      <c r="AE931" s="2031"/>
      <c r="AF931" s="231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43" t="s">
        <v>2471</v>
      </c>
      <c r="J932" s="2309"/>
      <c r="K932" s="2309"/>
      <c r="L932" s="2309"/>
      <c r="M932" s="2309"/>
      <c r="N932" s="2309"/>
      <c r="O932" s="2309"/>
      <c r="P932" s="2309"/>
      <c r="Q932" s="2309"/>
      <c r="R932" s="2309"/>
      <c r="S932" s="2309"/>
      <c r="T932" s="2310"/>
      <c r="U932" s="2313" t="s">
        <v>580</v>
      </c>
      <c r="V932" s="2060"/>
      <c r="W932" s="2060"/>
      <c r="X932" s="2060"/>
      <c r="Y932" s="2060"/>
      <c r="Z932" s="2061"/>
      <c r="AA932" s="2311">
        <f>AO638</f>
        <v>11295000</v>
      </c>
      <c r="AB932" s="2031"/>
      <c r="AC932" s="2031"/>
      <c r="AD932" s="2031"/>
      <c r="AE932" s="2031"/>
      <c r="AF932" s="231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43" t="s">
        <v>2553</v>
      </c>
      <c r="J933" s="2309"/>
      <c r="K933" s="2309"/>
      <c r="L933" s="2309"/>
      <c r="M933" s="2309"/>
      <c r="N933" s="2309"/>
      <c r="O933" s="2309"/>
      <c r="P933" s="2309"/>
      <c r="Q933" s="2309"/>
      <c r="R933" s="2309"/>
      <c r="S933" s="2309"/>
      <c r="T933" s="2310"/>
      <c r="U933" s="2313" t="s">
        <v>580</v>
      </c>
      <c r="V933" s="2060"/>
      <c r="W933" s="2060"/>
      <c r="X933" s="2060"/>
      <c r="Y933" s="2060"/>
      <c r="Z933" s="2061"/>
      <c r="AA933" s="2311">
        <f>AO639</f>
        <v>10400000</v>
      </c>
      <c r="AB933" s="2031"/>
      <c r="AC933" s="2031"/>
      <c r="AD933" s="2031"/>
      <c r="AE933" s="2031"/>
      <c r="AF933" s="231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43" t="s">
        <v>2603</v>
      </c>
      <c r="J934" s="2309"/>
      <c r="K934" s="2309"/>
      <c r="L934" s="2309"/>
      <c r="M934" s="2309"/>
      <c r="N934" s="2309"/>
      <c r="O934" s="2309"/>
      <c r="P934" s="2309"/>
      <c r="Q934" s="2309"/>
      <c r="R934" s="2309"/>
      <c r="S934" s="2309"/>
      <c r="T934" s="2310"/>
      <c r="U934" s="2313" t="s">
        <v>580</v>
      </c>
      <c r="V934" s="2060"/>
      <c r="W934" s="2060"/>
      <c r="X934" s="2060"/>
      <c r="Y934" s="2060"/>
      <c r="Z934" s="2061"/>
      <c r="AA934" s="2311">
        <f>AO641</f>
        <v>1000000</v>
      </c>
      <c r="AB934" s="2031"/>
      <c r="AC934" s="2031"/>
      <c r="AD934" s="2031"/>
      <c r="AE934" s="2031"/>
      <c r="AF934" s="231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1">
        <v>44004</v>
      </c>
      <c r="N939" s="2305"/>
      <c r="O939" s="2305"/>
      <c r="P939" s="2305"/>
      <c r="Q939" s="2305"/>
      <c r="R939" s="2305"/>
      <c r="S939" s="2306"/>
      <c r="U939" s="103" t="s">
        <v>11</v>
      </c>
      <c r="V939" s="77"/>
      <c r="W939" s="77"/>
      <c r="X939" s="77"/>
      <c r="Y939" s="77"/>
      <c r="Z939" s="77"/>
      <c r="AA939" s="77"/>
      <c r="AB939" s="77"/>
      <c r="AC939" s="77"/>
      <c r="AD939" s="78"/>
      <c r="AE939" s="2361"/>
      <c r="AF939" s="2305"/>
      <c r="AG939" s="2305"/>
      <c r="AH939" s="2305"/>
      <c r="AI939" s="2305"/>
      <c r="AJ939" s="2305"/>
      <c r="AK939" s="230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3" t="s">
        <v>2605</v>
      </c>
      <c r="N940" s="2334"/>
      <c r="O940" s="2334"/>
      <c r="P940" s="2334"/>
      <c r="Q940" s="2334"/>
      <c r="R940" s="2334"/>
      <c r="S940" s="2335"/>
      <c r="U940" s="103" t="s">
        <v>12</v>
      </c>
      <c r="V940" s="77"/>
      <c r="W940" s="77"/>
      <c r="X940" s="77"/>
      <c r="Y940" s="77"/>
      <c r="Z940" s="77"/>
      <c r="AA940" s="77"/>
      <c r="AB940" s="77"/>
      <c r="AC940" s="77"/>
      <c r="AD940" s="78"/>
      <c r="AE940" s="2333"/>
      <c r="AF940" s="2334"/>
      <c r="AG940" s="2334"/>
      <c r="AH940" s="2334"/>
      <c r="AI940" s="2334"/>
      <c r="AJ940" s="2334"/>
      <c r="AK940" s="233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37" t="s">
        <v>2604</v>
      </c>
      <c r="K941" s="2338"/>
      <c r="L941" s="2338"/>
      <c r="M941" s="2338"/>
      <c r="N941" s="2338"/>
      <c r="O941" s="2338"/>
      <c r="P941" s="2338"/>
      <c r="Q941" s="2338"/>
      <c r="R941" s="2338"/>
      <c r="S941" s="2339"/>
      <c r="U941" s="103" t="s">
        <v>949</v>
      </c>
      <c r="V941" s="77"/>
      <c r="W941" s="77"/>
      <c r="AB941" s="2337" t="s">
        <v>318</v>
      </c>
      <c r="AC941" s="2338"/>
      <c r="AD941" s="2338"/>
      <c r="AE941" s="2338"/>
      <c r="AF941" s="2338"/>
      <c r="AG941" s="2338"/>
      <c r="AH941" s="2338"/>
      <c r="AI941" s="2338"/>
      <c r="AJ941" s="2338"/>
      <c r="AK941" s="233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14">
        <f>20/79</f>
        <v>0.25316455696202533</v>
      </c>
      <c r="N942" s="2315"/>
      <c r="O942" s="2315"/>
      <c r="P942" s="2315"/>
      <c r="Q942" s="2315"/>
      <c r="R942" s="2315"/>
      <c r="S942" s="2316"/>
      <c r="U942" s="103" t="s">
        <v>13</v>
      </c>
      <c r="V942" s="77"/>
      <c r="W942" s="77"/>
      <c r="X942" s="77"/>
      <c r="Y942" s="77"/>
      <c r="Z942" s="77"/>
      <c r="AA942" s="77"/>
      <c r="AB942" s="77"/>
      <c r="AC942" s="77"/>
      <c r="AD942" s="78"/>
      <c r="AE942" s="2360"/>
      <c r="AF942" s="2315"/>
      <c r="AG942" s="2315"/>
      <c r="AH942" s="2315"/>
      <c r="AI942" s="2315"/>
      <c r="AJ942" s="2315"/>
      <c r="AK942" s="231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51">
        <v>20</v>
      </c>
      <c r="N943" s="2352"/>
      <c r="O943" s="2352"/>
      <c r="P943" s="2352"/>
      <c r="Q943" s="2352"/>
      <c r="R943" s="2352"/>
      <c r="S943" s="2353"/>
      <c r="U943" s="103" t="s">
        <v>14</v>
      </c>
      <c r="V943" s="77"/>
      <c r="W943" s="77"/>
      <c r="X943" s="77"/>
      <c r="Y943" s="77"/>
      <c r="Z943" s="77"/>
      <c r="AA943" s="77"/>
      <c r="AB943" s="77"/>
      <c r="AC943" s="77"/>
      <c r="AD943" s="78"/>
      <c r="AE943" s="2351"/>
      <c r="AF943" s="2352"/>
      <c r="AG943" s="2352"/>
      <c r="AH943" s="2352"/>
      <c r="AI943" s="2352"/>
      <c r="AJ943" s="2352"/>
      <c r="AK943" s="235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1">
        <f>'Subsidy Contract Calculation'!I30</f>
        <v>484992</v>
      </c>
      <c r="N944" s="2031"/>
      <c r="O944" s="2031"/>
      <c r="P944" s="2031"/>
      <c r="Q944" s="2031"/>
      <c r="R944" s="2031"/>
      <c r="S944" s="2312"/>
      <c r="U944" s="103" t="s">
        <v>15</v>
      </c>
      <c r="V944" s="77"/>
      <c r="W944" s="77"/>
      <c r="X944" s="77"/>
      <c r="Y944" s="77"/>
      <c r="Z944" s="77"/>
      <c r="AA944" s="77"/>
      <c r="AB944" s="77"/>
      <c r="AC944" s="77"/>
      <c r="AD944" s="78"/>
      <c r="AE944" s="2311"/>
      <c r="AF944" s="2031"/>
      <c r="AG944" s="2031"/>
      <c r="AH944" s="2031"/>
      <c r="AI944" s="2031"/>
      <c r="AJ944" s="2031"/>
      <c r="AK944" s="231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1">
        <f>M946*M944</f>
        <v>9699840</v>
      </c>
      <c r="N945" s="2031"/>
      <c r="O945" s="2031"/>
      <c r="P945" s="2031"/>
      <c r="Q945" s="2031"/>
      <c r="R945" s="2031"/>
      <c r="S945" s="2312"/>
      <c r="U945" s="103" t="s">
        <v>16</v>
      </c>
      <c r="V945" s="77"/>
      <c r="W945" s="77"/>
      <c r="X945" s="77"/>
      <c r="Y945" s="77"/>
      <c r="Z945" s="77"/>
      <c r="AA945" s="77"/>
      <c r="AB945" s="77"/>
      <c r="AC945" s="77"/>
      <c r="AD945" s="78"/>
      <c r="AE945" s="2311"/>
      <c r="AF945" s="2031"/>
      <c r="AG945" s="2031"/>
      <c r="AH945" s="2031"/>
      <c r="AI945" s="2031"/>
      <c r="AJ945" s="2031"/>
      <c r="AK945" s="231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357">
        <v>20</v>
      </c>
      <c r="N946" s="2358"/>
      <c r="O946" s="2358"/>
      <c r="P946" s="2358"/>
      <c r="Q946" s="2358"/>
      <c r="R946" s="2358"/>
      <c r="S946" s="2359"/>
      <c r="U946" s="103" t="s">
        <v>607</v>
      </c>
      <c r="V946" s="77"/>
      <c r="W946" s="77"/>
      <c r="X946" s="77"/>
      <c r="Y946" s="77"/>
      <c r="Z946" s="77"/>
      <c r="AA946" s="77"/>
      <c r="AB946" s="77"/>
      <c r="AC946" s="77"/>
      <c r="AD946" s="78"/>
      <c r="AE946" s="2357"/>
      <c r="AF946" s="2358"/>
      <c r="AG946" s="2358"/>
      <c r="AH946" s="2358"/>
      <c r="AI946" s="2358"/>
      <c r="AJ946" s="2358"/>
      <c r="AK946" s="235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324"/>
      <c r="N951" s="2325"/>
      <c r="O951" s="2325"/>
      <c r="P951" s="2325"/>
      <c r="Q951" s="2325"/>
      <c r="R951" s="2325"/>
      <c r="S951" s="2326"/>
      <c r="T951" s="103" t="s">
        <v>852</v>
      </c>
      <c r="U951" s="77"/>
      <c r="V951" s="77"/>
      <c r="W951" s="77"/>
      <c r="X951" s="77"/>
      <c r="Y951" s="77"/>
      <c r="Z951" s="78"/>
      <c r="AA951" s="2324"/>
      <c r="AB951" s="2325"/>
      <c r="AC951" s="2325"/>
      <c r="AD951" s="2325"/>
      <c r="AE951" s="2325"/>
      <c r="AF951" s="2325"/>
      <c r="AG951" s="232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324"/>
      <c r="N952" s="2325"/>
      <c r="O952" s="2325"/>
      <c r="P952" s="2325"/>
      <c r="Q952" s="2325"/>
      <c r="R952" s="2325"/>
      <c r="S952" s="2326"/>
      <c r="T952" s="103" t="s">
        <v>851</v>
      </c>
      <c r="U952" s="77"/>
      <c r="V952" s="77"/>
      <c r="W952" s="77"/>
      <c r="X952" s="77"/>
      <c r="Y952" s="77"/>
      <c r="Z952" s="78"/>
      <c r="AA952" s="2324"/>
      <c r="AB952" s="2325"/>
      <c r="AC952" s="2325"/>
      <c r="AD952" s="2325"/>
      <c r="AE952" s="2325"/>
      <c r="AF952" s="2325"/>
      <c r="AG952" s="232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82" t="s">
        <v>628</v>
      </c>
      <c r="N953" s="2383"/>
      <c r="O953" s="2383"/>
      <c r="P953" s="2383"/>
      <c r="Q953" s="2383"/>
      <c r="R953" s="2383"/>
      <c r="S953" s="2384"/>
      <c r="T953" s="76" t="s">
        <v>348</v>
      </c>
      <c r="U953" s="77"/>
      <c r="V953" s="77"/>
      <c r="W953" s="77"/>
      <c r="X953" s="77"/>
      <c r="Y953" s="77"/>
      <c r="Z953" s="78"/>
      <c r="AA953" s="2324"/>
      <c r="AB953" s="2325"/>
      <c r="AC953" s="2325"/>
      <c r="AD953" s="2325"/>
      <c r="AE953" s="2325"/>
      <c r="AF953" s="2325"/>
      <c r="AG953" s="232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324"/>
      <c r="N954" s="2325"/>
      <c r="O954" s="2325"/>
      <c r="P954" s="2325"/>
      <c r="Q954" s="2325"/>
      <c r="R954" s="2325"/>
      <c r="S954" s="2326"/>
      <c r="T954" s="76" t="s">
        <v>349</v>
      </c>
      <c r="U954" s="77"/>
      <c r="V954" s="77"/>
      <c r="W954" s="77"/>
      <c r="X954" s="77"/>
      <c r="Y954" s="77"/>
      <c r="Z954" s="78"/>
      <c r="AA954" s="2324"/>
      <c r="AB954" s="2325"/>
      <c r="AC954" s="2325"/>
      <c r="AD954" s="2325"/>
      <c r="AE954" s="2325"/>
      <c r="AF954" s="2325"/>
      <c r="AG954" s="232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324"/>
      <c r="N955" s="2325"/>
      <c r="O955" s="2325"/>
      <c r="P955" s="2325"/>
      <c r="Q955" s="2325"/>
      <c r="R955" s="2325"/>
      <c r="S955" s="2326"/>
      <c r="T955" s="76" t="s">
        <v>396</v>
      </c>
      <c r="U955" s="77"/>
      <c r="V955" s="77"/>
      <c r="W955" s="77"/>
      <c r="X955" s="77"/>
      <c r="Y955" s="77"/>
      <c r="Z955" s="78"/>
      <c r="AA955" s="2324"/>
      <c r="AB955" s="2325"/>
      <c r="AC955" s="2325"/>
      <c r="AD955" s="2325"/>
      <c r="AE955" s="2325"/>
      <c r="AF955" s="2325"/>
      <c r="AG955" s="232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79" t="s">
        <v>318</v>
      </c>
      <c r="N956" s="2380"/>
      <c r="O956" s="2380"/>
      <c r="P956" s="2380"/>
      <c r="Q956" s="2380"/>
      <c r="R956" s="2380"/>
      <c r="S956" s="2381"/>
      <c r="T956" s="2340"/>
      <c r="U956" s="2341"/>
      <c r="V956" s="2341"/>
      <c r="W956" s="2341"/>
      <c r="X956" s="2341"/>
      <c r="Y956" s="2341"/>
      <c r="Z956" s="2342"/>
      <c r="AA956" s="2324"/>
      <c r="AB956" s="2325"/>
      <c r="AC956" s="2325"/>
      <c r="AD956" s="2325"/>
      <c r="AE956" s="2325"/>
      <c r="AF956" s="2325"/>
      <c r="AG956" s="232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324"/>
      <c r="N957" s="2325"/>
      <c r="O957" s="2325"/>
      <c r="P957" s="2325"/>
      <c r="Q957" s="2325"/>
      <c r="R957" s="2325"/>
      <c r="S957" s="2326"/>
      <c r="T957" s="2340"/>
      <c r="U957" s="2341"/>
      <c r="V957" s="2341"/>
      <c r="W957" s="2341"/>
      <c r="X957" s="2341"/>
      <c r="Y957" s="2341"/>
      <c r="Z957" s="2342"/>
      <c r="AA957" s="2324"/>
      <c r="AB957" s="2325"/>
      <c r="AC957" s="2325"/>
      <c r="AD957" s="2325"/>
      <c r="AE957" s="2325"/>
      <c r="AF957" s="2325"/>
      <c r="AG957" s="232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133" t="s">
        <v>708</v>
      </c>
      <c r="P958" s="2134"/>
      <c r="Q958" s="139"/>
      <c r="R958" s="139"/>
      <c r="S958" s="140"/>
      <c r="T958" s="71" t="s">
        <v>175</v>
      </c>
      <c r="U958" s="72"/>
      <c r="V958" s="72"/>
      <c r="W958" s="2320" t="s">
        <v>345</v>
      </c>
      <c r="X958" s="2298"/>
      <c r="Y958" s="2298"/>
      <c r="Z958" s="2298"/>
      <c r="AA958" s="2298"/>
      <c r="AB958" s="2298"/>
      <c r="AC958" s="2298"/>
      <c r="AD958" s="2298"/>
      <c r="AE958" s="2298"/>
      <c r="AF958" s="2298"/>
      <c r="AG958" s="229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74" t="s">
        <v>34</v>
      </c>
      <c r="G959" s="2375"/>
      <c r="H959" s="2375"/>
      <c r="I959" s="2375"/>
      <c r="J959" s="2375"/>
      <c r="K959" s="2375"/>
      <c r="L959" s="2375"/>
      <c r="M959" s="2324"/>
      <c r="N959" s="2325"/>
      <c r="O959" s="2325"/>
      <c r="P959" s="2325"/>
      <c r="Q959" s="2325"/>
      <c r="R959" s="2325"/>
      <c r="S959" s="2326"/>
      <c r="T959" s="79"/>
      <c r="U959" s="80"/>
      <c r="V959" s="80"/>
      <c r="W959" s="80"/>
      <c r="X959" s="80"/>
      <c r="Y959" s="80"/>
      <c r="Z959" s="188" t="s">
        <v>139</v>
      </c>
      <c r="AA959" s="2354"/>
      <c r="AB959" s="2355"/>
      <c r="AC959" s="2355"/>
      <c r="AD959" s="2355"/>
      <c r="AE959" s="2355"/>
      <c r="AF959" s="2355"/>
      <c r="AG959" s="235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477" t="s">
        <v>583</v>
      </c>
      <c r="B963" s="2477"/>
      <c r="C963" s="2477"/>
      <c r="D963" s="2477"/>
      <c r="E963" s="2477"/>
      <c r="F963" s="2477"/>
      <c r="G963" s="2477"/>
      <c r="H963" s="2477"/>
      <c r="I963" s="2477"/>
      <c r="J963" s="2477"/>
      <c r="K963" s="2477"/>
      <c r="L963" s="2477"/>
      <c r="M963" s="2477"/>
      <c r="N963" s="2477"/>
      <c r="O963" s="2477"/>
      <c r="P963" s="2477"/>
      <c r="Q963" s="2477"/>
      <c r="R963" s="2477"/>
      <c r="S963" s="2477"/>
      <c r="T963" s="2477"/>
      <c r="U963" s="2477"/>
      <c r="V963" s="2477"/>
      <c r="W963" s="2477"/>
      <c r="X963" s="2477"/>
      <c r="Y963" s="2477"/>
      <c r="Z963" s="2477"/>
      <c r="AA963" s="2477"/>
      <c r="AB963" s="2477"/>
      <c r="AC963" s="2477"/>
      <c r="AD963" s="2477"/>
      <c r="AE963" s="2477"/>
      <c r="AF963" s="2477"/>
      <c r="AG963" s="2477"/>
      <c r="AH963" s="2477"/>
      <c r="AI963" s="2477"/>
      <c r="AJ963" s="2477"/>
      <c r="AK963" s="2477"/>
      <c r="AL963" s="2477"/>
      <c r="AM963" s="2477"/>
      <c r="AN963" s="2477"/>
      <c r="AO963" s="2477"/>
      <c r="AP963" s="2477"/>
      <c r="AQ963" s="2477"/>
      <c r="AR963" s="2477"/>
      <c r="AS963" s="247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477"/>
      <c r="B964" s="2477"/>
      <c r="C964" s="2477"/>
      <c r="D964" s="2477"/>
      <c r="E964" s="2477"/>
      <c r="F964" s="2477"/>
      <c r="G964" s="2477"/>
      <c r="H964" s="2477"/>
      <c r="I964" s="2477"/>
      <c r="J964" s="2477"/>
      <c r="K964" s="2477"/>
      <c r="L964" s="2477"/>
      <c r="M964" s="2477"/>
      <c r="N964" s="2477"/>
      <c r="O964" s="2477"/>
      <c r="P964" s="2477"/>
      <c r="Q964" s="2477"/>
      <c r="R964" s="2477"/>
      <c r="S964" s="2477"/>
      <c r="T964" s="2477"/>
      <c r="U964" s="2477"/>
      <c r="V964" s="2477"/>
      <c r="W964" s="2477"/>
      <c r="X964" s="2477"/>
      <c r="Y964" s="2477"/>
      <c r="Z964" s="2477"/>
      <c r="AA964" s="2477"/>
      <c r="AB964" s="2477"/>
      <c r="AC964" s="2477"/>
      <c r="AD964" s="2477"/>
      <c r="AE964" s="2477"/>
      <c r="AF964" s="2477"/>
      <c r="AG964" s="2477"/>
      <c r="AH964" s="2477"/>
      <c r="AI964" s="2477"/>
      <c r="AJ964" s="2477"/>
      <c r="AK964" s="2477"/>
      <c r="AL964" s="2477"/>
      <c r="AM964" s="2477"/>
      <c r="AN964" s="2477"/>
      <c r="AO964" s="2477"/>
      <c r="AP964" s="2477"/>
      <c r="AQ964" s="2477"/>
      <c r="AR964" s="2477"/>
      <c r="AS964" s="247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50"/>
      <c r="BH965" s="2350"/>
      <c r="BI965" s="2350"/>
      <c r="BJ965" s="2350"/>
      <c r="BK965" s="2350"/>
      <c r="BL965" s="2350"/>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3">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8"/>
      <c r="D968" s="2539" t="s">
        <v>675</v>
      </c>
      <c r="E968" s="2540"/>
      <c r="F968" s="2540"/>
      <c r="G968" s="2540"/>
      <c r="H968" s="2540"/>
      <c r="I968" s="2540"/>
      <c r="J968" s="2540"/>
      <c r="K968" s="2540"/>
      <c r="L968" s="2540"/>
      <c r="M968" s="2540"/>
      <c r="N968" s="2540"/>
      <c r="O968" s="2540"/>
      <c r="P968" s="2540"/>
      <c r="Q968" s="2541"/>
      <c r="R968" s="2539" t="s">
        <v>676</v>
      </c>
      <c r="S968" s="2540"/>
      <c r="T968" s="2540"/>
      <c r="U968" s="2540"/>
      <c r="V968" s="2540"/>
      <c r="W968" s="2540"/>
      <c r="X968" s="2540"/>
      <c r="Y968" s="2540"/>
      <c r="Z968" s="2540"/>
      <c r="AA968" s="2541"/>
      <c r="AB968" s="2539" t="s">
        <v>677</v>
      </c>
      <c r="AC968" s="2540"/>
      <c r="AD968" s="2540"/>
      <c r="AE968" s="2540"/>
      <c r="AF968" s="2540"/>
      <c r="AG968" s="2540"/>
      <c r="AH968" s="2540"/>
      <c r="AI968" s="2541"/>
      <c r="AJ968" s="2539" t="s">
        <v>678</v>
      </c>
      <c r="AK968" s="2540"/>
      <c r="AL968" s="2540"/>
      <c r="AM968" s="2540"/>
      <c r="AN968" s="2540"/>
      <c r="AO968" s="2540"/>
      <c r="AP968" s="2540"/>
      <c r="AQ968" s="2541"/>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5">
      <c r="B969" s="110"/>
      <c r="C969" s="1629"/>
      <c r="D969" s="2431" t="s">
        <v>670</v>
      </c>
      <c r="E969" s="2432"/>
      <c r="F969" s="2432"/>
      <c r="G969" s="2432"/>
      <c r="H969" s="2432"/>
      <c r="I969" s="2432"/>
      <c r="J969" s="2432"/>
      <c r="K969" s="2432"/>
      <c r="L969" s="2432"/>
      <c r="M969" s="2432"/>
      <c r="N969" s="2432"/>
      <c r="O969" s="2432"/>
      <c r="P969" s="2432"/>
      <c r="Q969" s="2433"/>
      <c r="R969" s="2349">
        <f>IF(ISNA(IF($BN$799="4%",(INDEX($BP$809:$BT$866,MATCH($CB$799,$BO$809:$BO$866,0),MATCH(D969,$BP$808:$BT$808,0))),(INDEX($BW$809:$CA$866,MATCH($CB$799,$BV$809:$BV$866,0),MATCH(D969,$BW$808:$CA$808,0))))),0,IF($BN$799="4%",(INDEX($BP$809:$BT$866,MATCH($CB$799,$BO$809:$BO$866,0),MATCH(D969,$BP$808:$BT$808,0))),(INDEX($BW$809:$CA$866,MATCH($CB$799,$BV$809:$BV$866,0),MATCH(D969,$BW$808:$CA$808,0)))))</f>
        <v>440028</v>
      </c>
      <c r="S969" s="2349"/>
      <c r="T969" s="2349"/>
      <c r="U969" s="2349"/>
      <c r="V969" s="2349"/>
      <c r="W969" s="2349"/>
      <c r="X969" s="2349"/>
      <c r="Y969" s="2349"/>
      <c r="Z969" s="2349"/>
      <c r="AA969" s="2349"/>
      <c r="AB969" s="2587">
        <f>BN663</f>
        <v>28</v>
      </c>
      <c r="AC969" s="2588"/>
      <c r="AD969" s="2588"/>
      <c r="AE969" s="2588"/>
      <c r="AF969" s="2588"/>
      <c r="AG969" s="2588"/>
      <c r="AH969" s="2588"/>
      <c r="AI969" s="2589"/>
      <c r="AJ969" s="2438">
        <f>IF(ISERROR((R969*AB969)),0,(R969*AB969))</f>
        <v>12320784</v>
      </c>
      <c r="AK969" s="2439"/>
      <c r="AL969" s="2439"/>
      <c r="AM969" s="2439"/>
      <c r="AN969" s="2439"/>
      <c r="AO969" s="2439"/>
      <c r="AP969" s="2439"/>
      <c r="AQ969" s="2440"/>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5">
      <c r="B970" s="110"/>
      <c r="C970" s="1630"/>
      <c r="D970" s="2431" t="s">
        <v>336</v>
      </c>
      <c r="E970" s="2432"/>
      <c r="F970" s="2432"/>
      <c r="G970" s="2432"/>
      <c r="H970" s="2432"/>
      <c r="I970" s="2432"/>
      <c r="J970" s="2432"/>
      <c r="K970" s="2432"/>
      <c r="L970" s="2432"/>
      <c r="M970" s="2432"/>
      <c r="N970" s="2432"/>
      <c r="O970" s="2432"/>
      <c r="P970" s="2432"/>
      <c r="Q970" s="2433"/>
      <c r="R970" s="2349">
        <f>IF(ISNA(IF($BN$799="4%",(INDEX($BP$809:$BT$866,MATCH($CB$799,$BO$809:$BO$866,0),MATCH(D970,$BP$808:$BT$808,0))),(INDEX($BW$809:$CA$866,MATCH($CB$799,$BV$809:$BV$866,0),MATCH(D970,$BW$808:$CA$808,0))))),0,IF($BN$799="4%",(INDEX($BP$809:$BT$866,MATCH($CB$799,$BO$809:$BO$866,0),MATCH(D970,$BP$808:$BT$808,0))),(INDEX($BW$809:$CA$866,MATCH($CB$799,$BV$809:$BV$866,0),MATCH(D970,$BW$808:$CA$808,0)))))</f>
        <v>507348</v>
      </c>
      <c r="S970" s="2349"/>
      <c r="T970" s="2349"/>
      <c r="U970" s="2349"/>
      <c r="V970" s="2349"/>
      <c r="W970" s="2349"/>
      <c r="X970" s="2349"/>
      <c r="Y970" s="2349"/>
      <c r="Z970" s="2349"/>
      <c r="AA970" s="2349"/>
      <c r="AB970" s="2587">
        <f>BS663</f>
        <v>11</v>
      </c>
      <c r="AC970" s="2588"/>
      <c r="AD970" s="2588"/>
      <c r="AE970" s="2588"/>
      <c r="AF970" s="2588"/>
      <c r="AG970" s="2588"/>
      <c r="AH970" s="2588"/>
      <c r="AI970" s="2589"/>
      <c r="AJ970" s="2438">
        <f>IF(ISERROR((R970*AB970)),0,(R970*AB970))</f>
        <v>5580828</v>
      </c>
      <c r="AK970" s="2439"/>
      <c r="AL970" s="2439"/>
      <c r="AM970" s="2439"/>
      <c r="AN970" s="2439"/>
      <c r="AO970" s="2439"/>
      <c r="AP970" s="2439"/>
      <c r="AQ970" s="2440"/>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431" t="s">
        <v>168</v>
      </c>
      <c r="E971" s="2432"/>
      <c r="F971" s="2432"/>
      <c r="G971" s="2432"/>
      <c r="H971" s="2432"/>
      <c r="I971" s="2432"/>
      <c r="J971" s="2432"/>
      <c r="K971" s="2432"/>
      <c r="L971" s="2432"/>
      <c r="M971" s="2432"/>
      <c r="N971" s="2432"/>
      <c r="O971" s="2432"/>
      <c r="P971" s="2432"/>
      <c r="Q971" s="2433"/>
      <c r="R971" s="2349">
        <f>IF(ISNA(IF($BN$799="4%",(INDEX($BP$809:$BT$866,MATCH($CB$799,$BO$809:$BO$866,0),MATCH(D971,$BP$808:$BT$808,0))),(INDEX($BW$809:$CA$866,MATCH($CB$799,$BV$809:$BV$866,0),MATCH(D971,$BW$808:$CA$808,0))))),0,IF($BN$799="4%",(INDEX($BP$809:$BT$866,MATCH($CB$799,$BO$809:$BO$866,0),MATCH(D971,$BP$808:$BT$808,0))),(INDEX($BW$809:$CA$866,MATCH($CB$799,$BV$809:$BV$866,0),MATCH(D971,$BW$808:$CA$808,0)))))</f>
        <v>612000</v>
      </c>
      <c r="S971" s="2349"/>
      <c r="T971" s="2349"/>
      <c r="U971" s="2349"/>
      <c r="V971" s="2349"/>
      <c r="W971" s="2349"/>
      <c r="X971" s="2349"/>
      <c r="Y971" s="2349"/>
      <c r="Z971" s="2349"/>
      <c r="AA971" s="2349"/>
      <c r="AB971" s="2587">
        <f>BX663</f>
        <v>27</v>
      </c>
      <c r="AC971" s="2588"/>
      <c r="AD971" s="2588"/>
      <c r="AE971" s="2588"/>
      <c r="AF971" s="2588"/>
      <c r="AG971" s="2588"/>
      <c r="AH971" s="2588"/>
      <c r="AI971" s="2589"/>
      <c r="AJ971" s="2438">
        <f>IF(ISERROR((R971*AB971)),0,(R971*AB971))</f>
        <v>16524000</v>
      </c>
      <c r="AK971" s="2439"/>
      <c r="AL971" s="2439"/>
      <c r="AM971" s="2439"/>
      <c r="AN971" s="2439"/>
      <c r="AO971" s="2439"/>
      <c r="AP971" s="2439"/>
      <c r="AQ971" s="2440"/>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5">
      <c r="B972" s="110"/>
      <c r="C972" s="1630"/>
      <c r="D972" s="2431" t="s">
        <v>169</v>
      </c>
      <c r="E972" s="2432"/>
      <c r="F972" s="2432"/>
      <c r="G972" s="2432"/>
      <c r="H972" s="2432"/>
      <c r="I972" s="2432"/>
      <c r="J972" s="2432"/>
      <c r="K972" s="2432"/>
      <c r="L972" s="2432"/>
      <c r="M972" s="2432"/>
      <c r="N972" s="2432"/>
      <c r="O972" s="2432"/>
      <c r="P972" s="2432"/>
      <c r="Q972" s="2433"/>
      <c r="R972" s="2349">
        <f>IF(ISNA(IF($BN$799="4%",(INDEX($BP$809:$BT$866,MATCH($CB$799,$BO$809:$BO$866,0),MATCH(D972,$BP$808:$BT$808,0))),(INDEX($BW$809:$CA$866,MATCH($CB$799,$BV$809:$BV$866,0),MATCH(D972,$BW$808:$CA$808,0))))),0,IF($BN$799="4%",(INDEX($BP$809:$BT$866,MATCH($CB$799,$BO$809:$BO$866,0),MATCH(D972,$BP$808:$BT$808,0))),(INDEX($BW$809:$CA$866,MATCH($CB$799,$BV$809:$BV$866,0),MATCH(D972,$BW$808:$CA$808,0)))))</f>
        <v>783360</v>
      </c>
      <c r="S972" s="2349"/>
      <c r="T972" s="2349"/>
      <c r="U972" s="2349"/>
      <c r="V972" s="2349"/>
      <c r="W972" s="2349"/>
      <c r="X972" s="2349"/>
      <c r="Y972" s="2349"/>
      <c r="Z972" s="2349"/>
      <c r="AA972" s="2349"/>
      <c r="AB972" s="2587">
        <f>CC663</f>
        <v>14</v>
      </c>
      <c r="AC972" s="2588"/>
      <c r="AD972" s="2588"/>
      <c r="AE972" s="2588"/>
      <c r="AF972" s="2588"/>
      <c r="AG972" s="2588"/>
      <c r="AH972" s="2588"/>
      <c r="AI972" s="2589"/>
      <c r="AJ972" s="2438">
        <f>IF(ISERROR((R972*AB972)),0,(R972*AB972))</f>
        <v>10967040</v>
      </c>
      <c r="AK972" s="2439"/>
      <c r="AL972" s="2439"/>
      <c r="AM972" s="2439"/>
      <c r="AN972" s="2439"/>
      <c r="AO972" s="2439"/>
      <c r="AP972" s="2439"/>
      <c r="AQ972" s="2440"/>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431" t="s">
        <v>495</v>
      </c>
      <c r="E973" s="2432"/>
      <c r="F973" s="2432"/>
      <c r="G973" s="2432"/>
      <c r="H973" s="2432"/>
      <c r="I973" s="2432"/>
      <c r="J973" s="2432"/>
      <c r="K973" s="2432"/>
      <c r="L973" s="2432"/>
      <c r="M973" s="2432"/>
      <c r="N973" s="2432"/>
      <c r="O973" s="2432"/>
      <c r="P973" s="2432"/>
      <c r="Q973" s="2433"/>
      <c r="R973" s="2349">
        <f>IF(ISNA(IF($BN$799="4%",(INDEX($BP$809:$BT$866,MATCH($CB$799,$BO$809:$BO$866,0),MATCH(D973,$BP$808:$BT$808,0))),(INDEX($BW$809:$CA$866,MATCH($CB$799,$BV$809:$BV$866,0),MATCH(D973,$BW$808:$CA$808,0))))),0,IF($BN$799="4%",(INDEX($BP$809:$BT$866,MATCH($CB$799,$BO$809:$BO$866,0),MATCH(D973,$BP$808:$BT$808,0))),(INDEX($BW$809:$CA$866,MATCH($CB$799,$BV$809:$BV$866,0),MATCH(D973,$BW$808:$CA$808,0)))))</f>
        <v>872712</v>
      </c>
      <c r="S973" s="2349"/>
      <c r="T973" s="2349"/>
      <c r="U973" s="2349"/>
      <c r="V973" s="2349"/>
      <c r="W973" s="2349"/>
      <c r="X973" s="2349"/>
      <c r="Y973" s="2349"/>
      <c r="Z973" s="2349"/>
      <c r="AA973" s="2349"/>
      <c r="AB973" s="2587">
        <f>CM663+CH663</f>
        <v>0</v>
      </c>
      <c r="AC973" s="2588"/>
      <c r="AD973" s="2588"/>
      <c r="AE973" s="2588"/>
      <c r="AF973" s="2588"/>
      <c r="AG973" s="2588"/>
      <c r="AH973" s="2588"/>
      <c r="AI973" s="2589"/>
      <c r="AJ973" s="2438">
        <f>IF(ISERROR((R973*AB973)),0,(R973*AB973))</f>
        <v>0</v>
      </c>
      <c r="AK973" s="2439"/>
      <c r="AL973" s="2439"/>
      <c r="AM973" s="2439"/>
      <c r="AN973" s="2439"/>
      <c r="AO973" s="2439"/>
      <c r="AP973" s="2439"/>
      <c r="AQ973" s="2440"/>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551" t="s">
        <v>853</v>
      </c>
      <c r="C974" s="2552"/>
      <c r="D974" s="2552"/>
      <c r="E974" s="2552"/>
      <c r="F974" s="2552"/>
      <c r="G974" s="2552"/>
      <c r="H974" s="2552"/>
      <c r="I974" s="2552"/>
      <c r="J974" s="2552"/>
      <c r="K974" s="2552"/>
      <c r="L974" s="2552"/>
      <c r="M974" s="2552"/>
      <c r="N974" s="2552"/>
      <c r="O974" s="2552"/>
      <c r="P974" s="2552"/>
      <c r="Q974" s="2552"/>
      <c r="R974" s="2552"/>
      <c r="S974" s="2552"/>
      <c r="T974" s="2552"/>
      <c r="U974" s="2552"/>
      <c r="V974" s="2552"/>
      <c r="W974" s="2552"/>
      <c r="X974" s="2552"/>
      <c r="Y974" s="2552"/>
      <c r="Z974" s="2552"/>
      <c r="AA974" s="2553"/>
      <c r="AB974" s="2587">
        <f>SUM(AB969:AI973)</f>
        <v>80</v>
      </c>
      <c r="AC974" s="2588"/>
      <c r="AD974" s="2588"/>
      <c r="AE974" s="2588"/>
      <c r="AF974" s="2588"/>
      <c r="AG974" s="2588"/>
      <c r="AH974" s="2588"/>
      <c r="AI974" s="2589"/>
      <c r="AJ974" s="2438"/>
      <c r="AK974" s="2439"/>
      <c r="AL974" s="2439"/>
      <c r="AM974" s="2439"/>
      <c r="AN974" s="2439"/>
      <c r="AO974" s="2439"/>
      <c r="AP974" s="2439"/>
      <c r="AQ974" s="2440"/>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5" customHeight="1">
      <c r="A975" s="51"/>
      <c r="B975" s="2584" t="s">
        <v>547</v>
      </c>
      <c r="C975" s="2585"/>
      <c r="D975" s="2585"/>
      <c r="E975" s="2585"/>
      <c r="F975" s="2585"/>
      <c r="G975" s="2585"/>
      <c r="H975" s="2585"/>
      <c r="I975" s="2585"/>
      <c r="J975" s="2585"/>
      <c r="K975" s="2585"/>
      <c r="L975" s="2585"/>
      <c r="M975" s="2585"/>
      <c r="N975" s="2585"/>
      <c r="O975" s="2585"/>
      <c r="P975" s="2585"/>
      <c r="Q975" s="2585"/>
      <c r="R975" s="2585"/>
      <c r="S975" s="2585"/>
      <c r="T975" s="2585"/>
      <c r="U975" s="2585"/>
      <c r="V975" s="2585"/>
      <c r="W975" s="2585"/>
      <c r="X975" s="2585"/>
      <c r="Y975" s="2585"/>
      <c r="Z975" s="2585"/>
      <c r="AA975" s="2585"/>
      <c r="AB975" s="2585"/>
      <c r="AC975" s="2585"/>
      <c r="AD975" s="2585"/>
      <c r="AE975" s="2585"/>
      <c r="AF975" s="2585"/>
      <c r="AG975" s="2585"/>
      <c r="AH975" s="2585"/>
      <c r="AI975" s="2586"/>
      <c r="AJ975" s="2438">
        <f>SUM(AJ969:AQ973)</f>
        <v>45392652</v>
      </c>
      <c r="AK975" s="2439"/>
      <c r="AL975" s="2439"/>
      <c r="AM975" s="2439"/>
      <c r="AN975" s="2439"/>
      <c r="AO975" s="2439"/>
      <c r="AP975" s="2439"/>
      <c r="AQ975" s="2440"/>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514"/>
      <c r="C976" s="2515"/>
      <c r="D976" s="2515"/>
      <c r="E976" s="2515"/>
      <c r="F976" s="2515"/>
      <c r="G976" s="2515"/>
      <c r="H976" s="2515"/>
      <c r="I976" s="2515"/>
      <c r="J976" s="2515"/>
      <c r="K976" s="2515"/>
      <c r="L976" s="2515"/>
      <c r="M976" s="2515"/>
      <c r="N976" s="2515"/>
      <c r="O976" s="2515"/>
      <c r="P976" s="2515"/>
      <c r="Q976" s="2515"/>
      <c r="R976" s="2515"/>
      <c r="S976" s="2515"/>
      <c r="T976" s="2515"/>
      <c r="U976" s="2515"/>
      <c r="V976" s="2515"/>
      <c r="W976" s="2515"/>
      <c r="X976" s="2515"/>
      <c r="Y976" s="2515"/>
      <c r="Z976" s="2515"/>
      <c r="AA976" s="2515"/>
      <c r="AB976" s="2515"/>
      <c r="AC976" s="2515"/>
      <c r="AD976" s="2515"/>
      <c r="AE976" s="2516"/>
      <c r="AF976" s="2517" t="s">
        <v>705</v>
      </c>
      <c r="AG976" s="2518"/>
      <c r="AH976" s="2518"/>
      <c r="AI976" s="2519"/>
      <c r="AJ976" s="2514"/>
      <c r="AK976" s="2515"/>
      <c r="AL976" s="2515"/>
      <c r="AM976" s="2515"/>
      <c r="AN976" s="2515"/>
      <c r="AO976" s="2515"/>
      <c r="AP976" s="2515"/>
      <c r="AQ976" s="2516"/>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522" t="s">
        <v>1438</v>
      </c>
      <c r="E977" s="2523"/>
      <c r="F977" s="2523"/>
      <c r="G977" s="2523"/>
      <c r="H977" s="2523"/>
      <c r="I977" s="2523"/>
      <c r="J977" s="2523"/>
      <c r="K977" s="2523"/>
      <c r="L977" s="2523"/>
      <c r="M977" s="2523"/>
      <c r="N977" s="2523"/>
      <c r="O977" s="2523"/>
      <c r="P977" s="2523"/>
      <c r="Q977" s="2523"/>
      <c r="R977" s="2523"/>
      <c r="S977" s="2523"/>
      <c r="T977" s="2523"/>
      <c r="U977" s="2523"/>
      <c r="V977" s="2523"/>
      <c r="W977" s="2523"/>
      <c r="X977" s="2523"/>
      <c r="Y977" s="2523"/>
      <c r="Z977" s="2523"/>
      <c r="AA977" s="2523"/>
      <c r="AB977" s="2523"/>
      <c r="AC977" s="2523"/>
      <c r="AD977" s="2523"/>
      <c r="AE977" s="2524"/>
      <c r="AF977" s="117"/>
      <c r="AG977" s="2520" t="s">
        <v>580</v>
      </c>
      <c r="AH977" s="2521"/>
      <c r="AI977" s="125"/>
      <c r="AJ977" s="2531">
        <f>ROUND(IF(AND(AG977="yes",D979&gt;0),AJ975*0.2,0),0)</f>
        <v>9078530</v>
      </c>
      <c r="AK977" s="2532"/>
      <c r="AL977" s="2532"/>
      <c r="AM977" s="2532"/>
      <c r="AN977" s="2532"/>
      <c r="AO977" s="2532"/>
      <c r="AP977" s="2532"/>
      <c r="AQ977" s="2533"/>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554" t="s">
        <v>1439</v>
      </c>
      <c r="E978" s="2555"/>
      <c r="F978" s="2555"/>
      <c r="G978" s="2555"/>
      <c r="H978" s="2555"/>
      <c r="I978" s="2555"/>
      <c r="J978" s="2555"/>
      <c r="K978" s="2555"/>
      <c r="L978" s="2555"/>
      <c r="M978" s="2555"/>
      <c r="N978" s="2555"/>
      <c r="O978" s="2555"/>
      <c r="P978" s="2555"/>
      <c r="Q978" s="2555"/>
      <c r="R978" s="2555"/>
      <c r="S978" s="2555"/>
      <c r="T978" s="2555"/>
      <c r="U978" s="2555"/>
      <c r="V978" s="2555"/>
      <c r="W978" s="2555"/>
      <c r="X978" s="2555"/>
      <c r="Y978" s="2555"/>
      <c r="Z978" s="2555"/>
      <c r="AA978" s="2555"/>
      <c r="AB978" s="2555"/>
      <c r="AC978" s="2555"/>
      <c r="AD978" s="2555"/>
      <c r="AE978" s="2556"/>
      <c r="AF978" s="110"/>
      <c r="AG978" s="112"/>
      <c r="AH978" s="112"/>
      <c r="AI978" s="121"/>
      <c r="AJ978" s="2534"/>
      <c r="AK978" s="2128"/>
      <c r="AL978" s="2128"/>
      <c r="AM978" s="2128"/>
      <c r="AN978" s="2128"/>
      <c r="AO978" s="2128"/>
      <c r="AP978" s="2128"/>
      <c r="AQ978" s="2535"/>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5" customHeight="1">
      <c r="A979" s="51"/>
      <c r="B979" s="413"/>
      <c r="C979" s="412"/>
      <c r="D979" s="2557" t="s">
        <v>2624</v>
      </c>
      <c r="E979" s="2558"/>
      <c r="F979" s="2558"/>
      <c r="G979" s="2558"/>
      <c r="H979" s="2558"/>
      <c r="I979" s="2558"/>
      <c r="J979" s="2558"/>
      <c r="K979" s="2558"/>
      <c r="L979" s="2558"/>
      <c r="M979" s="2558"/>
      <c r="N979" s="2558"/>
      <c r="O979" s="2558"/>
      <c r="P979" s="2558"/>
      <c r="Q979" s="2558"/>
      <c r="R979" s="2558"/>
      <c r="S979" s="2558"/>
      <c r="T979" s="2558"/>
      <c r="U979" s="2558"/>
      <c r="V979" s="2558"/>
      <c r="W979" s="2558"/>
      <c r="X979" s="2558"/>
      <c r="Y979" s="2558"/>
      <c r="Z979" s="2558"/>
      <c r="AA979" s="2558"/>
      <c r="AB979" s="2558"/>
      <c r="AC979" s="2558"/>
      <c r="AD979" s="2558"/>
      <c r="AE979" s="2559"/>
      <c r="AF979" s="115"/>
      <c r="AG979" s="11"/>
      <c r="AH979" s="11"/>
      <c r="AI979" s="116"/>
      <c r="AJ979" s="2536"/>
      <c r="AK979" s="2537"/>
      <c r="AL979" s="2537"/>
      <c r="AM979" s="2537"/>
      <c r="AN979" s="2537"/>
      <c r="AO979" s="2537"/>
      <c r="AP979" s="2537"/>
      <c r="AQ979" s="2538"/>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483" t="s">
        <v>1541</v>
      </c>
      <c r="E980" s="2484"/>
      <c r="F980" s="2484"/>
      <c r="G980" s="2484"/>
      <c r="H980" s="2484"/>
      <c r="I980" s="2484"/>
      <c r="J980" s="2484"/>
      <c r="K980" s="2484"/>
      <c r="L980" s="2484"/>
      <c r="M980" s="2484"/>
      <c r="N980" s="2484"/>
      <c r="O980" s="2484"/>
      <c r="P980" s="2484"/>
      <c r="Q980" s="2484"/>
      <c r="R980" s="2484"/>
      <c r="S980" s="2484"/>
      <c r="T980" s="2484"/>
      <c r="U980" s="2484"/>
      <c r="V980" s="2484"/>
      <c r="W980" s="2484"/>
      <c r="X980" s="2484"/>
      <c r="Y980" s="2484"/>
      <c r="Z980" s="2484"/>
      <c r="AA980" s="2484"/>
      <c r="AB980" s="2484"/>
      <c r="AC980" s="2484"/>
      <c r="AD980" s="2484"/>
      <c r="AE980" s="2485"/>
      <c r="AF980" s="117"/>
      <c r="AG980" s="2495" t="s">
        <v>708</v>
      </c>
      <c r="AH980" s="2496"/>
      <c r="AI980" s="125"/>
      <c r="AJ980" s="2531">
        <f>ROUND(IF(AG980="yes",AJ975*0.05,0),0)</f>
        <v>0</v>
      </c>
      <c r="AK980" s="2532"/>
      <c r="AL980" s="2532"/>
      <c r="AM980" s="2532"/>
      <c r="AN980" s="2532"/>
      <c r="AO980" s="2532"/>
      <c r="AP980" s="2532"/>
      <c r="AQ980" s="2533"/>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5" customHeight="1">
      <c r="A981" s="51"/>
      <c r="B981" s="413"/>
      <c r="C981" s="120"/>
      <c r="D981" s="2554" t="s">
        <v>1539</v>
      </c>
      <c r="E981" s="2555"/>
      <c r="F981" s="2555"/>
      <c r="G981" s="2555"/>
      <c r="H981" s="2555"/>
      <c r="I981" s="2555"/>
      <c r="J981" s="2555"/>
      <c r="K981" s="2555"/>
      <c r="L981" s="2555"/>
      <c r="M981" s="2555"/>
      <c r="N981" s="2555"/>
      <c r="O981" s="2555"/>
      <c r="P981" s="2555"/>
      <c r="Q981" s="2555"/>
      <c r="R981" s="2555"/>
      <c r="S981" s="2555"/>
      <c r="T981" s="2555"/>
      <c r="U981" s="2555"/>
      <c r="V981" s="2555"/>
      <c r="W981" s="2555"/>
      <c r="X981" s="2555"/>
      <c r="Y981" s="2555"/>
      <c r="Z981" s="2555"/>
      <c r="AA981" s="2555"/>
      <c r="AB981" s="2555"/>
      <c r="AC981" s="2555"/>
      <c r="AD981" s="2555"/>
      <c r="AE981" s="2556"/>
      <c r="AF981" s="110"/>
      <c r="AG981" s="112"/>
      <c r="AH981" s="112"/>
      <c r="AI981" s="121"/>
      <c r="AJ981" s="2534"/>
      <c r="AK981" s="2128"/>
      <c r="AL981" s="2128"/>
      <c r="AM981" s="2128"/>
      <c r="AN981" s="2128"/>
      <c r="AO981" s="2128"/>
      <c r="AP981" s="2128"/>
      <c r="AQ981" s="2535"/>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554"/>
      <c r="E982" s="2555"/>
      <c r="F982" s="2555"/>
      <c r="G982" s="2555"/>
      <c r="H982" s="2555"/>
      <c r="I982" s="2555"/>
      <c r="J982" s="2555"/>
      <c r="K982" s="2555"/>
      <c r="L982" s="2555"/>
      <c r="M982" s="2555"/>
      <c r="N982" s="2555"/>
      <c r="O982" s="2555"/>
      <c r="P982" s="2555"/>
      <c r="Q982" s="2555"/>
      <c r="R982" s="2555"/>
      <c r="S982" s="2555"/>
      <c r="T982" s="2555"/>
      <c r="U982" s="2555"/>
      <c r="V982" s="2555"/>
      <c r="W982" s="2555"/>
      <c r="X982" s="2555"/>
      <c r="Y982" s="2555"/>
      <c r="Z982" s="2555"/>
      <c r="AA982" s="2555"/>
      <c r="AB982" s="2555"/>
      <c r="AC982" s="2555"/>
      <c r="AD982" s="2555"/>
      <c r="AE982" s="2556"/>
      <c r="AF982" s="110"/>
      <c r="AG982" s="112"/>
      <c r="AH982" s="112"/>
      <c r="AI982" s="121"/>
      <c r="AJ982" s="2534"/>
      <c r="AK982" s="2128"/>
      <c r="AL982" s="2128"/>
      <c r="AM982" s="2128"/>
      <c r="AN982" s="2128"/>
      <c r="AO982" s="2128"/>
      <c r="AP982" s="2128"/>
      <c r="AQ982" s="2535"/>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54"/>
      <c r="E983" s="2555"/>
      <c r="F983" s="2555"/>
      <c r="G983" s="2555"/>
      <c r="H983" s="2555"/>
      <c r="I983" s="2555"/>
      <c r="J983" s="2555"/>
      <c r="K983" s="2555"/>
      <c r="L983" s="2555"/>
      <c r="M983" s="2555"/>
      <c r="N983" s="2555"/>
      <c r="O983" s="2555"/>
      <c r="P983" s="2555"/>
      <c r="Q983" s="2555"/>
      <c r="R983" s="2555"/>
      <c r="S983" s="2555"/>
      <c r="T983" s="2555"/>
      <c r="U983" s="2555"/>
      <c r="V983" s="2555"/>
      <c r="W983" s="2555"/>
      <c r="X983" s="2555"/>
      <c r="Y983" s="2555"/>
      <c r="Z983" s="2555"/>
      <c r="AA983" s="2555"/>
      <c r="AB983" s="2555"/>
      <c r="AC983" s="2555"/>
      <c r="AD983" s="2555"/>
      <c r="AE983" s="2556"/>
      <c r="AF983" s="110"/>
      <c r="AG983" s="112"/>
      <c r="AH983" s="112"/>
      <c r="AI983" s="121"/>
      <c r="AJ983" s="2534"/>
      <c r="AK983" s="2128"/>
      <c r="AL983" s="2128"/>
      <c r="AM983" s="2128"/>
      <c r="AN983" s="2128"/>
      <c r="AO983" s="2128"/>
      <c r="AP983" s="2128"/>
      <c r="AQ983" s="2535"/>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54"/>
      <c r="E984" s="2555"/>
      <c r="F984" s="2555"/>
      <c r="G984" s="2555"/>
      <c r="H984" s="2555"/>
      <c r="I984" s="2555"/>
      <c r="J984" s="2555"/>
      <c r="K984" s="2555"/>
      <c r="L984" s="2555"/>
      <c r="M984" s="2555"/>
      <c r="N984" s="2555"/>
      <c r="O984" s="2555"/>
      <c r="P984" s="2555"/>
      <c r="Q984" s="2555"/>
      <c r="R984" s="2555"/>
      <c r="S984" s="2555"/>
      <c r="T984" s="2555"/>
      <c r="U984" s="2555"/>
      <c r="V984" s="2555"/>
      <c r="W984" s="2555"/>
      <c r="X984" s="2555"/>
      <c r="Y984" s="2555"/>
      <c r="Z984" s="2555"/>
      <c r="AA984" s="2555"/>
      <c r="AB984" s="2555"/>
      <c r="AC984" s="2555"/>
      <c r="AD984" s="2555"/>
      <c r="AE984" s="2556"/>
      <c r="AF984" s="110"/>
      <c r="AG984" s="112"/>
      <c r="AH984" s="112"/>
      <c r="AI984" s="121"/>
      <c r="AJ984" s="2534"/>
      <c r="AK984" s="2128"/>
      <c r="AL984" s="2128"/>
      <c r="AM984" s="2128"/>
      <c r="AN984" s="2128"/>
      <c r="AO984" s="2128"/>
      <c r="AP984" s="2128"/>
      <c r="AQ984" s="2535"/>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60"/>
      <c r="E985" s="2561"/>
      <c r="F985" s="2561"/>
      <c r="G985" s="2561"/>
      <c r="H985" s="2561"/>
      <c r="I985" s="2561"/>
      <c r="J985" s="2561"/>
      <c r="K985" s="2561"/>
      <c r="L985" s="2561"/>
      <c r="M985" s="2561"/>
      <c r="N985" s="2561"/>
      <c r="O985" s="2561"/>
      <c r="P985" s="2561"/>
      <c r="Q985" s="2561"/>
      <c r="R985" s="2561"/>
      <c r="S985" s="2561"/>
      <c r="T985" s="2561"/>
      <c r="U985" s="2561"/>
      <c r="V985" s="2561"/>
      <c r="W985" s="2561"/>
      <c r="X985" s="2561"/>
      <c r="Y985" s="2561"/>
      <c r="Z985" s="2561"/>
      <c r="AA985" s="2561"/>
      <c r="AB985" s="2561"/>
      <c r="AC985" s="2561"/>
      <c r="AD985" s="2561"/>
      <c r="AE985" s="2562"/>
      <c r="AF985" s="115"/>
      <c r="AG985" s="11"/>
      <c r="AH985" s="11"/>
      <c r="AI985" s="116"/>
      <c r="AJ985" s="2536"/>
      <c r="AK985" s="2537"/>
      <c r="AL985" s="2537"/>
      <c r="AM985" s="2537"/>
      <c r="AN985" s="2537"/>
      <c r="AO985" s="2537"/>
      <c r="AP985" s="2537"/>
      <c r="AQ985" s="2538"/>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483" t="s">
        <v>2186</v>
      </c>
      <c r="E986" s="2484"/>
      <c r="F986" s="2484"/>
      <c r="G986" s="2484"/>
      <c r="H986" s="2484"/>
      <c r="I986" s="2484"/>
      <c r="J986" s="2484"/>
      <c r="K986" s="2484"/>
      <c r="L986" s="2484"/>
      <c r="M986" s="2484"/>
      <c r="N986" s="2484"/>
      <c r="O986" s="2484"/>
      <c r="P986" s="2484"/>
      <c r="Q986" s="2484"/>
      <c r="R986" s="2484"/>
      <c r="S986" s="2484"/>
      <c r="T986" s="2484"/>
      <c r="U986" s="2484"/>
      <c r="V986" s="2484"/>
      <c r="W986" s="2484"/>
      <c r="X986" s="2484"/>
      <c r="Y986" s="2484"/>
      <c r="Z986" s="2484"/>
      <c r="AA986" s="2484"/>
      <c r="AB986" s="2484"/>
      <c r="AC986" s="2484"/>
      <c r="AD986" s="2484"/>
      <c r="AE986" s="2485"/>
      <c r="AF986" s="124"/>
      <c r="AG986" s="2495" t="s">
        <v>580</v>
      </c>
      <c r="AH986" s="2496"/>
      <c r="AI986" s="125"/>
      <c r="AJ986" s="2531">
        <f>ROUND(IF(AG986="yes",AJ975*0.1,0),0)</f>
        <v>4539265</v>
      </c>
      <c r="AK986" s="2532"/>
      <c r="AL986" s="2532"/>
      <c r="AM986" s="2532"/>
      <c r="AN986" s="2532"/>
      <c r="AO986" s="2532"/>
      <c r="AP986" s="2532"/>
      <c r="AQ986" s="2533"/>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486" t="s">
        <v>1540</v>
      </c>
      <c r="E987" s="2487"/>
      <c r="F987" s="2487"/>
      <c r="G987" s="2487"/>
      <c r="H987" s="2487"/>
      <c r="I987" s="2487"/>
      <c r="J987" s="2487"/>
      <c r="K987" s="2487"/>
      <c r="L987" s="2487"/>
      <c r="M987" s="2487"/>
      <c r="N987" s="2487"/>
      <c r="O987" s="2487"/>
      <c r="P987" s="2487"/>
      <c r="Q987" s="2487"/>
      <c r="R987" s="2487"/>
      <c r="S987" s="2487"/>
      <c r="T987" s="2487"/>
      <c r="U987" s="2487"/>
      <c r="V987" s="2487"/>
      <c r="W987" s="2487"/>
      <c r="X987" s="2487"/>
      <c r="Y987" s="2487"/>
      <c r="Z987" s="2487"/>
      <c r="AA987" s="2487"/>
      <c r="AB987" s="2487"/>
      <c r="AC987" s="2487"/>
      <c r="AD987" s="2487"/>
      <c r="AE987" s="2488"/>
      <c r="AF987" s="110"/>
      <c r="AG987" s="25"/>
      <c r="AH987" s="25"/>
      <c r="AI987" s="121"/>
      <c r="AJ987" s="2534"/>
      <c r="AK987" s="2128"/>
      <c r="AL987" s="2128"/>
      <c r="AM987" s="2128"/>
      <c r="AN987" s="2128"/>
      <c r="AO987" s="2128"/>
      <c r="AP987" s="2128"/>
      <c r="AQ987" s="2535"/>
      <c r="AR987" s="1585"/>
      <c r="AS987" s="1585"/>
      <c r="AT987" s="1585"/>
      <c r="AU987" s="1585"/>
      <c r="AV987" s="1585"/>
      <c r="AW987" s="1585"/>
      <c r="AX987" s="1585"/>
      <c r="AY987" s="1585"/>
      <c r="AZ987" s="61"/>
      <c r="BA987" s="1614">
        <f>G753+O796</f>
        <v>79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486"/>
      <c r="E988" s="2487"/>
      <c r="F988" s="2487"/>
      <c r="G988" s="2487"/>
      <c r="H988" s="2487"/>
      <c r="I988" s="2487"/>
      <c r="J988" s="2487"/>
      <c r="K988" s="2487"/>
      <c r="L988" s="2487"/>
      <c r="M988" s="2487"/>
      <c r="N988" s="2487"/>
      <c r="O988" s="2487"/>
      <c r="P988" s="2487"/>
      <c r="Q988" s="2487"/>
      <c r="R988" s="2487"/>
      <c r="S988" s="2487"/>
      <c r="T988" s="2487"/>
      <c r="U988" s="2487"/>
      <c r="V988" s="2487"/>
      <c r="W988" s="2487"/>
      <c r="X988" s="2487"/>
      <c r="Y988" s="2487"/>
      <c r="Z988" s="2487"/>
      <c r="AA988" s="2487"/>
      <c r="AB988" s="2487"/>
      <c r="AC988" s="2487"/>
      <c r="AD988" s="2487"/>
      <c r="AE988" s="2488"/>
      <c r="AF988" s="110"/>
      <c r="AG988" s="112"/>
      <c r="AH988" s="112"/>
      <c r="AI988" s="121"/>
      <c r="AJ988" s="2534"/>
      <c r="AK988" s="2128"/>
      <c r="AL988" s="2128"/>
      <c r="AM988" s="2128"/>
      <c r="AN988" s="2128"/>
      <c r="AO988" s="2128"/>
      <c r="AP988" s="2128"/>
      <c r="AQ988" s="2535"/>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499"/>
      <c r="E989" s="2500"/>
      <c r="F989" s="2500"/>
      <c r="G989" s="2500"/>
      <c r="H989" s="2500"/>
      <c r="I989" s="2500"/>
      <c r="J989" s="2500"/>
      <c r="K989" s="2500"/>
      <c r="L989" s="2500"/>
      <c r="M989" s="2500"/>
      <c r="N989" s="2500"/>
      <c r="O989" s="2500"/>
      <c r="P989" s="2500"/>
      <c r="Q989" s="2500"/>
      <c r="R989" s="2500"/>
      <c r="S989" s="2500"/>
      <c r="T989" s="2500"/>
      <c r="U989" s="2500"/>
      <c r="V989" s="2500"/>
      <c r="W989" s="2500"/>
      <c r="X989" s="2500"/>
      <c r="Y989" s="2500"/>
      <c r="Z989" s="2500"/>
      <c r="AA989" s="2500"/>
      <c r="AB989" s="2500"/>
      <c r="AC989" s="2500"/>
      <c r="AD989" s="2500"/>
      <c r="AE989" s="2501"/>
      <c r="AF989" s="115"/>
      <c r="AG989" s="11"/>
      <c r="AH989" s="11"/>
      <c r="AI989" s="116"/>
      <c r="AJ989" s="2536"/>
      <c r="AK989" s="2537"/>
      <c r="AL989" s="2537"/>
      <c r="AM989" s="2537"/>
      <c r="AN989" s="2537"/>
      <c r="AO989" s="2537"/>
      <c r="AP989" s="2537"/>
      <c r="AQ989" s="2538"/>
      <c r="AR989" s="1585"/>
      <c r="AS989" s="1585"/>
      <c r="AT989" s="1585"/>
      <c r="AU989" s="1585"/>
      <c r="AV989" s="1585"/>
      <c r="AW989" s="1585"/>
      <c r="AX989" s="1585"/>
      <c r="AY989" s="1585"/>
      <c r="AZ989" s="61"/>
      <c r="BA989" s="1613">
        <f>ROUNDDOWN(X1027/I1027,2)</f>
        <v>0.36</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483" t="s">
        <v>1542</v>
      </c>
      <c r="E990" s="2484"/>
      <c r="F990" s="2484"/>
      <c r="G990" s="2484"/>
      <c r="H990" s="2484"/>
      <c r="I990" s="2484"/>
      <c r="J990" s="2484"/>
      <c r="K990" s="2484"/>
      <c r="L990" s="2484"/>
      <c r="M990" s="2484"/>
      <c r="N990" s="2484"/>
      <c r="O990" s="2484"/>
      <c r="P990" s="2484"/>
      <c r="Q990" s="2484"/>
      <c r="R990" s="2484"/>
      <c r="S990" s="2484"/>
      <c r="T990" s="2484"/>
      <c r="U990" s="2484"/>
      <c r="V990" s="2484"/>
      <c r="W990" s="2484"/>
      <c r="X990" s="2484"/>
      <c r="Y990" s="2484"/>
      <c r="Z990" s="2484"/>
      <c r="AA990" s="2484"/>
      <c r="AB990" s="2484"/>
      <c r="AC990" s="2484"/>
      <c r="AD990" s="2484"/>
      <c r="AE990" s="2485"/>
      <c r="AF990" s="117"/>
      <c r="AG990" s="2495" t="s">
        <v>708</v>
      </c>
      <c r="AH990" s="2496"/>
      <c r="AI990" s="125"/>
      <c r="AJ990" s="2531">
        <f>ROUND(IF(AG990="yes",AJ975*0.02,0),0)</f>
        <v>0</v>
      </c>
      <c r="AK990" s="2532"/>
      <c r="AL990" s="2532"/>
      <c r="AM990" s="2532"/>
      <c r="AN990" s="2532"/>
      <c r="AO990" s="2532"/>
      <c r="AP990" s="2532"/>
      <c r="AQ990" s="2533"/>
      <c r="AR990" s="1585"/>
      <c r="AS990" s="1585"/>
      <c r="AT990" s="1585"/>
      <c r="AU990" s="1585"/>
      <c r="AV990" s="1585"/>
      <c r="AW990" s="1585"/>
      <c r="AX990" s="1585"/>
      <c r="AY990" s="1585"/>
      <c r="AZ990" s="61"/>
      <c r="BA990" s="1613">
        <f>ROUNDDOWN(X1031/I1031,2)</f>
        <v>0.63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99" t="s">
        <v>1543</v>
      </c>
      <c r="E991" s="2500"/>
      <c r="F991" s="2500"/>
      <c r="G991" s="2500"/>
      <c r="H991" s="2500"/>
      <c r="I991" s="2500"/>
      <c r="J991" s="2500"/>
      <c r="K991" s="2500"/>
      <c r="L991" s="2500"/>
      <c r="M991" s="2500"/>
      <c r="N991" s="2500"/>
      <c r="O991" s="2500"/>
      <c r="P991" s="2500"/>
      <c r="Q991" s="2500"/>
      <c r="R991" s="2500"/>
      <c r="S991" s="2500"/>
      <c r="T991" s="2500"/>
      <c r="U991" s="2500"/>
      <c r="V991" s="2500"/>
      <c r="W991" s="2500"/>
      <c r="X991" s="2500"/>
      <c r="Y991" s="2500"/>
      <c r="Z991" s="2500"/>
      <c r="AA991" s="2500"/>
      <c r="AB991" s="2500"/>
      <c r="AC991" s="2500"/>
      <c r="AD991" s="2500"/>
      <c r="AE991" s="2501"/>
      <c r="AF991" s="115"/>
      <c r="AG991" s="11"/>
      <c r="AH991" s="11"/>
      <c r="AI991" s="116"/>
      <c r="AJ991" s="2536"/>
      <c r="AK991" s="2537"/>
      <c r="AL991" s="2537"/>
      <c r="AM991" s="2537"/>
      <c r="AN991" s="2537"/>
      <c r="AO991" s="2537"/>
      <c r="AP991" s="2537"/>
      <c r="AQ991" s="2538"/>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483" t="s">
        <v>1544</v>
      </c>
      <c r="E992" s="2484"/>
      <c r="F992" s="2484"/>
      <c r="G992" s="2484"/>
      <c r="H992" s="2484"/>
      <c r="I992" s="2484"/>
      <c r="J992" s="2484"/>
      <c r="K992" s="2484"/>
      <c r="L992" s="2484"/>
      <c r="M992" s="2484"/>
      <c r="N992" s="2484"/>
      <c r="O992" s="2484"/>
      <c r="P992" s="2484"/>
      <c r="Q992" s="2484"/>
      <c r="R992" s="2484"/>
      <c r="S992" s="2484"/>
      <c r="T992" s="2484"/>
      <c r="U992" s="2484"/>
      <c r="V992" s="2484"/>
      <c r="W992" s="2484"/>
      <c r="X992" s="2484"/>
      <c r="Y992" s="2484"/>
      <c r="Z992" s="2484"/>
      <c r="AA992" s="2484"/>
      <c r="AB992" s="2484"/>
      <c r="AC992" s="2484"/>
      <c r="AD992" s="2484"/>
      <c r="AE992" s="2485"/>
      <c r="AF992" s="117"/>
      <c r="AG992" s="2495" t="s">
        <v>708</v>
      </c>
      <c r="AH992" s="2496"/>
      <c r="AI992" s="117"/>
      <c r="AJ992" s="2531">
        <f>ROUND(IF(AG992="yes",AJ975*0.02,0),0)</f>
        <v>0</v>
      </c>
      <c r="AK992" s="2532"/>
      <c r="AL992" s="2532"/>
      <c r="AM992" s="2532"/>
      <c r="AN992" s="2532"/>
      <c r="AO992" s="2532"/>
      <c r="AP992" s="2532"/>
      <c r="AQ992" s="2533"/>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486" t="s">
        <v>1545</v>
      </c>
      <c r="E993" s="2487"/>
      <c r="F993" s="2487"/>
      <c r="G993" s="2487"/>
      <c r="H993" s="2487"/>
      <c r="I993" s="2487"/>
      <c r="J993" s="2487"/>
      <c r="K993" s="2487"/>
      <c r="L993" s="2487"/>
      <c r="M993" s="2487"/>
      <c r="N993" s="2487"/>
      <c r="O993" s="2487"/>
      <c r="P993" s="2487"/>
      <c r="Q993" s="2487"/>
      <c r="R993" s="2487"/>
      <c r="S993" s="2487"/>
      <c r="T993" s="2487"/>
      <c r="U993" s="2487"/>
      <c r="V993" s="2487"/>
      <c r="W993" s="2487"/>
      <c r="X993" s="2487"/>
      <c r="Y993" s="2487"/>
      <c r="Z993" s="2487"/>
      <c r="AA993" s="2487"/>
      <c r="AB993" s="2487"/>
      <c r="AC993" s="2487"/>
      <c r="AD993" s="2487"/>
      <c r="AE993" s="2488"/>
      <c r="AF993" s="110"/>
      <c r="AG993" s="25"/>
      <c r="AH993" s="25"/>
      <c r="AI993" s="112"/>
      <c r="AJ993" s="2534"/>
      <c r="AK993" s="2128"/>
      <c r="AL993" s="2128"/>
      <c r="AM993" s="2128"/>
      <c r="AN993" s="2128"/>
      <c r="AO993" s="2128"/>
      <c r="AP993" s="2128"/>
      <c r="AQ993" s="2535"/>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499"/>
      <c r="E994" s="2500"/>
      <c r="F994" s="2500"/>
      <c r="G994" s="2500"/>
      <c r="H994" s="2500"/>
      <c r="I994" s="2500"/>
      <c r="J994" s="2500"/>
      <c r="K994" s="2500"/>
      <c r="L994" s="2500"/>
      <c r="M994" s="2500"/>
      <c r="N994" s="2500"/>
      <c r="O994" s="2500"/>
      <c r="P994" s="2500"/>
      <c r="Q994" s="2500"/>
      <c r="R994" s="2500"/>
      <c r="S994" s="2500"/>
      <c r="T994" s="2500"/>
      <c r="U994" s="2500"/>
      <c r="V994" s="2500"/>
      <c r="W994" s="2500"/>
      <c r="X994" s="2500"/>
      <c r="Y994" s="2500"/>
      <c r="Z994" s="2500"/>
      <c r="AA994" s="2500"/>
      <c r="AB994" s="2500"/>
      <c r="AC994" s="2500"/>
      <c r="AD994" s="2500"/>
      <c r="AE994" s="2501"/>
      <c r="AF994" s="115"/>
      <c r="AG994" s="11"/>
      <c r="AH994" s="11"/>
      <c r="AI994" s="116"/>
      <c r="AJ994" s="2536"/>
      <c r="AK994" s="2537"/>
      <c r="AL994" s="2537"/>
      <c r="AM994" s="2537"/>
      <c r="AN994" s="2537"/>
      <c r="AO994" s="2537"/>
      <c r="AP994" s="2537"/>
      <c r="AQ994" s="2538"/>
      <c r="AR994" s="1585"/>
      <c r="AS994" s="1585"/>
      <c r="AT994" s="1585"/>
      <c r="AU994" s="1585"/>
      <c r="AV994" s="1585"/>
      <c r="AW994" s="1585"/>
      <c r="AX994" s="1585"/>
      <c r="AY994" s="1585"/>
    </row>
    <row r="995" spans="1:96" s="720" customFormat="1" ht="12.75" customHeight="1">
      <c r="A995" s="51"/>
      <c r="B995" s="117"/>
      <c r="C995" s="118" t="s">
        <v>225</v>
      </c>
      <c r="D995" s="2522" t="s">
        <v>1546</v>
      </c>
      <c r="E995" s="2523"/>
      <c r="F995" s="2523"/>
      <c r="G995" s="2523"/>
      <c r="H995" s="2523"/>
      <c r="I995" s="2523"/>
      <c r="J995" s="2523"/>
      <c r="K995" s="2523"/>
      <c r="L995" s="2523"/>
      <c r="M995" s="2523"/>
      <c r="N995" s="2523"/>
      <c r="O995" s="2523"/>
      <c r="P995" s="2523"/>
      <c r="Q995" s="2523"/>
      <c r="R995" s="2523"/>
      <c r="S995" s="2523"/>
      <c r="T995" s="2523"/>
      <c r="U995" s="2523"/>
      <c r="V995" s="2523"/>
      <c r="W995" s="2523"/>
      <c r="X995" s="2523"/>
      <c r="Y995" s="2523"/>
      <c r="Z995" s="2523"/>
      <c r="AA995" s="2523"/>
      <c r="AB995" s="2523"/>
      <c r="AC995" s="2523"/>
      <c r="AD995" s="2523"/>
      <c r="AE995" s="2524"/>
      <c r="AF995" s="117"/>
      <c r="AG995" s="2495" t="s">
        <v>708</v>
      </c>
      <c r="AH995" s="2496"/>
      <c r="AI995" s="125"/>
      <c r="AJ995" s="2531">
        <f>IF(AG995="yes",AJ975*BA995,0)</f>
        <v>0</v>
      </c>
      <c r="AK995" s="2532"/>
      <c r="AL995" s="2532"/>
      <c r="AM995" s="2532"/>
      <c r="AN995" s="2532"/>
      <c r="AO995" s="2532"/>
      <c r="AP995" s="2532"/>
      <c r="AQ995" s="2533"/>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486" t="s">
        <v>1547</v>
      </c>
      <c r="E996" s="2487"/>
      <c r="F996" s="2487"/>
      <c r="G996" s="2487"/>
      <c r="H996" s="2487"/>
      <c r="I996" s="2487"/>
      <c r="J996" s="2487"/>
      <c r="K996" s="2487"/>
      <c r="L996" s="2487"/>
      <c r="M996" s="2487"/>
      <c r="N996" s="2487"/>
      <c r="O996" s="2487"/>
      <c r="P996" s="2487"/>
      <c r="Q996" s="2487"/>
      <c r="R996" s="2487"/>
      <c r="S996" s="2487"/>
      <c r="T996" s="2487"/>
      <c r="U996" s="2487"/>
      <c r="V996" s="2487"/>
      <c r="W996" s="2487"/>
      <c r="X996" s="2487"/>
      <c r="Y996" s="2487"/>
      <c r="Z996" s="2487"/>
      <c r="AA996" s="2487"/>
      <c r="AB996" s="2487"/>
      <c r="AC996" s="2487"/>
      <c r="AD996" s="2487"/>
      <c r="AE996" s="2488"/>
      <c r="AF996" s="110"/>
      <c r="AG996" s="112"/>
      <c r="AH996" s="112"/>
      <c r="AI996" s="121"/>
      <c r="AJ996" s="2534"/>
      <c r="AK996" s="2128"/>
      <c r="AL996" s="2128"/>
      <c r="AM996" s="2128"/>
      <c r="AN996" s="2128"/>
      <c r="AO996" s="2128"/>
      <c r="AP996" s="2128"/>
      <c r="AQ996" s="2535"/>
      <c r="AR996" s="1585"/>
      <c r="AS996" s="1585"/>
      <c r="AT996" s="1585"/>
      <c r="AU996" s="1585"/>
      <c r="AV996" s="1585"/>
      <c r="AW996" s="1585"/>
      <c r="AX996" s="1585"/>
      <c r="AY996" s="1585"/>
    </row>
    <row r="997" spans="1:96" ht="12.75" customHeight="1">
      <c r="A997" s="51"/>
      <c r="B997" s="110"/>
      <c r="C997" s="111"/>
      <c r="D997" s="2486"/>
      <c r="E997" s="2487"/>
      <c r="F997" s="2487"/>
      <c r="G997" s="2487"/>
      <c r="H997" s="2487"/>
      <c r="I997" s="2487"/>
      <c r="J997" s="2487"/>
      <c r="K997" s="2487"/>
      <c r="L997" s="2487"/>
      <c r="M997" s="2487"/>
      <c r="N997" s="2487"/>
      <c r="O997" s="2487"/>
      <c r="P997" s="2487"/>
      <c r="Q997" s="2487"/>
      <c r="R997" s="2487"/>
      <c r="S997" s="2487"/>
      <c r="T997" s="2487"/>
      <c r="U997" s="2487"/>
      <c r="V997" s="2487"/>
      <c r="W997" s="2487"/>
      <c r="X997" s="2487"/>
      <c r="Y997" s="2487"/>
      <c r="Z997" s="2487"/>
      <c r="AA997" s="2487"/>
      <c r="AB997" s="2487"/>
      <c r="AC997" s="2487"/>
      <c r="AD997" s="2487"/>
      <c r="AE997" s="2488"/>
      <c r="AF997" s="110"/>
      <c r="AG997" s="112"/>
      <c r="AH997" s="112"/>
      <c r="AI997" s="121"/>
      <c r="AJ997" s="2534"/>
      <c r="AK997" s="2128"/>
      <c r="AL997" s="2128"/>
      <c r="AM997" s="2128"/>
      <c r="AN997" s="2128"/>
      <c r="AO997" s="2128"/>
      <c r="AP997" s="2128"/>
      <c r="AQ997" s="2535"/>
      <c r="AR997" s="1585"/>
      <c r="AS997" s="1585"/>
      <c r="AT997" s="1585"/>
      <c r="AU997" s="1585"/>
      <c r="AV997" s="1585"/>
      <c r="AW997" s="1585"/>
      <c r="AX997" s="1585"/>
      <c r="AY997" s="1585"/>
      <c r="BA997" s="321">
        <f>IF(A1044="Yes",0.05,0)</f>
        <v>0</v>
      </c>
    </row>
    <row r="998" spans="1:96" ht="15" customHeight="1">
      <c r="A998" s="51"/>
      <c r="B998" s="119"/>
      <c r="C998" s="120"/>
      <c r="D998" s="2499"/>
      <c r="E998" s="2500"/>
      <c r="F998" s="2500"/>
      <c r="G998" s="2500"/>
      <c r="H998" s="2500"/>
      <c r="I998" s="2500"/>
      <c r="J998" s="2500"/>
      <c r="K998" s="2500"/>
      <c r="L998" s="2500"/>
      <c r="M998" s="2500"/>
      <c r="N998" s="2500"/>
      <c r="O998" s="2500"/>
      <c r="P998" s="2500"/>
      <c r="Q998" s="2500"/>
      <c r="R998" s="2500"/>
      <c r="S998" s="2500"/>
      <c r="T998" s="2500"/>
      <c r="U998" s="2500"/>
      <c r="V998" s="2500"/>
      <c r="W998" s="2500"/>
      <c r="X998" s="2500"/>
      <c r="Y998" s="2500"/>
      <c r="Z998" s="2500"/>
      <c r="AA998" s="2500"/>
      <c r="AB998" s="2500"/>
      <c r="AC998" s="2500"/>
      <c r="AD998" s="2500"/>
      <c r="AE998" s="2501"/>
      <c r="AF998" s="115"/>
      <c r="AG998" s="11"/>
      <c r="AH998" s="11"/>
      <c r="AI998" s="116"/>
      <c r="AJ998" s="2536"/>
      <c r="AK998" s="2537"/>
      <c r="AL998" s="2537"/>
      <c r="AM998" s="2537"/>
      <c r="AN998" s="2537"/>
      <c r="AO998" s="2537"/>
      <c r="AP998" s="2537"/>
      <c r="AQ998" s="2538"/>
      <c r="AR998" s="1585"/>
      <c r="AS998" s="1585"/>
      <c r="AT998" s="1585"/>
      <c r="AU998" s="1585"/>
      <c r="AV998" s="1585"/>
      <c r="AW998" s="1585"/>
      <c r="AX998" s="1585"/>
      <c r="AY998" s="1585"/>
      <c r="BA998" s="321">
        <f>IF(A1050="Yes",0.02,0)</f>
        <v>0</v>
      </c>
    </row>
    <row r="999" spans="1:96" s="720" customFormat="1" ht="15" customHeight="1">
      <c r="A999" s="51"/>
      <c r="B999" s="117"/>
      <c r="C999" s="118" t="s">
        <v>230</v>
      </c>
      <c r="D999" s="2575" t="s">
        <v>1548</v>
      </c>
      <c r="E999" s="2576"/>
      <c r="F999" s="2576"/>
      <c r="G999" s="2576"/>
      <c r="H999" s="2576"/>
      <c r="I999" s="2576"/>
      <c r="J999" s="2576"/>
      <c r="K999" s="2576"/>
      <c r="L999" s="2576"/>
      <c r="M999" s="2576"/>
      <c r="N999" s="2576"/>
      <c r="O999" s="2576"/>
      <c r="P999" s="2576"/>
      <c r="Q999" s="2576"/>
      <c r="R999" s="2576"/>
      <c r="S999" s="2576"/>
      <c r="T999" s="2576"/>
      <c r="U999" s="2576"/>
      <c r="V999" s="2576"/>
      <c r="W999" s="2576"/>
      <c r="X999" s="2576"/>
      <c r="Y999" s="2576"/>
      <c r="Z999" s="2576"/>
      <c r="AA999" s="2576"/>
      <c r="AB999" s="2576"/>
      <c r="AC999" s="2576"/>
      <c r="AD999" s="2576"/>
      <c r="AE999" s="2577"/>
      <c r="AF999" s="117"/>
      <c r="AG999" s="2495" t="s">
        <v>708</v>
      </c>
      <c r="AH999" s="2496"/>
      <c r="AI999" s="125"/>
      <c r="AJ999" s="2542"/>
      <c r="AK999" s="2543"/>
      <c r="AL999" s="2543"/>
      <c r="AM999" s="2543"/>
      <c r="AN999" s="2543"/>
      <c r="AO999" s="2543"/>
      <c r="AP999" s="2543"/>
      <c r="AQ999" s="2544"/>
      <c r="AR999" s="1585"/>
      <c r="AS999" s="1585"/>
      <c r="AT999" s="1585"/>
      <c r="AU999" s="1585"/>
      <c r="AV999" s="1585"/>
      <c r="AW999" s="1585"/>
      <c r="AX999" s="1585"/>
      <c r="AY999" s="1585"/>
      <c r="BA999" s="321">
        <f>IF(A1056="Yes",0.04,0)</f>
        <v>0</v>
      </c>
      <c r="CR999" s="25"/>
    </row>
    <row r="1000" spans="1:96" ht="12.5">
      <c r="A1000" s="51"/>
      <c r="B1000" s="119"/>
      <c r="C1000" s="122"/>
      <c r="D1000" s="2578"/>
      <c r="E1000" s="2579"/>
      <c r="F1000" s="2579"/>
      <c r="G1000" s="2579"/>
      <c r="H1000" s="2579"/>
      <c r="I1000" s="2579"/>
      <c r="J1000" s="2579"/>
      <c r="K1000" s="2579"/>
      <c r="L1000" s="2579"/>
      <c r="M1000" s="2579"/>
      <c r="N1000" s="2579"/>
      <c r="O1000" s="2579"/>
      <c r="P1000" s="2579"/>
      <c r="Q1000" s="2579"/>
      <c r="R1000" s="2579"/>
      <c r="S1000" s="2579"/>
      <c r="T1000" s="2579"/>
      <c r="U1000" s="2579"/>
      <c r="V1000" s="2579"/>
      <c r="W1000" s="2579"/>
      <c r="X1000" s="2579"/>
      <c r="Y1000" s="2579"/>
      <c r="Z1000" s="2579"/>
      <c r="AA1000" s="2579"/>
      <c r="AB1000" s="2579"/>
      <c r="AC1000" s="2579"/>
      <c r="AD1000" s="2579"/>
      <c r="AE1000" s="2580"/>
      <c r="AF1000" s="2563">
        <f>IF(AG999="yes","Please Select Type and Enter Amount:",0)</f>
        <v>0</v>
      </c>
      <c r="AG1000" s="2564"/>
      <c r="AH1000" s="2564"/>
      <c r="AI1000" s="2565"/>
      <c r="AJ1000" s="2545"/>
      <c r="AK1000" s="2546"/>
      <c r="AL1000" s="2546"/>
      <c r="AM1000" s="2546"/>
      <c r="AN1000" s="2546"/>
      <c r="AO1000" s="2546"/>
      <c r="AP1000" s="2546"/>
      <c r="AQ1000" s="2547"/>
      <c r="AR1000" s="1585"/>
      <c r="AS1000" s="1585"/>
      <c r="AT1000" s="1585"/>
      <c r="AU1000" s="1585"/>
      <c r="AV1000" s="1585"/>
      <c r="AW1000" s="1585"/>
      <c r="AX1000" s="1585"/>
      <c r="AY1000" s="1585"/>
      <c r="BA1000" s="321">
        <f>IF(A1063="Yes",0.04,0)</f>
        <v>0</v>
      </c>
    </row>
    <row r="1001" spans="1:96" ht="12.75" customHeight="1">
      <c r="A1001" s="51"/>
      <c r="B1001" s="119"/>
      <c r="C1001" s="122"/>
      <c r="D1001" s="2486" t="s">
        <v>1549</v>
      </c>
      <c r="E1001" s="2487"/>
      <c r="F1001" s="2487"/>
      <c r="G1001" s="2487"/>
      <c r="H1001" s="2487"/>
      <c r="I1001" s="2487"/>
      <c r="J1001" s="2487"/>
      <c r="K1001" s="2487"/>
      <c r="L1001" s="2487"/>
      <c r="M1001" s="2487"/>
      <c r="N1001" s="2487"/>
      <c r="O1001" s="2487"/>
      <c r="P1001" s="2487"/>
      <c r="Q1001" s="2487"/>
      <c r="R1001" s="2487"/>
      <c r="S1001" s="2487"/>
      <c r="T1001" s="2487"/>
      <c r="U1001" s="2487"/>
      <c r="V1001" s="2487"/>
      <c r="W1001" s="2487"/>
      <c r="X1001" s="2487"/>
      <c r="Y1001" s="2487"/>
      <c r="Z1001" s="2487"/>
      <c r="AA1001" s="2487"/>
      <c r="AB1001" s="2487"/>
      <c r="AC1001" s="2487"/>
      <c r="AD1001" s="2487"/>
      <c r="AE1001" s="2488"/>
      <c r="AF1001" s="2563"/>
      <c r="AG1001" s="2564"/>
      <c r="AH1001" s="2564"/>
      <c r="AI1001" s="2565"/>
      <c r="AJ1001" s="2545"/>
      <c r="AK1001" s="2546"/>
      <c r="AL1001" s="2546"/>
      <c r="AM1001" s="2546"/>
      <c r="AN1001" s="2546"/>
      <c r="AO1001" s="2546"/>
      <c r="AP1001" s="2546"/>
      <c r="AQ1001" s="2547"/>
      <c r="AR1001" s="1585"/>
      <c r="AS1001" s="1585"/>
      <c r="AT1001" s="1585"/>
      <c r="AU1001" s="1585"/>
      <c r="AV1001" s="1585"/>
      <c r="AW1001" s="1585"/>
      <c r="AX1001" s="1585"/>
      <c r="AY1001" s="1585"/>
      <c r="BA1001" s="321">
        <f>IF(A1066="Yes",0.01,0)</f>
        <v>0</v>
      </c>
    </row>
    <row r="1002" spans="1:96" ht="12.75" customHeight="1">
      <c r="A1002" s="51"/>
      <c r="B1002" s="119"/>
      <c r="C1002" s="122"/>
      <c r="D1002" s="2486"/>
      <c r="E1002" s="2487"/>
      <c r="F1002" s="2487"/>
      <c r="G1002" s="2487"/>
      <c r="H1002" s="2487"/>
      <c r="I1002" s="2487"/>
      <c r="J1002" s="2487"/>
      <c r="K1002" s="2487"/>
      <c r="L1002" s="2487"/>
      <c r="M1002" s="2487"/>
      <c r="N1002" s="2487"/>
      <c r="O1002" s="2487"/>
      <c r="P1002" s="2487"/>
      <c r="Q1002" s="2487"/>
      <c r="R1002" s="2487"/>
      <c r="S1002" s="2487"/>
      <c r="T1002" s="2487"/>
      <c r="U1002" s="2487"/>
      <c r="V1002" s="2487"/>
      <c r="W1002" s="2487"/>
      <c r="X1002" s="2487"/>
      <c r="Y1002" s="2487"/>
      <c r="Z1002" s="2487"/>
      <c r="AA1002" s="2487"/>
      <c r="AB1002" s="2487"/>
      <c r="AC1002" s="2487"/>
      <c r="AD1002" s="2487"/>
      <c r="AE1002" s="2488"/>
      <c r="AF1002" s="2563"/>
      <c r="AG1002" s="2564"/>
      <c r="AH1002" s="2564"/>
      <c r="AI1002" s="2565"/>
      <c r="AJ1002" s="2545"/>
      <c r="AK1002" s="2546"/>
      <c r="AL1002" s="2546"/>
      <c r="AM1002" s="2546"/>
      <c r="AN1002" s="2546"/>
      <c r="AO1002" s="2546"/>
      <c r="AP1002" s="2546"/>
      <c r="AQ1002" s="2547"/>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581" t="s">
        <v>628</v>
      </c>
      <c r="K1003" s="2582"/>
      <c r="L1003" s="2582"/>
      <c r="M1003" s="2582"/>
      <c r="N1003" s="2582"/>
      <c r="O1003" s="2582"/>
      <c r="P1003" s="2582"/>
      <c r="Q1003" s="2582"/>
      <c r="R1003" s="2582"/>
      <c r="S1003" s="2582"/>
      <c r="T1003" s="2582"/>
      <c r="U1003" s="2582"/>
      <c r="V1003" s="2582"/>
      <c r="W1003" s="2582"/>
      <c r="X1003" s="2582"/>
      <c r="Y1003" s="2582"/>
      <c r="Z1003" s="2582"/>
      <c r="AA1003" s="2582"/>
      <c r="AB1003" s="2582"/>
      <c r="AC1003" s="2582"/>
      <c r="AD1003" s="2582"/>
      <c r="AE1003" s="2583"/>
      <c r="AF1003" s="2566"/>
      <c r="AG1003" s="2567"/>
      <c r="AH1003" s="2567"/>
      <c r="AI1003" s="2568"/>
      <c r="AJ1003" s="2548"/>
      <c r="AK1003" s="2549"/>
      <c r="AL1003" s="2549"/>
      <c r="AM1003" s="2549"/>
      <c r="AN1003" s="2549"/>
      <c r="AO1003" s="2549"/>
      <c r="AP1003" s="2549"/>
      <c r="AQ1003" s="2550"/>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483" t="s">
        <v>1550</v>
      </c>
      <c r="E1004" s="2484"/>
      <c r="F1004" s="2484"/>
      <c r="G1004" s="2484"/>
      <c r="H1004" s="2484"/>
      <c r="I1004" s="2484"/>
      <c r="J1004" s="2484"/>
      <c r="K1004" s="2484"/>
      <c r="L1004" s="2484"/>
      <c r="M1004" s="2484"/>
      <c r="N1004" s="2484"/>
      <c r="O1004" s="2484"/>
      <c r="P1004" s="2484"/>
      <c r="Q1004" s="2484"/>
      <c r="R1004" s="2484"/>
      <c r="S1004" s="2484"/>
      <c r="T1004" s="2484"/>
      <c r="U1004" s="2484"/>
      <c r="V1004" s="2484"/>
      <c r="W1004" s="2484"/>
      <c r="X1004" s="2484"/>
      <c r="Y1004" s="2484"/>
      <c r="Z1004" s="2484"/>
      <c r="AA1004" s="2484"/>
      <c r="AB1004" s="2484"/>
      <c r="AC1004" s="2484"/>
      <c r="AD1004" s="2484"/>
      <c r="AE1004" s="2485"/>
      <c r="AF1004" s="117"/>
      <c r="AG1004" s="2495" t="s">
        <v>580</v>
      </c>
      <c r="AH1004" s="2496"/>
      <c r="AI1004" s="125"/>
      <c r="AJ1004" s="2542">
        <v>1137881</v>
      </c>
      <c r="AK1004" s="2543"/>
      <c r="AL1004" s="2543"/>
      <c r="AM1004" s="2543"/>
      <c r="AN1004" s="2543"/>
      <c r="AO1004" s="2543"/>
      <c r="AP1004" s="2543"/>
      <c r="AQ1004" s="2544"/>
      <c r="AR1004" s="1585"/>
      <c r="AS1004" s="1585"/>
      <c r="AT1004" s="1585"/>
      <c r="AU1004" s="1585"/>
      <c r="AV1004" s="1585"/>
      <c r="AW1004" s="1585"/>
      <c r="AX1004" s="1585"/>
      <c r="AY1004" s="1585"/>
      <c r="BA1004" s="321">
        <f>IF(A1078="Yes",0.02,0)</f>
        <v>0</v>
      </c>
    </row>
    <row r="1005" spans="1:96" ht="12.75" customHeight="1">
      <c r="A1005" s="51"/>
      <c r="B1005" s="110"/>
      <c r="C1005" s="111"/>
      <c r="D1005" s="2486" t="s">
        <v>2193</v>
      </c>
      <c r="E1005" s="2487"/>
      <c r="F1005" s="2487"/>
      <c r="G1005" s="2487"/>
      <c r="H1005" s="2487"/>
      <c r="I1005" s="2487"/>
      <c r="J1005" s="2487"/>
      <c r="K1005" s="2487"/>
      <c r="L1005" s="2487"/>
      <c r="M1005" s="2487"/>
      <c r="N1005" s="2487"/>
      <c r="O1005" s="2487"/>
      <c r="P1005" s="2487"/>
      <c r="Q1005" s="2487"/>
      <c r="R1005" s="2487"/>
      <c r="S1005" s="2487"/>
      <c r="T1005" s="2487"/>
      <c r="U1005" s="2487"/>
      <c r="V1005" s="2487"/>
      <c r="W1005" s="2487"/>
      <c r="X1005" s="2487"/>
      <c r="Y1005" s="2487"/>
      <c r="Z1005" s="2487"/>
      <c r="AA1005" s="2487"/>
      <c r="AB1005" s="2487"/>
      <c r="AC1005" s="2487"/>
      <c r="AD1005" s="2487"/>
      <c r="AE1005" s="2488"/>
      <c r="AF1005" s="2569" t="str">
        <f>IF(AG1004="yes","Please Enter Amount:",0)</f>
        <v>Please Enter Amount:</v>
      </c>
      <c r="AG1005" s="2570"/>
      <c r="AH1005" s="2570"/>
      <c r="AI1005" s="2571"/>
      <c r="AJ1005" s="2545"/>
      <c r="AK1005" s="2546"/>
      <c r="AL1005" s="2546"/>
      <c r="AM1005" s="2546"/>
      <c r="AN1005" s="2546"/>
      <c r="AO1005" s="2546"/>
      <c r="AP1005" s="2546"/>
      <c r="AQ1005" s="2547"/>
      <c r="AR1005" s="1585"/>
      <c r="AS1005" s="1585"/>
      <c r="AT1005" s="1585"/>
      <c r="AU1005" s="1585"/>
      <c r="AV1005" s="1585"/>
      <c r="AW1005" s="1585"/>
      <c r="AX1005" s="1585"/>
      <c r="AY1005" s="1585"/>
      <c r="BA1005" s="322">
        <f>IF(A1082="Yes",0.02,0)</f>
        <v>0</v>
      </c>
    </row>
    <row r="1006" spans="1:96" ht="12.75" customHeight="1">
      <c r="A1006" s="51"/>
      <c r="B1006" s="110"/>
      <c r="C1006" s="111"/>
      <c r="D1006" s="2486"/>
      <c r="E1006" s="2487"/>
      <c r="F1006" s="2487"/>
      <c r="G1006" s="2487"/>
      <c r="H1006" s="2487"/>
      <c r="I1006" s="2487"/>
      <c r="J1006" s="2487"/>
      <c r="K1006" s="2487"/>
      <c r="L1006" s="2487"/>
      <c r="M1006" s="2487"/>
      <c r="N1006" s="2487"/>
      <c r="O1006" s="2487"/>
      <c r="P1006" s="2487"/>
      <c r="Q1006" s="2487"/>
      <c r="R1006" s="2487"/>
      <c r="S1006" s="2487"/>
      <c r="T1006" s="2487"/>
      <c r="U1006" s="2487"/>
      <c r="V1006" s="2487"/>
      <c r="W1006" s="2487"/>
      <c r="X1006" s="2487"/>
      <c r="Y1006" s="2487"/>
      <c r="Z1006" s="2487"/>
      <c r="AA1006" s="2487"/>
      <c r="AB1006" s="2487"/>
      <c r="AC1006" s="2487"/>
      <c r="AD1006" s="2487"/>
      <c r="AE1006" s="2488"/>
      <c r="AF1006" s="2569"/>
      <c r="AG1006" s="2570"/>
      <c r="AH1006" s="2570"/>
      <c r="AI1006" s="2571"/>
      <c r="AJ1006" s="2545"/>
      <c r="AK1006" s="2546"/>
      <c r="AL1006" s="2546"/>
      <c r="AM1006" s="2546"/>
      <c r="AN1006" s="2546"/>
      <c r="AO1006" s="2546"/>
      <c r="AP1006" s="2546"/>
      <c r="AQ1006" s="2547"/>
      <c r="AR1006" s="1585"/>
      <c r="AS1006" s="1585"/>
      <c r="AT1006" s="1585"/>
      <c r="AU1006" s="1585"/>
      <c r="AV1006" s="1585"/>
      <c r="AW1006" s="1585"/>
      <c r="AX1006" s="1585"/>
      <c r="AY1006" s="1585"/>
    </row>
    <row r="1007" spans="1:96" ht="12.75" customHeight="1">
      <c r="A1007" s="51"/>
      <c r="B1007" s="123"/>
      <c r="C1007" s="122"/>
      <c r="D1007" s="2499"/>
      <c r="E1007" s="2500"/>
      <c r="F1007" s="2500"/>
      <c r="G1007" s="2500"/>
      <c r="H1007" s="2500"/>
      <c r="I1007" s="2500"/>
      <c r="J1007" s="2500"/>
      <c r="K1007" s="2500"/>
      <c r="L1007" s="2500"/>
      <c r="M1007" s="2500"/>
      <c r="N1007" s="2500"/>
      <c r="O1007" s="2500"/>
      <c r="P1007" s="2500"/>
      <c r="Q1007" s="2500"/>
      <c r="R1007" s="2500"/>
      <c r="S1007" s="2500"/>
      <c r="T1007" s="2500"/>
      <c r="U1007" s="2500"/>
      <c r="V1007" s="2500"/>
      <c r="W1007" s="2500"/>
      <c r="X1007" s="2500"/>
      <c r="Y1007" s="2500"/>
      <c r="Z1007" s="2500"/>
      <c r="AA1007" s="2500"/>
      <c r="AB1007" s="2500"/>
      <c r="AC1007" s="2500"/>
      <c r="AD1007" s="2500"/>
      <c r="AE1007" s="2501"/>
      <c r="AF1007" s="2572"/>
      <c r="AG1007" s="2573"/>
      <c r="AH1007" s="2573"/>
      <c r="AI1007" s="2574"/>
      <c r="AJ1007" s="2548"/>
      <c r="AK1007" s="2549"/>
      <c r="AL1007" s="2549"/>
      <c r="AM1007" s="2549"/>
      <c r="AN1007" s="2549"/>
      <c r="AO1007" s="2549"/>
      <c r="AP1007" s="2549"/>
      <c r="AQ1007" s="2550"/>
      <c r="AR1007" s="1585"/>
      <c r="AS1007" s="1585"/>
      <c r="AT1007" s="1585"/>
      <c r="AU1007" s="1585"/>
      <c r="AV1007" s="1585"/>
      <c r="AW1007" s="1585"/>
      <c r="AX1007" s="1585"/>
      <c r="AY1007" s="1585"/>
    </row>
    <row r="1008" spans="1:96" s="720" customFormat="1" ht="12.75" customHeight="1">
      <c r="A1008" s="51"/>
      <c r="B1008" s="117"/>
      <c r="C1008" s="118" t="s">
        <v>241</v>
      </c>
      <c r="D1008" s="2522" t="s">
        <v>1551</v>
      </c>
      <c r="E1008" s="2523"/>
      <c r="F1008" s="2523"/>
      <c r="G1008" s="2523"/>
      <c r="H1008" s="2523"/>
      <c r="I1008" s="2523"/>
      <c r="J1008" s="2523"/>
      <c r="K1008" s="2523"/>
      <c r="L1008" s="2523"/>
      <c r="M1008" s="2523"/>
      <c r="N1008" s="2523"/>
      <c r="O1008" s="2523"/>
      <c r="P1008" s="2523"/>
      <c r="Q1008" s="2523"/>
      <c r="R1008" s="2523"/>
      <c r="S1008" s="2523"/>
      <c r="T1008" s="2523"/>
      <c r="U1008" s="2523"/>
      <c r="V1008" s="2523"/>
      <c r="W1008" s="2523"/>
      <c r="X1008" s="2523"/>
      <c r="Y1008" s="2523"/>
      <c r="Z1008" s="2523"/>
      <c r="AA1008" s="2523"/>
      <c r="AB1008" s="2523"/>
      <c r="AC1008" s="2523"/>
      <c r="AD1008" s="2523"/>
      <c r="AE1008" s="2524"/>
      <c r="AF1008" s="117"/>
      <c r="AG1008" s="2495" t="s">
        <v>580</v>
      </c>
      <c r="AH1008" s="2496"/>
      <c r="AI1008" s="125"/>
      <c r="AJ1008" s="2531">
        <f>ROUND(IF(AG1008="yes",(AJ975*0.1),0),0)</f>
        <v>4539265</v>
      </c>
      <c r="AK1008" s="2532"/>
      <c r="AL1008" s="2532"/>
      <c r="AM1008" s="2532"/>
      <c r="AN1008" s="2532"/>
      <c r="AO1008" s="2532"/>
      <c r="AP1008" s="2532"/>
      <c r="AQ1008" s="2533"/>
      <c r="AR1008" s="1585"/>
      <c r="AS1008" s="1585"/>
      <c r="AT1008" s="1585"/>
      <c r="AU1008" s="1585"/>
      <c r="AV1008" s="1585"/>
      <c r="AW1008" s="1585"/>
      <c r="AX1008" s="1585"/>
      <c r="AY1008" s="1585"/>
      <c r="CR1008" s="25"/>
    </row>
    <row r="1009" spans="1:96" ht="12.75" customHeight="1">
      <c r="A1009" s="51"/>
      <c r="B1009" s="110"/>
      <c r="C1009" s="111"/>
      <c r="D1009" s="2486" t="s">
        <v>1552</v>
      </c>
      <c r="E1009" s="2487"/>
      <c r="F1009" s="2487"/>
      <c r="G1009" s="2487"/>
      <c r="H1009" s="2487"/>
      <c r="I1009" s="2487"/>
      <c r="J1009" s="2487"/>
      <c r="K1009" s="2487"/>
      <c r="L1009" s="2487"/>
      <c r="M1009" s="2487"/>
      <c r="N1009" s="2487"/>
      <c r="O1009" s="2487"/>
      <c r="P1009" s="2487"/>
      <c r="Q1009" s="2487"/>
      <c r="R1009" s="2487"/>
      <c r="S1009" s="2487"/>
      <c r="T1009" s="2487"/>
      <c r="U1009" s="2487"/>
      <c r="V1009" s="2487"/>
      <c r="W1009" s="2487"/>
      <c r="X1009" s="2487"/>
      <c r="Y1009" s="2487"/>
      <c r="Z1009" s="2487"/>
      <c r="AA1009" s="2487"/>
      <c r="AB1009" s="2487"/>
      <c r="AC1009" s="2487"/>
      <c r="AD1009" s="2487"/>
      <c r="AE1009" s="2488"/>
      <c r="AF1009" s="110"/>
      <c r="AG1009" s="112"/>
      <c r="AH1009" s="112"/>
      <c r="AI1009" s="121"/>
      <c r="AJ1009" s="2534"/>
      <c r="AK1009" s="2128"/>
      <c r="AL1009" s="2128"/>
      <c r="AM1009" s="2128"/>
      <c r="AN1009" s="2128"/>
      <c r="AO1009" s="2128"/>
      <c r="AP1009" s="2128"/>
      <c r="AQ1009" s="2535"/>
      <c r="AR1009" s="1585"/>
      <c r="AS1009" s="1585"/>
      <c r="AT1009" s="1585"/>
      <c r="AU1009" s="1585"/>
      <c r="AV1009" s="1585"/>
      <c r="AW1009" s="1585"/>
      <c r="AX1009" s="1585"/>
      <c r="AY1009" s="1585"/>
    </row>
    <row r="1010" spans="1:96" ht="12.75" customHeight="1">
      <c r="A1010" s="51"/>
      <c r="B1010" s="115"/>
      <c r="C1010" s="111"/>
      <c r="D1010" s="2499"/>
      <c r="E1010" s="2500"/>
      <c r="F1010" s="2500"/>
      <c r="G1010" s="2500"/>
      <c r="H1010" s="2500"/>
      <c r="I1010" s="2500"/>
      <c r="J1010" s="2500"/>
      <c r="K1010" s="2500"/>
      <c r="L1010" s="2500"/>
      <c r="M1010" s="2500"/>
      <c r="N1010" s="2500"/>
      <c r="O1010" s="2500"/>
      <c r="P1010" s="2500"/>
      <c r="Q1010" s="2500"/>
      <c r="R1010" s="2500"/>
      <c r="S1010" s="2500"/>
      <c r="T1010" s="2500"/>
      <c r="U1010" s="2500"/>
      <c r="V1010" s="2500"/>
      <c r="W1010" s="2500"/>
      <c r="X1010" s="2500"/>
      <c r="Y1010" s="2500"/>
      <c r="Z1010" s="2500"/>
      <c r="AA1010" s="2500"/>
      <c r="AB1010" s="2500"/>
      <c r="AC1010" s="2500"/>
      <c r="AD1010" s="2500"/>
      <c r="AE1010" s="2501"/>
      <c r="AF1010" s="110"/>
      <c r="AG1010" s="112"/>
      <c r="AH1010" s="112"/>
      <c r="AI1010" s="121"/>
      <c r="AJ1010" s="2536"/>
      <c r="AK1010" s="2537"/>
      <c r="AL1010" s="2537"/>
      <c r="AM1010" s="2537"/>
      <c r="AN1010" s="2537"/>
      <c r="AO1010" s="2537"/>
      <c r="AP1010" s="2537"/>
      <c r="AQ1010" s="2538"/>
      <c r="AR1010" s="1585"/>
      <c r="AS1010" s="1585"/>
      <c r="AT1010" s="1585"/>
      <c r="AU1010" s="1585"/>
      <c r="AV1010" s="1585"/>
      <c r="AW1010" s="1585"/>
      <c r="AX1010" s="1585"/>
      <c r="AY1010" s="1585"/>
    </row>
    <row r="1011" spans="1:96" s="720" customFormat="1" ht="12.75" customHeight="1">
      <c r="A1011" s="51"/>
      <c r="B1011" s="110"/>
      <c r="C1011" s="532" t="s">
        <v>727</v>
      </c>
      <c r="D1011" s="2483" t="s">
        <v>2189</v>
      </c>
      <c r="E1011" s="2484"/>
      <c r="F1011" s="2484"/>
      <c r="G1011" s="2484"/>
      <c r="H1011" s="2484"/>
      <c r="I1011" s="2484"/>
      <c r="J1011" s="2484"/>
      <c r="K1011" s="2484"/>
      <c r="L1011" s="2484"/>
      <c r="M1011" s="2484"/>
      <c r="N1011" s="2484"/>
      <c r="O1011" s="2484"/>
      <c r="P1011" s="2484"/>
      <c r="Q1011" s="2484"/>
      <c r="R1011" s="2484"/>
      <c r="S1011" s="2484"/>
      <c r="T1011" s="2484"/>
      <c r="U1011" s="2484"/>
      <c r="V1011" s="2484"/>
      <c r="W1011" s="2484"/>
      <c r="X1011" s="2484"/>
      <c r="Y1011" s="2484"/>
      <c r="Z1011" s="2484"/>
      <c r="AA1011" s="2484"/>
      <c r="AB1011" s="2484"/>
      <c r="AC1011" s="2484"/>
      <c r="AD1011" s="2484"/>
      <c r="AE1011" s="2485"/>
      <c r="AF1011" s="117"/>
      <c r="AG1011" s="2495" t="s">
        <v>708</v>
      </c>
      <c r="AH1011" s="2496"/>
      <c r="AI1011" s="125"/>
      <c r="AJ1011" s="2531">
        <f>ROUND(IF(AG1011="yes",(AJ975*0.15),0),0)</f>
        <v>0</v>
      </c>
      <c r="AK1011" s="2532"/>
      <c r="AL1011" s="2532"/>
      <c r="AM1011" s="2532"/>
      <c r="AN1011" s="2532"/>
      <c r="AO1011" s="2532"/>
      <c r="AP1011" s="2532"/>
      <c r="AQ1011" s="2533"/>
      <c r="AR1011" s="1585"/>
      <c r="AS1011" s="1585"/>
      <c r="AT1011" s="1585"/>
      <c r="AU1011" s="1585"/>
      <c r="AV1011" s="1585"/>
      <c r="AW1011" s="1585"/>
      <c r="AX1011" s="1585"/>
      <c r="AY1011" s="1585"/>
      <c r="CR1011" s="25"/>
    </row>
    <row r="1012" spans="1:96" s="720" customFormat="1" ht="12.75" customHeight="1">
      <c r="A1012" s="51"/>
      <c r="B1012" s="110"/>
      <c r="C1012" s="111"/>
      <c r="D1012" s="2525" t="s">
        <v>2190</v>
      </c>
      <c r="E1012" s="2526"/>
      <c r="F1012" s="2526"/>
      <c r="G1012" s="2526"/>
      <c r="H1012" s="2526"/>
      <c r="I1012" s="2526"/>
      <c r="J1012" s="2526"/>
      <c r="K1012" s="2526"/>
      <c r="L1012" s="2526"/>
      <c r="M1012" s="2526"/>
      <c r="N1012" s="2526"/>
      <c r="O1012" s="2526"/>
      <c r="P1012" s="2526"/>
      <c r="Q1012" s="2526"/>
      <c r="R1012" s="2526"/>
      <c r="S1012" s="2526"/>
      <c r="T1012" s="2526"/>
      <c r="U1012" s="2526"/>
      <c r="V1012" s="2526"/>
      <c r="W1012" s="2526"/>
      <c r="X1012" s="2526"/>
      <c r="Y1012" s="2526"/>
      <c r="Z1012" s="2526"/>
      <c r="AA1012" s="2526"/>
      <c r="AB1012" s="2526"/>
      <c r="AC1012" s="2526"/>
      <c r="AD1012" s="2526"/>
      <c r="AE1012" s="2527"/>
      <c r="AF1012" s="1615"/>
      <c r="AG1012" s="1616"/>
      <c r="AH1012" s="1616"/>
      <c r="AI1012" s="1617"/>
      <c r="AJ1012" s="2534"/>
      <c r="AK1012" s="2128"/>
      <c r="AL1012" s="2128"/>
      <c r="AM1012" s="2128"/>
      <c r="AN1012" s="2128"/>
      <c r="AO1012" s="2128"/>
      <c r="AP1012" s="2128"/>
      <c r="AQ1012" s="2535"/>
      <c r="AR1012" s="1585"/>
      <c r="AS1012" s="1585"/>
      <c r="AT1012" s="1585"/>
      <c r="AU1012" s="1585"/>
      <c r="AV1012" s="1585"/>
      <c r="AW1012" s="1585"/>
      <c r="AX1012" s="1585"/>
      <c r="AY1012" s="1585"/>
      <c r="CR1012" s="25"/>
    </row>
    <row r="1013" spans="1:96" s="720" customFormat="1" ht="12.75" customHeight="1">
      <c r="A1013" s="51"/>
      <c r="B1013" s="110"/>
      <c r="C1013" s="111"/>
      <c r="D1013" s="2525"/>
      <c r="E1013" s="2526"/>
      <c r="F1013" s="2526"/>
      <c r="G1013" s="2526"/>
      <c r="H1013" s="2526"/>
      <c r="I1013" s="2526"/>
      <c r="J1013" s="2526"/>
      <c r="K1013" s="2526"/>
      <c r="L1013" s="2526"/>
      <c r="M1013" s="2526"/>
      <c r="N1013" s="2526"/>
      <c r="O1013" s="2526"/>
      <c r="P1013" s="2526"/>
      <c r="Q1013" s="2526"/>
      <c r="R1013" s="2526"/>
      <c r="S1013" s="2526"/>
      <c r="T1013" s="2526"/>
      <c r="U1013" s="2526"/>
      <c r="V1013" s="2526"/>
      <c r="W1013" s="2526"/>
      <c r="X1013" s="2526"/>
      <c r="Y1013" s="2526"/>
      <c r="Z1013" s="2526"/>
      <c r="AA1013" s="2526"/>
      <c r="AB1013" s="2526"/>
      <c r="AC1013" s="2526"/>
      <c r="AD1013" s="2526"/>
      <c r="AE1013" s="2527"/>
      <c r="AF1013" s="1615"/>
      <c r="AG1013" s="1616"/>
      <c r="AH1013" s="1616"/>
      <c r="AI1013" s="1617"/>
      <c r="AJ1013" s="2534"/>
      <c r="AK1013" s="2128"/>
      <c r="AL1013" s="2128"/>
      <c r="AM1013" s="2128"/>
      <c r="AN1013" s="2128"/>
      <c r="AO1013" s="2128"/>
      <c r="AP1013" s="2128"/>
      <c r="AQ1013" s="2535"/>
      <c r="AR1013" s="1585"/>
      <c r="AS1013" s="1585"/>
      <c r="AT1013" s="1585"/>
      <c r="AU1013" s="1585"/>
      <c r="AV1013" s="1585"/>
      <c r="AW1013" s="1585"/>
      <c r="AX1013" s="1585"/>
      <c r="AY1013" s="1585"/>
      <c r="CR1013" s="25"/>
    </row>
    <row r="1014" spans="1:96" s="720" customFormat="1" ht="12.75" customHeight="1">
      <c r="A1014" s="51"/>
      <c r="B1014" s="110"/>
      <c r="C1014" s="111"/>
      <c r="D1014" s="2528"/>
      <c r="E1014" s="2529"/>
      <c r="F1014" s="2529"/>
      <c r="G1014" s="2529"/>
      <c r="H1014" s="2529"/>
      <c r="I1014" s="2529"/>
      <c r="J1014" s="2529"/>
      <c r="K1014" s="2529"/>
      <c r="L1014" s="2529"/>
      <c r="M1014" s="2529"/>
      <c r="N1014" s="2529"/>
      <c r="O1014" s="2529"/>
      <c r="P1014" s="2529"/>
      <c r="Q1014" s="2529"/>
      <c r="R1014" s="2529"/>
      <c r="S1014" s="2529"/>
      <c r="T1014" s="2529"/>
      <c r="U1014" s="2529"/>
      <c r="V1014" s="2529"/>
      <c r="W1014" s="2529"/>
      <c r="X1014" s="2529"/>
      <c r="Y1014" s="2529"/>
      <c r="Z1014" s="2529"/>
      <c r="AA1014" s="2529"/>
      <c r="AB1014" s="2529"/>
      <c r="AC1014" s="2529"/>
      <c r="AD1014" s="2529"/>
      <c r="AE1014" s="2530"/>
      <c r="AF1014" s="1618"/>
      <c r="AG1014" s="1619"/>
      <c r="AH1014" s="1619"/>
      <c r="AI1014" s="1620"/>
      <c r="AJ1014" s="2536"/>
      <c r="AK1014" s="2537"/>
      <c r="AL1014" s="2537"/>
      <c r="AM1014" s="2537"/>
      <c r="AN1014" s="2537"/>
      <c r="AO1014" s="2537"/>
      <c r="AP1014" s="2537"/>
      <c r="AQ1014" s="2538"/>
      <c r="AR1014" s="1585"/>
      <c r="AS1014" s="1585"/>
      <c r="AT1014" s="1585"/>
      <c r="AU1014" s="1585"/>
      <c r="AV1014" s="1585"/>
      <c r="AW1014" s="1585"/>
      <c r="AX1014" s="1585"/>
      <c r="AY1014" s="1585"/>
      <c r="CR1014" s="25"/>
    </row>
    <row r="1015" spans="1:96" s="720" customFormat="1" ht="12.75" customHeight="1">
      <c r="A1015" s="51"/>
      <c r="B1015" s="110"/>
      <c r="C1015" s="532" t="s">
        <v>727</v>
      </c>
      <c r="D1015" s="2522" t="s">
        <v>2191</v>
      </c>
      <c r="E1015" s="2523"/>
      <c r="F1015" s="2523"/>
      <c r="G1015" s="2523"/>
      <c r="H1015" s="2523"/>
      <c r="I1015" s="2523"/>
      <c r="J1015" s="2523"/>
      <c r="K1015" s="2523"/>
      <c r="L1015" s="2523"/>
      <c r="M1015" s="2523"/>
      <c r="N1015" s="2523"/>
      <c r="O1015" s="2523"/>
      <c r="P1015" s="2523"/>
      <c r="Q1015" s="2523"/>
      <c r="R1015" s="2523"/>
      <c r="S1015" s="2523"/>
      <c r="T1015" s="2523"/>
      <c r="U1015" s="2523"/>
      <c r="V1015" s="2523"/>
      <c r="W1015" s="2523"/>
      <c r="X1015" s="2523"/>
      <c r="Y1015" s="2523"/>
      <c r="Z1015" s="2523"/>
      <c r="AA1015" s="2523"/>
      <c r="AB1015" s="2523"/>
      <c r="AC1015" s="2523"/>
      <c r="AD1015" s="2523"/>
      <c r="AE1015" s="2524"/>
      <c r="AF1015" s="110"/>
      <c r="AG1015" s="2497" t="s">
        <v>708</v>
      </c>
      <c r="AH1015" s="2498"/>
      <c r="AI1015" s="121"/>
      <c r="AJ1015" s="2531">
        <f>ROUND(IF(AG1015="yes",(AJ975*0.1),0),0)</f>
        <v>0</v>
      </c>
      <c r="AK1015" s="2532"/>
      <c r="AL1015" s="2532"/>
      <c r="AM1015" s="2532"/>
      <c r="AN1015" s="2532"/>
      <c r="AO1015" s="2532"/>
      <c r="AP1015" s="2532"/>
      <c r="AQ1015" s="2533"/>
      <c r="AR1015" s="1585"/>
      <c r="AS1015" s="1585"/>
      <c r="AT1015" s="1585"/>
      <c r="AU1015" s="1585"/>
      <c r="AV1015" s="1585"/>
      <c r="AW1015" s="1585"/>
      <c r="AX1015" s="1585"/>
      <c r="AY1015" s="1585"/>
      <c r="CR1015" s="25"/>
    </row>
    <row r="1016" spans="1:96" s="720" customFormat="1" ht="12.75" customHeight="1">
      <c r="A1016" s="51"/>
      <c r="B1016" s="110"/>
      <c r="C1016" s="111"/>
      <c r="D1016" s="2525" t="s">
        <v>2192</v>
      </c>
      <c r="E1016" s="2526"/>
      <c r="F1016" s="2526"/>
      <c r="G1016" s="2526"/>
      <c r="H1016" s="2526"/>
      <c r="I1016" s="2526"/>
      <c r="J1016" s="2526"/>
      <c r="K1016" s="2526"/>
      <c r="L1016" s="2526"/>
      <c r="M1016" s="2526"/>
      <c r="N1016" s="2526"/>
      <c r="O1016" s="2526"/>
      <c r="P1016" s="2526"/>
      <c r="Q1016" s="2526"/>
      <c r="R1016" s="2526"/>
      <c r="S1016" s="2526"/>
      <c r="T1016" s="2526"/>
      <c r="U1016" s="2526"/>
      <c r="V1016" s="2526"/>
      <c r="W1016" s="2526"/>
      <c r="X1016" s="2526"/>
      <c r="Y1016" s="2526"/>
      <c r="Z1016" s="2526"/>
      <c r="AA1016" s="2526"/>
      <c r="AB1016" s="2526"/>
      <c r="AC1016" s="2526"/>
      <c r="AD1016" s="2526"/>
      <c r="AE1016" s="2527"/>
      <c r="AF1016" s="110"/>
      <c r="AG1016" s="112"/>
      <c r="AH1016" s="112"/>
      <c r="AI1016" s="121"/>
      <c r="AJ1016" s="2534"/>
      <c r="AK1016" s="2128"/>
      <c r="AL1016" s="2128"/>
      <c r="AM1016" s="2128"/>
      <c r="AN1016" s="2128"/>
      <c r="AO1016" s="2128"/>
      <c r="AP1016" s="2128"/>
      <c r="AQ1016" s="2535"/>
      <c r="AR1016" s="1585"/>
      <c r="AS1016" s="1585"/>
      <c r="AT1016" s="1585"/>
      <c r="AU1016" s="1585"/>
      <c r="AV1016" s="1585"/>
      <c r="AW1016" s="1585"/>
      <c r="AX1016" s="1585"/>
      <c r="AY1016" s="1585"/>
      <c r="CR1016" s="25"/>
    </row>
    <row r="1017" spans="1:96" s="720" customFormat="1" ht="12.75" customHeight="1">
      <c r="A1017" s="51"/>
      <c r="B1017" s="110"/>
      <c r="C1017" s="111"/>
      <c r="D1017" s="2525"/>
      <c r="E1017" s="2526"/>
      <c r="F1017" s="2526"/>
      <c r="G1017" s="2526"/>
      <c r="H1017" s="2526"/>
      <c r="I1017" s="2526"/>
      <c r="J1017" s="2526"/>
      <c r="K1017" s="2526"/>
      <c r="L1017" s="2526"/>
      <c r="M1017" s="2526"/>
      <c r="N1017" s="2526"/>
      <c r="O1017" s="2526"/>
      <c r="P1017" s="2526"/>
      <c r="Q1017" s="2526"/>
      <c r="R1017" s="2526"/>
      <c r="S1017" s="2526"/>
      <c r="T1017" s="2526"/>
      <c r="U1017" s="2526"/>
      <c r="V1017" s="2526"/>
      <c r="W1017" s="2526"/>
      <c r="X1017" s="2526"/>
      <c r="Y1017" s="2526"/>
      <c r="Z1017" s="2526"/>
      <c r="AA1017" s="2526"/>
      <c r="AB1017" s="2526"/>
      <c r="AC1017" s="2526"/>
      <c r="AD1017" s="2526"/>
      <c r="AE1017" s="2527"/>
      <c r="AF1017" s="110"/>
      <c r="AG1017" s="112"/>
      <c r="AH1017" s="112"/>
      <c r="AI1017" s="121"/>
      <c r="AJ1017" s="2534"/>
      <c r="AK1017" s="2128"/>
      <c r="AL1017" s="2128"/>
      <c r="AM1017" s="2128"/>
      <c r="AN1017" s="2128"/>
      <c r="AO1017" s="2128"/>
      <c r="AP1017" s="2128"/>
      <c r="AQ1017" s="2535"/>
      <c r="AR1017" s="1585"/>
      <c r="AS1017" s="1585"/>
      <c r="AT1017" s="1585"/>
      <c r="AU1017" s="1585"/>
      <c r="AV1017" s="1585"/>
      <c r="AW1017" s="1585"/>
      <c r="AX1017" s="1585"/>
      <c r="AY1017" s="1585"/>
      <c r="CR1017" s="25"/>
    </row>
    <row r="1018" spans="1:96" s="720" customFormat="1" ht="12.75" customHeight="1">
      <c r="A1018" s="51"/>
      <c r="B1018" s="110"/>
      <c r="C1018" s="111"/>
      <c r="D1018" s="2525"/>
      <c r="E1018" s="2526"/>
      <c r="F1018" s="2526"/>
      <c r="G1018" s="2526"/>
      <c r="H1018" s="2526"/>
      <c r="I1018" s="2526"/>
      <c r="J1018" s="2526"/>
      <c r="K1018" s="2526"/>
      <c r="L1018" s="2526"/>
      <c r="M1018" s="2526"/>
      <c r="N1018" s="2526"/>
      <c r="O1018" s="2526"/>
      <c r="P1018" s="2526"/>
      <c r="Q1018" s="2526"/>
      <c r="R1018" s="2526"/>
      <c r="S1018" s="2526"/>
      <c r="T1018" s="2526"/>
      <c r="U1018" s="2526"/>
      <c r="V1018" s="2526"/>
      <c r="W1018" s="2526"/>
      <c r="X1018" s="2526"/>
      <c r="Y1018" s="2526"/>
      <c r="Z1018" s="2526"/>
      <c r="AA1018" s="2526"/>
      <c r="AB1018" s="2526"/>
      <c r="AC1018" s="2526"/>
      <c r="AD1018" s="2526"/>
      <c r="AE1018" s="2527"/>
      <c r="AF1018" s="110"/>
      <c r="AG1018" s="112"/>
      <c r="AH1018" s="112"/>
      <c r="AI1018" s="121"/>
      <c r="AJ1018" s="2534"/>
      <c r="AK1018" s="2128"/>
      <c r="AL1018" s="2128"/>
      <c r="AM1018" s="2128"/>
      <c r="AN1018" s="2128"/>
      <c r="AO1018" s="2128"/>
      <c r="AP1018" s="2128"/>
      <c r="AQ1018" s="2535"/>
      <c r="AR1018" s="1585"/>
      <c r="AS1018" s="1585"/>
      <c r="AT1018" s="1585"/>
      <c r="AU1018" s="1585"/>
      <c r="AV1018" s="1585"/>
      <c r="AW1018" s="1585"/>
      <c r="AX1018" s="1585"/>
      <c r="AY1018" s="1585"/>
      <c r="CR1018" s="25"/>
    </row>
    <row r="1019" spans="1:96" s="720" customFormat="1" ht="12.75" customHeight="1">
      <c r="A1019" s="51"/>
      <c r="B1019" s="110"/>
      <c r="C1019" s="111"/>
      <c r="D1019" s="2528"/>
      <c r="E1019" s="2529"/>
      <c r="F1019" s="2529"/>
      <c r="G1019" s="2529"/>
      <c r="H1019" s="2529"/>
      <c r="I1019" s="2529"/>
      <c r="J1019" s="2529"/>
      <c r="K1019" s="2529"/>
      <c r="L1019" s="2529"/>
      <c r="M1019" s="2529"/>
      <c r="N1019" s="2529"/>
      <c r="O1019" s="2529"/>
      <c r="P1019" s="2529"/>
      <c r="Q1019" s="2529"/>
      <c r="R1019" s="2529"/>
      <c r="S1019" s="2529"/>
      <c r="T1019" s="2529"/>
      <c r="U1019" s="2529"/>
      <c r="V1019" s="2529"/>
      <c r="W1019" s="2529"/>
      <c r="X1019" s="2529"/>
      <c r="Y1019" s="2529"/>
      <c r="Z1019" s="2529"/>
      <c r="AA1019" s="2529"/>
      <c r="AB1019" s="2529"/>
      <c r="AC1019" s="2529"/>
      <c r="AD1019" s="2529"/>
      <c r="AE1019" s="2530"/>
      <c r="AF1019" s="110"/>
      <c r="AG1019" s="112"/>
      <c r="AH1019" s="112"/>
      <c r="AI1019" s="121"/>
      <c r="AJ1019" s="2534"/>
      <c r="AK1019" s="2128"/>
      <c r="AL1019" s="2128"/>
      <c r="AM1019" s="2128"/>
      <c r="AN1019" s="2128"/>
      <c r="AO1019" s="2128"/>
      <c r="AP1019" s="2128"/>
      <c r="AQ1019" s="2535"/>
      <c r="AR1019" s="1585"/>
      <c r="AS1019" s="1585"/>
      <c r="AT1019" s="1585"/>
      <c r="AU1019" s="1585"/>
      <c r="AV1019" s="1585"/>
      <c r="AW1019" s="1585"/>
      <c r="AX1019" s="1585"/>
      <c r="AY1019" s="1585"/>
      <c r="CR1019" s="25"/>
    </row>
    <row r="1020" spans="1:96" s="720" customFormat="1" ht="12.75" customHeight="1">
      <c r="A1020" s="51"/>
      <c r="B1020" s="117"/>
      <c r="C1020" s="198" t="s">
        <v>1120</v>
      </c>
      <c r="D1020" s="2483" t="s">
        <v>1553</v>
      </c>
      <c r="E1020" s="2484"/>
      <c r="F1020" s="2484"/>
      <c r="G1020" s="2484"/>
      <c r="H1020" s="2484"/>
      <c r="I1020" s="2484"/>
      <c r="J1020" s="2484"/>
      <c r="K1020" s="2484"/>
      <c r="L1020" s="2484"/>
      <c r="M1020" s="2484"/>
      <c r="N1020" s="2484"/>
      <c r="O1020" s="2484"/>
      <c r="P1020" s="2484"/>
      <c r="Q1020" s="2484"/>
      <c r="R1020" s="2484"/>
      <c r="S1020" s="2484"/>
      <c r="T1020" s="2484"/>
      <c r="U1020" s="2484"/>
      <c r="V1020" s="2484"/>
      <c r="W1020" s="2484"/>
      <c r="X1020" s="2484"/>
      <c r="Y1020" s="2484"/>
      <c r="Z1020" s="2484"/>
      <c r="AA1020" s="2484"/>
      <c r="AB1020" s="2484"/>
      <c r="AC1020" s="2484"/>
      <c r="AD1020" s="2484"/>
      <c r="AE1020" s="2485"/>
      <c r="AF1020" s="117"/>
      <c r="AG1020" s="2495" t="s">
        <v>708</v>
      </c>
      <c r="AH1020" s="2496"/>
      <c r="AI1020" s="125"/>
      <c r="AJ1020" s="2531">
        <f>ROUND(IF(AG1020="yes",(AJ975*0.1),0),0)</f>
        <v>0</v>
      </c>
      <c r="AK1020" s="2532"/>
      <c r="AL1020" s="2532"/>
      <c r="AM1020" s="2532"/>
      <c r="AN1020" s="2532"/>
      <c r="AO1020" s="2532"/>
      <c r="AP1020" s="2532"/>
      <c r="AQ1020" s="2533"/>
      <c r="AR1020" s="1585"/>
      <c r="AS1020" s="1585"/>
      <c r="AT1020" s="1585"/>
      <c r="AU1020" s="1585"/>
      <c r="AV1020" s="1585"/>
      <c r="AW1020" s="1585"/>
      <c r="AX1020" s="1585"/>
      <c r="AY1020" s="1585"/>
      <c r="CR1020" s="25"/>
    </row>
    <row r="1021" spans="1:96" ht="12.75" customHeight="1">
      <c r="A1021" s="51"/>
      <c r="B1021" s="110"/>
      <c r="C1021" s="111"/>
      <c r="D1021" s="2486" t="s">
        <v>1554</v>
      </c>
      <c r="E1021" s="2487"/>
      <c r="F1021" s="2487"/>
      <c r="G1021" s="2487"/>
      <c r="H1021" s="2487"/>
      <c r="I1021" s="2487"/>
      <c r="J1021" s="2487"/>
      <c r="K1021" s="2487"/>
      <c r="L1021" s="2487"/>
      <c r="M1021" s="2487"/>
      <c r="N1021" s="2487"/>
      <c r="O1021" s="2487"/>
      <c r="P1021" s="2487"/>
      <c r="Q1021" s="2487"/>
      <c r="R1021" s="2487"/>
      <c r="S1021" s="2487"/>
      <c r="T1021" s="2487"/>
      <c r="U1021" s="2487"/>
      <c r="V1021" s="2487"/>
      <c r="W1021" s="2487"/>
      <c r="X1021" s="2487"/>
      <c r="Y1021" s="2487"/>
      <c r="Z1021" s="2487"/>
      <c r="AA1021" s="2487"/>
      <c r="AB1021" s="2487"/>
      <c r="AC1021" s="2487"/>
      <c r="AD1021" s="2487"/>
      <c r="AE1021" s="2488"/>
      <c r="AF1021" s="110"/>
      <c r="AG1021" s="112"/>
      <c r="AH1021" s="112"/>
      <c r="AI1021" s="121"/>
      <c r="AJ1021" s="2534"/>
      <c r="AK1021" s="2128"/>
      <c r="AL1021" s="2128"/>
      <c r="AM1021" s="2128"/>
      <c r="AN1021" s="2128"/>
      <c r="AO1021" s="2128"/>
      <c r="AP1021" s="2128"/>
      <c r="AQ1021" s="2535"/>
      <c r="AR1021" s="1585"/>
      <c r="AS1021" s="1585"/>
      <c r="AT1021" s="1585"/>
      <c r="AU1021" s="1585"/>
      <c r="AV1021" s="1585"/>
      <c r="AW1021" s="1585"/>
      <c r="AX1021" s="1585"/>
      <c r="AY1021" s="1585"/>
    </row>
    <row r="1022" spans="1:96" ht="12.75" customHeight="1">
      <c r="A1022" s="51"/>
      <c r="B1022" s="110"/>
      <c r="C1022" s="111"/>
      <c r="D1022" s="2486"/>
      <c r="E1022" s="2487"/>
      <c r="F1022" s="2487"/>
      <c r="G1022" s="2487"/>
      <c r="H1022" s="2487"/>
      <c r="I1022" s="2487"/>
      <c r="J1022" s="2487"/>
      <c r="K1022" s="2487"/>
      <c r="L1022" s="2487"/>
      <c r="M1022" s="2487"/>
      <c r="N1022" s="2487"/>
      <c r="O1022" s="2487"/>
      <c r="P1022" s="2487"/>
      <c r="Q1022" s="2487"/>
      <c r="R1022" s="2487"/>
      <c r="S1022" s="2487"/>
      <c r="T1022" s="2487"/>
      <c r="U1022" s="2487"/>
      <c r="V1022" s="2487"/>
      <c r="W1022" s="2487"/>
      <c r="X1022" s="2487"/>
      <c r="Y1022" s="2487"/>
      <c r="Z1022" s="2487"/>
      <c r="AA1022" s="2487"/>
      <c r="AB1022" s="2487"/>
      <c r="AC1022" s="2487"/>
      <c r="AD1022" s="2487"/>
      <c r="AE1022" s="2488"/>
      <c r="AF1022" s="110"/>
      <c r="AG1022" s="112"/>
      <c r="AH1022" s="112"/>
      <c r="AI1022" s="121"/>
      <c r="AJ1022" s="2534"/>
      <c r="AK1022" s="2128"/>
      <c r="AL1022" s="2128"/>
      <c r="AM1022" s="2128"/>
      <c r="AN1022" s="2128"/>
      <c r="AO1022" s="2128"/>
      <c r="AP1022" s="2128"/>
      <c r="AQ1022" s="2535"/>
      <c r="AR1022" s="1585"/>
      <c r="AS1022" s="1585"/>
      <c r="AT1022" s="1585"/>
      <c r="AU1022" s="1585"/>
      <c r="AV1022" s="1585"/>
      <c r="AW1022" s="1585"/>
      <c r="AX1022" s="1585"/>
      <c r="AY1022" s="1585"/>
    </row>
    <row r="1023" spans="1:96" s="683" customFormat="1" ht="12.75" customHeight="1">
      <c r="A1023" s="51"/>
      <c r="B1023" s="110"/>
      <c r="C1023" s="111"/>
      <c r="D1023" s="2499"/>
      <c r="E1023" s="2500"/>
      <c r="F1023" s="2500"/>
      <c r="G1023" s="2500"/>
      <c r="H1023" s="2500"/>
      <c r="I1023" s="2500"/>
      <c r="J1023" s="2500"/>
      <c r="K1023" s="2500"/>
      <c r="L1023" s="2500"/>
      <c r="M1023" s="2500"/>
      <c r="N1023" s="2500"/>
      <c r="O1023" s="2500"/>
      <c r="P1023" s="2500"/>
      <c r="Q1023" s="2500"/>
      <c r="R1023" s="2500"/>
      <c r="S1023" s="2500"/>
      <c r="T1023" s="2500"/>
      <c r="U1023" s="2500"/>
      <c r="V1023" s="2500"/>
      <c r="W1023" s="2500"/>
      <c r="X1023" s="2500"/>
      <c r="Y1023" s="2500"/>
      <c r="Z1023" s="2500"/>
      <c r="AA1023" s="2500"/>
      <c r="AB1023" s="2500"/>
      <c r="AC1023" s="2500"/>
      <c r="AD1023" s="2500"/>
      <c r="AE1023" s="2501"/>
      <c r="AF1023" s="110"/>
      <c r="AG1023" s="112"/>
      <c r="AH1023" s="112"/>
      <c r="AI1023" s="121"/>
      <c r="AJ1023" s="2536"/>
      <c r="AK1023" s="2537"/>
      <c r="AL1023" s="2537"/>
      <c r="AM1023" s="2537"/>
      <c r="AN1023" s="2537"/>
      <c r="AO1023" s="2537"/>
      <c r="AP1023" s="2537"/>
      <c r="AQ1023" s="2538"/>
      <c r="AR1023" s="1585"/>
      <c r="AS1023" s="1585"/>
      <c r="AT1023" s="1585"/>
      <c r="AU1023" s="1585"/>
      <c r="AV1023" s="1585"/>
      <c r="AW1023" s="1585"/>
      <c r="AX1023" s="1585"/>
      <c r="AY1023" s="1585"/>
      <c r="CR1023" s="25"/>
    </row>
    <row r="1024" spans="1:96" ht="12.75" customHeight="1">
      <c r="A1024" s="51"/>
      <c r="B1024" s="117"/>
      <c r="C1024" s="198" t="s">
        <v>2187</v>
      </c>
      <c r="D1024" s="2522" t="s">
        <v>2459</v>
      </c>
      <c r="E1024" s="2523"/>
      <c r="F1024" s="2523"/>
      <c r="G1024" s="2523"/>
      <c r="H1024" s="2523"/>
      <c r="I1024" s="2523"/>
      <c r="J1024" s="2523"/>
      <c r="K1024" s="2523"/>
      <c r="L1024" s="2523"/>
      <c r="M1024" s="2523"/>
      <c r="N1024" s="2523"/>
      <c r="O1024" s="2523"/>
      <c r="P1024" s="2523"/>
      <c r="Q1024" s="2523"/>
      <c r="R1024" s="2523"/>
      <c r="S1024" s="2523"/>
      <c r="T1024" s="2523"/>
      <c r="U1024" s="2523"/>
      <c r="V1024" s="2523"/>
      <c r="W1024" s="2523"/>
      <c r="X1024" s="2523"/>
      <c r="Y1024" s="2523"/>
      <c r="Z1024" s="2523"/>
      <c r="AA1024" s="2523"/>
      <c r="AB1024" s="2523"/>
      <c r="AC1024" s="2523"/>
      <c r="AD1024" s="2523"/>
      <c r="AE1024" s="2524"/>
      <c r="AF1024" s="117"/>
      <c r="AG1024" s="2493" t="str">
        <f>IF(X1027&gt;0,"Yes","No")</f>
        <v>Yes</v>
      </c>
      <c r="AH1024" s="2494"/>
      <c r="AI1024" s="125"/>
      <c r="AJ1024" s="2502">
        <f>IF((X1027=0),0,BA989*AJ975)</f>
        <v>16341354.719999999</v>
      </c>
      <c r="AK1024" s="2503"/>
      <c r="AL1024" s="2503"/>
      <c r="AM1024" s="2503"/>
      <c r="AN1024" s="2503"/>
      <c r="AO1024" s="2503"/>
      <c r="AP1024" s="2503"/>
      <c r="AQ1024" s="2504"/>
      <c r="AR1024" s="1585"/>
      <c r="AS1024" s="1585"/>
      <c r="AT1024" s="1585"/>
      <c r="AU1024" s="1585"/>
      <c r="AV1024" s="1585"/>
      <c r="AW1024" s="1585"/>
      <c r="AX1024" s="1585"/>
      <c r="AY1024" s="1585"/>
    </row>
    <row r="1025" spans="1:96" ht="12.75" customHeight="1">
      <c r="A1025" s="51"/>
      <c r="B1025" s="110"/>
      <c r="C1025" s="703"/>
      <c r="D1025" s="2486" t="s">
        <v>1556</v>
      </c>
      <c r="E1025" s="2487"/>
      <c r="F1025" s="2487"/>
      <c r="G1025" s="2487"/>
      <c r="H1025" s="2487"/>
      <c r="I1025" s="2487"/>
      <c r="J1025" s="2487"/>
      <c r="K1025" s="2487"/>
      <c r="L1025" s="2487"/>
      <c r="M1025" s="2487"/>
      <c r="N1025" s="2487"/>
      <c r="O1025" s="2487"/>
      <c r="P1025" s="2487"/>
      <c r="Q1025" s="2487"/>
      <c r="R1025" s="2487"/>
      <c r="S1025" s="2487"/>
      <c r="T1025" s="2487"/>
      <c r="U1025" s="2487"/>
      <c r="V1025" s="2487"/>
      <c r="W1025" s="2487"/>
      <c r="X1025" s="2487"/>
      <c r="Y1025" s="2487"/>
      <c r="Z1025" s="2487"/>
      <c r="AA1025" s="2487"/>
      <c r="AB1025" s="2487"/>
      <c r="AC1025" s="2487"/>
      <c r="AD1025" s="2487"/>
      <c r="AE1025" s="2488"/>
      <c r="AF1025" s="110"/>
      <c r="AG1025" s="704"/>
      <c r="AH1025" s="704"/>
      <c r="AI1025" s="121"/>
      <c r="AJ1025" s="2505"/>
      <c r="AK1025" s="2506"/>
      <c r="AL1025" s="2506"/>
      <c r="AM1025" s="2506"/>
      <c r="AN1025" s="2506"/>
      <c r="AO1025" s="2506"/>
      <c r="AP1025" s="2506"/>
      <c r="AQ1025" s="2507"/>
      <c r="AR1025" s="1585"/>
      <c r="AS1025" s="1585"/>
      <c r="AT1025" s="1585"/>
      <c r="AU1025" s="1585"/>
      <c r="AV1025" s="1585"/>
      <c r="AW1025" s="1585"/>
      <c r="AX1025" s="1585"/>
      <c r="AY1025" s="1585"/>
    </row>
    <row r="1026" spans="1:96" ht="12.75" customHeight="1">
      <c r="A1026" s="51"/>
      <c r="B1026" s="110"/>
      <c r="C1026" s="703"/>
      <c r="D1026" s="2486"/>
      <c r="E1026" s="2487"/>
      <c r="F1026" s="2487"/>
      <c r="G1026" s="2487"/>
      <c r="H1026" s="2487"/>
      <c r="I1026" s="2487"/>
      <c r="J1026" s="2487"/>
      <c r="K1026" s="2487"/>
      <c r="L1026" s="2487"/>
      <c r="M1026" s="2487"/>
      <c r="N1026" s="2487"/>
      <c r="O1026" s="2487"/>
      <c r="P1026" s="2487"/>
      <c r="Q1026" s="2487"/>
      <c r="R1026" s="2487"/>
      <c r="S1026" s="2487"/>
      <c r="T1026" s="2487"/>
      <c r="U1026" s="2487"/>
      <c r="V1026" s="2487"/>
      <c r="W1026" s="2487"/>
      <c r="X1026" s="2487"/>
      <c r="Y1026" s="2487"/>
      <c r="Z1026" s="2487"/>
      <c r="AA1026" s="2487"/>
      <c r="AB1026" s="2487"/>
      <c r="AC1026" s="2487"/>
      <c r="AD1026" s="2487"/>
      <c r="AE1026" s="2488"/>
      <c r="AF1026" s="110"/>
      <c r="AG1026" s="704"/>
      <c r="AH1026" s="704"/>
      <c r="AI1026" s="121"/>
      <c r="AJ1026" s="2505"/>
      <c r="AK1026" s="2506"/>
      <c r="AL1026" s="2506"/>
      <c r="AM1026" s="2506"/>
      <c r="AN1026" s="2506"/>
      <c r="AO1026" s="2506"/>
      <c r="AP1026" s="2506"/>
      <c r="AQ1026" s="2507"/>
      <c r="AR1026" s="1585"/>
      <c r="AS1026" s="1585"/>
      <c r="AT1026" s="1585"/>
      <c r="AU1026" s="1585"/>
      <c r="AV1026" s="1585"/>
      <c r="AW1026" s="1585"/>
      <c r="AX1026" s="1585"/>
      <c r="AY1026" s="1585"/>
    </row>
    <row r="1027" spans="1:96" s="720" customFormat="1" ht="12.75" customHeight="1">
      <c r="A1027" s="51"/>
      <c r="B1027" s="115"/>
      <c r="C1027" s="116"/>
      <c r="D1027" s="199" t="s">
        <v>1054</v>
      </c>
      <c r="E1027" s="200"/>
      <c r="F1027" s="200"/>
      <c r="G1027" s="200"/>
      <c r="H1027" s="200"/>
      <c r="I1027" s="2491">
        <f>BA987</f>
        <v>79</v>
      </c>
      <c r="J1027" s="2492"/>
      <c r="K1027" s="11"/>
      <c r="L1027" s="200"/>
      <c r="M1027" s="200"/>
      <c r="N1027" s="200"/>
      <c r="O1027" s="200"/>
      <c r="P1027" s="200"/>
      <c r="Q1027" s="200"/>
      <c r="R1027" s="200"/>
      <c r="S1027" s="200"/>
      <c r="T1027" s="200"/>
      <c r="U1027" s="200"/>
      <c r="V1027" s="201" t="s">
        <v>1055</v>
      </c>
      <c r="W1027" s="80"/>
      <c r="X1027" s="2489">
        <f>BG635</f>
        <v>29</v>
      </c>
      <c r="Y1027" s="2490"/>
      <c r="Z1027" s="80"/>
      <c r="AA1027" s="80"/>
      <c r="AB1027" s="80"/>
      <c r="AC1027" s="80"/>
      <c r="AD1027" s="80"/>
      <c r="AE1027" s="81"/>
      <c r="AF1027" s="1624"/>
      <c r="AG1027" s="1625"/>
      <c r="AH1027" s="1625"/>
      <c r="AI1027" s="1626"/>
      <c r="AJ1027" s="2508"/>
      <c r="AK1027" s="2509"/>
      <c r="AL1027" s="2509"/>
      <c r="AM1027" s="2509"/>
      <c r="AN1027" s="2509"/>
      <c r="AO1027" s="2509"/>
      <c r="AP1027" s="2509"/>
      <c r="AQ1027" s="2510"/>
      <c r="AR1027" s="1585"/>
      <c r="AS1027" s="1585"/>
      <c r="AT1027" s="1585"/>
      <c r="AU1027" s="1585"/>
      <c r="AV1027" s="1585"/>
      <c r="AW1027" s="1585"/>
      <c r="AX1027" s="1585"/>
      <c r="AY1027" s="1585"/>
      <c r="CR1027" s="25"/>
    </row>
    <row r="1028" spans="1:96" ht="12.75" customHeight="1">
      <c r="A1028" s="51"/>
      <c r="B1028" s="117"/>
      <c r="C1028" s="198" t="s">
        <v>2188</v>
      </c>
      <c r="D1028" s="2483" t="s">
        <v>2460</v>
      </c>
      <c r="E1028" s="2484"/>
      <c r="F1028" s="2484"/>
      <c r="G1028" s="2484"/>
      <c r="H1028" s="2484"/>
      <c r="I1028" s="2484"/>
      <c r="J1028" s="2484"/>
      <c r="K1028" s="2484"/>
      <c r="L1028" s="2484"/>
      <c r="M1028" s="2484"/>
      <c r="N1028" s="2484"/>
      <c r="O1028" s="2484"/>
      <c r="P1028" s="2484"/>
      <c r="Q1028" s="2484"/>
      <c r="R1028" s="2484"/>
      <c r="S1028" s="2484"/>
      <c r="T1028" s="2484"/>
      <c r="U1028" s="2484"/>
      <c r="V1028" s="2484"/>
      <c r="W1028" s="2484"/>
      <c r="X1028" s="2484"/>
      <c r="Y1028" s="2484"/>
      <c r="Z1028" s="2484"/>
      <c r="AA1028" s="2484"/>
      <c r="AB1028" s="2484"/>
      <c r="AC1028" s="2484"/>
      <c r="AD1028" s="2484"/>
      <c r="AE1028" s="2485"/>
      <c r="AF1028" s="110"/>
      <c r="AG1028" s="2493" t="str">
        <f>IF(X1031&gt;0,"Yes","No")</f>
        <v>Yes</v>
      </c>
      <c r="AH1028" s="2494"/>
      <c r="AI1028" s="121"/>
      <c r="AJ1028" s="2502">
        <f>IF((X1031=0),0,(2*BA990)*AJ975)</f>
        <v>57194741.520000003</v>
      </c>
      <c r="AK1028" s="2503"/>
      <c r="AL1028" s="2503"/>
      <c r="AM1028" s="2503"/>
      <c r="AN1028" s="2503"/>
      <c r="AO1028" s="2503"/>
      <c r="AP1028" s="2503"/>
      <c r="AQ1028" s="2504"/>
      <c r="AR1028" s="1585"/>
      <c r="AS1028" s="1585"/>
      <c r="AT1028" s="1585"/>
      <c r="AU1028" s="1585"/>
      <c r="AV1028" s="1585"/>
      <c r="AW1028" s="1585"/>
      <c r="AX1028" s="1585"/>
      <c r="AY1028" s="1585"/>
    </row>
    <row r="1029" spans="1:96" ht="12.75" customHeight="1">
      <c r="A1029" s="51"/>
      <c r="B1029" s="110"/>
      <c r="C1029" s="703"/>
      <c r="D1029" s="2486" t="s">
        <v>1555</v>
      </c>
      <c r="E1029" s="2487"/>
      <c r="F1029" s="2487"/>
      <c r="G1029" s="2487"/>
      <c r="H1029" s="2487"/>
      <c r="I1029" s="2487"/>
      <c r="J1029" s="2487"/>
      <c r="K1029" s="2487"/>
      <c r="L1029" s="2487"/>
      <c r="M1029" s="2487"/>
      <c r="N1029" s="2487"/>
      <c r="O1029" s="2487"/>
      <c r="P1029" s="2487"/>
      <c r="Q1029" s="2487"/>
      <c r="R1029" s="2487"/>
      <c r="S1029" s="2487"/>
      <c r="T1029" s="2487"/>
      <c r="U1029" s="2487"/>
      <c r="V1029" s="2487"/>
      <c r="W1029" s="2487"/>
      <c r="X1029" s="2487"/>
      <c r="Y1029" s="2487"/>
      <c r="Z1029" s="2487"/>
      <c r="AA1029" s="2487"/>
      <c r="AB1029" s="2487"/>
      <c r="AC1029" s="2487"/>
      <c r="AD1029" s="2487"/>
      <c r="AE1029" s="2488"/>
      <c r="AF1029" s="110"/>
      <c r="AG1029" s="704"/>
      <c r="AH1029" s="704"/>
      <c r="AI1029" s="121"/>
      <c r="AJ1029" s="2505"/>
      <c r="AK1029" s="2506"/>
      <c r="AL1029" s="2506"/>
      <c r="AM1029" s="2506"/>
      <c r="AN1029" s="2506"/>
      <c r="AO1029" s="2506"/>
      <c r="AP1029" s="2506"/>
      <c r="AQ1029" s="2507"/>
      <c r="AR1029" s="1585"/>
      <c r="AS1029" s="1585"/>
      <c r="AT1029" s="1585"/>
      <c r="AU1029" s="1585"/>
      <c r="AV1029" s="1585"/>
      <c r="AW1029" s="1585"/>
      <c r="AX1029" s="1585"/>
      <c r="AY1029" s="1585"/>
    </row>
    <row r="1030" spans="1:96" ht="12.75" customHeight="1">
      <c r="A1030" s="51"/>
      <c r="B1030" s="110"/>
      <c r="C1030" s="121"/>
      <c r="D1030" s="2486"/>
      <c r="E1030" s="2487"/>
      <c r="F1030" s="2487"/>
      <c r="G1030" s="2487"/>
      <c r="H1030" s="2487"/>
      <c r="I1030" s="2487"/>
      <c r="J1030" s="2487"/>
      <c r="K1030" s="2487"/>
      <c r="L1030" s="2487"/>
      <c r="M1030" s="2487"/>
      <c r="N1030" s="2487"/>
      <c r="O1030" s="2487"/>
      <c r="P1030" s="2487"/>
      <c r="Q1030" s="2487"/>
      <c r="R1030" s="2487"/>
      <c r="S1030" s="2487"/>
      <c r="T1030" s="2487"/>
      <c r="U1030" s="2487"/>
      <c r="V1030" s="2487"/>
      <c r="W1030" s="2487"/>
      <c r="X1030" s="2487"/>
      <c r="Y1030" s="2487"/>
      <c r="Z1030" s="2487"/>
      <c r="AA1030" s="2487"/>
      <c r="AB1030" s="2487"/>
      <c r="AC1030" s="2487"/>
      <c r="AD1030" s="2487"/>
      <c r="AE1030" s="2488"/>
      <c r="AF1030" s="1621"/>
      <c r="AG1030" s="1622"/>
      <c r="AH1030" s="1622"/>
      <c r="AI1030" s="1623"/>
      <c r="AJ1030" s="2505"/>
      <c r="AK1030" s="2506"/>
      <c r="AL1030" s="2506"/>
      <c r="AM1030" s="2506"/>
      <c r="AN1030" s="2506"/>
      <c r="AO1030" s="2506"/>
      <c r="AP1030" s="2506"/>
      <c r="AQ1030" s="2507"/>
      <c r="AR1030" s="1585"/>
      <c r="AS1030" s="1585"/>
      <c r="AT1030" s="1585"/>
      <c r="AU1030" s="1585"/>
      <c r="AV1030" s="1585"/>
      <c r="AW1030" s="1585"/>
      <c r="AX1030" s="1585"/>
      <c r="AY1030" s="1585"/>
    </row>
    <row r="1031" spans="1:96" s="720" customFormat="1" ht="12.75" customHeight="1">
      <c r="A1031" s="51"/>
      <c r="B1031" s="115"/>
      <c r="C1031" s="116"/>
      <c r="D1031" s="199" t="s">
        <v>1054</v>
      </c>
      <c r="E1031" s="200"/>
      <c r="F1031" s="200"/>
      <c r="G1031" s="200"/>
      <c r="H1031" s="200"/>
      <c r="I1031" s="2491">
        <f>BA987</f>
        <v>79</v>
      </c>
      <c r="J1031" s="2492"/>
      <c r="K1031" s="51"/>
      <c r="L1031" s="200"/>
      <c r="M1031" s="200"/>
      <c r="N1031" s="200"/>
      <c r="O1031" s="200"/>
      <c r="P1031" s="200"/>
      <c r="Q1031" s="200"/>
      <c r="R1031" s="200"/>
      <c r="S1031" s="200"/>
      <c r="T1031" s="200"/>
      <c r="U1031" s="200"/>
      <c r="V1031" s="201" t="s">
        <v>1056</v>
      </c>
      <c r="X1031" s="2489">
        <f>BK635</f>
        <v>50</v>
      </c>
      <c r="Y1031" s="2490"/>
      <c r="AF1031" s="1624"/>
      <c r="AG1031" s="1625"/>
      <c r="AH1031" s="1625"/>
      <c r="AI1031" s="1626"/>
      <c r="AJ1031" s="2508"/>
      <c r="AK1031" s="2509"/>
      <c r="AL1031" s="2509"/>
      <c r="AM1031" s="2509"/>
      <c r="AN1031" s="2509"/>
      <c r="AO1031" s="2509"/>
      <c r="AP1031" s="2509"/>
      <c r="AQ1031" s="2510"/>
      <c r="AR1031" s="1585"/>
      <c r="AS1031" s="1585"/>
      <c r="AT1031" s="1585"/>
      <c r="AU1031" s="1585"/>
      <c r="AV1031" s="1585"/>
      <c r="AW1031" s="1585"/>
      <c r="AX1031" s="1585"/>
      <c r="AY1031" s="1585"/>
      <c r="CR1031" s="25"/>
    </row>
    <row r="1032" spans="1:96" ht="12.75" customHeight="1">
      <c r="A1032" s="51"/>
      <c r="B1032" s="158"/>
      <c r="C1032" s="159"/>
      <c r="D1032" s="2481" t="s">
        <v>548</v>
      </c>
      <c r="E1032" s="2481"/>
      <c r="F1032" s="2481"/>
      <c r="G1032" s="2481"/>
      <c r="H1032" s="2481"/>
      <c r="I1032" s="2481"/>
      <c r="J1032" s="2481"/>
      <c r="K1032" s="2481"/>
      <c r="L1032" s="2481"/>
      <c r="M1032" s="2481"/>
      <c r="N1032" s="2481"/>
      <c r="O1032" s="2481"/>
      <c r="P1032" s="2481"/>
      <c r="Q1032" s="2481"/>
      <c r="R1032" s="2481"/>
      <c r="S1032" s="2481"/>
      <c r="T1032" s="2481"/>
      <c r="U1032" s="2481"/>
      <c r="V1032" s="2481"/>
      <c r="W1032" s="2481"/>
      <c r="X1032" s="2481"/>
      <c r="Y1032" s="2481"/>
      <c r="Z1032" s="2481"/>
      <c r="AA1032" s="2481"/>
      <c r="AB1032" s="2481"/>
      <c r="AC1032" s="2481"/>
      <c r="AD1032" s="2481"/>
      <c r="AE1032" s="2481"/>
      <c r="AF1032" s="2481"/>
      <c r="AG1032" s="2481"/>
      <c r="AH1032" s="2481"/>
      <c r="AI1032" s="2482"/>
      <c r="AJ1032" s="2511">
        <f>SUM(AJ975:AQ1031)</f>
        <v>138223689.24000001</v>
      </c>
      <c r="AK1032" s="2512"/>
      <c r="AL1032" s="2512"/>
      <c r="AM1032" s="2512"/>
      <c r="AN1032" s="2512"/>
      <c r="AO1032" s="2512"/>
      <c r="AP1032" s="2512"/>
      <c r="AQ1032" s="2513"/>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129" t="s">
        <v>1944</v>
      </c>
      <c r="C1034" s="2129"/>
      <c r="D1034" s="2129"/>
      <c r="E1034" s="2129"/>
      <c r="F1034" s="2129"/>
      <c r="G1034" s="2129"/>
      <c r="H1034" s="2129"/>
      <c r="I1034" s="2129"/>
      <c r="J1034" s="2129"/>
      <c r="K1034" s="2129"/>
      <c r="L1034" s="2129"/>
      <c r="M1034" s="2129"/>
      <c r="N1034" s="2129"/>
      <c r="O1034" s="2129"/>
      <c r="P1034" s="2129"/>
      <c r="Q1034" s="2129"/>
      <c r="R1034" s="2129"/>
      <c r="S1034" s="2129"/>
      <c r="T1034" s="2129"/>
      <c r="U1034" s="2129"/>
      <c r="V1034" s="2129"/>
      <c r="W1034" s="2129"/>
      <c r="X1034" s="2129"/>
      <c r="Y1034" s="2129"/>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1945</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436"/>
      <c r="Y1035" s="2436"/>
      <c r="Z1035" s="2436"/>
      <c r="AA1035" s="2436"/>
      <c r="AB1035" s="2436"/>
      <c r="AC1035" s="2436"/>
      <c r="AD1035" s="2146">
        <f>R971</f>
        <v>612000</v>
      </c>
      <c r="AE1035" s="2147"/>
      <c r="AF1035" s="2147"/>
      <c r="AG1035" s="2147"/>
      <c r="AH1035" s="2147"/>
      <c r="AI1035" s="2147"/>
      <c r="AJ1035" s="2147"/>
      <c r="AK1035" s="2147"/>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1946</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437"/>
      <c r="Y1036" s="2437"/>
      <c r="Z1036" s="2437"/>
      <c r="AA1036" s="2437"/>
      <c r="AB1036" s="2437"/>
      <c r="AC1036" s="2437"/>
      <c r="AD1036" s="2128">
        <f>MIN((BR809:BR866))</f>
        <v>318400</v>
      </c>
      <c r="AE1036" s="2128"/>
      <c r="AF1036" s="2128"/>
      <c r="AG1036" s="2128"/>
      <c r="AH1036" s="2128"/>
      <c r="AI1036" s="2128"/>
      <c r="AJ1036" s="2128"/>
      <c r="AK1036" s="2128"/>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148" t="s">
        <v>1947</v>
      </c>
      <c r="C1037" s="2148"/>
      <c r="D1037" s="2148"/>
      <c r="E1037" s="2148"/>
      <c r="F1037" s="2148"/>
      <c r="G1037" s="2148"/>
      <c r="H1037" s="2148"/>
      <c r="I1037" s="2148"/>
      <c r="J1037" s="2148"/>
      <c r="K1037" s="2148"/>
      <c r="L1037" s="2148"/>
      <c r="M1037" s="2148"/>
      <c r="N1037" s="2148"/>
      <c r="O1037" s="2148"/>
      <c r="P1037" s="2148"/>
      <c r="Q1037" s="2148"/>
      <c r="R1037" s="2148"/>
      <c r="S1037" s="2148"/>
      <c r="T1037" s="2148"/>
      <c r="U1037" s="2148"/>
      <c r="V1037" s="2148"/>
      <c r="W1037" s="2148"/>
      <c r="X1037" s="2148"/>
      <c r="Y1037" s="2148"/>
      <c r="Z1037" s="1418"/>
      <c r="AA1037" s="1418"/>
      <c r="AB1037" s="1418"/>
      <c r="AC1037" s="1418"/>
      <c r="AD1037" s="2143">
        <f>IF(((AD1035-AD1036)/AD1036)&gt;0.3,0.3,((AD1035-AD1036)/AD1036))</f>
        <v>0.3</v>
      </c>
      <c r="AE1037" s="2144"/>
      <c r="AF1037" s="2144"/>
      <c r="AG1037" s="2144"/>
      <c r="AH1037" s="2144"/>
      <c r="AI1037" s="2144"/>
      <c r="AJ1037" s="2144"/>
      <c r="AK1037" s="2145"/>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75" customHeight="1">
      <c r="A1039" s="128"/>
      <c r="B1039" s="2445">
        <f>IF(ISNA(IF((AJ999&gt;(AJ975*0.15)),"(f) cannot be greater than 15% of unadjusted eligible basis.",0)),"",(IF((AJ999&gt;(AJ975*0.15)),"(f) cannot be greater than 15% of unadjusted eligible basis.",0)))</f>
        <v>0</v>
      </c>
      <c r="C1039" s="2445"/>
      <c r="D1039" s="2445"/>
      <c r="E1039" s="2445"/>
      <c r="F1039" s="2445"/>
      <c r="G1039" s="2445"/>
      <c r="H1039" s="2445"/>
      <c r="I1039" s="2445"/>
      <c r="J1039" s="2445"/>
      <c r="K1039" s="2445"/>
      <c r="L1039" s="2445"/>
      <c r="M1039" s="2445"/>
      <c r="N1039" s="2445"/>
      <c r="O1039" s="2445"/>
      <c r="P1039" s="2445"/>
      <c r="Q1039" s="2445"/>
      <c r="R1039" s="2445"/>
      <c r="S1039" s="2445"/>
      <c r="T1039" s="2445"/>
      <c r="U1039" s="2445"/>
      <c r="V1039" s="2445"/>
      <c r="W1039" s="2445"/>
      <c r="X1039" s="2445"/>
      <c r="Y1039" s="2445"/>
      <c r="Z1039" s="2445"/>
      <c r="AA1039" s="2445"/>
      <c r="AB1039" s="2445"/>
      <c r="AC1039" s="2445"/>
      <c r="AD1039" s="2445"/>
      <c r="AE1039" s="2445"/>
      <c r="AF1039" s="2445"/>
      <c r="AG1039" s="2445"/>
      <c r="AH1039" s="2445"/>
      <c r="AI1039" s="2445"/>
      <c r="AJ1039" s="2445"/>
      <c r="AK1039" s="2445"/>
      <c r="AL1039" s="105"/>
      <c r="AM1039" s="1585"/>
      <c r="AN1039" s="1585"/>
      <c r="AO1039" s="1585"/>
      <c r="AP1039" s="1585"/>
      <c r="AQ1039" s="1585"/>
      <c r="AR1039" s="1585"/>
      <c r="AS1039" s="1585"/>
      <c r="AT1039" s="1585"/>
      <c r="AU1039" s="1585"/>
      <c r="AV1039" s="1585"/>
      <c r="AW1039" s="1585"/>
      <c r="AX1039" s="1585"/>
      <c r="AY1039" s="1585"/>
    </row>
    <row r="1040" spans="1:96" ht="12.75" customHeight="1" thickBot="1">
      <c r="A1040" s="2373" t="s">
        <v>856</v>
      </c>
      <c r="B1040" s="2373"/>
      <c r="C1040" s="2373"/>
      <c r="D1040" s="2373"/>
      <c r="E1040" s="2373"/>
      <c r="F1040" s="2373"/>
      <c r="G1040" s="2373"/>
      <c r="H1040" s="2373"/>
      <c r="I1040" s="2373"/>
      <c r="J1040" s="2373"/>
      <c r="K1040" s="2373"/>
      <c r="L1040" s="2373"/>
      <c r="M1040" s="2373"/>
      <c r="N1040" s="2373"/>
      <c r="O1040" s="2373"/>
      <c r="P1040" s="2373"/>
      <c r="Q1040" s="2373"/>
      <c r="R1040" s="2373"/>
      <c r="S1040" s="2373"/>
      <c r="T1040" s="2373"/>
      <c r="U1040" s="2373"/>
      <c r="V1040" s="2373"/>
      <c r="W1040" s="2373"/>
      <c r="X1040" s="2373"/>
      <c r="Y1040" s="2373"/>
      <c r="Z1040" s="2373"/>
      <c r="AA1040" s="2373"/>
      <c r="AB1040" s="2373"/>
      <c r="AC1040" s="2373"/>
      <c r="AD1040" s="2373"/>
      <c r="AE1040" s="2373"/>
      <c r="AF1040" s="2373"/>
      <c r="AG1040" s="2373"/>
      <c r="AH1040" s="2373"/>
      <c r="AI1040" s="2373"/>
      <c r="AJ1040" s="2373"/>
      <c r="AK1040" s="2373"/>
      <c r="AL1040" s="2373"/>
      <c r="AM1040" s="20"/>
      <c r="AN1040" s="20"/>
      <c r="AO1040" s="20"/>
      <c r="AP1040" s="20"/>
      <c r="AQ1040" s="20"/>
      <c r="AR1040" s="20"/>
      <c r="AS1040" s="20"/>
      <c r="AT1040" s="20"/>
      <c r="AU1040" s="20"/>
      <c r="AV1040" s="20"/>
      <c r="AW1040" s="20"/>
      <c r="AX1040" s="20"/>
      <c r="AY1040" s="20"/>
    </row>
    <row r="1041" spans="1:51" ht="12.7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75"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75"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75" customHeight="1">
      <c r="A1044" s="2069" t="s">
        <v>628</v>
      </c>
      <c r="B1044" s="2069"/>
      <c r="C1044" s="13">
        <v>1</v>
      </c>
      <c r="D1044" s="1897" t="s">
        <v>1226</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6"/>
      <c r="AN1044" s="1586"/>
      <c r="AO1044" s="1586"/>
      <c r="AP1044" s="1586"/>
      <c r="AQ1044" s="1586"/>
      <c r="AR1044" s="1586"/>
      <c r="AS1044" s="1586"/>
      <c r="AT1044" s="1586"/>
      <c r="AU1044" s="1586"/>
      <c r="AV1044" s="1586"/>
      <c r="AW1044" s="1586"/>
      <c r="AX1044" s="1586"/>
      <c r="AY1044" s="1586"/>
    </row>
    <row r="1045" spans="1:51" ht="12.75"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6"/>
      <c r="AN1045" s="1586"/>
      <c r="AO1045" s="1586"/>
      <c r="AP1045" s="1586"/>
      <c r="AQ1045" s="1586"/>
      <c r="AR1045" s="1586"/>
      <c r="AS1045" s="1586"/>
      <c r="AT1045" s="1586"/>
      <c r="AU1045" s="1586"/>
      <c r="AV1045" s="1586"/>
      <c r="AW1045" s="1586"/>
      <c r="AX1045" s="1586"/>
      <c r="AY1045" s="1586"/>
    </row>
    <row r="1046" spans="1:51" ht="12.75"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5"/>
      <c r="AN1046" s="1585"/>
      <c r="AO1046" s="1585"/>
      <c r="AP1046" s="1585"/>
      <c r="AQ1046" s="1585"/>
      <c r="AR1046" s="1585"/>
      <c r="AS1046" s="1585"/>
      <c r="AT1046" s="1585"/>
      <c r="AU1046" s="1585"/>
      <c r="AV1046" s="1585"/>
      <c r="AW1046" s="1585"/>
      <c r="AX1046" s="1585"/>
      <c r="AY1046" s="1585"/>
    </row>
    <row r="1047" spans="1:51" ht="12.75"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5"/>
      <c r="AN1047" s="1585"/>
      <c r="AO1047" s="1585"/>
      <c r="AP1047" s="1585"/>
      <c r="AQ1047" s="1585"/>
      <c r="AR1047" s="1585"/>
      <c r="AS1047" s="1585"/>
      <c r="AT1047" s="1585"/>
      <c r="AU1047" s="1585"/>
      <c r="AV1047" s="1585"/>
      <c r="AW1047" s="1585"/>
      <c r="AX1047" s="1585"/>
      <c r="AY1047" s="1585"/>
    </row>
    <row r="1048" spans="1:51" ht="12.75"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5"/>
      <c r="AN1048" s="1585"/>
      <c r="AO1048" s="1585"/>
      <c r="AP1048" s="1585"/>
      <c r="AQ1048" s="1585"/>
      <c r="AR1048" s="1585"/>
      <c r="AS1048" s="1585"/>
      <c r="AT1048" s="1585"/>
      <c r="AU1048" s="1585"/>
      <c r="AV1048" s="1585"/>
      <c r="AW1048" s="1585"/>
      <c r="AX1048" s="1585"/>
      <c r="AY1048" s="1585"/>
    </row>
    <row r="1049" spans="1:51" ht="12.75"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5"/>
      <c r="AN1049" s="1585"/>
      <c r="AO1049" s="1585"/>
      <c r="AP1049" s="1585"/>
      <c r="AQ1049" s="1585"/>
      <c r="AR1049" s="1585"/>
      <c r="AS1049" s="1585"/>
      <c r="AT1049" s="1585"/>
      <c r="AU1049" s="1585"/>
      <c r="AV1049" s="1585"/>
      <c r="AW1049" s="1585"/>
      <c r="AX1049" s="1585"/>
      <c r="AY1049" s="1585"/>
    </row>
    <row r="1050" spans="1:51" ht="12.75" customHeight="1">
      <c r="A1050" s="2069" t="s">
        <v>628</v>
      </c>
      <c r="B1050" s="2069"/>
      <c r="C1050" s="13">
        <v>2</v>
      </c>
      <c r="D1050" s="1897" t="s">
        <v>1225</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5"/>
      <c r="AN1050" s="1585"/>
      <c r="AO1050" s="1585"/>
      <c r="AP1050" s="1585"/>
      <c r="AQ1050" s="1585"/>
      <c r="AR1050" s="1585"/>
      <c r="AS1050" s="1585"/>
      <c r="AT1050" s="1585"/>
      <c r="AU1050" s="1585"/>
      <c r="AV1050" s="1585"/>
      <c r="AW1050" s="1585"/>
      <c r="AX1050" s="1585"/>
      <c r="AY1050" s="1585"/>
    </row>
    <row r="1051" spans="1:51" ht="12.75"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5"/>
      <c r="AN1051" s="1585"/>
      <c r="AO1051" s="1585"/>
      <c r="AP1051" s="1585"/>
      <c r="AQ1051" s="1585"/>
      <c r="AR1051" s="1585"/>
      <c r="AS1051" s="1585"/>
      <c r="AT1051" s="1585"/>
      <c r="AU1051" s="1585"/>
      <c r="AV1051" s="1585"/>
      <c r="AW1051" s="1585"/>
      <c r="AX1051" s="1585"/>
      <c r="AY1051" s="1585"/>
    </row>
    <row r="1052" spans="1:51" ht="12.75"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5"/>
      <c r="AN1052" s="1585"/>
      <c r="AO1052" s="1585"/>
      <c r="AP1052" s="1585"/>
      <c r="AQ1052" s="1585"/>
      <c r="AR1052" s="1585"/>
      <c r="AS1052" s="1585"/>
      <c r="AT1052" s="1585"/>
      <c r="AU1052" s="1585"/>
      <c r="AV1052" s="1585"/>
      <c r="AW1052" s="1585"/>
      <c r="AX1052" s="1585"/>
      <c r="AY1052" s="1585"/>
    </row>
    <row r="1053" spans="1:51" ht="12.75"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5"/>
      <c r="AN1053" s="1585"/>
      <c r="AO1053" s="1585"/>
      <c r="AP1053" s="1585"/>
      <c r="AQ1053" s="1585"/>
      <c r="AR1053" s="1585"/>
      <c r="AS1053" s="1585"/>
      <c r="AT1053" s="1585"/>
      <c r="AU1053" s="1585"/>
      <c r="AV1053" s="1585"/>
      <c r="AW1053" s="1585"/>
      <c r="AX1053" s="1585"/>
      <c r="AY1053" s="1585"/>
    </row>
    <row r="1054" spans="1:51" ht="12.75"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5"/>
      <c r="AN1054" s="1585"/>
      <c r="AO1054" s="1585"/>
      <c r="AP1054" s="1585"/>
      <c r="AQ1054" s="1585"/>
      <c r="AR1054" s="1585"/>
      <c r="AS1054" s="1585"/>
      <c r="AT1054" s="1585"/>
      <c r="AU1054" s="1585"/>
      <c r="AV1054" s="1585"/>
      <c r="AW1054" s="1585"/>
      <c r="AX1054" s="1585"/>
      <c r="AY1054" s="1585"/>
    </row>
    <row r="1055" spans="1:51" ht="12.75"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75" customHeight="1">
      <c r="A1056" s="2069" t="s">
        <v>628</v>
      </c>
      <c r="B1056" s="2069"/>
      <c r="C1056" s="13">
        <v>3</v>
      </c>
      <c r="D1056" s="1897" t="s">
        <v>1538</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75"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20"/>
    </row>
    <row r="1058" spans="1:96" ht="12.75"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20" customFormat="1" ht="12.75"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75"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75"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75"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75" customHeight="1">
      <c r="A1063" s="2069" t="s">
        <v>628</v>
      </c>
      <c r="B1063" s="2069"/>
      <c r="C1063" s="13">
        <v>4</v>
      </c>
      <c r="D1063" s="1897" t="s">
        <v>1211</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75"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75"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3" customFormat="1" ht="12.75" customHeight="1">
      <c r="A1066" s="2069" t="s">
        <v>628</v>
      </c>
      <c r="B1066" s="2069"/>
      <c r="C1066" s="13">
        <v>5</v>
      </c>
      <c r="D1066" s="1897" t="s">
        <v>1424</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75"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75"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75"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3"/>
    </row>
    <row r="1070" spans="1:96" ht="12.75"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75" customHeight="1">
      <c r="A1071" s="2069" t="s">
        <v>628</v>
      </c>
      <c r="B1071" s="2069"/>
      <c r="C1071" s="13">
        <v>6</v>
      </c>
      <c r="D1071" s="1897" t="s">
        <v>1212</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75" customHeight="1">
      <c r="A1072" s="62"/>
      <c r="B1072" s="318"/>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75"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75" customHeight="1">
      <c r="A1074" s="2069" t="s">
        <v>628</v>
      </c>
      <c r="B1074" s="2069"/>
      <c r="C1074" s="319">
        <v>7</v>
      </c>
      <c r="D1074" s="1897" t="s">
        <v>1214</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13"/>
      <c r="AN1074" s="1513"/>
      <c r="AO1074" s="1513"/>
      <c r="AP1074" s="1513"/>
      <c r="AQ1074" s="1513"/>
      <c r="AR1074" s="1513"/>
      <c r="AS1074" s="1513"/>
      <c r="AT1074" s="1513"/>
      <c r="AU1074" s="1513"/>
      <c r="AV1074" s="1513"/>
      <c r="AW1074" s="1513"/>
      <c r="AX1074" s="1513"/>
      <c r="AY1074" s="1513"/>
    </row>
    <row r="1075" spans="1:96" ht="12.75" customHeight="1">
      <c r="A1075" s="235"/>
      <c r="B1075" s="235"/>
      <c r="C1075" s="320"/>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75" customHeight="1">
      <c r="A1076" s="235"/>
      <c r="B1076" s="235"/>
      <c r="C1076" s="320"/>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3" customFormat="1" ht="12.75" customHeight="1">
      <c r="A1077" s="62"/>
      <c r="B1077" s="66"/>
      <c r="C1077" s="319"/>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75" customHeight="1">
      <c r="A1078" s="2069" t="s">
        <v>628</v>
      </c>
      <c r="B1078" s="2069"/>
      <c r="C1078" s="319">
        <v>8</v>
      </c>
      <c r="D1078" s="2446" t="s">
        <v>2183</v>
      </c>
      <c r="E1078" s="2446"/>
      <c r="F1078" s="2446"/>
      <c r="G1078" s="2446"/>
      <c r="H1078" s="2446"/>
      <c r="I1078" s="2446"/>
      <c r="J1078" s="2446"/>
      <c r="K1078" s="2446"/>
      <c r="L1078" s="2446"/>
      <c r="M1078" s="2446"/>
      <c r="N1078" s="2446"/>
      <c r="O1078" s="2446"/>
      <c r="P1078" s="2446"/>
      <c r="Q1078" s="2446"/>
      <c r="R1078" s="2446"/>
      <c r="S1078" s="2446"/>
      <c r="T1078" s="2446"/>
      <c r="U1078" s="2446"/>
      <c r="V1078" s="2446"/>
      <c r="W1078" s="2446"/>
      <c r="X1078" s="2446"/>
      <c r="Y1078" s="2446"/>
      <c r="Z1078" s="2446"/>
      <c r="AA1078" s="2446"/>
      <c r="AB1078" s="2446"/>
      <c r="AC1078" s="2446"/>
      <c r="AD1078" s="2446"/>
      <c r="AE1078" s="2446"/>
      <c r="AF1078" s="2446"/>
      <c r="AG1078" s="2446"/>
      <c r="AH1078" s="2446"/>
      <c r="AI1078" s="2446"/>
      <c r="AJ1078" s="2446"/>
      <c r="AK1078" s="2446"/>
    </row>
    <row r="1079" spans="1:96" ht="12.75" customHeight="1">
      <c r="A1079" s="235"/>
      <c r="B1079" s="235"/>
      <c r="C1079" s="319"/>
      <c r="D1079" s="2446"/>
      <c r="E1079" s="2446"/>
      <c r="F1079" s="2446"/>
      <c r="G1079" s="2446"/>
      <c r="H1079" s="2446"/>
      <c r="I1079" s="2446"/>
      <c r="J1079" s="2446"/>
      <c r="K1079" s="2446"/>
      <c r="L1079" s="2446"/>
      <c r="M1079" s="2446"/>
      <c r="N1079" s="2446"/>
      <c r="O1079" s="2446"/>
      <c r="P1079" s="2446"/>
      <c r="Q1079" s="2446"/>
      <c r="R1079" s="2446"/>
      <c r="S1079" s="2446"/>
      <c r="T1079" s="2446"/>
      <c r="U1079" s="2446"/>
      <c r="V1079" s="2446"/>
      <c r="W1079" s="2446"/>
      <c r="X1079" s="2446"/>
      <c r="Y1079" s="2446"/>
      <c r="Z1079" s="2446"/>
      <c r="AA1079" s="2446"/>
      <c r="AB1079" s="2446"/>
      <c r="AC1079" s="2446"/>
      <c r="AD1079" s="2446"/>
      <c r="AE1079" s="2446"/>
      <c r="AF1079" s="2446"/>
      <c r="AG1079" s="2446"/>
      <c r="AH1079" s="2446"/>
      <c r="AI1079" s="2446"/>
      <c r="AJ1079" s="2446"/>
      <c r="AK1079" s="2446"/>
    </row>
    <row r="1080" spans="1:96" ht="12.75" customHeight="1">
      <c r="A1080" s="235"/>
      <c r="B1080" s="235"/>
      <c r="C1080" s="319"/>
      <c r="D1080" s="2446"/>
      <c r="E1080" s="2446"/>
      <c r="F1080" s="2446"/>
      <c r="G1080" s="2446"/>
      <c r="H1080" s="2446"/>
      <c r="I1080" s="2446"/>
      <c r="J1080" s="2446"/>
      <c r="K1080" s="2446"/>
      <c r="L1080" s="2446"/>
      <c r="M1080" s="2446"/>
      <c r="N1080" s="2446"/>
      <c r="O1080" s="2446"/>
      <c r="P1080" s="2446"/>
      <c r="Q1080" s="2446"/>
      <c r="R1080" s="2446"/>
      <c r="S1080" s="2446"/>
      <c r="T1080" s="2446"/>
      <c r="U1080" s="2446"/>
      <c r="V1080" s="2446"/>
      <c r="W1080" s="2446"/>
      <c r="X1080" s="2446"/>
      <c r="Y1080" s="2446"/>
      <c r="Z1080" s="2446"/>
      <c r="AA1080" s="2446"/>
      <c r="AB1080" s="2446"/>
      <c r="AC1080" s="2446"/>
      <c r="AD1080" s="2446"/>
      <c r="AE1080" s="2446"/>
      <c r="AF1080" s="2446"/>
      <c r="AG1080" s="2446"/>
      <c r="AH1080" s="2446"/>
      <c r="AI1080" s="2446"/>
      <c r="AJ1080" s="2446"/>
      <c r="AK1080" s="2446"/>
      <c r="AL1080" s="683"/>
    </row>
    <row r="1081" spans="1:96" ht="12" customHeight="1">
      <c r="A1081" s="62"/>
      <c r="B1081" s="66"/>
      <c r="C1081" s="319"/>
      <c r="D1081" s="2446"/>
      <c r="E1081" s="2446"/>
      <c r="F1081" s="2446"/>
      <c r="G1081" s="2446"/>
      <c r="H1081" s="2446"/>
      <c r="I1081" s="2446"/>
      <c r="J1081" s="2446"/>
      <c r="K1081" s="2446"/>
      <c r="L1081" s="2446"/>
      <c r="M1081" s="2446"/>
      <c r="N1081" s="2446"/>
      <c r="O1081" s="2446"/>
      <c r="P1081" s="2446"/>
      <c r="Q1081" s="2446"/>
      <c r="R1081" s="2446"/>
      <c r="S1081" s="2446"/>
      <c r="T1081" s="2446"/>
      <c r="U1081" s="2446"/>
      <c r="V1081" s="2446"/>
      <c r="W1081" s="2446"/>
      <c r="X1081" s="2446"/>
      <c r="Y1081" s="2446"/>
      <c r="Z1081" s="2446"/>
      <c r="AA1081" s="2446"/>
      <c r="AB1081" s="2446"/>
      <c r="AC1081" s="2446"/>
      <c r="AD1081" s="2446"/>
      <c r="AE1081" s="2446"/>
      <c r="AF1081" s="2446"/>
      <c r="AG1081" s="2446"/>
      <c r="AH1081" s="2446"/>
      <c r="AI1081" s="2446"/>
      <c r="AJ1081" s="2446"/>
      <c r="AK1081" s="2446"/>
    </row>
    <row r="1082" spans="1:96" ht="12.75" customHeight="1">
      <c r="A1082" s="2069" t="s">
        <v>628</v>
      </c>
      <c r="B1082" s="2069"/>
      <c r="C1082" s="319">
        <v>9</v>
      </c>
      <c r="D1082" s="1897" t="s">
        <v>1213</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 customHeight="1">
      <c r="A1083" s="62"/>
      <c r="B1083" s="66"/>
      <c r="C1083" s="319"/>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579">
    <mergeCell ref="CX651:DB651"/>
    <mergeCell ref="CM658:CQ658"/>
    <mergeCell ref="AM742:AO742"/>
    <mergeCell ref="Z693:AK693"/>
    <mergeCell ref="AO650:AS650"/>
    <mergeCell ref="AC729:AG729"/>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S654:CW654"/>
    <mergeCell ref="CX654:DB654"/>
    <mergeCell ref="DC654:DG654"/>
    <mergeCell ref="DH654:DL654"/>
    <mergeCell ref="DM654:DQ654"/>
    <mergeCell ref="DR654:DV654"/>
    <mergeCell ref="CS650:CW650"/>
    <mergeCell ref="CX650:DB650"/>
    <mergeCell ref="DC650:DG650"/>
    <mergeCell ref="DH650:DL650"/>
    <mergeCell ref="DM650:DQ650"/>
    <mergeCell ref="DR650:DV650"/>
    <mergeCell ref="AH792:AL792"/>
    <mergeCell ref="AH793:AL793"/>
    <mergeCell ref="AH794:AL794"/>
    <mergeCell ref="AH795:AL795"/>
    <mergeCell ref="DX655:EB655"/>
    <mergeCell ref="EC655:EG655"/>
    <mergeCell ref="EH655:EL655"/>
    <mergeCell ref="EM655:EQ655"/>
    <mergeCell ref="DC656:DG656"/>
    <mergeCell ref="DH656:DL656"/>
    <mergeCell ref="DM656:DQ656"/>
    <mergeCell ref="DR656:DV656"/>
    <mergeCell ref="CS657:CW657"/>
    <mergeCell ref="CX657:DB657"/>
    <mergeCell ref="DC657:DG657"/>
    <mergeCell ref="DH657:DL657"/>
    <mergeCell ref="DM657:DQ657"/>
    <mergeCell ref="DR657:DV657"/>
    <mergeCell ref="CX656:DB656"/>
    <mergeCell ref="EM657:EQ657"/>
    <mergeCell ref="AM747:AO747"/>
    <mergeCell ref="AM748:AO748"/>
    <mergeCell ref="AM746:AO746"/>
    <mergeCell ref="AM730:AO730"/>
    <mergeCell ref="AI689:AK689"/>
    <mergeCell ref="AG667:AH667"/>
    <mergeCell ref="AM744:AO744"/>
    <mergeCell ref="CM663:CQ663"/>
    <mergeCell ref="H624:R624"/>
    <mergeCell ref="P623:R623"/>
    <mergeCell ref="H583:R583"/>
    <mergeCell ref="B634:N636"/>
    <mergeCell ref="R639:T639"/>
    <mergeCell ref="DR653:DV653"/>
    <mergeCell ref="AF646:AJ646"/>
    <mergeCell ref="AF647:AJ647"/>
    <mergeCell ref="AF648:AJ648"/>
    <mergeCell ref="AO644:AS644"/>
    <mergeCell ref="BX640:CB640"/>
    <mergeCell ref="R646:T646"/>
    <mergeCell ref="DR651:DV651"/>
    <mergeCell ref="CS652:CW652"/>
    <mergeCell ref="CX652:DB652"/>
    <mergeCell ref="DC652:DG652"/>
    <mergeCell ref="DH652:DL652"/>
    <mergeCell ref="DM652:DQ652"/>
    <mergeCell ref="DR652:DV652"/>
    <mergeCell ref="CS653:CW653"/>
    <mergeCell ref="CX653:DB653"/>
    <mergeCell ref="DH649:DL649"/>
    <mergeCell ref="DM649:DQ649"/>
    <mergeCell ref="DR649:DV649"/>
    <mergeCell ref="DC651:DG651"/>
    <mergeCell ref="DH651:DL651"/>
    <mergeCell ref="DM651:DQ651"/>
    <mergeCell ref="DM653:DQ653"/>
    <mergeCell ref="BN650:BR650"/>
    <mergeCell ref="BN642:BR642"/>
    <mergeCell ref="BN643:BR643"/>
    <mergeCell ref="EW656:FA656"/>
    <mergeCell ref="DX657:EB657"/>
    <mergeCell ref="EC657:EG657"/>
    <mergeCell ref="EH657:EL657"/>
    <mergeCell ref="EW650:FA650"/>
    <mergeCell ref="EW657:FA657"/>
    <mergeCell ref="EW658:FA658"/>
    <mergeCell ref="EW653:FA653"/>
    <mergeCell ref="EW646:FA646"/>
    <mergeCell ref="DX647:EB647"/>
    <mergeCell ref="EC647:EG647"/>
    <mergeCell ref="EH647:EL647"/>
    <mergeCell ref="EM647:EQ647"/>
    <mergeCell ref="EC654:EG654"/>
    <mergeCell ref="EH654:EL654"/>
    <mergeCell ref="EM654:EQ654"/>
    <mergeCell ref="EW644:FA644"/>
    <mergeCell ref="DX645:EB645"/>
    <mergeCell ref="EC645:EG645"/>
    <mergeCell ref="EH645:EL645"/>
    <mergeCell ref="EM645:EQ645"/>
    <mergeCell ref="ER645:EV645"/>
    <mergeCell ref="EW645:FA645"/>
    <mergeCell ref="EW652:FA652"/>
    <mergeCell ref="ER647:EV647"/>
    <mergeCell ref="EW647:FA647"/>
    <mergeCell ref="DX648:EB648"/>
    <mergeCell ref="EC648:EG648"/>
    <mergeCell ref="EH648:EL648"/>
    <mergeCell ref="EM648:EQ648"/>
    <mergeCell ref="ER648:EV648"/>
    <mergeCell ref="EW651:FA651"/>
    <mergeCell ref="ER654:EV654"/>
    <mergeCell ref="EW654:FA654"/>
    <mergeCell ref="C644:N644"/>
    <mergeCell ref="C645:N645"/>
    <mergeCell ref="C646:N646"/>
    <mergeCell ref="C647:N647"/>
    <mergeCell ref="C648:N648"/>
    <mergeCell ref="O644:Q644"/>
    <mergeCell ref="O638:Q638"/>
    <mergeCell ref="O639:Q639"/>
    <mergeCell ref="O640:Q640"/>
    <mergeCell ref="O641:Q641"/>
    <mergeCell ref="O642:Q642"/>
    <mergeCell ref="ER655:EV655"/>
    <mergeCell ref="ER650:EV650"/>
    <mergeCell ref="EM652:EQ652"/>
    <mergeCell ref="EH643:EL643"/>
    <mergeCell ref="EM643:EQ643"/>
    <mergeCell ref="ER643:EV643"/>
    <mergeCell ref="EW643:FA643"/>
    <mergeCell ref="DX644:EB644"/>
    <mergeCell ref="EC644:EG644"/>
    <mergeCell ref="EH644:EL644"/>
    <mergeCell ref="EM644:EQ644"/>
    <mergeCell ref="ER644:EV644"/>
    <mergeCell ref="BN644:BR644"/>
    <mergeCell ref="CS651:CW651"/>
    <mergeCell ref="AF640:AJ640"/>
    <mergeCell ref="AF641:AJ641"/>
    <mergeCell ref="AF642:AJ642"/>
    <mergeCell ref="AF643:AJ643"/>
    <mergeCell ref="O637:Q637"/>
    <mergeCell ref="EW655:FA655"/>
    <mergeCell ref="EH653:EL653"/>
    <mergeCell ref="EM653:EQ653"/>
    <mergeCell ref="U637:W637"/>
    <mergeCell ref="U638:W638"/>
    <mergeCell ref="R645:T645"/>
    <mergeCell ref="C637:N637"/>
    <mergeCell ref="C638:N638"/>
    <mergeCell ref="C639:N639"/>
    <mergeCell ref="C640:N640"/>
    <mergeCell ref="C641:N641"/>
    <mergeCell ref="C642:N642"/>
    <mergeCell ref="C643:N643"/>
    <mergeCell ref="CX649:DB649"/>
    <mergeCell ref="DC649:DG649"/>
    <mergeCell ref="R637:T637"/>
    <mergeCell ref="R638:T638"/>
    <mergeCell ref="EW649:FA649"/>
    <mergeCell ref="DX650:EB650"/>
    <mergeCell ref="EC650:EG650"/>
    <mergeCell ref="ER653:EV653"/>
    <mergeCell ref="ER646:EV646"/>
    <mergeCell ref="EC652:EG652"/>
    <mergeCell ref="EH652:EL652"/>
    <mergeCell ref="DX646:EB646"/>
    <mergeCell ref="EC646:EG646"/>
    <mergeCell ref="EH646:EL646"/>
    <mergeCell ref="EM646:EQ646"/>
    <mergeCell ref="EH650:EL650"/>
    <mergeCell ref="EM650:EQ650"/>
    <mergeCell ref="DX651:EB651"/>
    <mergeCell ref="DX653:EB653"/>
    <mergeCell ref="EC653:EG653"/>
    <mergeCell ref="ER657:EV657"/>
    <mergeCell ref="DX658:EB658"/>
    <mergeCell ref="EC658:EG658"/>
    <mergeCell ref="EH658:EL658"/>
    <mergeCell ref="EM658:EQ658"/>
    <mergeCell ref="DX656:EB656"/>
    <mergeCell ref="EC656:EG656"/>
    <mergeCell ref="ER658:EV658"/>
    <mergeCell ref="DX654:EB654"/>
    <mergeCell ref="EH649:EL649"/>
    <mergeCell ref="EM649:EQ649"/>
    <mergeCell ref="ER649:EV649"/>
    <mergeCell ref="EH656:EL656"/>
    <mergeCell ref="EM656:EQ656"/>
    <mergeCell ref="ER656:EV656"/>
    <mergeCell ref="EC651:EG651"/>
    <mergeCell ref="DX652:EB652"/>
    <mergeCell ref="ER652:EV652"/>
    <mergeCell ref="EH651:EL651"/>
    <mergeCell ref="EM651:EQ651"/>
    <mergeCell ref="ER651:EV651"/>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DX662:EB662"/>
    <mergeCell ref="EC662:EG662"/>
    <mergeCell ref="EC663:EG663"/>
    <mergeCell ref="EH663:EL663"/>
    <mergeCell ref="EM663:EQ663"/>
    <mergeCell ref="EW662:FA662"/>
    <mergeCell ref="ER663:EV663"/>
    <mergeCell ref="EH662:EL662"/>
    <mergeCell ref="EM662:EQ662"/>
    <mergeCell ref="ER662:EV662"/>
    <mergeCell ref="EW648:FA648"/>
    <mergeCell ref="DX649:EB649"/>
    <mergeCell ref="EC649:EG649"/>
    <mergeCell ref="DX642:EB642"/>
    <mergeCell ref="EC642:EG642"/>
    <mergeCell ref="EH642:EL642"/>
    <mergeCell ref="EM642:EQ642"/>
    <mergeCell ref="ER642:EV642"/>
    <mergeCell ref="EW642:FA642"/>
    <mergeCell ref="EC643:EG643"/>
    <mergeCell ref="DX643:EB64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3:EB633"/>
    <mergeCell ref="DX640:EB640"/>
    <mergeCell ref="EC640:EG640"/>
    <mergeCell ref="EH640:EL640"/>
    <mergeCell ref="EM640:EQ640"/>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31:EB631"/>
    <mergeCell ref="EC631:EG631"/>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B748:F748"/>
    <mergeCell ref="J791:N791"/>
    <mergeCell ref="AC796:AG796"/>
    <mergeCell ref="AC786:AG786"/>
    <mergeCell ref="AC787:AG787"/>
    <mergeCell ref="AC776:AG776"/>
    <mergeCell ref="X776:AB776"/>
    <mergeCell ref="X768:AB771"/>
    <mergeCell ref="K750:N750"/>
    <mergeCell ref="AC745:AG745"/>
    <mergeCell ref="AC746:AG746"/>
    <mergeCell ref="AC747:AG747"/>
    <mergeCell ref="AJ972:AQ972"/>
    <mergeCell ref="AJ973:AQ973"/>
    <mergeCell ref="M828:P828"/>
    <mergeCell ref="J793:N793"/>
    <mergeCell ref="AH748:AL748"/>
    <mergeCell ref="K748:N748"/>
    <mergeCell ref="K749:N749"/>
    <mergeCell ref="C835:AJ835"/>
    <mergeCell ref="E883:AB883"/>
    <mergeCell ref="W847:AC847"/>
    <mergeCell ref="G740:J740"/>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AC748:AG748"/>
    <mergeCell ref="AC749:AG749"/>
    <mergeCell ref="AC750:AG750"/>
    <mergeCell ref="J789:N789"/>
    <mergeCell ref="O789:S789"/>
    <mergeCell ref="AH749:AL749"/>
    <mergeCell ref="AC788:AG788"/>
    <mergeCell ref="AC789:AG789"/>
    <mergeCell ref="AC790:AG790"/>
    <mergeCell ref="AC791:AG791"/>
    <mergeCell ref="G749:J749"/>
    <mergeCell ref="J778:K778"/>
    <mergeCell ref="J786:N786"/>
    <mergeCell ref="O786:S786"/>
    <mergeCell ref="J776:N776"/>
    <mergeCell ref="AH782:AL785"/>
    <mergeCell ref="AH786:AL786"/>
    <mergeCell ref="AH787:AL787"/>
    <mergeCell ref="AH788:AL788"/>
    <mergeCell ref="AH789:AL789"/>
    <mergeCell ref="AH790:AL790"/>
    <mergeCell ref="AH791:AL791"/>
    <mergeCell ref="G748:J748"/>
    <mergeCell ref="AC773:AG773"/>
    <mergeCell ref="AC774:AG774"/>
    <mergeCell ref="AC782:AG785"/>
    <mergeCell ref="G747:J747"/>
    <mergeCell ref="G753:J753"/>
    <mergeCell ref="T773:W773"/>
    <mergeCell ref="G745:J745"/>
    <mergeCell ref="G746:J746"/>
    <mergeCell ref="O731:S731"/>
    <mergeCell ref="T738:X738"/>
    <mergeCell ref="AC735:AG735"/>
    <mergeCell ref="Y828:AB828"/>
    <mergeCell ref="U828:X828"/>
    <mergeCell ref="M821:P822"/>
    <mergeCell ref="Q821:T822"/>
    <mergeCell ref="Z807:AE807"/>
    <mergeCell ref="AH753:AL753"/>
    <mergeCell ref="T753:X753"/>
    <mergeCell ref="I934:T934"/>
    <mergeCell ref="O745:S745"/>
    <mergeCell ref="Y739:AB739"/>
    <mergeCell ref="AH740:AL740"/>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O734:S734"/>
    <mergeCell ref="O735:S735"/>
    <mergeCell ref="O736:S736"/>
    <mergeCell ref="O737:S737"/>
    <mergeCell ref="O738:S738"/>
    <mergeCell ref="O739:S739"/>
    <mergeCell ref="AC737:AG737"/>
    <mergeCell ref="AH744:AL744"/>
    <mergeCell ref="T739:X739"/>
    <mergeCell ref="T740:X740"/>
    <mergeCell ref="Y735:AB735"/>
    <mergeCell ref="AC738:AG738"/>
    <mergeCell ref="AH734:AL734"/>
    <mergeCell ref="AH735:AL735"/>
    <mergeCell ref="AH736:AL736"/>
    <mergeCell ref="AC740:AG740"/>
    <mergeCell ref="AC741:AG741"/>
    <mergeCell ref="AC742:AG742"/>
    <mergeCell ref="AC743:AG743"/>
    <mergeCell ref="AC744:AG744"/>
    <mergeCell ref="AH739:AL739"/>
    <mergeCell ref="AC739:AG739"/>
    <mergeCell ref="O744:S744"/>
    <mergeCell ref="G733:J733"/>
    <mergeCell ref="K737:N737"/>
    <mergeCell ref="K738:N738"/>
    <mergeCell ref="O646:Q646"/>
    <mergeCell ref="O647:Q647"/>
    <mergeCell ref="O648:Q648"/>
    <mergeCell ref="R640:T640"/>
    <mergeCell ref="R641:T641"/>
    <mergeCell ref="X639:AB639"/>
    <mergeCell ref="X640:AB640"/>
    <mergeCell ref="X641:AB641"/>
    <mergeCell ref="X642:AB642"/>
    <mergeCell ref="X643:AB643"/>
    <mergeCell ref="X644:AB644"/>
    <mergeCell ref="X645:AB645"/>
    <mergeCell ref="B728:F728"/>
    <mergeCell ref="G653:R653"/>
    <mergeCell ref="B730:F730"/>
    <mergeCell ref="G724:J727"/>
    <mergeCell ref="P673:R673"/>
    <mergeCell ref="G669:R669"/>
    <mergeCell ref="G671:R671"/>
    <mergeCell ref="O730:S730"/>
    <mergeCell ref="H682:R682"/>
    <mergeCell ref="G673:L673"/>
    <mergeCell ref="Z687:AK687"/>
    <mergeCell ref="G655:R655"/>
    <mergeCell ref="AE709:AI709"/>
    <mergeCell ref="G730:J730"/>
    <mergeCell ref="AC639:AE639"/>
    <mergeCell ref="AA698:AK698"/>
    <mergeCell ref="G693:R693"/>
    <mergeCell ref="B731:F731"/>
    <mergeCell ref="AO637:AS637"/>
    <mergeCell ref="AO647:AS647"/>
    <mergeCell ref="AO649:AS649"/>
    <mergeCell ref="R647:T647"/>
    <mergeCell ref="R648:T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A719:AO721"/>
    <mergeCell ref="G689:L689"/>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U642:W642"/>
    <mergeCell ref="AC638:AE638"/>
    <mergeCell ref="AC637:AE637"/>
    <mergeCell ref="X638:AB638"/>
    <mergeCell ref="O645:Q645"/>
    <mergeCell ref="U648:W648"/>
    <mergeCell ref="U639:W639"/>
    <mergeCell ref="AG659:AH659"/>
    <mergeCell ref="AI681:AK681"/>
    <mergeCell ref="Z679:AK679"/>
    <mergeCell ref="G677:R677"/>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B733:F733"/>
    <mergeCell ref="DR635:DV635"/>
    <mergeCell ref="CS635:CW635"/>
    <mergeCell ref="CX635:DB635"/>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C653:DG653"/>
    <mergeCell ref="DH653:DL653"/>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19:DQ619"/>
    <mergeCell ref="DR619:DV619"/>
    <mergeCell ref="DM620:DQ620"/>
    <mergeCell ref="DR620:DV620"/>
    <mergeCell ref="CS619:CW619"/>
    <mergeCell ref="CX619:DB619"/>
    <mergeCell ref="DC619:DG619"/>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2:DQ622"/>
    <mergeCell ref="DR622:DV622"/>
    <mergeCell ref="CS621:CW621"/>
    <mergeCell ref="CX621:DB621"/>
    <mergeCell ref="CS622:CW622"/>
    <mergeCell ref="CX622:DB622"/>
    <mergeCell ref="DC622:DG622"/>
    <mergeCell ref="DH622:DL622"/>
    <mergeCell ref="DC621:DG621"/>
    <mergeCell ref="DM623:DQ623"/>
    <mergeCell ref="DR623:DV623"/>
    <mergeCell ref="DM624:DQ624"/>
    <mergeCell ref="DR624:DV624"/>
    <mergeCell ref="DH621:DL621"/>
    <mergeCell ref="CS623:CW623"/>
    <mergeCell ref="CX623:DB623"/>
    <mergeCell ref="DC623:DG623"/>
    <mergeCell ref="DH623:DL623"/>
    <mergeCell ref="DM621:DQ621"/>
    <mergeCell ref="DR621:DV621"/>
    <mergeCell ref="DM616:DQ616"/>
    <mergeCell ref="DR616:DV616"/>
    <mergeCell ref="DM618:DQ618"/>
    <mergeCell ref="DR618:DV618"/>
    <mergeCell ref="CS617:CW617"/>
    <mergeCell ref="CX617:DB617"/>
    <mergeCell ref="CS618:CW618"/>
    <mergeCell ref="CX618:DB618"/>
    <mergeCell ref="DC618:DG618"/>
    <mergeCell ref="DH618:DL618"/>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DM611:DQ611"/>
    <mergeCell ref="DR611:DV611"/>
    <mergeCell ref="DM612:DQ612"/>
    <mergeCell ref="DR612:DV612"/>
    <mergeCell ref="DC611:DG611"/>
    <mergeCell ref="DH609:DL609"/>
    <mergeCell ref="DM614:DQ614"/>
    <mergeCell ref="DR614:DV614"/>
    <mergeCell ref="CS613:CW613"/>
    <mergeCell ref="A13:AL14"/>
    <mergeCell ref="Q389:U389"/>
    <mergeCell ref="AI388:AJ388"/>
    <mergeCell ref="E367:AH368"/>
    <mergeCell ref="AA323:AF323"/>
    <mergeCell ref="H331:M331"/>
    <mergeCell ref="AA335:AK335"/>
    <mergeCell ref="AA328:AK328"/>
    <mergeCell ref="BN609:BR609"/>
    <mergeCell ref="P330:R330"/>
    <mergeCell ref="T196:U196"/>
    <mergeCell ref="M247:AE247"/>
    <mergeCell ref="DM610:DQ610"/>
    <mergeCell ref="AA297:AK297"/>
    <mergeCell ref="AC370:AF370"/>
    <mergeCell ref="AJ355:AK355"/>
    <mergeCell ref="H336:R336"/>
    <mergeCell ref="AA322:AF322"/>
    <mergeCell ref="CS611:CW611"/>
    <mergeCell ref="AP204:AQ204"/>
    <mergeCell ref="I420:K420"/>
    <mergeCell ref="P420:R420"/>
    <mergeCell ref="C571:P571"/>
    <mergeCell ref="AA321:AK321"/>
    <mergeCell ref="H335:R335"/>
    <mergeCell ref="DC614:DG614"/>
    <mergeCell ref="DH614:DL614"/>
    <mergeCell ref="DC613:DG613"/>
    <mergeCell ref="DH613:DL613"/>
    <mergeCell ref="AI673:AK673"/>
    <mergeCell ref="Z671:AK671"/>
    <mergeCell ref="AH729:AL729"/>
    <mergeCell ref="G687:R687"/>
    <mergeCell ref="Y730:AB730"/>
    <mergeCell ref="Z688:AK688"/>
    <mergeCell ref="DM613:DQ613"/>
    <mergeCell ref="G663:R663"/>
    <mergeCell ref="BN663:BR663"/>
    <mergeCell ref="BN654:BR654"/>
    <mergeCell ref="BN653:BR653"/>
    <mergeCell ref="BN652:BR652"/>
    <mergeCell ref="BN651:BR651"/>
    <mergeCell ref="G695:R695"/>
    <mergeCell ref="H698:R698"/>
    <mergeCell ref="N675:O675"/>
    <mergeCell ref="G670:R670"/>
    <mergeCell ref="BS663:BW663"/>
    <mergeCell ref="BS641:BW641"/>
    <mergeCell ref="AO643:AS643"/>
    <mergeCell ref="X646:AB646"/>
    <mergeCell ref="X647:AB647"/>
    <mergeCell ref="CS609:CW609"/>
    <mergeCell ref="DC609:DG609"/>
    <mergeCell ref="CX611:DB611"/>
    <mergeCell ref="CX609:DB609"/>
    <mergeCell ref="AO640:AS640"/>
    <mergeCell ref="P322:R322"/>
    <mergeCell ref="V381:W381"/>
    <mergeCell ref="AF417:AH417"/>
    <mergeCell ref="Y363:Z363"/>
    <mergeCell ref="DH611:DL611"/>
    <mergeCell ref="CS620:CW620"/>
    <mergeCell ref="CX620:DB620"/>
    <mergeCell ref="DC620:DG620"/>
    <mergeCell ref="DH620:DL620"/>
    <mergeCell ref="AK634:AN636"/>
    <mergeCell ref="AK637:AN637"/>
    <mergeCell ref="AC634:AE636"/>
    <mergeCell ref="O634:Q636"/>
    <mergeCell ref="Q571:S571"/>
    <mergeCell ref="Q572:S572"/>
    <mergeCell ref="Q573:S573"/>
    <mergeCell ref="Q574:S574"/>
    <mergeCell ref="Q575:S575"/>
    <mergeCell ref="D449:AF449"/>
    <mergeCell ref="D450:AJ451"/>
    <mergeCell ref="W469:Y469"/>
    <mergeCell ref="R634:T636"/>
    <mergeCell ref="U634:W636"/>
    <mergeCell ref="H608:R608"/>
    <mergeCell ref="G614:R614"/>
    <mergeCell ref="G596:R596"/>
    <mergeCell ref="G613:R613"/>
    <mergeCell ref="I391:N391"/>
    <mergeCell ref="H413:AE414"/>
    <mergeCell ref="AG378:AH378"/>
    <mergeCell ref="H334:R334"/>
    <mergeCell ref="Z681:AE681"/>
    <mergeCell ref="Z678:AK678"/>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O646:AS646"/>
    <mergeCell ref="Z623:AE623"/>
    <mergeCell ref="G621:R621"/>
    <mergeCell ref="CS615:CW615"/>
    <mergeCell ref="H666:R666"/>
    <mergeCell ref="BS656:BW656"/>
    <mergeCell ref="BS657:BW657"/>
    <mergeCell ref="BS649:BW649"/>
    <mergeCell ref="CX615:DB615"/>
    <mergeCell ref="DH619:DL619"/>
    <mergeCell ref="AK638:AN638"/>
    <mergeCell ref="BN649:BR649"/>
    <mergeCell ref="AA624:AK624"/>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AH732:AL732"/>
    <mergeCell ref="BS651:BW651"/>
    <mergeCell ref="BS658:BW658"/>
    <mergeCell ref="T731:X731"/>
    <mergeCell ref="N683:O683"/>
    <mergeCell ref="G662:R662"/>
    <mergeCell ref="Z689:AE689"/>
    <mergeCell ref="H690:R690"/>
    <mergeCell ref="Z680:AK680"/>
    <mergeCell ref="R715:T715"/>
    <mergeCell ref="G728:J728"/>
    <mergeCell ref="W713:AK713"/>
    <mergeCell ref="G688:R688"/>
    <mergeCell ref="W716:AK716"/>
    <mergeCell ref="O732:S732"/>
    <mergeCell ref="H674:R674"/>
    <mergeCell ref="G664:R664"/>
    <mergeCell ref="AE703:AF703"/>
    <mergeCell ref="AE704:AF704"/>
    <mergeCell ref="Z661:AK661"/>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M745:AO745"/>
    <mergeCell ref="AM743:AO743"/>
    <mergeCell ref="G734:J734"/>
    <mergeCell ref="K724:N727"/>
    <mergeCell ref="B741:F741"/>
    <mergeCell ref="B729:F729"/>
    <mergeCell ref="B736:F736"/>
    <mergeCell ref="E717:AK717"/>
    <mergeCell ref="B724:F727"/>
    <mergeCell ref="G729:J729"/>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B739:F739"/>
    <mergeCell ref="O729:S729"/>
    <mergeCell ref="Y732:AB732"/>
    <mergeCell ref="K739:N739"/>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AC884:AH884"/>
    <mergeCell ref="C828:H828"/>
    <mergeCell ref="C823:H823"/>
    <mergeCell ref="C824:H824"/>
    <mergeCell ref="U827:X827"/>
    <mergeCell ref="W872:AC872"/>
    <mergeCell ref="M957:S957"/>
    <mergeCell ref="M956:S956"/>
    <mergeCell ref="M945:S945"/>
    <mergeCell ref="M959:S959"/>
    <mergeCell ref="M953:S953"/>
    <mergeCell ref="M952:S952"/>
    <mergeCell ref="AC885:AH885"/>
    <mergeCell ref="AC826:AF826"/>
    <mergeCell ref="Y825:AB825"/>
    <mergeCell ref="G750:J750"/>
    <mergeCell ref="T788:W788"/>
    <mergeCell ref="T789:W789"/>
    <mergeCell ref="T790:W790"/>
    <mergeCell ref="T791:W791"/>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Z694:AK694"/>
    <mergeCell ref="O774:S774"/>
    <mergeCell ref="Z697:AE697"/>
    <mergeCell ref="T724:X727"/>
    <mergeCell ref="AC724:AG727"/>
    <mergeCell ref="G694:R694"/>
    <mergeCell ref="J774:N774"/>
    <mergeCell ref="Q824:T824"/>
    <mergeCell ref="Y821:AB822"/>
    <mergeCell ref="Z664:AK664"/>
    <mergeCell ref="AI697:AK697"/>
    <mergeCell ref="AA690:AK690"/>
    <mergeCell ref="AE708:AI708"/>
    <mergeCell ref="B742:F742"/>
    <mergeCell ref="AH724:AL727"/>
    <mergeCell ref="AH730:AL730"/>
    <mergeCell ref="AH731:AL731"/>
    <mergeCell ref="P697:R697"/>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B735:F735"/>
    <mergeCell ref="B734:F734"/>
    <mergeCell ref="AM738:AO738"/>
    <mergeCell ref="AM733:AO733"/>
    <mergeCell ref="AM729:AO729"/>
    <mergeCell ref="X648:AB648"/>
    <mergeCell ref="Y729:AB729"/>
    <mergeCell ref="B738:F738"/>
    <mergeCell ref="AM734:AO734"/>
    <mergeCell ref="P681:R681"/>
    <mergeCell ref="AG699:AH699"/>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9:AG959"/>
    <mergeCell ref="AA930:AF930"/>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AC892:AH892"/>
    <mergeCell ref="U921:Z921"/>
    <mergeCell ref="AA920:AF920"/>
    <mergeCell ref="AB914:AE914"/>
    <mergeCell ref="AA924:AF924"/>
    <mergeCell ref="J941:S941"/>
    <mergeCell ref="Z897:AE897"/>
    <mergeCell ref="W867:AC867"/>
    <mergeCell ref="AC886:AH886"/>
    <mergeCell ref="U915:Z915"/>
    <mergeCell ref="T957:Z957"/>
    <mergeCell ref="I931:T931"/>
    <mergeCell ref="U922:Z922"/>
    <mergeCell ref="M954:S954"/>
    <mergeCell ref="F912:T912"/>
    <mergeCell ref="I932:T932"/>
    <mergeCell ref="M876:V876"/>
    <mergeCell ref="U920:Z920"/>
    <mergeCell ref="AC881:AH881"/>
    <mergeCell ref="AA953:AG953"/>
    <mergeCell ref="T956:Z956"/>
    <mergeCell ref="AA928:AF928"/>
    <mergeCell ref="AA917:AF917"/>
    <mergeCell ref="U919:Z919"/>
    <mergeCell ref="AA921:AF921"/>
    <mergeCell ref="A907:AL908"/>
    <mergeCell ref="W855:AC855"/>
    <mergeCell ref="AA956:AG956"/>
    <mergeCell ref="W868:AC868"/>
    <mergeCell ref="J847:V847"/>
    <mergeCell ref="AC891:AH891"/>
    <mergeCell ref="W853:AC853"/>
    <mergeCell ref="AC890:AH890"/>
    <mergeCell ref="BD907:BF907"/>
    <mergeCell ref="BD901:BE901"/>
    <mergeCell ref="BD903:BE903"/>
    <mergeCell ref="BD904:BE904"/>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W861:AC861"/>
    <mergeCell ref="AG825:AJ825"/>
    <mergeCell ref="U826:X826"/>
    <mergeCell ref="Y826:AB826"/>
    <mergeCell ref="Q827:T827"/>
    <mergeCell ref="AA929:AF929"/>
    <mergeCell ref="F913:T914"/>
    <mergeCell ref="U917:Z917"/>
    <mergeCell ref="U927:Z927"/>
    <mergeCell ref="M942:S942"/>
    <mergeCell ref="U923:Z923"/>
    <mergeCell ref="AA916:AF916"/>
    <mergeCell ref="BD906:BE906"/>
    <mergeCell ref="BD902:BE902"/>
    <mergeCell ref="M875:V875"/>
    <mergeCell ref="W876:AC876"/>
    <mergeCell ref="M873:V873"/>
    <mergeCell ref="W875:AC87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AC828:AF828"/>
    <mergeCell ref="M844:V844"/>
    <mergeCell ref="B752:F752"/>
    <mergeCell ref="AC772:AG772"/>
    <mergeCell ref="AG829:AJ829"/>
    <mergeCell ref="Y829:AB829"/>
    <mergeCell ref="U829:X829"/>
    <mergeCell ref="AC792:AG792"/>
    <mergeCell ref="X774:AB774"/>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G827:AJ827"/>
    <mergeCell ref="Q829:T829"/>
    <mergeCell ref="AC829:AF829"/>
    <mergeCell ref="O794:S794"/>
    <mergeCell ref="AA318:AK318"/>
    <mergeCell ref="M824:P824"/>
    <mergeCell ref="R644:T644"/>
    <mergeCell ref="AO651:AS651"/>
    <mergeCell ref="G654:R654"/>
    <mergeCell ref="Z655:AK655"/>
    <mergeCell ref="J795:N795"/>
    <mergeCell ref="O795:S795"/>
    <mergeCell ref="O796:S796"/>
    <mergeCell ref="W841:AC841"/>
    <mergeCell ref="AG828:AJ828"/>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H322:M322"/>
    <mergeCell ref="AA340:AK340"/>
    <mergeCell ref="P342:AE342"/>
    <mergeCell ref="T793:W793"/>
    <mergeCell ref="H323:M323"/>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AF638:AJ638"/>
    <mergeCell ref="AO642:AS642"/>
    <mergeCell ref="AO634:AS636"/>
    <mergeCell ref="Z653:AK653"/>
    <mergeCell ref="AF644:AJ644"/>
    <mergeCell ref="AF645:AJ645"/>
    <mergeCell ref="AO645:AS645"/>
    <mergeCell ref="AA336:AK336"/>
    <mergeCell ref="Q364:AG364"/>
    <mergeCell ref="W468:Y468"/>
    <mergeCell ref="H338:M338"/>
    <mergeCell ref="J366:K366"/>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P345:AE345"/>
    <mergeCell ref="AA338:AF338"/>
    <mergeCell ref="H340:R340"/>
    <mergeCell ref="P344:AE344"/>
    <mergeCell ref="M354:N354"/>
    <mergeCell ref="AG389:AJ389"/>
    <mergeCell ref="J384:U384"/>
    <mergeCell ref="V380:W380"/>
    <mergeCell ref="AC346:AE346"/>
    <mergeCell ref="Q390:U390"/>
    <mergeCell ref="AD376:AE376"/>
    <mergeCell ref="J385:U385"/>
    <mergeCell ref="N370:Q370"/>
    <mergeCell ref="N369:Q369"/>
    <mergeCell ref="V376:W376"/>
    <mergeCell ref="S376:T376"/>
    <mergeCell ref="A350:AL351"/>
    <mergeCell ref="AC384:AJ384"/>
    <mergeCell ref="AG376:AH376"/>
    <mergeCell ref="AD410:AE410"/>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E187:AE188"/>
    <mergeCell ref="I189:P189"/>
    <mergeCell ref="Y198:Z198"/>
    <mergeCell ref="U175:V175"/>
    <mergeCell ref="I184:AE184"/>
    <mergeCell ref="Y132:AK132"/>
    <mergeCell ref="A11:AL11"/>
    <mergeCell ref="O156:AH156"/>
    <mergeCell ref="O155:AH155"/>
    <mergeCell ref="O153:AH153"/>
    <mergeCell ref="O154:AH154"/>
    <mergeCell ref="AI226:AJ226"/>
    <mergeCell ref="O158:R158"/>
    <mergeCell ref="W159:X159"/>
    <mergeCell ref="AI298:AK298"/>
    <mergeCell ref="M232:AE232"/>
    <mergeCell ref="N191:AE192"/>
    <mergeCell ref="D210:M210"/>
    <mergeCell ref="AI227:AJ227"/>
    <mergeCell ref="AI225:AJ225"/>
    <mergeCell ref="M234:AE234"/>
    <mergeCell ref="AF242:AK242"/>
    <mergeCell ref="J173:S173"/>
    <mergeCell ref="AH196:AI196"/>
    <mergeCell ref="AI228:AJ228"/>
    <mergeCell ref="I185:AE185"/>
    <mergeCell ref="M235:R235"/>
    <mergeCell ref="Z235:AE235"/>
    <mergeCell ref="A221:AL222"/>
    <mergeCell ref="M237:T237"/>
    <mergeCell ref="Z203:AF205"/>
    <mergeCell ref="M254:R254"/>
    <mergeCell ref="D269:H269"/>
    <mergeCell ref="X269:AC269"/>
    <mergeCell ref="P204:U204"/>
    <mergeCell ref="AA295:AK295"/>
    <mergeCell ref="AA290:AF290"/>
    <mergeCell ref="AI290:AK290"/>
    <mergeCell ref="H291:M291"/>
    <mergeCell ref="AA292:AK292"/>
    <mergeCell ref="H287:R287"/>
    <mergeCell ref="H289:R289"/>
    <mergeCell ref="H288:R288"/>
    <mergeCell ref="H286:R286"/>
    <mergeCell ref="D164:AH164"/>
    <mergeCell ref="M242:AE242"/>
    <mergeCell ref="AI178:AK178"/>
    <mergeCell ref="J174:Z174"/>
    <mergeCell ref="M233:T233"/>
    <mergeCell ref="W233:X233"/>
    <mergeCell ref="M263:AE263"/>
    <mergeCell ref="AA264:AK264"/>
    <mergeCell ref="A281:AL282"/>
    <mergeCell ref="M231:AK231"/>
    <mergeCell ref="A169:AL170"/>
    <mergeCell ref="O159:T159"/>
    <mergeCell ref="M238:AE238"/>
    <mergeCell ref="AA237:AK237"/>
    <mergeCell ref="T190:AE190"/>
    <mergeCell ref="T266:X266"/>
    <mergeCell ref="X176:Y176"/>
    <mergeCell ref="X180:Y180"/>
    <mergeCell ref="L276:AD276"/>
    <mergeCell ref="M262:R262"/>
    <mergeCell ref="T277:V277"/>
    <mergeCell ref="T193:AI193"/>
    <mergeCell ref="R177:S177"/>
    <mergeCell ref="L273:AJ273"/>
    <mergeCell ref="L274:AD274"/>
    <mergeCell ref="L278:AD278"/>
    <mergeCell ref="M258:AE258"/>
    <mergeCell ref="AA256:AK256"/>
    <mergeCell ref="M259:AE259"/>
    <mergeCell ref="M261:AE261"/>
    <mergeCell ref="AI314:AK314"/>
    <mergeCell ref="P314:R314"/>
    <mergeCell ref="Z262:AE262"/>
    <mergeCell ref="AC244:AE244"/>
    <mergeCell ref="M245:AE245"/>
    <mergeCell ref="W244:X244"/>
    <mergeCell ref="U246:W246"/>
    <mergeCell ref="AH253:AK253"/>
    <mergeCell ref="AH261:AK261"/>
    <mergeCell ref="H339:M339"/>
    <mergeCell ref="H299:M299"/>
    <mergeCell ref="AA312:AK312"/>
    <mergeCell ref="AA308:AK308"/>
    <mergeCell ref="AA300:AK300"/>
    <mergeCell ref="AA316:AK316"/>
    <mergeCell ref="AA324:AK324"/>
    <mergeCell ref="AA315:AF315"/>
    <mergeCell ref="AA326:AK326"/>
    <mergeCell ref="M264:T264"/>
    <mergeCell ref="V275:W275"/>
    <mergeCell ref="H337:R337"/>
    <mergeCell ref="AA306:AF306"/>
    <mergeCell ref="AA314:AF314"/>
    <mergeCell ref="H307:M307"/>
    <mergeCell ref="P306:R306"/>
    <mergeCell ref="AA298:AF298"/>
    <mergeCell ref="AA313:AK313"/>
    <mergeCell ref="P298:R298"/>
    <mergeCell ref="H315:M315"/>
    <mergeCell ref="AI322:AK322"/>
    <mergeCell ref="AA305:AK305"/>
    <mergeCell ref="AA319:AK319"/>
    <mergeCell ref="AA307:AF307"/>
    <mergeCell ref="AA311:AK311"/>
    <mergeCell ref="AI306:AK306"/>
    <mergeCell ref="AA299:AF299"/>
    <mergeCell ref="H292:R292"/>
    <mergeCell ref="AA289:AK289"/>
    <mergeCell ref="AA288:AK288"/>
    <mergeCell ref="AA287:AK287"/>
    <mergeCell ref="AA286:AK286"/>
    <mergeCell ref="H298:M298"/>
    <mergeCell ref="H306:M306"/>
    <mergeCell ref="H308:R308"/>
    <mergeCell ref="AA310:AK310"/>
    <mergeCell ref="AI338:AK338"/>
    <mergeCell ref="AA339:AF339"/>
    <mergeCell ref="T195:U195"/>
    <mergeCell ref="D219:Z219"/>
    <mergeCell ref="AC233:AE233"/>
    <mergeCell ref="P290:R290"/>
    <mergeCell ref="AA296:AK296"/>
    <mergeCell ref="H290:M290"/>
    <mergeCell ref="M244:T244"/>
    <mergeCell ref="D207:M207"/>
    <mergeCell ref="Z246:AE246"/>
    <mergeCell ref="D204:M204"/>
    <mergeCell ref="U235:W235"/>
    <mergeCell ref="AA334:AK334"/>
    <mergeCell ref="AA330:AF330"/>
    <mergeCell ref="AA329:AK329"/>
    <mergeCell ref="AA332:AK332"/>
    <mergeCell ref="M236:AE236"/>
    <mergeCell ref="M243:AE243"/>
    <mergeCell ref="A12:AL12"/>
    <mergeCell ref="G122:H122"/>
    <mergeCell ref="L122:N122"/>
    <mergeCell ref="Y129:AK129"/>
    <mergeCell ref="M256:T256"/>
    <mergeCell ref="M255:AE255"/>
    <mergeCell ref="M26:Q26"/>
    <mergeCell ref="AF250:AK250"/>
    <mergeCell ref="H16:AJ16"/>
    <mergeCell ref="A21:AL21"/>
    <mergeCell ref="L279:AD279"/>
    <mergeCell ref="AA291:AF291"/>
    <mergeCell ref="AB275:AD275"/>
    <mergeCell ref="Y277:AD277"/>
    <mergeCell ref="AA294:AK294"/>
    <mergeCell ref="AF258:AK258"/>
    <mergeCell ref="M252:T252"/>
    <mergeCell ref="F150:T150"/>
    <mergeCell ref="I190:N190"/>
    <mergeCell ref="AC260:AE260"/>
    <mergeCell ref="M253:AE253"/>
    <mergeCell ref="M260:T260"/>
    <mergeCell ref="W260:X260"/>
    <mergeCell ref="U262:W262"/>
    <mergeCell ref="Z254:AE254"/>
    <mergeCell ref="O160:T160"/>
    <mergeCell ref="O161:AH161"/>
    <mergeCell ref="C124:K124"/>
    <mergeCell ref="U254:W254"/>
    <mergeCell ref="L275:S275"/>
    <mergeCell ref="L277:Q277"/>
    <mergeCell ref="O157:X157"/>
    <mergeCell ref="T486:X486"/>
    <mergeCell ref="Y489:AC489"/>
    <mergeCell ref="T484:X485"/>
    <mergeCell ref="Y486:AC486"/>
    <mergeCell ref="T487:X487"/>
    <mergeCell ref="AH514:AK514"/>
    <mergeCell ref="AC515:AF515"/>
    <mergeCell ref="AH531:AK531"/>
    <mergeCell ref="AC511:AK511"/>
    <mergeCell ref="D437:AF437"/>
    <mergeCell ref="D438:AF438"/>
    <mergeCell ref="D470:V470"/>
    <mergeCell ref="AH515:AK515"/>
    <mergeCell ref="AD487:AH487"/>
    <mergeCell ref="AG448:AJ448"/>
    <mergeCell ref="D464:V464"/>
    <mergeCell ref="W467:Y467"/>
    <mergeCell ref="Q499:AK499"/>
    <mergeCell ref="T494:X494"/>
    <mergeCell ref="Y495:AC495"/>
    <mergeCell ref="AC516:AF516"/>
    <mergeCell ref="Q498:AK498"/>
    <mergeCell ref="AH516:AK516"/>
    <mergeCell ref="Y490:AC490"/>
    <mergeCell ref="AD488:AH488"/>
    <mergeCell ref="AD486:AH486"/>
    <mergeCell ref="AD494:AH494"/>
    <mergeCell ref="AC514:AF514"/>
    <mergeCell ref="AH512:AK512"/>
    <mergeCell ref="Y488:AC488"/>
    <mergeCell ref="Q501:R502"/>
    <mergeCell ref="T492:X492"/>
    <mergeCell ref="AG379:AH379"/>
    <mergeCell ref="N377:P377"/>
    <mergeCell ref="Y484:AC485"/>
    <mergeCell ref="Q566:S566"/>
    <mergeCell ref="AI563:AL563"/>
    <mergeCell ref="A556:AS557"/>
    <mergeCell ref="AC553:AF553"/>
    <mergeCell ref="AC538:AF538"/>
    <mergeCell ref="Q393:U393"/>
    <mergeCell ref="T563:V563"/>
    <mergeCell ref="AH547:AK547"/>
    <mergeCell ref="AC547:AF547"/>
    <mergeCell ref="AH549:AK549"/>
    <mergeCell ref="AC540:AF540"/>
    <mergeCell ref="O541:AA541"/>
    <mergeCell ref="AH538:AK538"/>
    <mergeCell ref="C566:P566"/>
    <mergeCell ref="AC541:AF541"/>
    <mergeCell ref="AH539:AK539"/>
    <mergeCell ref="O544:AA544"/>
    <mergeCell ref="AC549:AF549"/>
    <mergeCell ref="W563:Y563"/>
    <mergeCell ref="AC548:AF548"/>
    <mergeCell ref="P423:Q423"/>
    <mergeCell ref="Q504:AK504"/>
    <mergeCell ref="AD493:AH493"/>
    <mergeCell ref="Y493:AC493"/>
    <mergeCell ref="AC513:AF513"/>
    <mergeCell ref="W565:Y565"/>
    <mergeCell ref="Y487:AC487"/>
    <mergeCell ref="T564:V564"/>
    <mergeCell ref="W464:Y464"/>
    <mergeCell ref="T495:X495"/>
    <mergeCell ref="B529:H531"/>
    <mergeCell ref="AC537:AF537"/>
    <mergeCell ref="AH540:AK540"/>
    <mergeCell ref="AC543:AF543"/>
    <mergeCell ref="AH543:AK543"/>
    <mergeCell ref="AI565:AL565"/>
    <mergeCell ref="AE566:AH566"/>
    <mergeCell ref="Z567:AD567"/>
    <mergeCell ref="AH529:AK529"/>
    <mergeCell ref="AC546:AF546"/>
    <mergeCell ref="AH533:AK533"/>
    <mergeCell ref="AC542:AF542"/>
    <mergeCell ref="O538:AA538"/>
    <mergeCell ref="AC529:AF529"/>
    <mergeCell ref="AH546:AK546"/>
    <mergeCell ref="C567:P567"/>
    <mergeCell ref="AC520:AF520"/>
    <mergeCell ref="AH528:AK528"/>
    <mergeCell ref="AC519:AF519"/>
    <mergeCell ref="AH519:AK519"/>
    <mergeCell ref="AH554:AK554"/>
    <mergeCell ref="W566:Y566"/>
    <mergeCell ref="T565:V565"/>
    <mergeCell ref="T566:V566"/>
    <mergeCell ref="Q567:S567"/>
    <mergeCell ref="Q500:AK500"/>
    <mergeCell ref="T493:X493"/>
    <mergeCell ref="AC550:AF550"/>
    <mergeCell ref="Y494:AC494"/>
    <mergeCell ref="AD492:AH492"/>
    <mergeCell ref="AC512:AF512"/>
    <mergeCell ref="Q563:S563"/>
    <mergeCell ref="W567:Y567"/>
    <mergeCell ref="AH534:AK534"/>
    <mergeCell ref="AC535:AF535"/>
    <mergeCell ref="AC554:AF554"/>
    <mergeCell ref="AC530:AF530"/>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AF584:AK584"/>
    <mergeCell ref="Z595:AK595"/>
    <mergeCell ref="N593:O593"/>
    <mergeCell ref="G603:R603"/>
    <mergeCell ref="AA616:AK616"/>
    <mergeCell ref="G615:L615"/>
    <mergeCell ref="Z613:AK613"/>
    <mergeCell ref="Z615:AE615"/>
    <mergeCell ref="Z619:AK619"/>
    <mergeCell ref="G619:R619"/>
    <mergeCell ref="AI623:AK623"/>
    <mergeCell ref="Z596:AK596"/>
    <mergeCell ref="G604:R604"/>
    <mergeCell ref="AG617:AH617"/>
    <mergeCell ref="H616:R616"/>
    <mergeCell ref="P615:R615"/>
    <mergeCell ref="Z611:AK611"/>
    <mergeCell ref="N609:O609"/>
    <mergeCell ref="G620:R620"/>
    <mergeCell ref="M584:R584"/>
    <mergeCell ref="CH613:CL613"/>
    <mergeCell ref="BG615:BH615"/>
    <mergeCell ref="BI615:BJ615"/>
    <mergeCell ref="CC618:CG618"/>
    <mergeCell ref="BK612:BL612"/>
    <mergeCell ref="BN612:BR612"/>
    <mergeCell ref="BS611:BW611"/>
    <mergeCell ref="BS612:BW612"/>
    <mergeCell ref="BK615:BL615"/>
    <mergeCell ref="CC611:CG611"/>
    <mergeCell ref="BS613:BW613"/>
    <mergeCell ref="CH615:CL615"/>
    <mergeCell ref="BS615:BW615"/>
    <mergeCell ref="BX615:CB615"/>
    <mergeCell ref="CC615:CG615"/>
    <mergeCell ref="BK611:BL611"/>
    <mergeCell ref="CH619:CL619"/>
    <mergeCell ref="BS617:BW617"/>
    <mergeCell ref="BX619:CB619"/>
    <mergeCell ref="BK619:BL619"/>
    <mergeCell ref="BK617:BL617"/>
    <mergeCell ref="BN617:BR617"/>
    <mergeCell ref="CH617:CL617"/>
    <mergeCell ref="BN611:BR611"/>
    <mergeCell ref="CC619:CG619"/>
    <mergeCell ref="BN615:BR615"/>
    <mergeCell ref="BG622:BH622"/>
    <mergeCell ref="BS619:BW619"/>
    <mergeCell ref="CC609:CG609"/>
    <mergeCell ref="CH609:CL609"/>
    <mergeCell ref="CC610:CG610"/>
    <mergeCell ref="CH610:CL610"/>
    <mergeCell ref="BX611:CB611"/>
    <mergeCell ref="BK610:BL610"/>
    <mergeCell ref="BS610:BW610"/>
    <mergeCell ref="BX617:CB617"/>
    <mergeCell ref="CC617:CG617"/>
    <mergeCell ref="BX610:CB610"/>
    <mergeCell ref="BS609:BW60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BS621:BW621"/>
    <mergeCell ref="BN621:BR621"/>
    <mergeCell ref="BX620:CB620"/>
    <mergeCell ref="CH624:CL624"/>
    <mergeCell ref="CH611:CL611"/>
    <mergeCell ref="BG611:BH611"/>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20:CG620"/>
    <mergeCell ref="CH620:CL620"/>
    <mergeCell ref="BX625:CB625"/>
    <mergeCell ref="CC625:CG625"/>
    <mergeCell ref="BN622:BR622"/>
    <mergeCell ref="BK620:BL620"/>
    <mergeCell ref="BN620:BR620"/>
    <mergeCell ref="BX630:CB630"/>
    <mergeCell ref="BS627:BW627"/>
    <mergeCell ref="BX627:CB627"/>
    <mergeCell ref="CC630:CG630"/>
    <mergeCell ref="BS626:BW626"/>
    <mergeCell ref="BI624:BJ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BI611:BJ611"/>
    <mergeCell ref="BK622:BL622"/>
    <mergeCell ref="CC624:CG624"/>
    <mergeCell ref="BG620:BH620"/>
    <mergeCell ref="BI620:BJ620"/>
    <mergeCell ref="BI627:BJ627"/>
    <mergeCell ref="BK627:BL627"/>
    <mergeCell ref="BI626:BJ626"/>
    <mergeCell ref="BK626:BL626"/>
    <mergeCell ref="BN624:BR624"/>
    <mergeCell ref="BS624:BW624"/>
    <mergeCell ref="BX622:CB622"/>
    <mergeCell ref="CC622:CG622"/>
    <mergeCell ref="BG624:BH624"/>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G630:BH630"/>
    <mergeCell ref="BE627:BF627"/>
    <mergeCell ref="BI630:BJ63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K624:BL624"/>
    <mergeCell ref="BE620:BF620"/>
    <mergeCell ref="BE619:BF619"/>
    <mergeCell ref="BE618:BF618"/>
    <mergeCell ref="BX624:CB624"/>
    <mergeCell ref="BS622:BW622"/>
    <mergeCell ref="BN623:BR623"/>
    <mergeCell ref="BS642:BW642"/>
    <mergeCell ref="BS643:BW643"/>
    <mergeCell ref="BS653:BW653"/>
    <mergeCell ref="BS655:BW655"/>
    <mergeCell ref="BN658:BR658"/>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CH630:CL630"/>
    <mergeCell ref="BG631:BH631"/>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BX651:CB651"/>
    <mergeCell ref="BX652:CB652"/>
    <mergeCell ref="BX653:CB653"/>
    <mergeCell ref="BX654:CB654"/>
    <mergeCell ref="CH663:CL663"/>
    <mergeCell ref="CC643:CG643"/>
    <mergeCell ref="CH643:CL643"/>
    <mergeCell ref="BX658:CB658"/>
    <mergeCell ref="CC658:CG658"/>
    <mergeCell ref="CH658:CL658"/>
    <mergeCell ref="BG635:BH635"/>
    <mergeCell ref="BK635:BL635"/>
    <mergeCell ref="BN635:BR635"/>
    <mergeCell ref="CM652:CQ652"/>
    <mergeCell ref="CM651:CQ651"/>
    <mergeCell ref="BX634:CB634"/>
    <mergeCell ref="CC634:CG634"/>
    <mergeCell ref="BX633:CB633"/>
    <mergeCell ref="CC633:CG633"/>
    <mergeCell ref="CH640:CL640"/>
    <mergeCell ref="CM632:CQ632"/>
    <mergeCell ref="CC632:CG632"/>
    <mergeCell ref="CH632:CL632"/>
    <mergeCell ref="BX632:CB632"/>
    <mergeCell ref="BX635:CB635"/>
    <mergeCell ref="CC635:CG635"/>
    <mergeCell ref="CM633:CQ633"/>
    <mergeCell ref="CM634:CQ634"/>
    <mergeCell ref="CM635:CQ635"/>
    <mergeCell ref="CH633:CL633"/>
    <mergeCell ref="CM636:CQ636"/>
    <mergeCell ref="CM640:CQ640"/>
    <mergeCell ref="CM643:CQ643"/>
    <mergeCell ref="CC650:CG650"/>
    <mergeCell ref="BX649:CB649"/>
    <mergeCell ref="CC641:CG641"/>
    <mergeCell ref="BX642:CB642"/>
    <mergeCell ref="BX643:CB643"/>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BN633:BR633"/>
    <mergeCell ref="BE633:BF633"/>
    <mergeCell ref="BE630:BF630"/>
    <mergeCell ref="BK630:BL630"/>
    <mergeCell ref="BN630:BR630"/>
    <mergeCell ref="BS630:BW630"/>
    <mergeCell ref="BN631:BR631"/>
    <mergeCell ref="BS631:BW631"/>
    <mergeCell ref="BI631:BJ631"/>
    <mergeCell ref="BK631:BL631"/>
    <mergeCell ref="BK632:BL632"/>
    <mergeCell ref="BN632:BR632"/>
    <mergeCell ref="BS632:BW632"/>
    <mergeCell ref="A478:AL479"/>
    <mergeCell ref="AC536:AF536"/>
    <mergeCell ref="AD484:AH485"/>
    <mergeCell ref="B501:P502"/>
    <mergeCell ref="Y492:AC492"/>
    <mergeCell ref="AM565:AS565"/>
    <mergeCell ref="Z591:AE591"/>
    <mergeCell ref="AH550:AK550"/>
    <mergeCell ref="AH552:AK552"/>
    <mergeCell ref="AC552:AF552"/>
    <mergeCell ref="AC551:AF551"/>
    <mergeCell ref="Q505:AK505"/>
    <mergeCell ref="Z582:AE582"/>
    <mergeCell ref="AM575:AS575"/>
    <mergeCell ref="T571:V571"/>
    <mergeCell ref="T572:V572"/>
    <mergeCell ref="T568:V568"/>
    <mergeCell ref="T569:V569"/>
    <mergeCell ref="T570:V570"/>
    <mergeCell ref="AC534:AF534"/>
    <mergeCell ref="B563:P563"/>
    <mergeCell ref="C564:P564"/>
    <mergeCell ref="C565:P565"/>
    <mergeCell ref="AE571:AH571"/>
    <mergeCell ref="Z578:AK578"/>
    <mergeCell ref="AC532:AF532"/>
    <mergeCell ref="AC531:AF531"/>
    <mergeCell ref="AC533:AF533"/>
    <mergeCell ref="B526:H528"/>
    <mergeCell ref="T489:X489"/>
    <mergeCell ref="O532:AA532"/>
    <mergeCell ref="AC539:AF539"/>
    <mergeCell ref="BE617:BF617"/>
    <mergeCell ref="Z612:AK612"/>
    <mergeCell ref="AE573:AH573"/>
    <mergeCell ref="Z581:AK581"/>
    <mergeCell ref="AM569:AS569"/>
    <mergeCell ref="AH551:AK551"/>
    <mergeCell ref="AE569:AH569"/>
    <mergeCell ref="AI569:AL569"/>
    <mergeCell ref="AE570:AH570"/>
    <mergeCell ref="AC544:AF544"/>
    <mergeCell ref="AC545:AF545"/>
    <mergeCell ref="AH545:AK545"/>
    <mergeCell ref="AH530:AK530"/>
    <mergeCell ref="AH526:AK526"/>
    <mergeCell ref="AC527:AF527"/>
    <mergeCell ref="AC526:AF526"/>
    <mergeCell ref="O547:AA547"/>
    <mergeCell ref="AH548:AK548"/>
    <mergeCell ref="T573:V573"/>
    <mergeCell ref="AH535:AK535"/>
    <mergeCell ref="Z568:AD568"/>
    <mergeCell ref="Z569:AD569"/>
    <mergeCell ref="Z570:AD570"/>
    <mergeCell ref="Z614:AK614"/>
    <mergeCell ref="N617:O617"/>
    <mergeCell ref="P607:R607"/>
    <mergeCell ref="C573:P573"/>
    <mergeCell ref="C574:P574"/>
    <mergeCell ref="C575:P575"/>
    <mergeCell ref="T574:V574"/>
    <mergeCell ref="T575:V575"/>
    <mergeCell ref="W571:Y571"/>
    <mergeCell ref="AC517:AF517"/>
    <mergeCell ref="C568:P568"/>
    <mergeCell ref="C569:P569"/>
    <mergeCell ref="C570:P570"/>
    <mergeCell ref="AE568:AH568"/>
    <mergeCell ref="AI568:AL568"/>
    <mergeCell ref="T567:V567"/>
    <mergeCell ref="W564:Y564"/>
    <mergeCell ref="Z607:AE607"/>
    <mergeCell ref="AH520:AK520"/>
    <mergeCell ref="G599:L599"/>
    <mergeCell ref="W572:Y572"/>
    <mergeCell ref="W573:Y573"/>
    <mergeCell ref="W574:Y574"/>
    <mergeCell ref="W575:Y575"/>
    <mergeCell ref="Z580:AK580"/>
    <mergeCell ref="AI573:AL573"/>
    <mergeCell ref="AE574:AH574"/>
    <mergeCell ref="AI564:AL564"/>
    <mergeCell ref="AI566:AL566"/>
    <mergeCell ref="AH517:AK517"/>
    <mergeCell ref="AH532:AK532"/>
    <mergeCell ref="AH542:AK542"/>
    <mergeCell ref="AH544:AK544"/>
    <mergeCell ref="AI570:AL570"/>
    <mergeCell ref="AE563:AH563"/>
    <mergeCell ref="Z563:AD563"/>
    <mergeCell ref="AE564:AH564"/>
    <mergeCell ref="Q569:S569"/>
    <mergeCell ref="Q570:S570"/>
    <mergeCell ref="W570:Y570"/>
    <mergeCell ref="G579:R579"/>
    <mergeCell ref="W568:Y568"/>
    <mergeCell ref="Q568:S568"/>
    <mergeCell ref="AI571:AL571"/>
    <mergeCell ref="AE572:AH572"/>
    <mergeCell ref="AI572:AL572"/>
    <mergeCell ref="AH536:AK536"/>
    <mergeCell ref="AH537:AK537"/>
    <mergeCell ref="AH541:AK541"/>
    <mergeCell ref="AI567:AL567"/>
    <mergeCell ref="AC518:AF518"/>
    <mergeCell ref="AH518:AK518"/>
    <mergeCell ref="L520:AB520"/>
    <mergeCell ref="Z566:AD566"/>
    <mergeCell ref="Z597:AK597"/>
    <mergeCell ref="BE614:BF614"/>
    <mergeCell ref="G611:R611"/>
    <mergeCell ref="AA608:AK608"/>
    <mergeCell ref="BE611:BF611"/>
    <mergeCell ref="AA600:AK600"/>
    <mergeCell ref="Z603:AK603"/>
    <mergeCell ref="BE610:BF610"/>
    <mergeCell ref="B515:H520"/>
    <mergeCell ref="P582:R582"/>
    <mergeCell ref="AM573:AS573"/>
    <mergeCell ref="AM568:AS568"/>
    <mergeCell ref="G605:R605"/>
    <mergeCell ref="G606:R606"/>
    <mergeCell ref="AM574:AS574"/>
    <mergeCell ref="G578:R578"/>
    <mergeCell ref="G582:L582"/>
    <mergeCell ref="G597:R597"/>
    <mergeCell ref="AG593:AH593"/>
    <mergeCell ref="AI591:AK591"/>
    <mergeCell ref="AM566:AS566"/>
    <mergeCell ref="B576:AL576"/>
    <mergeCell ref="AH525:AK525"/>
    <mergeCell ref="AE567:AH567"/>
    <mergeCell ref="Z571:AD571"/>
    <mergeCell ref="P599:R599"/>
    <mergeCell ref="AM563:AS563"/>
    <mergeCell ref="AM567:AS567"/>
    <mergeCell ref="AI582:AK582"/>
    <mergeCell ref="AM564:AS564"/>
    <mergeCell ref="AM572:AS572"/>
    <mergeCell ref="C572:P572"/>
    <mergeCell ref="H600:R600"/>
    <mergeCell ref="N585:O585"/>
    <mergeCell ref="W569:Y569"/>
    <mergeCell ref="E417:G417"/>
    <mergeCell ref="I417:K417"/>
    <mergeCell ref="F426:AH427"/>
    <mergeCell ref="Z575:AD575"/>
    <mergeCell ref="X793:AB793"/>
    <mergeCell ref="T795:W795"/>
    <mergeCell ref="X773:AB773"/>
    <mergeCell ref="AH553:AK553"/>
    <mergeCell ref="AA682:AK682"/>
    <mergeCell ref="AA674:AK674"/>
    <mergeCell ref="AI615:AK615"/>
    <mergeCell ref="T490:X490"/>
    <mergeCell ref="G612:R612"/>
    <mergeCell ref="Z574:AD574"/>
    <mergeCell ref="BE612:BF612"/>
    <mergeCell ref="N601:O601"/>
    <mergeCell ref="AA583:AK583"/>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M570:AS570"/>
    <mergeCell ref="D444:AF444"/>
    <mergeCell ref="B513:H514"/>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M507:P507"/>
    <mergeCell ref="AH507:AK507"/>
    <mergeCell ref="W866:AC866"/>
    <mergeCell ref="AC883:AH883"/>
    <mergeCell ref="Z899:AE899"/>
    <mergeCell ref="W857:AC857"/>
    <mergeCell ref="X790:AB790"/>
    <mergeCell ref="X791:AB791"/>
    <mergeCell ref="X792:AB792"/>
    <mergeCell ref="AC768:AG771"/>
    <mergeCell ref="Z579:AK579"/>
    <mergeCell ref="Z572:AD572"/>
    <mergeCell ref="Z573:AD573"/>
    <mergeCell ref="AI575:AL575"/>
    <mergeCell ref="AI574:AL574"/>
    <mergeCell ref="AI599:AK599"/>
    <mergeCell ref="Z587:AK587"/>
    <mergeCell ref="Z598:AK598"/>
    <mergeCell ref="V387:AJ387"/>
    <mergeCell ref="J387:U387"/>
    <mergeCell ref="AG394:AJ394"/>
    <mergeCell ref="AI391:AJ391"/>
    <mergeCell ref="AG392:AJ392"/>
    <mergeCell ref="AG390:AJ390"/>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E419:AJ419"/>
    <mergeCell ref="P424:Q424"/>
    <mergeCell ref="Z431:AA431"/>
    <mergeCell ref="AC455:AF455"/>
    <mergeCell ref="D442:AF442"/>
    <mergeCell ref="D443:AF443"/>
    <mergeCell ref="S412:T412"/>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AG446:AJ446"/>
    <mergeCell ref="D405:AJ406"/>
    <mergeCell ref="S404:AJ404"/>
    <mergeCell ref="AG447:AJ447"/>
    <mergeCell ref="AA303:AK303"/>
    <mergeCell ref="AA304:AK304"/>
    <mergeCell ref="AA302:AK302"/>
    <mergeCell ref="O33:P33"/>
    <mergeCell ref="AH245:AK245"/>
    <mergeCell ref="AI396:AJ396"/>
    <mergeCell ref="T398:AJ398"/>
    <mergeCell ref="T397:AJ397"/>
    <mergeCell ref="AG439:AJ439"/>
    <mergeCell ref="AA337:AK337"/>
    <mergeCell ref="BE613:BF613"/>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G588:R588"/>
    <mergeCell ref="G589:R589"/>
    <mergeCell ref="G590:R590"/>
    <mergeCell ref="G591:L591"/>
    <mergeCell ref="H592:R592"/>
    <mergeCell ref="R411:S411"/>
    <mergeCell ref="AF429:AG429"/>
    <mergeCell ref="J386:U386"/>
    <mergeCell ref="AC385:AJ385"/>
    <mergeCell ref="T491:X491"/>
    <mergeCell ref="AG400:AJ400"/>
    <mergeCell ref="AG438:AJ438"/>
    <mergeCell ref="AC386:AJ386"/>
    <mergeCell ref="CC657:CG657"/>
    <mergeCell ref="H314:M314"/>
    <mergeCell ref="H318:R318"/>
    <mergeCell ref="H320:R320"/>
    <mergeCell ref="H321:R321"/>
    <mergeCell ref="H319:R319"/>
    <mergeCell ref="BE616:BF616"/>
    <mergeCell ref="BE625:BF625"/>
    <mergeCell ref="BE615:BF615"/>
    <mergeCell ref="AM576:AS576"/>
    <mergeCell ref="AM571:AS571"/>
    <mergeCell ref="AH513:AK513"/>
    <mergeCell ref="AA592:AK592"/>
    <mergeCell ref="S401:U401"/>
    <mergeCell ref="P348:AE348"/>
    <mergeCell ref="AC369:AF369"/>
    <mergeCell ref="AG442:AJ442"/>
    <mergeCell ref="AG443:AJ443"/>
    <mergeCell ref="AC453:AF453"/>
    <mergeCell ref="Z433:AA433"/>
    <mergeCell ref="AD411:AE411"/>
    <mergeCell ref="D441:AF441"/>
    <mergeCell ref="AE401:AJ401"/>
    <mergeCell ref="K403:AJ403"/>
    <mergeCell ref="Q497:AK497"/>
    <mergeCell ref="AC525:AF525"/>
    <mergeCell ref="AE424:AF424"/>
    <mergeCell ref="D467:V467"/>
    <mergeCell ref="AH527:AK527"/>
    <mergeCell ref="AC528:AF528"/>
    <mergeCell ref="D436:AF436"/>
    <mergeCell ref="Q428:R428"/>
    <mergeCell ref="CH655:CL655"/>
    <mergeCell ref="CH656:CL656"/>
    <mergeCell ref="CH657:CL657"/>
    <mergeCell ref="CM655:CQ655"/>
    <mergeCell ref="CM656:CQ656"/>
    <mergeCell ref="CM657:CQ657"/>
    <mergeCell ref="BN655:BR655"/>
    <mergeCell ref="BN656:BR656"/>
    <mergeCell ref="BN657:BR657"/>
    <mergeCell ref="Q392:U392"/>
    <mergeCell ref="Y491:AC491"/>
    <mergeCell ref="AH521:AK521"/>
    <mergeCell ref="AC522:AF522"/>
    <mergeCell ref="AH522:AK522"/>
    <mergeCell ref="AC524:AF524"/>
    <mergeCell ref="AH524:AK524"/>
    <mergeCell ref="Z564:AD564"/>
    <mergeCell ref="Z565:AD565"/>
    <mergeCell ref="AC521:AF521"/>
    <mergeCell ref="BS644:BW644"/>
    <mergeCell ref="BX644:CB644"/>
    <mergeCell ref="CC644:CG644"/>
    <mergeCell ref="CH644:CL644"/>
    <mergeCell ref="CM644:CQ644"/>
    <mergeCell ref="BS652:BW652"/>
    <mergeCell ref="BX655:CB655"/>
    <mergeCell ref="BX656:CB656"/>
    <mergeCell ref="BX657:CB657"/>
    <mergeCell ref="CC652:CG652"/>
    <mergeCell ref="CC653:CG653"/>
    <mergeCell ref="CC655:CG655"/>
    <mergeCell ref="CC656:CG656"/>
  </mergeCells>
  <phoneticPr fontId="0" type="noConversion"/>
  <conditionalFormatting sqref="AF1000">
    <cfRule type="cellIs" dxfId="91" priority="4" stopIfTrue="1" operator="equal">
      <formula>"Please Enter Amount:"</formula>
    </cfRule>
  </conditionalFormatting>
  <conditionalFormatting sqref="AJ1024">
    <cfRule type="cellIs" dxfId="90" priority="7" stopIfTrue="1" operator="equal">
      <formula>"#DIV/0!"</formula>
    </cfRule>
  </conditionalFormatting>
  <conditionalFormatting sqref="AG440:AJ440">
    <cfRule type="expression" dxfId="89" priority="8" stopIfTrue="1">
      <formula>"iserror(d31)"</formula>
    </cfRule>
  </conditionalFormatting>
  <conditionalFormatting sqref="AF1012">
    <cfRule type="cellIs" dxfId="88" priority="2" stopIfTrue="1" operator="equal">
      <formula>"Please Enter Amount:"</formula>
    </cfRule>
  </conditionalFormatting>
  <conditionalFormatting sqref="AF1005">
    <cfRule type="cellIs" dxfId="8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16" zoomScale="125" zoomScaleNormal="100" zoomScaleSheetLayoutView="125" workbookViewId="0">
      <selection activeCell="C73" sqref="C73"/>
    </sheetView>
  </sheetViews>
  <sheetFormatPr defaultColWidth="0" defaultRowHeight="11.5" zeroHeight="1"/>
  <cols>
    <col min="1" max="1" width="35.6328125" style="299" customWidth="1"/>
    <col min="2" max="12" width="12.1796875" style="229" customWidth="1"/>
    <col min="13" max="17" width="11.36328125" style="229" customWidth="1"/>
    <col min="18" max="18" width="12.6328125" style="229" customWidth="1"/>
    <col min="19" max="20" width="12.1796875" style="229" customWidth="1"/>
    <col min="21" max="21" width="0.36328125" style="232" customWidth="1"/>
    <col min="22" max="16383" width="8.81640625" style="229" hidden="1"/>
    <col min="16384" max="16384" width="0.1796875" style="229" customWidth="1"/>
  </cols>
  <sheetData>
    <row r="1" spans="1:21" s="166" customFormat="1" ht="13.5">
      <c r="A1" s="246" t="s">
        <v>584</v>
      </c>
      <c r="B1" s="189"/>
      <c r="C1" s="189"/>
      <c r="D1" s="189"/>
      <c r="E1" s="190"/>
      <c r="F1" s="2604" t="s">
        <v>658</v>
      </c>
      <c r="G1" s="2605"/>
      <c r="H1" s="2605"/>
      <c r="I1" s="2605"/>
      <c r="J1" s="2605"/>
      <c r="K1" s="2605"/>
      <c r="L1" s="2605"/>
      <c r="M1" s="2605"/>
      <c r="N1" s="2605"/>
      <c r="O1" s="2605"/>
      <c r="P1" s="2605"/>
      <c r="Q1" s="2605"/>
      <c r="R1" s="2606"/>
      <c r="S1" s="168"/>
      <c r="T1" s="167"/>
      <c r="U1" s="169"/>
    </row>
    <row r="2" spans="1:21" s="208" customFormat="1" ht="71.25" customHeight="1">
      <c r="A2" s="207"/>
      <c r="B2" s="208" t="s">
        <v>24</v>
      </c>
      <c r="C2" s="208" t="s">
        <v>394</v>
      </c>
      <c r="D2" s="208" t="s">
        <v>393</v>
      </c>
      <c r="E2" s="208" t="s">
        <v>25</v>
      </c>
      <c r="F2" s="209" t="str">
        <f>Application!B637&amp;Application!C637</f>
        <v>1)Citibank, N.A. Permanent Loan</v>
      </c>
      <c r="G2" s="209" t="str">
        <f>Application!B638&amp;Application!C638</f>
        <v>2)City of San Jose</v>
      </c>
      <c r="H2" s="209" t="str">
        <f>Application!B639&amp;Application!C639</f>
        <v>3)County of Santa Clara</v>
      </c>
      <c r="I2" s="209" t="str">
        <f>Application!B640&amp;Application!C640</f>
        <v>4)CSC - Accrued/Deferred Interest</v>
      </c>
      <c r="J2" s="209" t="str">
        <f>Application!B641&amp;Application!C641</f>
        <v>5)FHLB SF AHP</v>
      </c>
      <c r="K2" s="209" t="str">
        <f>Application!B642&amp;Application!C642</f>
        <v>6)CA HCD AHSC</v>
      </c>
      <c r="L2" s="209" t="str">
        <f>Application!B643&amp;Application!C643</f>
        <v>7)</v>
      </c>
      <c r="M2" s="209" t="str">
        <f>Application!B644&amp;Application!C644</f>
        <v>8)Deferred Developer Fee</v>
      </c>
      <c r="N2" s="209" t="str">
        <f>Application!B645&amp;Application!C645</f>
        <v>9)General Partner Equity</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v>0</v>
      </c>
      <c r="D4" s="217"/>
      <c r="E4" s="217"/>
      <c r="F4" s="217"/>
      <c r="G4" s="217"/>
      <c r="H4" s="217"/>
      <c r="I4" s="217"/>
      <c r="J4" s="217"/>
      <c r="K4" s="217"/>
      <c r="L4" s="217"/>
      <c r="M4" s="217"/>
      <c r="N4" s="217"/>
      <c r="O4" s="217"/>
      <c r="P4" s="217"/>
      <c r="Q4" s="217"/>
      <c r="R4" s="881">
        <f>SUM(E4:Q4)</f>
        <v>0</v>
      </c>
      <c r="S4" s="218"/>
      <c r="T4" s="218"/>
      <c r="U4" s="213"/>
    </row>
    <row r="5" spans="1:21" s="214" customFormat="1">
      <c r="A5" s="215" t="s">
        <v>29</v>
      </c>
      <c r="B5" s="216">
        <f>SUM(C5+D5)</f>
        <v>53536</v>
      </c>
      <c r="C5" s="217">
        <v>53536</v>
      </c>
      <c r="D5" s="217"/>
      <c r="E5" s="217"/>
      <c r="F5" s="217"/>
      <c r="G5" s="217"/>
      <c r="H5" s="217">
        <f>C5</f>
        <v>53536</v>
      </c>
      <c r="I5" s="217"/>
      <c r="J5" s="217"/>
      <c r="K5" s="217"/>
      <c r="L5" s="217"/>
      <c r="M5" s="217"/>
      <c r="N5" s="217"/>
      <c r="O5" s="217"/>
      <c r="P5" s="217"/>
      <c r="Q5" s="217"/>
      <c r="R5" s="881">
        <f>SUM(E5:Q5)</f>
        <v>53536</v>
      </c>
      <c r="S5" s="218"/>
      <c r="T5" s="218"/>
      <c r="U5" s="213"/>
    </row>
    <row r="6" spans="1:21" s="214" customFormat="1">
      <c r="A6" s="215" t="s">
        <v>30</v>
      </c>
      <c r="B6" s="216">
        <f>SUM(C6+D6)</f>
        <v>30000</v>
      </c>
      <c r="C6" s="217">
        <f>18063+9031</f>
        <v>27094</v>
      </c>
      <c r="D6" s="217">
        <f>1937+969</f>
        <v>2906</v>
      </c>
      <c r="E6" s="217">
        <f>D6</f>
        <v>2906</v>
      </c>
      <c r="F6" s="217"/>
      <c r="G6" s="217"/>
      <c r="H6" s="217">
        <f>C6</f>
        <v>27094</v>
      </c>
      <c r="I6" s="217"/>
      <c r="J6" s="217"/>
      <c r="K6" s="217"/>
      <c r="L6" s="217"/>
      <c r="M6" s="217"/>
      <c r="N6" s="217"/>
      <c r="O6" s="217"/>
      <c r="P6" s="217"/>
      <c r="Q6" s="217"/>
      <c r="R6" s="881">
        <f>SUM(E6:Q6)</f>
        <v>30000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630</v>
      </c>
      <c r="B8" s="216">
        <f>SUM(C8:D8)</f>
        <v>83536</v>
      </c>
      <c r="C8" s="216">
        <f t="shared" ref="C8:Q8" si="0">SUM(C4:C7)</f>
        <v>80630</v>
      </c>
      <c r="D8" s="216">
        <f t="shared" si="0"/>
        <v>2906</v>
      </c>
      <c r="E8" s="216">
        <f t="shared" si="0"/>
        <v>2906</v>
      </c>
      <c r="F8" s="216">
        <f t="shared" si="0"/>
        <v>0</v>
      </c>
      <c r="G8" s="216">
        <f t="shared" si="0"/>
        <v>0</v>
      </c>
      <c r="H8" s="216">
        <f t="shared" si="0"/>
        <v>80630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83536</v>
      </c>
      <c r="S8" s="218"/>
      <c r="T8" s="218"/>
      <c r="U8" s="213"/>
    </row>
    <row r="9" spans="1:21" s="214" customFormat="1">
      <c r="A9" s="215" t="s">
        <v>631</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681639</v>
      </c>
      <c r="C10" s="217">
        <v>681639</v>
      </c>
      <c r="D10" s="217"/>
      <c r="E10" s="217"/>
      <c r="F10" s="217"/>
      <c r="G10" s="217"/>
      <c r="H10" s="217">
        <f>C10</f>
        <v>681639</v>
      </c>
      <c r="I10" s="217"/>
      <c r="J10" s="217"/>
      <c r="K10" s="217"/>
      <c r="L10" s="217"/>
      <c r="M10" s="217"/>
      <c r="N10" s="217"/>
      <c r="O10" s="217"/>
      <c r="P10" s="217"/>
      <c r="Q10" s="217"/>
      <c r="R10" s="881">
        <f>SUM(E10:Q10)</f>
        <v>681639</v>
      </c>
      <c r="S10" s="217"/>
      <c r="T10" s="217"/>
      <c r="U10" s="213"/>
    </row>
    <row r="11" spans="1:21" s="214" customFormat="1">
      <c r="A11" s="219" t="s">
        <v>633</v>
      </c>
      <c r="B11" s="216">
        <f>SUM(C11:D11)</f>
        <v>681639</v>
      </c>
      <c r="C11" s="216">
        <f t="shared" ref="C11:Q11" si="1">SUM(C9:C10)</f>
        <v>681639</v>
      </c>
      <c r="D11" s="216">
        <f t="shared" si="1"/>
        <v>0</v>
      </c>
      <c r="E11" s="216">
        <f t="shared" si="1"/>
        <v>0</v>
      </c>
      <c r="F11" s="216">
        <f t="shared" si="1"/>
        <v>0</v>
      </c>
      <c r="G11" s="216">
        <f t="shared" si="1"/>
        <v>0</v>
      </c>
      <c r="H11" s="216">
        <f t="shared" si="1"/>
        <v>681639</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681639</v>
      </c>
      <c r="S11" s="218"/>
      <c r="T11" s="220">
        <f>SUM(T9:T10)</f>
        <v>0</v>
      </c>
      <c r="U11" s="213"/>
    </row>
    <row r="12" spans="1:21" s="214" customFormat="1">
      <c r="A12" s="219" t="s">
        <v>89</v>
      </c>
      <c r="B12" s="216">
        <f t="shared" ref="B12:Q12" si="2">SUM(B8+B11)</f>
        <v>765175</v>
      </c>
      <c r="C12" s="216">
        <f t="shared" si="2"/>
        <v>762269</v>
      </c>
      <c r="D12" s="216">
        <f t="shared" si="2"/>
        <v>2906</v>
      </c>
      <c r="E12" s="216">
        <f t="shared" si="2"/>
        <v>2906</v>
      </c>
      <c r="F12" s="216">
        <f t="shared" si="2"/>
        <v>0</v>
      </c>
      <c r="G12" s="216">
        <f t="shared" si="2"/>
        <v>0</v>
      </c>
      <c r="H12" s="216">
        <f t="shared" si="2"/>
        <v>762269</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765175</v>
      </c>
      <c r="S12" s="218"/>
      <c r="T12" s="218"/>
      <c r="U12" s="213"/>
    </row>
    <row r="13" spans="1:21" s="214" customFormat="1">
      <c r="A13" s="450" t="s">
        <v>975</v>
      </c>
      <c r="B13" s="216">
        <f>SUM(C13+D13)</f>
        <v>212000</v>
      </c>
      <c r="C13" s="217">
        <f>119213+72250</f>
        <v>191463</v>
      </c>
      <c r="D13" s="217">
        <f>12787+7750</f>
        <v>20537</v>
      </c>
      <c r="E13" s="217">
        <f>D13</f>
        <v>20537</v>
      </c>
      <c r="F13" s="217"/>
      <c r="G13" s="217"/>
      <c r="H13" s="217">
        <f>C13</f>
        <v>191463</v>
      </c>
      <c r="I13" s="217"/>
      <c r="J13" s="217"/>
      <c r="K13" s="217"/>
      <c r="L13" s="217"/>
      <c r="M13" s="217"/>
      <c r="N13" s="217"/>
      <c r="O13" s="217"/>
      <c r="P13" s="217"/>
      <c r="Q13" s="217"/>
      <c r="R13" s="881">
        <f>SUM(E13:Q13)</f>
        <v>212000</v>
      </c>
      <c r="S13" s="217"/>
      <c r="T13" s="217"/>
      <c r="U13" s="213"/>
    </row>
    <row r="14" spans="1:21" s="214" customFormat="1" ht="23">
      <c r="A14" s="451" t="s">
        <v>2011</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1359</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ht="12">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2008</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6">SUM(C29+D29)</f>
        <v>458699</v>
      </c>
      <c r="C29" s="217">
        <v>431703</v>
      </c>
      <c r="D29" s="217">
        <v>26996</v>
      </c>
      <c r="E29" s="217">
        <f>D29</f>
        <v>26996</v>
      </c>
      <c r="F29" s="217">
        <f>C29</f>
        <v>431703</v>
      </c>
      <c r="G29" s="217"/>
      <c r="H29" s="217"/>
      <c r="I29" s="217"/>
      <c r="J29" s="217"/>
      <c r="K29" s="217"/>
      <c r="L29" s="217"/>
      <c r="M29" s="217"/>
      <c r="N29" s="217"/>
      <c r="O29" s="217"/>
      <c r="P29" s="217"/>
      <c r="Q29" s="217"/>
      <c r="R29" s="881">
        <f t="shared" ref="R29:R37" si="7">SUM(E29:Q29)</f>
        <v>458699</v>
      </c>
      <c r="S29" s="217">
        <f>C29</f>
        <v>431703</v>
      </c>
      <c r="T29" s="217"/>
      <c r="U29" s="213"/>
    </row>
    <row r="30" spans="1:21" s="214" customFormat="1">
      <c r="A30" s="215" t="s">
        <v>636</v>
      </c>
      <c r="B30" s="216">
        <f t="shared" si="6"/>
        <v>47207049</v>
      </c>
      <c r="C30" s="217">
        <v>42589005</v>
      </c>
      <c r="D30" s="217">
        <v>4618044</v>
      </c>
      <c r="E30" s="217">
        <f>B30-F30-G30-H30-J30-K30</f>
        <v>20004629</v>
      </c>
      <c r="F30" s="217">
        <v>5583629</v>
      </c>
      <c r="G30" s="217">
        <f>11295000-G45</f>
        <v>10691776</v>
      </c>
      <c r="H30" s="217">
        <v>1303483</v>
      </c>
      <c r="I30" s="217"/>
      <c r="J30" s="217">
        <f>1000000</f>
        <v>1000000</v>
      </c>
      <c r="K30" s="217">
        <v>8623532</v>
      </c>
      <c r="L30" s="217"/>
      <c r="M30" s="217"/>
      <c r="N30" s="217"/>
      <c r="O30" s="217"/>
      <c r="P30" s="217"/>
      <c r="Q30" s="217"/>
      <c r="R30" s="881">
        <f t="shared" si="7"/>
        <v>47207049</v>
      </c>
      <c r="S30" s="217">
        <f t="shared" ref="S30:S35" si="8">C30</f>
        <v>42589005</v>
      </c>
      <c r="T30" s="217"/>
      <c r="U30" s="213"/>
    </row>
    <row r="31" spans="1:21" s="214" customFormat="1">
      <c r="A31" s="215" t="s">
        <v>637</v>
      </c>
      <c r="B31" s="216">
        <f t="shared" si="6"/>
        <v>2270282</v>
      </c>
      <c r="C31" s="217">
        <v>2139778</v>
      </c>
      <c r="D31" s="217">
        <v>130504</v>
      </c>
      <c r="E31" s="217">
        <f>B31</f>
        <v>2270282</v>
      </c>
      <c r="F31" s="217"/>
      <c r="G31" s="217"/>
      <c r="H31" s="217"/>
      <c r="I31" s="217"/>
      <c r="J31" s="217"/>
      <c r="K31" s="217"/>
      <c r="L31" s="217"/>
      <c r="M31" s="217"/>
      <c r="N31" s="217"/>
      <c r="O31" s="217"/>
      <c r="P31" s="217"/>
      <c r="Q31" s="217"/>
      <c r="R31" s="881">
        <f t="shared" si="7"/>
        <v>2270282</v>
      </c>
      <c r="S31" s="217">
        <f t="shared" si="8"/>
        <v>2139778</v>
      </c>
      <c r="T31" s="217"/>
      <c r="U31" s="213"/>
    </row>
    <row r="32" spans="1:21" s="214" customFormat="1">
      <c r="A32" s="215" t="s">
        <v>142</v>
      </c>
      <c r="B32" s="216">
        <f t="shared" si="6"/>
        <v>560706</v>
      </c>
      <c r="C32" s="217">
        <f>1692873*30%</f>
        <v>507861.89999999997</v>
      </c>
      <c r="D32" s="217">
        <f>176147*30%</f>
        <v>52844.1</v>
      </c>
      <c r="E32" s="217">
        <f>B32</f>
        <v>560706</v>
      </c>
      <c r="F32" s="217"/>
      <c r="G32" s="217"/>
      <c r="H32" s="217"/>
      <c r="I32" s="217"/>
      <c r="J32" s="217"/>
      <c r="K32" s="217"/>
      <c r="L32" s="217"/>
      <c r="M32" s="217"/>
      <c r="N32" s="217"/>
      <c r="O32" s="217"/>
      <c r="P32" s="217"/>
      <c r="Q32" s="217"/>
      <c r="R32" s="881">
        <f t="shared" si="7"/>
        <v>560706</v>
      </c>
      <c r="S32" s="217">
        <f t="shared" si="8"/>
        <v>507861.89999999997</v>
      </c>
      <c r="T32" s="217"/>
      <c r="U32" s="213"/>
    </row>
    <row r="33" spans="1:21" s="214" customFormat="1">
      <c r="A33" s="215" t="s">
        <v>143</v>
      </c>
      <c r="B33" s="216">
        <f t="shared" si="6"/>
        <v>1308313.9999999998</v>
      </c>
      <c r="C33" s="217">
        <f>1692873*70%</f>
        <v>1185011.0999999999</v>
      </c>
      <c r="D33" s="217">
        <f>176147*70%</f>
        <v>123302.9</v>
      </c>
      <c r="E33" s="217">
        <f>B33</f>
        <v>1308313.9999999998</v>
      </c>
      <c r="F33" s="217"/>
      <c r="G33" s="217"/>
      <c r="H33" s="217"/>
      <c r="I33" s="217"/>
      <c r="J33" s="217"/>
      <c r="K33" s="217"/>
      <c r="L33" s="217"/>
      <c r="M33" s="217"/>
      <c r="N33" s="217"/>
      <c r="O33" s="217"/>
      <c r="P33" s="217"/>
      <c r="Q33" s="217"/>
      <c r="R33" s="881">
        <f t="shared" si="7"/>
        <v>1308313.9999999998</v>
      </c>
      <c r="S33" s="217">
        <f t="shared" si="8"/>
        <v>1185011.0999999999</v>
      </c>
      <c r="T33" s="217"/>
      <c r="U33" s="213"/>
    </row>
    <row r="34" spans="1:21" s="214" customFormat="1">
      <c r="A34" s="215" t="s">
        <v>144</v>
      </c>
      <c r="B34" s="216">
        <f t="shared" si="6"/>
        <v>0</v>
      </c>
      <c r="C34" s="217"/>
      <c r="D34" s="217"/>
      <c r="E34" s="217">
        <f t="shared" ref="E34:E35" si="9">D34</f>
        <v>0</v>
      </c>
      <c r="F34" s="217"/>
      <c r="G34" s="217"/>
      <c r="H34" s="217"/>
      <c r="I34" s="217"/>
      <c r="J34" s="217"/>
      <c r="K34" s="217"/>
      <c r="L34" s="217"/>
      <c r="M34" s="217"/>
      <c r="N34" s="217"/>
      <c r="O34" s="217"/>
      <c r="P34" s="217"/>
      <c r="Q34" s="217"/>
      <c r="R34" s="881">
        <f t="shared" si="7"/>
        <v>0</v>
      </c>
      <c r="S34" s="217">
        <f t="shared" si="8"/>
        <v>0</v>
      </c>
      <c r="T34" s="217"/>
      <c r="U34" s="213"/>
    </row>
    <row r="35" spans="1:21" s="214" customFormat="1">
      <c r="A35" s="215" t="s">
        <v>145</v>
      </c>
      <c r="B35" s="216">
        <f t="shared" si="6"/>
        <v>869922</v>
      </c>
      <c r="C35" s="217">
        <v>787935</v>
      </c>
      <c r="D35" s="217">
        <v>81987</v>
      </c>
      <c r="E35" s="217">
        <f t="shared" si="9"/>
        <v>81987</v>
      </c>
      <c r="F35" s="217"/>
      <c r="G35" s="217"/>
      <c r="H35" s="217">
        <f>C35</f>
        <v>787935</v>
      </c>
      <c r="I35" s="217"/>
      <c r="J35" s="217"/>
      <c r="K35" s="217"/>
      <c r="L35" s="217"/>
      <c r="M35" s="217"/>
      <c r="N35" s="217"/>
      <c r="O35" s="217"/>
      <c r="P35" s="217"/>
      <c r="Q35" s="217"/>
      <c r="R35" s="881">
        <f t="shared" si="7"/>
        <v>869922</v>
      </c>
      <c r="S35" s="217">
        <f t="shared" si="8"/>
        <v>787935</v>
      </c>
      <c r="T35" s="217"/>
      <c r="U35" s="213"/>
    </row>
    <row r="36" spans="1:21" s="214" customFormat="1">
      <c r="A36" s="1827" t="s">
        <v>2008</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c r="T37" s="217"/>
      <c r="U37" s="213"/>
    </row>
    <row r="38" spans="1:21" s="214" customFormat="1">
      <c r="A38" s="219" t="s">
        <v>148</v>
      </c>
      <c r="B38" s="216">
        <f t="shared" si="6"/>
        <v>52674972</v>
      </c>
      <c r="C38" s="216">
        <f>SUM(C29:C37)</f>
        <v>47641294</v>
      </c>
      <c r="D38" s="216">
        <f t="shared" ref="D38:Q38" si="10">SUM(D29:D37)</f>
        <v>5033678</v>
      </c>
      <c r="E38" s="216">
        <f t="shared" si="10"/>
        <v>24252914</v>
      </c>
      <c r="F38" s="216">
        <f t="shared" si="10"/>
        <v>6015332</v>
      </c>
      <c r="G38" s="216">
        <f t="shared" si="10"/>
        <v>10691776</v>
      </c>
      <c r="H38" s="216">
        <f t="shared" si="10"/>
        <v>2091418</v>
      </c>
      <c r="I38" s="216">
        <f t="shared" si="10"/>
        <v>0</v>
      </c>
      <c r="J38" s="216">
        <f t="shared" si="10"/>
        <v>1000000</v>
      </c>
      <c r="K38" s="216">
        <f t="shared" si="10"/>
        <v>8623532</v>
      </c>
      <c r="L38" s="216">
        <f t="shared" si="10"/>
        <v>0</v>
      </c>
      <c r="M38" s="216">
        <f t="shared" si="10"/>
        <v>0</v>
      </c>
      <c r="N38" s="216">
        <f t="shared" si="10"/>
        <v>0</v>
      </c>
      <c r="O38" s="216">
        <f t="shared" si="10"/>
        <v>0</v>
      </c>
      <c r="P38" s="216">
        <f t="shared" si="10"/>
        <v>0</v>
      </c>
      <c r="Q38" s="216">
        <f t="shared" si="10"/>
        <v>0</v>
      </c>
      <c r="R38" s="535">
        <f>SUM(R29:R37)</f>
        <v>52674972</v>
      </c>
      <c r="S38" s="220">
        <f>SUM(S29:S37)</f>
        <v>47641294</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2200000</v>
      </c>
      <c r="C40" s="217">
        <v>1986888</v>
      </c>
      <c r="D40" s="217">
        <v>213112</v>
      </c>
      <c r="E40" s="217">
        <f>D40</f>
        <v>213112</v>
      </c>
      <c r="F40" s="217"/>
      <c r="G40" s="217"/>
      <c r="H40" s="217">
        <f>C40</f>
        <v>1986888</v>
      </c>
      <c r="I40" s="217"/>
      <c r="J40" s="217"/>
      <c r="K40" s="217"/>
      <c r="L40" s="217"/>
      <c r="M40" s="217"/>
      <c r="N40" s="217"/>
      <c r="O40" s="217"/>
      <c r="P40" s="217"/>
      <c r="Q40" s="217"/>
      <c r="R40" s="881">
        <f>SUM(E40:Q40)</f>
        <v>2200000</v>
      </c>
      <c r="S40" s="217">
        <f>C40</f>
        <v>1986888</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81">
        <f>SUM(E41:Q41)</f>
        <v>0</v>
      </c>
      <c r="S41" s="217"/>
      <c r="T41" s="217"/>
      <c r="U41" s="213"/>
    </row>
    <row r="42" spans="1:21" s="214" customFormat="1">
      <c r="A42" s="219" t="s">
        <v>152</v>
      </c>
      <c r="B42" s="216">
        <f>SUM(C42:D42)</f>
        <v>2200000</v>
      </c>
      <c r="C42" s="216">
        <f>SUM(C39:C41)</f>
        <v>1986888</v>
      </c>
      <c r="D42" s="216">
        <f>SUM(D39:D41)</f>
        <v>213112</v>
      </c>
      <c r="E42" s="216">
        <f t="shared" ref="E42:T42" si="11">SUM(E40:E41)</f>
        <v>213112</v>
      </c>
      <c r="F42" s="216">
        <f t="shared" si="11"/>
        <v>0</v>
      </c>
      <c r="G42" s="216">
        <f t="shared" si="11"/>
        <v>0</v>
      </c>
      <c r="H42" s="216">
        <f t="shared" si="11"/>
        <v>1986888</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5">
        <f>SUM(R40:R41)</f>
        <v>2200000</v>
      </c>
      <c r="S42" s="220">
        <f t="shared" si="11"/>
        <v>1986888</v>
      </c>
      <c r="T42" s="220">
        <f t="shared" si="11"/>
        <v>0</v>
      </c>
      <c r="U42" s="213"/>
    </row>
    <row r="43" spans="1:21" s="214" customFormat="1">
      <c r="A43" s="219" t="s">
        <v>153</v>
      </c>
      <c r="B43" s="216">
        <f>SUM(C43:D43)</f>
        <v>1061000</v>
      </c>
      <c r="C43" s="217">
        <f>270939+234814+198689+253780</f>
        <v>958222</v>
      </c>
      <c r="D43" s="217">
        <f>29061+25186+21311+27220</f>
        <v>102778</v>
      </c>
      <c r="E43" s="217">
        <f>D43</f>
        <v>102778</v>
      </c>
      <c r="F43" s="217"/>
      <c r="G43" s="217"/>
      <c r="H43" s="217">
        <f>C43</f>
        <v>958222</v>
      </c>
      <c r="I43" s="217"/>
      <c r="J43" s="217"/>
      <c r="K43" s="217"/>
      <c r="L43" s="217"/>
      <c r="M43" s="217"/>
      <c r="N43" s="217"/>
      <c r="O43" s="217"/>
      <c r="P43" s="217"/>
      <c r="Q43" s="217"/>
      <c r="R43" s="881">
        <f>SUM(E43:Q43)</f>
        <v>1061000</v>
      </c>
      <c r="S43" s="217">
        <f>C43</f>
        <v>958222</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3285221</v>
      </c>
      <c r="C45" s="1706">
        <f>1878261+100324+482251+443609+62540+2</f>
        <v>2966987</v>
      </c>
      <c r="D45" s="217">
        <f>201460+10761+51726+47581+6708-2</f>
        <v>318234</v>
      </c>
      <c r="E45" s="217">
        <f>D45</f>
        <v>318234</v>
      </c>
      <c r="F45" s="217">
        <f>C45-G45-I45</f>
        <v>1872573</v>
      </c>
      <c r="G45" s="217">
        <f>Application!AM567</f>
        <v>603224</v>
      </c>
      <c r="H45" s="217"/>
      <c r="I45" s="217">
        <f>491190</f>
        <v>491190</v>
      </c>
      <c r="J45" s="217"/>
      <c r="K45" s="217"/>
      <c r="L45" s="217"/>
      <c r="M45" s="217"/>
      <c r="N45" s="217"/>
      <c r="O45" s="217"/>
      <c r="P45" s="217"/>
      <c r="Q45" s="217"/>
      <c r="R45" s="881">
        <f t="shared" ref="R45:R53" si="13">SUM(E45:Q45)</f>
        <v>3285221</v>
      </c>
      <c r="S45" s="217">
        <f>1209161+371018+341642+40747+1</f>
        <v>1962569</v>
      </c>
      <c r="T45" s="217"/>
      <c r="U45" s="213"/>
    </row>
    <row r="46" spans="1:21" s="214" customFormat="1">
      <c r="A46" s="215" t="s">
        <v>156</v>
      </c>
      <c r="B46" s="216">
        <f t="shared" si="12"/>
        <v>432019</v>
      </c>
      <c r="C46" s="217">
        <f>390170</f>
        <v>390170</v>
      </c>
      <c r="D46" s="217">
        <f>41849</f>
        <v>41849</v>
      </c>
      <c r="E46" s="217">
        <f>D46-N46</f>
        <v>41749</v>
      </c>
      <c r="F46" s="217"/>
      <c r="G46" s="217"/>
      <c r="H46" s="217">
        <f>C46</f>
        <v>390170</v>
      </c>
      <c r="I46" s="217"/>
      <c r="J46" s="217"/>
      <c r="K46" s="217"/>
      <c r="L46" s="217"/>
      <c r="M46" s="217"/>
      <c r="N46" s="217">
        <f>100</f>
        <v>100</v>
      </c>
      <c r="O46" s="217"/>
      <c r="P46" s="217"/>
      <c r="Q46" s="217"/>
      <c r="R46" s="881">
        <f t="shared" si="13"/>
        <v>432019</v>
      </c>
      <c r="S46" s="217">
        <f>239285</f>
        <v>239285</v>
      </c>
      <c r="T46" s="217"/>
      <c r="U46" s="213"/>
    </row>
    <row r="47" spans="1:21" s="214" customFormat="1">
      <c r="A47" s="298" t="s">
        <v>157</v>
      </c>
      <c r="B47" s="216">
        <f t="shared" si="12"/>
        <v>43000</v>
      </c>
      <c r="C47" s="217">
        <v>38835</v>
      </c>
      <c r="D47" s="217">
        <v>4165</v>
      </c>
      <c r="E47" s="217">
        <f t="shared" ref="E47:E52" si="14">D47</f>
        <v>4165</v>
      </c>
      <c r="F47" s="217"/>
      <c r="G47" s="217"/>
      <c r="H47" s="217">
        <f>C47</f>
        <v>38835</v>
      </c>
      <c r="I47" s="217"/>
      <c r="J47" s="217"/>
      <c r="K47" s="217"/>
      <c r="L47" s="217"/>
      <c r="M47" s="217"/>
      <c r="N47" s="217"/>
      <c r="O47" s="217"/>
      <c r="P47" s="217"/>
      <c r="Q47" s="217"/>
      <c r="R47" s="881">
        <f t="shared" si="13"/>
        <v>43000</v>
      </c>
      <c r="S47" s="217">
        <f>23817</f>
        <v>23817</v>
      </c>
      <c r="T47" s="217"/>
      <c r="U47" s="213"/>
    </row>
    <row r="48" spans="1:21" s="214" customFormat="1">
      <c r="A48" s="215" t="s">
        <v>158</v>
      </c>
      <c r="B48" s="216">
        <f t="shared" si="12"/>
        <v>0</v>
      </c>
      <c r="C48" s="217"/>
      <c r="D48" s="217"/>
      <c r="E48" s="217">
        <f t="shared" si="14"/>
        <v>0</v>
      </c>
      <c r="F48" s="217"/>
      <c r="G48" s="217"/>
      <c r="H48" s="217"/>
      <c r="I48" s="217"/>
      <c r="J48" s="217"/>
      <c r="K48" s="217"/>
      <c r="L48" s="217"/>
      <c r="M48" s="217"/>
      <c r="N48" s="217"/>
      <c r="O48" s="217"/>
      <c r="P48" s="217"/>
      <c r="Q48" s="217"/>
      <c r="R48" s="881">
        <f t="shared" si="13"/>
        <v>0</v>
      </c>
      <c r="S48" s="217"/>
      <c r="T48" s="217"/>
      <c r="U48" s="213"/>
    </row>
    <row r="49" spans="1:21" s="214" customFormat="1">
      <c r="A49" s="215" t="s">
        <v>60</v>
      </c>
      <c r="B49" s="216">
        <f t="shared" si="12"/>
        <v>530908</v>
      </c>
      <c r="C49" s="217">
        <f>529164</f>
        <v>529164</v>
      </c>
      <c r="D49" s="217">
        <v>1744</v>
      </c>
      <c r="E49" s="217">
        <f t="shared" si="14"/>
        <v>1744</v>
      </c>
      <c r="F49" s="217"/>
      <c r="G49" s="217"/>
      <c r="H49" s="217">
        <f>C49</f>
        <v>529164</v>
      </c>
      <c r="I49" s="217"/>
      <c r="J49" s="217"/>
      <c r="K49" s="217"/>
      <c r="L49" s="217"/>
      <c r="M49" s="217"/>
      <c r="N49" s="217"/>
      <c r="O49" s="217"/>
      <c r="P49" s="217"/>
      <c r="Q49" s="217"/>
      <c r="R49" s="881">
        <f t="shared" si="13"/>
        <v>530908</v>
      </c>
      <c r="S49" s="217"/>
      <c r="T49" s="217"/>
      <c r="U49" s="213"/>
    </row>
    <row r="50" spans="1:21" s="214" customFormat="1">
      <c r="A50" s="215" t="s">
        <v>161</v>
      </c>
      <c r="B50" s="216">
        <f t="shared" si="12"/>
        <v>100000</v>
      </c>
      <c r="C50" s="217">
        <v>90313</v>
      </c>
      <c r="D50" s="217">
        <v>9687</v>
      </c>
      <c r="E50" s="217">
        <f t="shared" si="14"/>
        <v>9687</v>
      </c>
      <c r="F50" s="217"/>
      <c r="G50" s="217"/>
      <c r="H50" s="217">
        <f>C50</f>
        <v>90313</v>
      </c>
      <c r="I50" s="217"/>
      <c r="J50" s="217"/>
      <c r="K50" s="217"/>
      <c r="L50" s="217"/>
      <c r="M50" s="217"/>
      <c r="N50" s="217"/>
      <c r="O50" s="217"/>
      <c r="P50" s="217"/>
      <c r="Q50" s="217"/>
      <c r="R50" s="881">
        <f t="shared" si="13"/>
        <v>100000</v>
      </c>
      <c r="S50" s="217">
        <f>C50</f>
        <v>90313</v>
      </c>
      <c r="T50" s="217"/>
      <c r="U50" s="213"/>
    </row>
    <row r="51" spans="1:21" s="214" customFormat="1">
      <c r="A51" s="441" t="s">
        <v>159</v>
      </c>
      <c r="B51" s="216">
        <f t="shared" si="12"/>
        <v>284000</v>
      </c>
      <c r="C51" s="217">
        <v>256489</v>
      </c>
      <c r="D51" s="217">
        <v>27511</v>
      </c>
      <c r="E51" s="217">
        <f t="shared" si="14"/>
        <v>27511</v>
      </c>
      <c r="F51" s="217"/>
      <c r="G51" s="217"/>
      <c r="H51" s="217">
        <f>C51</f>
        <v>256489</v>
      </c>
      <c r="I51" s="217"/>
      <c r="J51" s="217"/>
      <c r="K51" s="217"/>
      <c r="L51" s="217"/>
      <c r="M51" s="217"/>
      <c r="N51" s="217"/>
      <c r="O51" s="217"/>
      <c r="P51" s="217"/>
      <c r="Q51" s="217"/>
      <c r="R51" s="881">
        <f t="shared" si="13"/>
        <v>284000</v>
      </c>
      <c r="S51" s="217">
        <f t="shared" ref="S51:S52" si="15">C51</f>
        <v>256489</v>
      </c>
      <c r="T51" s="217"/>
      <c r="U51" s="213"/>
    </row>
    <row r="52" spans="1:21" s="214" customFormat="1">
      <c r="A52" s="215" t="s">
        <v>160</v>
      </c>
      <c r="B52" s="216">
        <f t="shared" si="12"/>
        <v>800000</v>
      </c>
      <c r="C52" s="217">
        <v>722505</v>
      </c>
      <c r="D52" s="217">
        <v>77495</v>
      </c>
      <c r="E52" s="217">
        <f t="shared" si="14"/>
        <v>77495</v>
      </c>
      <c r="F52" s="217"/>
      <c r="G52" s="217"/>
      <c r="H52" s="217">
        <f>C52</f>
        <v>722505</v>
      </c>
      <c r="I52" s="217"/>
      <c r="J52" s="217"/>
      <c r="K52" s="217"/>
      <c r="L52" s="217"/>
      <c r="M52" s="217"/>
      <c r="N52" s="217"/>
      <c r="O52" s="217"/>
      <c r="P52" s="217"/>
      <c r="Q52" s="217"/>
      <c r="R52" s="881">
        <f t="shared" si="13"/>
        <v>800000</v>
      </c>
      <c r="S52" s="217">
        <f t="shared" si="15"/>
        <v>722505</v>
      </c>
      <c r="T52" s="217"/>
      <c r="U52" s="213"/>
    </row>
    <row r="53" spans="1:21" s="214" customFormat="1">
      <c r="A53" s="222" t="s">
        <v>35</v>
      </c>
      <c r="B53" s="216">
        <f t="shared" si="12"/>
        <v>0</v>
      </c>
      <c r="C53" s="217"/>
      <c r="D53" s="217"/>
      <c r="E53" s="217"/>
      <c r="F53" s="217"/>
      <c r="G53" s="217"/>
      <c r="H53" s="217"/>
      <c r="I53" s="217"/>
      <c r="J53" s="217"/>
      <c r="K53" s="217"/>
      <c r="L53" s="217"/>
      <c r="M53" s="217"/>
      <c r="N53" s="217"/>
      <c r="O53" s="217"/>
      <c r="P53" s="217"/>
      <c r="Q53" s="217"/>
      <c r="R53" s="881">
        <f t="shared" si="13"/>
        <v>0</v>
      </c>
      <c r="S53" s="217"/>
      <c r="T53" s="217"/>
      <c r="U53" s="213"/>
    </row>
    <row r="54" spans="1:21" s="224" customFormat="1">
      <c r="A54" s="219" t="s">
        <v>162</v>
      </c>
      <c r="B54" s="220">
        <f>SUM(C54:D54)</f>
        <v>5475148</v>
      </c>
      <c r="C54" s="220">
        <f t="shared" ref="C54:T54" si="16">SUM(C45:C53)</f>
        <v>4994463</v>
      </c>
      <c r="D54" s="220">
        <f t="shared" si="16"/>
        <v>480685</v>
      </c>
      <c r="E54" s="220">
        <f t="shared" si="16"/>
        <v>480585</v>
      </c>
      <c r="F54" s="220">
        <f t="shared" si="16"/>
        <v>1872573</v>
      </c>
      <c r="G54" s="220">
        <f t="shared" si="16"/>
        <v>603224</v>
      </c>
      <c r="H54" s="220">
        <f t="shared" si="16"/>
        <v>2027476</v>
      </c>
      <c r="I54" s="220">
        <f t="shared" si="16"/>
        <v>491190</v>
      </c>
      <c r="J54" s="220">
        <f t="shared" si="16"/>
        <v>0</v>
      </c>
      <c r="K54" s="220">
        <f t="shared" si="16"/>
        <v>0</v>
      </c>
      <c r="L54" s="220">
        <f t="shared" si="16"/>
        <v>0</v>
      </c>
      <c r="M54" s="220">
        <f t="shared" si="16"/>
        <v>0</v>
      </c>
      <c r="N54" s="220">
        <f t="shared" si="16"/>
        <v>100</v>
      </c>
      <c r="O54" s="220">
        <f t="shared" si="16"/>
        <v>0</v>
      </c>
      <c r="P54" s="220">
        <f t="shared" si="16"/>
        <v>0</v>
      </c>
      <c r="Q54" s="220">
        <f t="shared" si="16"/>
        <v>0</v>
      </c>
      <c r="R54" s="535">
        <f t="shared" si="16"/>
        <v>5475148</v>
      </c>
      <c r="S54" s="220">
        <f t="shared" si="16"/>
        <v>3294978</v>
      </c>
      <c r="T54" s="220">
        <f t="shared" si="16"/>
        <v>0</v>
      </c>
      <c r="U54" s="223"/>
    </row>
    <row r="55" spans="1:21" s="214" customFormat="1" ht="12">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195299</v>
      </c>
      <c r="C56" s="217">
        <f>71483+87919+16979</f>
        <v>176381</v>
      </c>
      <c r="D56" s="217">
        <f>7667+9430+1821</f>
        <v>18918</v>
      </c>
      <c r="E56" s="217">
        <f>D56</f>
        <v>18918</v>
      </c>
      <c r="F56" s="217"/>
      <c r="G56" s="217"/>
      <c r="H56" s="217">
        <f>C56</f>
        <v>176381</v>
      </c>
      <c r="I56" s="217"/>
      <c r="J56" s="217"/>
      <c r="K56" s="217"/>
      <c r="L56" s="217"/>
      <c r="M56" s="217"/>
      <c r="N56" s="217"/>
      <c r="O56" s="217"/>
      <c r="P56" s="217"/>
      <c r="Q56" s="217"/>
      <c r="R56" s="881">
        <f t="shared" ref="R56:R61" si="18">SUM(E56:Q56)</f>
        <v>195299</v>
      </c>
      <c r="S56" s="218"/>
      <c r="T56" s="218"/>
      <c r="U56" s="213"/>
    </row>
    <row r="57" spans="1:21" s="304" customFormat="1">
      <c r="A57" s="298" t="s">
        <v>157</v>
      </c>
      <c r="B57" s="305">
        <f t="shared" si="17"/>
        <v>10000</v>
      </c>
      <c r="C57" s="302">
        <v>9031</v>
      </c>
      <c r="D57" s="302">
        <v>969</v>
      </c>
      <c r="E57" s="217">
        <f t="shared" ref="E57:E58" si="19">D57</f>
        <v>969</v>
      </c>
      <c r="F57" s="302"/>
      <c r="G57" s="302"/>
      <c r="H57" s="217">
        <f>C57</f>
        <v>9031</v>
      </c>
      <c r="I57" s="302"/>
      <c r="J57" s="302"/>
      <c r="K57" s="302"/>
      <c r="L57" s="302"/>
      <c r="M57" s="302"/>
      <c r="N57" s="302"/>
      <c r="O57" s="302"/>
      <c r="P57" s="302"/>
      <c r="Q57" s="302"/>
      <c r="R57" s="881">
        <f t="shared" si="18"/>
        <v>10000</v>
      </c>
      <c r="S57" s="306"/>
      <c r="T57" s="306"/>
      <c r="U57" s="303"/>
    </row>
    <row r="58" spans="1:21" s="214" customFormat="1">
      <c r="A58" s="215" t="s">
        <v>161</v>
      </c>
      <c r="B58" s="216">
        <f t="shared" si="17"/>
        <v>30001</v>
      </c>
      <c r="C58" s="217">
        <v>27095</v>
      </c>
      <c r="D58" s="217">
        <v>2906</v>
      </c>
      <c r="E58" s="217">
        <f t="shared" si="19"/>
        <v>2906</v>
      </c>
      <c r="F58" s="217">
        <f>C58</f>
        <v>27095</v>
      </c>
      <c r="G58" s="217"/>
      <c r="H58" s="217"/>
      <c r="I58" s="217"/>
      <c r="J58" s="217"/>
      <c r="K58" s="217"/>
      <c r="L58" s="217"/>
      <c r="M58" s="217"/>
      <c r="N58" s="217"/>
      <c r="O58" s="217"/>
      <c r="P58" s="217"/>
      <c r="Q58" s="217"/>
      <c r="R58" s="881">
        <f t="shared" si="18"/>
        <v>30001</v>
      </c>
      <c r="S58" s="218"/>
      <c r="T58" s="218"/>
      <c r="U58" s="213"/>
    </row>
    <row r="59" spans="1:21" s="214" customFormat="1">
      <c r="A59" s="441" t="s">
        <v>159</v>
      </c>
      <c r="B59" s="216">
        <f t="shared" si="17"/>
        <v>0</v>
      </c>
      <c r="C59" s="217"/>
      <c r="D59" s="217"/>
      <c r="E59" s="217"/>
      <c r="F59" s="217"/>
      <c r="G59" s="217"/>
      <c r="H59" s="217"/>
      <c r="I59" s="217"/>
      <c r="J59" s="217"/>
      <c r="K59" s="217"/>
      <c r="L59" s="217"/>
      <c r="M59" s="217"/>
      <c r="N59" s="217"/>
      <c r="O59" s="217"/>
      <c r="P59" s="217"/>
      <c r="Q59" s="217"/>
      <c r="R59" s="881">
        <f t="shared" si="18"/>
        <v>0</v>
      </c>
      <c r="S59" s="218"/>
      <c r="T59" s="218"/>
      <c r="U59" s="213"/>
    </row>
    <row r="60" spans="1:21" s="214" customFormat="1">
      <c r="A60" s="215" t="s">
        <v>160</v>
      </c>
      <c r="B60" s="216">
        <f t="shared" si="17"/>
        <v>0</v>
      </c>
      <c r="C60" s="217"/>
      <c r="D60" s="217"/>
      <c r="E60" s="217"/>
      <c r="F60" s="217"/>
      <c r="G60" s="217"/>
      <c r="H60" s="217"/>
      <c r="I60" s="217"/>
      <c r="J60" s="217"/>
      <c r="K60" s="217"/>
      <c r="L60" s="217"/>
      <c r="M60" s="217"/>
      <c r="N60" s="217"/>
      <c r="O60" s="217"/>
      <c r="P60" s="217"/>
      <c r="Q60" s="217"/>
      <c r="R60" s="881">
        <f t="shared" si="18"/>
        <v>0</v>
      </c>
      <c r="S60" s="218"/>
      <c r="T60" s="218"/>
      <c r="U60" s="213"/>
    </row>
    <row r="61" spans="1:21" s="214" customFormat="1">
      <c r="A61" s="222" t="s">
        <v>35</v>
      </c>
      <c r="B61" s="216">
        <f t="shared" si="17"/>
        <v>0</v>
      </c>
      <c r="C61" s="217"/>
      <c r="D61" s="217"/>
      <c r="E61" s="217"/>
      <c r="F61" s="217"/>
      <c r="G61" s="217"/>
      <c r="H61" s="217"/>
      <c r="I61" s="217"/>
      <c r="J61" s="217"/>
      <c r="K61" s="217"/>
      <c r="L61" s="217"/>
      <c r="M61" s="217"/>
      <c r="N61" s="217"/>
      <c r="O61" s="217"/>
      <c r="P61" s="217"/>
      <c r="Q61" s="217"/>
      <c r="R61" s="881">
        <f t="shared" si="18"/>
        <v>0</v>
      </c>
      <c r="S61" s="218"/>
      <c r="T61" s="218"/>
      <c r="U61" s="213"/>
    </row>
    <row r="62" spans="1:21" s="214" customFormat="1" ht="13.75" customHeight="1">
      <c r="A62" s="219" t="s">
        <v>311</v>
      </c>
      <c r="B62" s="216">
        <f>SUM(C62:D62)</f>
        <v>235300</v>
      </c>
      <c r="C62" s="216">
        <f t="shared" ref="C62:R62" si="20">SUM(C56:C61)</f>
        <v>212507</v>
      </c>
      <c r="D62" s="216">
        <f t="shared" si="20"/>
        <v>22793</v>
      </c>
      <c r="E62" s="216">
        <f t="shared" si="20"/>
        <v>22793</v>
      </c>
      <c r="F62" s="216">
        <f t="shared" si="20"/>
        <v>27095</v>
      </c>
      <c r="G62" s="216">
        <f t="shared" si="20"/>
        <v>0</v>
      </c>
      <c r="H62" s="216">
        <f t="shared" si="20"/>
        <v>185412</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35">
        <f t="shared" si="20"/>
        <v>235300</v>
      </c>
      <c r="S62" s="218"/>
      <c r="T62" s="218"/>
      <c r="U62" s="213"/>
    </row>
    <row r="63" spans="1:21" s="214" customFormat="1">
      <c r="A63" s="225" t="s">
        <v>312</v>
      </c>
      <c r="B63" s="216">
        <f t="shared" ref="B63:R63" si="21">SUM(B8+B11+B13+B14+B15+B26+B27+B38+B42+B43+B54+B62)</f>
        <v>62623595</v>
      </c>
      <c r="C63" s="216">
        <f t="shared" si="21"/>
        <v>56747106</v>
      </c>
      <c r="D63" s="216">
        <f t="shared" si="21"/>
        <v>5876489</v>
      </c>
      <c r="E63" s="216">
        <f t="shared" si="21"/>
        <v>25095625</v>
      </c>
      <c r="F63" s="216">
        <f t="shared" si="21"/>
        <v>7915000</v>
      </c>
      <c r="G63" s="216">
        <f t="shared" si="21"/>
        <v>11295000</v>
      </c>
      <c r="H63" s="216">
        <f t="shared" si="21"/>
        <v>8203148</v>
      </c>
      <c r="I63" s="216">
        <f t="shared" si="21"/>
        <v>491190</v>
      </c>
      <c r="J63" s="216">
        <f t="shared" si="21"/>
        <v>1000000</v>
      </c>
      <c r="K63" s="216">
        <f t="shared" si="21"/>
        <v>8623532</v>
      </c>
      <c r="L63" s="216">
        <f t="shared" si="21"/>
        <v>0</v>
      </c>
      <c r="M63" s="216">
        <f t="shared" si="21"/>
        <v>0</v>
      </c>
      <c r="N63" s="216">
        <f t="shared" si="21"/>
        <v>100</v>
      </c>
      <c r="O63" s="216">
        <f t="shared" si="21"/>
        <v>0</v>
      </c>
      <c r="P63" s="216">
        <f t="shared" si="21"/>
        <v>0</v>
      </c>
      <c r="Q63" s="216">
        <f t="shared" si="21"/>
        <v>0</v>
      </c>
      <c r="R63" s="535">
        <f t="shared" si="21"/>
        <v>62623595</v>
      </c>
      <c r="S63" s="216">
        <f>SUM(S10+S13+S14+S15+S26+S27+S38+S42+S43+S54)</f>
        <v>53881382</v>
      </c>
      <c r="T63" s="216">
        <f>SUM(T11+T13+T14+T15+T26+T27+T38+T42+T43+T54)</f>
        <v>0</v>
      </c>
      <c r="U63" s="213"/>
    </row>
    <row r="64" spans="1:21" s="214" customFormat="1" ht="24">
      <c r="A64" s="211" t="s">
        <v>2012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80000</v>
      </c>
      <c r="C65" s="217">
        <f>49672+22578</f>
        <v>72250</v>
      </c>
      <c r="D65" s="217">
        <f>5328+2422</f>
        <v>7750</v>
      </c>
      <c r="E65" s="217">
        <f>D65</f>
        <v>7750</v>
      </c>
      <c r="F65" s="217"/>
      <c r="G65" s="217"/>
      <c r="H65" s="217">
        <f>C65</f>
        <v>72250</v>
      </c>
      <c r="I65" s="217"/>
      <c r="J65" s="217"/>
      <c r="K65" s="217"/>
      <c r="L65" s="217"/>
      <c r="M65" s="217"/>
      <c r="N65" s="217"/>
      <c r="O65" s="217"/>
      <c r="P65" s="217"/>
      <c r="Q65" s="217"/>
      <c r="R65" s="881">
        <f>SUM(E65:Q65)</f>
        <v>80000</v>
      </c>
      <c r="S65" s="217">
        <v>30463</v>
      </c>
      <c r="T65" s="217"/>
      <c r="U65" s="213"/>
    </row>
    <row r="66" spans="1:21" s="214" customFormat="1" ht="24" customHeight="1">
      <c r="A66" s="441" t="s">
        <v>2009</v>
      </c>
      <c r="B66" s="216"/>
      <c r="C66" s="217"/>
      <c r="D66" s="217"/>
      <c r="E66" s="217"/>
      <c r="F66" s="217"/>
      <c r="G66" s="217"/>
      <c r="H66" s="217"/>
      <c r="I66" s="217"/>
      <c r="J66" s="217"/>
      <c r="K66" s="217"/>
      <c r="L66" s="217"/>
      <c r="M66" s="217"/>
      <c r="N66" s="217"/>
      <c r="O66" s="217"/>
      <c r="P66" s="217"/>
      <c r="Q66" s="217"/>
      <c r="R66" s="881">
        <f>SUM(E66:Q66)</f>
        <v>0</v>
      </c>
      <c r="S66" s="217"/>
      <c r="T66" s="217"/>
      <c r="U66" s="213"/>
    </row>
    <row r="67" spans="1:21" s="214" customFormat="1" ht="24" customHeight="1">
      <c r="A67" s="441" t="s">
        <v>2010</v>
      </c>
      <c r="B67" s="216"/>
      <c r="C67" s="217"/>
      <c r="D67" s="217"/>
      <c r="E67" s="217"/>
      <c r="F67" s="217"/>
      <c r="G67" s="217"/>
      <c r="H67" s="217"/>
      <c r="I67" s="217"/>
      <c r="J67" s="217"/>
      <c r="K67" s="217"/>
      <c r="L67" s="217"/>
      <c r="M67" s="217"/>
      <c r="N67" s="217"/>
      <c r="O67" s="217"/>
      <c r="P67" s="217"/>
      <c r="Q67" s="217"/>
      <c r="R67" s="881">
        <f>SUM(E67:Q67)</f>
        <v>0</v>
      </c>
      <c r="S67" s="217"/>
      <c r="T67" s="217"/>
      <c r="U67" s="213"/>
    </row>
    <row r="68" spans="1:21" s="214" customFormat="1" ht="12" customHeight="1">
      <c r="A68" s="441" t="s">
        <v>2016</v>
      </c>
      <c r="B68" s="216"/>
      <c r="C68" s="217"/>
      <c r="D68" s="217"/>
      <c r="E68" s="217"/>
      <c r="F68" s="217"/>
      <c r="G68" s="217"/>
      <c r="H68" s="217"/>
      <c r="I68" s="217"/>
      <c r="J68" s="217"/>
      <c r="K68" s="217"/>
      <c r="L68" s="217"/>
      <c r="M68" s="217"/>
      <c r="N68" s="217"/>
      <c r="O68" s="217"/>
      <c r="P68" s="217"/>
      <c r="Q68" s="217"/>
      <c r="R68" s="881">
        <f>SUM(E68:Q68)</f>
        <v>0</v>
      </c>
      <c r="S68" s="217"/>
      <c r="T68" s="217"/>
      <c r="U68" s="213"/>
    </row>
    <row r="69" spans="1:21" s="214" customFormat="1">
      <c r="A69" s="1871" t="s">
        <v>2610</v>
      </c>
      <c r="B69" s="216">
        <f>SUM(C69+D69)</f>
        <v>105000</v>
      </c>
      <c r="C69" s="217">
        <f>67735+27094</f>
        <v>94829</v>
      </c>
      <c r="D69" s="217">
        <f>7265+2906</f>
        <v>10171</v>
      </c>
      <c r="E69" s="217">
        <f>D69</f>
        <v>10171</v>
      </c>
      <c r="F69" s="217"/>
      <c r="G69" s="217"/>
      <c r="H69" s="217">
        <f>C69</f>
        <v>94829</v>
      </c>
      <c r="I69" s="217"/>
      <c r="J69" s="217"/>
      <c r="K69" s="217"/>
      <c r="L69" s="217"/>
      <c r="M69" s="217"/>
      <c r="N69" s="217"/>
      <c r="O69" s="217"/>
      <c r="P69" s="217"/>
      <c r="Q69" s="217"/>
      <c r="R69" s="881">
        <f>SUM(E69:Q69)</f>
        <v>105000</v>
      </c>
      <c r="S69" s="217">
        <f>67735</f>
        <v>67735</v>
      </c>
      <c r="T69" s="217"/>
      <c r="U69" s="213"/>
    </row>
    <row r="70" spans="1:21" s="214" customFormat="1">
      <c r="A70" s="219" t="s">
        <v>2013</v>
      </c>
      <c r="B70" s="216">
        <f>SUM(C70:D70)</f>
        <v>185000</v>
      </c>
      <c r="C70" s="216">
        <f>SUM(C65:C69)</f>
        <v>167079</v>
      </c>
      <c r="D70" s="216">
        <f>SUM(D65:D69)</f>
        <v>17921</v>
      </c>
      <c r="E70" s="216">
        <f t="shared" ref="E70:T70" si="22">SUM(E65:E69)</f>
        <v>17921</v>
      </c>
      <c r="F70" s="216">
        <f t="shared" si="22"/>
        <v>0</v>
      </c>
      <c r="G70" s="216">
        <f t="shared" si="22"/>
        <v>0</v>
      </c>
      <c r="H70" s="216">
        <f t="shared" si="22"/>
        <v>167079</v>
      </c>
      <c r="I70" s="216">
        <f t="shared" si="22"/>
        <v>0</v>
      </c>
      <c r="J70" s="216">
        <f t="shared" si="22"/>
        <v>0</v>
      </c>
      <c r="K70" s="216">
        <f t="shared" si="22"/>
        <v>0</v>
      </c>
      <c r="L70" s="216">
        <f t="shared" si="22"/>
        <v>0</v>
      </c>
      <c r="M70" s="216">
        <f t="shared" si="22"/>
        <v>0</v>
      </c>
      <c r="N70" s="216">
        <f t="shared" si="22"/>
        <v>0</v>
      </c>
      <c r="O70" s="216">
        <f t="shared" si="22"/>
        <v>0</v>
      </c>
      <c r="P70" s="216">
        <f t="shared" si="22"/>
        <v>0</v>
      </c>
      <c r="Q70" s="216">
        <f t="shared" si="22"/>
        <v>0</v>
      </c>
      <c r="R70" s="535">
        <f t="shared" si="22"/>
        <v>185000</v>
      </c>
      <c r="S70" s="220">
        <f t="shared" si="22"/>
        <v>98198</v>
      </c>
      <c r="T70" s="220">
        <f t="shared" si="22"/>
        <v>0</v>
      </c>
      <c r="U70" s="213"/>
    </row>
    <row r="71" spans="1:21" s="214" customFormat="1" ht="12">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363501</v>
      </c>
      <c r="C73" s="217">
        <f>328569+35242-310</f>
        <v>363501</v>
      </c>
      <c r="D73" s="217"/>
      <c r="E73" s="217">
        <f>C73</f>
        <v>363501</v>
      </c>
      <c r="F73" s="217"/>
      <c r="G73" s="217"/>
      <c r="H73" s="217"/>
      <c r="I73" s="217"/>
      <c r="J73" s="217"/>
      <c r="K73" s="217"/>
      <c r="L73" s="217"/>
      <c r="M73" s="217"/>
      <c r="N73" s="217"/>
      <c r="O73" s="217"/>
      <c r="P73" s="217"/>
      <c r="Q73" s="217"/>
      <c r="R73" s="881">
        <f>SUM(E73:Q73)</f>
        <v>363501</v>
      </c>
      <c r="S73" s="218"/>
      <c r="T73" s="218"/>
      <c r="U73" s="213"/>
    </row>
    <row r="74" spans="1:21" s="214" customFormat="1">
      <c r="A74" s="739" t="s">
        <v>1089</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337775</v>
      </c>
      <c r="C75" s="217">
        <f>337775</f>
        <v>337775</v>
      </c>
      <c r="D75" s="217"/>
      <c r="E75" s="217">
        <f>C75</f>
        <v>337775</v>
      </c>
      <c r="F75" s="217"/>
      <c r="G75" s="217"/>
      <c r="H75" s="217"/>
      <c r="I75" s="217"/>
      <c r="J75" s="217"/>
      <c r="K75" s="217"/>
      <c r="L75" s="217"/>
      <c r="M75" s="217"/>
      <c r="N75" s="217"/>
      <c r="O75" s="217"/>
      <c r="P75" s="217"/>
      <c r="Q75" s="217"/>
      <c r="R75" s="881">
        <f>SUM(E75:Q75)</f>
        <v>337775</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81">
        <f>SUM(E76:Q76)</f>
        <v>0</v>
      </c>
      <c r="S76" s="218"/>
      <c r="T76" s="218"/>
      <c r="U76" s="213"/>
    </row>
    <row r="77" spans="1:21" s="214" customFormat="1">
      <c r="A77" s="219" t="s">
        <v>643</v>
      </c>
      <c r="B77" s="216">
        <f>SUM(C77:D77)</f>
        <v>701276</v>
      </c>
      <c r="C77" s="216">
        <f>SUM(C72:C76)</f>
        <v>701276</v>
      </c>
      <c r="D77" s="216">
        <f>SUM(D72:D76)</f>
        <v>0</v>
      </c>
      <c r="E77" s="216">
        <f t="shared" ref="E77:Q77" si="23">SUM(E72:E76)</f>
        <v>701276</v>
      </c>
      <c r="F77" s="216">
        <f t="shared" si="23"/>
        <v>0</v>
      </c>
      <c r="G77" s="216">
        <f t="shared" si="23"/>
        <v>0</v>
      </c>
      <c r="H77" s="216">
        <f t="shared" si="23"/>
        <v>0</v>
      </c>
      <c r="I77" s="216">
        <f t="shared" si="23"/>
        <v>0</v>
      </c>
      <c r="J77" s="216">
        <f t="shared" si="23"/>
        <v>0</v>
      </c>
      <c r="K77" s="216">
        <f t="shared" si="23"/>
        <v>0</v>
      </c>
      <c r="L77" s="216">
        <f t="shared" si="23"/>
        <v>0</v>
      </c>
      <c r="M77" s="216">
        <f t="shared" si="23"/>
        <v>0</v>
      </c>
      <c r="N77" s="216">
        <f t="shared" si="23"/>
        <v>0</v>
      </c>
      <c r="O77" s="216">
        <f t="shared" si="23"/>
        <v>0</v>
      </c>
      <c r="P77" s="216">
        <f t="shared" si="23"/>
        <v>0</v>
      </c>
      <c r="Q77" s="216">
        <f t="shared" si="23"/>
        <v>0</v>
      </c>
      <c r="R77" s="535">
        <f>SUM(R72:R76)</f>
        <v>701276</v>
      </c>
      <c r="S77" s="218"/>
      <c r="T77" s="218"/>
      <c r="U77" s="213"/>
    </row>
    <row r="78" spans="1:21" s="214" customFormat="1" ht="12">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2592929</v>
      </c>
      <c r="C79" s="217">
        <v>2341755</v>
      </c>
      <c r="D79" s="217">
        <v>251174</v>
      </c>
      <c r="E79" s="217">
        <f>B79</f>
        <v>2592929</v>
      </c>
      <c r="F79" s="217"/>
      <c r="G79" s="217"/>
      <c r="H79" s="217"/>
      <c r="I79" s="217"/>
      <c r="J79" s="217"/>
      <c r="K79" s="217"/>
      <c r="L79" s="217"/>
      <c r="M79" s="217"/>
      <c r="N79" s="217"/>
      <c r="O79" s="217"/>
      <c r="P79" s="217"/>
      <c r="Q79" s="217"/>
      <c r="R79" s="881">
        <f>SUM(E79:Q79)</f>
        <v>2592929</v>
      </c>
      <c r="S79" s="217">
        <f>C79</f>
        <v>2341755</v>
      </c>
      <c r="T79" s="217"/>
      <c r="U79" s="213"/>
    </row>
    <row r="80" spans="1:21" s="214" customFormat="1">
      <c r="A80" s="441" t="s">
        <v>61</v>
      </c>
      <c r="B80" s="216">
        <f>SUM(C80:D80)</f>
        <v>400000</v>
      </c>
      <c r="C80" s="217">
        <v>361252</v>
      </c>
      <c r="D80" s="217">
        <v>38748</v>
      </c>
      <c r="E80" s="217">
        <f>B80</f>
        <v>400000</v>
      </c>
      <c r="F80" s="217"/>
      <c r="G80" s="217"/>
      <c r="H80" s="217"/>
      <c r="I80" s="217"/>
      <c r="J80" s="217"/>
      <c r="K80" s="217"/>
      <c r="L80" s="217"/>
      <c r="M80" s="217"/>
      <c r="N80" s="217"/>
      <c r="O80" s="217"/>
      <c r="P80" s="217"/>
      <c r="Q80" s="217"/>
      <c r="R80" s="881">
        <f>SUM(E80:Q80)</f>
        <v>400000</v>
      </c>
      <c r="S80" s="217">
        <f>C80</f>
        <v>361252</v>
      </c>
      <c r="T80" s="217"/>
      <c r="U80" s="213"/>
    </row>
    <row r="81" spans="1:21" s="214" customFormat="1">
      <c r="A81" s="219" t="s">
        <v>1426</v>
      </c>
      <c r="B81" s="216">
        <f>SUM(C81:D81)</f>
        <v>2992929</v>
      </c>
      <c r="C81" s="861">
        <f>SUM(C79:C80)</f>
        <v>2703007</v>
      </c>
      <c r="D81" s="861">
        <f t="shared" ref="D81:T81" si="24">SUM(D79:D80)</f>
        <v>289922</v>
      </c>
      <c r="E81" s="861">
        <f t="shared" si="24"/>
        <v>2992929</v>
      </c>
      <c r="F81" s="861">
        <f t="shared" si="24"/>
        <v>0</v>
      </c>
      <c r="G81" s="861">
        <f t="shared" si="24"/>
        <v>0</v>
      </c>
      <c r="H81" s="861">
        <f t="shared" si="24"/>
        <v>0</v>
      </c>
      <c r="I81" s="861">
        <f t="shared" si="24"/>
        <v>0</v>
      </c>
      <c r="J81" s="861">
        <f t="shared" si="24"/>
        <v>0</v>
      </c>
      <c r="K81" s="861">
        <f t="shared" si="24"/>
        <v>0</v>
      </c>
      <c r="L81" s="861">
        <f t="shared" si="24"/>
        <v>0</v>
      </c>
      <c r="M81" s="861">
        <f t="shared" si="24"/>
        <v>0</v>
      </c>
      <c r="N81" s="861">
        <f t="shared" si="24"/>
        <v>0</v>
      </c>
      <c r="O81" s="861">
        <f t="shared" si="24"/>
        <v>0</v>
      </c>
      <c r="P81" s="861">
        <f t="shared" si="24"/>
        <v>0</v>
      </c>
      <c r="Q81" s="861">
        <f t="shared" si="24"/>
        <v>0</v>
      </c>
      <c r="R81" s="861">
        <f t="shared" si="24"/>
        <v>2992929</v>
      </c>
      <c r="S81" s="861">
        <f t="shared" si="24"/>
        <v>2703007</v>
      </c>
      <c r="T81" s="861">
        <f t="shared" si="24"/>
        <v>0</v>
      </c>
      <c r="U81" s="213"/>
    </row>
    <row r="82" spans="1:21" s="214" customFormat="1" ht="12">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5" customHeight="1">
      <c r="A83" s="215" t="s">
        <v>828</v>
      </c>
      <c r="B83" s="216">
        <f t="shared" ref="B83:B95" si="25">SUM(C83+D83)</f>
        <v>66473</v>
      </c>
      <c r="C83" s="217">
        <v>66473</v>
      </c>
      <c r="D83" s="217"/>
      <c r="E83" s="217"/>
      <c r="F83" s="217"/>
      <c r="G83" s="217"/>
      <c r="H83" s="217">
        <f>C83</f>
        <v>66473</v>
      </c>
      <c r="I83" s="217"/>
      <c r="J83" s="217"/>
      <c r="K83" s="217"/>
      <c r="L83" s="217"/>
      <c r="M83" s="217"/>
      <c r="N83" s="217"/>
      <c r="O83" s="217"/>
      <c r="P83" s="217"/>
      <c r="Q83" s="217"/>
      <c r="R83" s="881">
        <f t="shared" ref="R83:R95" si="26">SUM(E83:Q83)</f>
        <v>66473</v>
      </c>
      <c r="S83" s="218"/>
      <c r="T83" s="218"/>
      <c r="U83" s="213"/>
    </row>
    <row r="84" spans="1:21" s="214" customFormat="1">
      <c r="A84" s="215" t="s">
        <v>829</v>
      </c>
      <c r="B84" s="216">
        <f t="shared" si="25"/>
        <v>126000</v>
      </c>
      <c r="C84" s="217">
        <v>113795</v>
      </c>
      <c r="D84" s="217">
        <v>12205</v>
      </c>
      <c r="E84" s="217">
        <f>D84</f>
        <v>12205</v>
      </c>
      <c r="F84" s="217"/>
      <c r="G84" s="217"/>
      <c r="H84" s="217">
        <f t="shared" ref="H84:H86" si="27">C84</f>
        <v>113795</v>
      </c>
      <c r="I84" s="217"/>
      <c r="J84" s="217"/>
      <c r="K84" s="217"/>
      <c r="L84" s="217"/>
      <c r="M84" s="217"/>
      <c r="N84" s="217"/>
      <c r="O84" s="217"/>
      <c r="P84" s="217"/>
      <c r="Q84" s="217"/>
      <c r="R84" s="881">
        <f t="shared" si="26"/>
        <v>126000</v>
      </c>
      <c r="S84" s="217">
        <f>C84</f>
        <v>113795</v>
      </c>
      <c r="T84" s="217"/>
      <c r="U84" s="213"/>
    </row>
    <row r="85" spans="1:21" s="214" customFormat="1">
      <c r="A85" s="215" t="s">
        <v>830</v>
      </c>
      <c r="B85" s="216">
        <f t="shared" si="25"/>
        <v>1137881</v>
      </c>
      <c r="C85" s="217">
        <v>1027656</v>
      </c>
      <c r="D85" s="217">
        <v>110225</v>
      </c>
      <c r="E85" s="217">
        <f t="shared" ref="E85:E86" si="28">D85</f>
        <v>110225</v>
      </c>
      <c r="F85" s="217"/>
      <c r="G85" s="217"/>
      <c r="H85" s="217">
        <f t="shared" si="27"/>
        <v>1027656</v>
      </c>
      <c r="I85" s="217"/>
      <c r="J85" s="217"/>
      <c r="K85" s="217"/>
      <c r="L85" s="217"/>
      <c r="M85" s="217"/>
      <c r="N85" s="217"/>
      <c r="O85" s="217"/>
      <c r="P85" s="217"/>
      <c r="Q85" s="217"/>
      <c r="R85" s="881">
        <f t="shared" si="26"/>
        <v>1137881</v>
      </c>
      <c r="S85" s="217">
        <f t="shared" ref="S85:S86" si="29">C85</f>
        <v>1027656</v>
      </c>
      <c r="T85" s="217"/>
      <c r="U85" s="213"/>
    </row>
    <row r="86" spans="1:21" s="214" customFormat="1">
      <c r="A86" s="215" t="s">
        <v>831</v>
      </c>
      <c r="B86" s="216">
        <f t="shared" si="25"/>
        <v>900000</v>
      </c>
      <c r="C86" s="217">
        <v>812818</v>
      </c>
      <c r="D86" s="217">
        <v>87182</v>
      </c>
      <c r="E86" s="217">
        <f t="shared" si="28"/>
        <v>87182</v>
      </c>
      <c r="F86" s="217"/>
      <c r="G86" s="217"/>
      <c r="H86" s="217">
        <f t="shared" si="27"/>
        <v>812818</v>
      </c>
      <c r="I86" s="217"/>
      <c r="J86" s="217"/>
      <c r="K86" s="217"/>
      <c r="L86" s="217"/>
      <c r="M86" s="217"/>
      <c r="N86" s="217"/>
      <c r="O86" s="217"/>
      <c r="P86" s="217"/>
      <c r="Q86" s="217"/>
      <c r="R86" s="881">
        <f t="shared" si="26"/>
        <v>900000</v>
      </c>
      <c r="S86" s="217">
        <f t="shared" si="29"/>
        <v>812818</v>
      </c>
      <c r="T86" s="217"/>
      <c r="U86" s="213"/>
    </row>
    <row r="87" spans="1:21" s="214" customFormat="1">
      <c r="A87" s="215" t="s">
        <v>832</v>
      </c>
      <c r="B87" s="216">
        <f t="shared" si="25"/>
        <v>0</v>
      </c>
      <c r="C87" s="217"/>
      <c r="D87" s="217"/>
      <c r="E87" s="217"/>
      <c r="F87" s="217"/>
      <c r="G87" s="217"/>
      <c r="H87" s="217"/>
      <c r="I87" s="217"/>
      <c r="J87" s="217"/>
      <c r="K87" s="217"/>
      <c r="L87" s="217"/>
      <c r="M87" s="217"/>
      <c r="N87" s="217"/>
      <c r="O87" s="217"/>
      <c r="P87" s="217"/>
      <c r="Q87" s="217"/>
      <c r="R87" s="881">
        <f t="shared" si="26"/>
        <v>0</v>
      </c>
      <c r="S87" s="217"/>
      <c r="T87" s="217"/>
      <c r="U87" s="213"/>
    </row>
    <row r="88" spans="1:21" s="214" customFormat="1">
      <c r="A88" s="215" t="s">
        <v>833</v>
      </c>
      <c r="B88" s="216">
        <f t="shared" si="25"/>
        <v>150000</v>
      </c>
      <c r="C88" s="217">
        <v>150000</v>
      </c>
      <c r="D88" s="217"/>
      <c r="E88" s="217">
        <f>C88</f>
        <v>150000</v>
      </c>
      <c r="F88" s="217"/>
      <c r="G88" s="217"/>
      <c r="H88" s="217"/>
      <c r="I88" s="217"/>
      <c r="J88" s="217"/>
      <c r="K88" s="217"/>
      <c r="L88" s="217"/>
      <c r="M88" s="217"/>
      <c r="N88" s="217"/>
      <c r="O88" s="217"/>
      <c r="P88" s="217"/>
      <c r="Q88" s="217"/>
      <c r="R88" s="881">
        <f t="shared" si="26"/>
        <v>150000</v>
      </c>
      <c r="S88" s="218"/>
      <c r="T88" s="218"/>
      <c r="U88" s="213"/>
    </row>
    <row r="89" spans="1:21" s="214" customFormat="1">
      <c r="A89" s="215" t="s">
        <v>834</v>
      </c>
      <c r="B89" s="216">
        <f t="shared" si="25"/>
        <v>200000</v>
      </c>
      <c r="C89" s="217">
        <v>200000</v>
      </c>
      <c r="D89" s="217"/>
      <c r="E89" s="217">
        <f t="shared" ref="E89:E90" si="30">C89</f>
        <v>200000</v>
      </c>
      <c r="F89" s="217"/>
      <c r="G89" s="217"/>
      <c r="H89" s="217"/>
      <c r="I89" s="217"/>
      <c r="J89" s="217"/>
      <c r="K89" s="217"/>
      <c r="L89" s="217"/>
      <c r="M89" s="217"/>
      <c r="N89" s="217"/>
      <c r="O89" s="217"/>
      <c r="P89" s="217"/>
      <c r="Q89" s="217"/>
      <c r="R89" s="881">
        <f t="shared" si="26"/>
        <v>200000</v>
      </c>
      <c r="S89" s="217">
        <f>C89</f>
        <v>200000</v>
      </c>
      <c r="T89" s="217"/>
      <c r="U89" s="213"/>
    </row>
    <row r="90" spans="1:21" s="214" customFormat="1">
      <c r="A90" s="215" t="s">
        <v>835</v>
      </c>
      <c r="B90" s="216">
        <f t="shared" si="25"/>
        <v>8000</v>
      </c>
      <c r="C90" s="217">
        <v>8000</v>
      </c>
      <c r="D90" s="217"/>
      <c r="E90" s="217">
        <f t="shared" si="30"/>
        <v>8000</v>
      </c>
      <c r="F90" s="217"/>
      <c r="G90" s="217"/>
      <c r="H90" s="217"/>
      <c r="I90" s="217"/>
      <c r="J90" s="217"/>
      <c r="K90" s="217"/>
      <c r="L90" s="217"/>
      <c r="M90" s="217"/>
      <c r="N90" s="217"/>
      <c r="O90" s="217"/>
      <c r="P90" s="217"/>
      <c r="Q90" s="217"/>
      <c r="R90" s="881">
        <f t="shared" si="26"/>
        <v>8000</v>
      </c>
      <c r="S90" s="217"/>
      <c r="T90" s="217"/>
      <c r="U90" s="213"/>
    </row>
    <row r="91" spans="1:21" s="214" customFormat="1">
      <c r="A91" s="1828" t="s">
        <v>392</v>
      </c>
      <c r="B91" s="216">
        <f t="shared" si="25"/>
        <v>0</v>
      </c>
      <c r="C91" s="217"/>
      <c r="D91" s="217"/>
      <c r="E91" s="217"/>
      <c r="F91" s="217"/>
      <c r="G91" s="217"/>
      <c r="H91" s="217"/>
      <c r="I91" s="217"/>
      <c r="J91" s="217"/>
      <c r="K91" s="217"/>
      <c r="L91" s="217"/>
      <c r="M91" s="217"/>
      <c r="N91" s="217"/>
      <c r="O91" s="217"/>
      <c r="P91" s="217"/>
      <c r="Q91" s="217"/>
      <c r="R91" s="881">
        <f t="shared" si="26"/>
        <v>0</v>
      </c>
      <c r="S91" s="217"/>
      <c r="T91" s="217"/>
      <c r="U91" s="213"/>
    </row>
    <row r="92" spans="1:21" s="214" customFormat="1">
      <c r="A92" s="1827" t="s">
        <v>1428</v>
      </c>
      <c r="B92" s="216">
        <f t="shared" si="25"/>
        <v>10000</v>
      </c>
      <c r="C92" s="217">
        <v>9031</v>
      </c>
      <c r="D92" s="217">
        <v>969</v>
      </c>
      <c r="E92" s="217">
        <f>D92</f>
        <v>969</v>
      </c>
      <c r="F92" s="217"/>
      <c r="G92" s="217"/>
      <c r="H92" s="217">
        <f>C92</f>
        <v>9031</v>
      </c>
      <c r="I92" s="217"/>
      <c r="J92" s="217"/>
      <c r="K92" s="217"/>
      <c r="L92" s="217"/>
      <c r="M92" s="217"/>
      <c r="N92" s="217"/>
      <c r="O92" s="217"/>
      <c r="P92" s="217"/>
      <c r="Q92" s="217"/>
      <c r="R92" s="881">
        <f t="shared" si="26"/>
        <v>10000</v>
      </c>
      <c r="S92" s="217">
        <f>C92</f>
        <v>9031</v>
      </c>
      <c r="T92" s="217"/>
      <c r="U92" s="213"/>
    </row>
    <row r="93" spans="1:21" s="214" customFormat="1">
      <c r="A93" s="222" t="s">
        <v>35</v>
      </c>
      <c r="B93" s="216">
        <f t="shared" si="25"/>
        <v>0</v>
      </c>
      <c r="C93" s="217"/>
      <c r="D93" s="217"/>
      <c r="E93" s="217"/>
      <c r="F93" s="217"/>
      <c r="G93" s="217"/>
      <c r="H93" s="217"/>
      <c r="I93" s="217"/>
      <c r="J93" s="217"/>
      <c r="K93" s="217"/>
      <c r="L93" s="217"/>
      <c r="M93" s="217"/>
      <c r="N93" s="217"/>
      <c r="O93" s="217"/>
      <c r="P93" s="217"/>
      <c r="Q93" s="217"/>
      <c r="R93" s="881">
        <f t="shared" si="26"/>
        <v>0</v>
      </c>
      <c r="S93" s="217"/>
      <c r="T93" s="217"/>
      <c r="U93" s="213"/>
    </row>
    <row r="94" spans="1:21" s="214" customFormat="1">
      <c r="A94" s="222" t="s">
        <v>35</v>
      </c>
      <c r="B94" s="216">
        <f t="shared" si="25"/>
        <v>0</v>
      </c>
      <c r="C94" s="217"/>
      <c r="D94" s="217"/>
      <c r="E94" s="217"/>
      <c r="F94" s="217"/>
      <c r="G94" s="217"/>
      <c r="H94" s="217"/>
      <c r="I94" s="217"/>
      <c r="J94" s="217"/>
      <c r="K94" s="217"/>
      <c r="L94" s="217"/>
      <c r="M94" s="217"/>
      <c r="N94" s="217"/>
      <c r="O94" s="217"/>
      <c r="P94" s="217"/>
      <c r="Q94" s="217"/>
      <c r="R94" s="881">
        <f t="shared" si="26"/>
        <v>0</v>
      </c>
      <c r="S94" s="217"/>
      <c r="T94" s="217"/>
      <c r="U94" s="213"/>
    </row>
    <row r="95" spans="1:21" s="214" customFormat="1">
      <c r="A95" s="222" t="s">
        <v>35</v>
      </c>
      <c r="B95" s="216">
        <f t="shared" si="25"/>
        <v>0</v>
      </c>
      <c r="C95" s="217"/>
      <c r="D95" s="217"/>
      <c r="E95" s="217"/>
      <c r="F95" s="217"/>
      <c r="G95" s="217"/>
      <c r="H95" s="217"/>
      <c r="I95" s="217"/>
      <c r="J95" s="217"/>
      <c r="K95" s="217"/>
      <c r="L95" s="217"/>
      <c r="M95" s="217"/>
      <c r="N95" s="217"/>
      <c r="O95" s="217"/>
      <c r="P95" s="217"/>
      <c r="Q95" s="217"/>
      <c r="R95" s="881">
        <f t="shared" si="26"/>
        <v>0</v>
      </c>
      <c r="S95" s="217"/>
      <c r="T95" s="217"/>
      <c r="U95" s="213"/>
    </row>
    <row r="96" spans="1:21" s="214" customFormat="1">
      <c r="A96" s="219" t="s">
        <v>836</v>
      </c>
      <c r="B96" s="216">
        <f>SUM(C96:D96)</f>
        <v>2598354</v>
      </c>
      <c r="C96" s="216">
        <f t="shared" ref="C96:R96" si="31">SUM(C83:C95)</f>
        <v>2387773</v>
      </c>
      <c r="D96" s="216">
        <f t="shared" si="31"/>
        <v>210581</v>
      </c>
      <c r="E96" s="216">
        <f t="shared" si="31"/>
        <v>568581</v>
      </c>
      <c r="F96" s="216">
        <f t="shared" si="31"/>
        <v>0</v>
      </c>
      <c r="G96" s="216">
        <f t="shared" si="31"/>
        <v>0</v>
      </c>
      <c r="H96" s="216">
        <f t="shared" si="31"/>
        <v>2029773</v>
      </c>
      <c r="I96" s="216">
        <f t="shared" si="31"/>
        <v>0</v>
      </c>
      <c r="J96" s="216">
        <f t="shared" si="31"/>
        <v>0</v>
      </c>
      <c r="K96" s="216">
        <f t="shared" si="31"/>
        <v>0</v>
      </c>
      <c r="L96" s="216">
        <f t="shared" si="31"/>
        <v>0</v>
      </c>
      <c r="M96" s="216">
        <f t="shared" si="31"/>
        <v>0</v>
      </c>
      <c r="N96" s="216">
        <f t="shared" si="31"/>
        <v>0</v>
      </c>
      <c r="O96" s="216">
        <f t="shared" si="31"/>
        <v>0</v>
      </c>
      <c r="P96" s="216">
        <f t="shared" si="31"/>
        <v>0</v>
      </c>
      <c r="Q96" s="216">
        <f t="shared" si="31"/>
        <v>0</v>
      </c>
      <c r="R96" s="535">
        <f t="shared" si="31"/>
        <v>2598354</v>
      </c>
      <c r="S96" s="220">
        <f>SUM(S84:S87,S89:S95)</f>
        <v>2163300</v>
      </c>
      <c r="T96" s="216">
        <f>SUM(T84:T87,T89:T95)</f>
        <v>0</v>
      </c>
      <c r="U96" s="213"/>
    </row>
    <row r="97" spans="1:21" s="214" customFormat="1">
      <c r="A97" s="219" t="s">
        <v>837</v>
      </c>
      <c r="B97" s="216">
        <f>SUM(C97:D97)</f>
        <v>69101154</v>
      </c>
      <c r="C97" s="216">
        <f t="shared" ref="C97:R97" si="32">SUM(C63+C70+C77+C81+C96)</f>
        <v>62706241</v>
      </c>
      <c r="D97" s="216">
        <f t="shared" si="32"/>
        <v>6394913</v>
      </c>
      <c r="E97" s="216">
        <f t="shared" si="32"/>
        <v>29376332</v>
      </c>
      <c r="F97" s="216">
        <f t="shared" si="32"/>
        <v>7915000</v>
      </c>
      <c r="G97" s="216">
        <f t="shared" si="32"/>
        <v>11295000</v>
      </c>
      <c r="H97" s="216">
        <f t="shared" si="32"/>
        <v>10400000</v>
      </c>
      <c r="I97" s="216">
        <f t="shared" si="32"/>
        <v>491190</v>
      </c>
      <c r="J97" s="216">
        <f t="shared" si="32"/>
        <v>1000000</v>
      </c>
      <c r="K97" s="216">
        <f t="shared" si="32"/>
        <v>8623532</v>
      </c>
      <c r="L97" s="216">
        <f t="shared" si="32"/>
        <v>0</v>
      </c>
      <c r="M97" s="216">
        <f t="shared" si="32"/>
        <v>0</v>
      </c>
      <c r="N97" s="216">
        <f t="shared" si="32"/>
        <v>100</v>
      </c>
      <c r="O97" s="216">
        <f t="shared" si="32"/>
        <v>0</v>
      </c>
      <c r="P97" s="216">
        <f t="shared" si="32"/>
        <v>0</v>
      </c>
      <c r="Q97" s="216">
        <f t="shared" si="32"/>
        <v>0</v>
      </c>
      <c r="R97" s="216">
        <f t="shared" si="32"/>
        <v>69101154</v>
      </c>
      <c r="S97" s="216">
        <f>SUM(S63+S70+S81+S96)</f>
        <v>58845887</v>
      </c>
      <c r="T97" s="216">
        <f>SUM(T63+T70+T81+T96)</f>
        <v>0</v>
      </c>
      <c r="U97" s="213"/>
    </row>
    <row r="98" spans="1:21" s="214" customFormat="1" ht="12">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4413441</v>
      </c>
      <c r="C99" s="1706">
        <v>3985916</v>
      </c>
      <c r="D99" s="1706">
        <v>427525</v>
      </c>
      <c r="E99" s="1706">
        <f>C99+D99-M99</f>
        <v>2500000</v>
      </c>
      <c r="F99" s="217"/>
      <c r="G99" s="217"/>
      <c r="H99" s="217"/>
      <c r="I99" s="217"/>
      <c r="J99" s="217"/>
      <c r="K99" s="217"/>
      <c r="L99" s="217"/>
      <c r="M99" s="217">
        <v>1913441</v>
      </c>
      <c r="N99" s="217"/>
      <c r="O99" s="217"/>
      <c r="P99" s="217"/>
      <c r="Q99" s="217"/>
      <c r="R99" s="881">
        <f>SUM(E99:Q99)</f>
        <v>4413441</v>
      </c>
      <c r="S99" s="217">
        <f>C99</f>
        <v>3985916</v>
      </c>
      <c r="T99" s="217"/>
      <c r="U99" s="213"/>
    </row>
    <row r="100" spans="1:21" s="214" customFormat="1">
      <c r="A100" s="441" t="s">
        <v>2014</v>
      </c>
      <c r="B100" s="216">
        <f>SUM(C100+D100)</f>
        <v>0</v>
      </c>
      <c r="C100" s="217"/>
      <c r="D100" s="217"/>
      <c r="E100" s="217"/>
      <c r="F100" s="217"/>
      <c r="G100" s="217"/>
      <c r="H100" s="217"/>
      <c r="I100" s="217"/>
      <c r="J100" s="217"/>
      <c r="K100" s="217"/>
      <c r="L100" s="217"/>
      <c r="M100" s="217"/>
      <c r="N100" s="217"/>
      <c r="O100" s="217"/>
      <c r="P100" s="217"/>
      <c r="Q100" s="217"/>
      <c r="R100" s="881">
        <f>SUM(E100:Q100)</f>
        <v>0</v>
      </c>
      <c r="S100" s="217"/>
      <c r="T100" s="217"/>
      <c r="U100" s="213"/>
    </row>
    <row r="101" spans="1:21" s="214" customFormat="1" ht="12" customHeight="1">
      <c r="A101" s="215" t="s">
        <v>840</v>
      </c>
      <c r="B101" s="216">
        <f>SUM(C101+D101)</f>
        <v>0</v>
      </c>
      <c r="C101" s="217"/>
      <c r="D101" s="217"/>
      <c r="E101" s="217"/>
      <c r="F101" s="217"/>
      <c r="G101" s="217"/>
      <c r="H101" s="217"/>
      <c r="I101" s="217"/>
      <c r="J101" s="217"/>
      <c r="K101" s="217"/>
      <c r="L101" s="217"/>
      <c r="M101" s="217"/>
      <c r="N101" s="217"/>
      <c r="O101" s="217"/>
      <c r="P101" s="217"/>
      <c r="Q101" s="217"/>
      <c r="R101" s="881">
        <f>SUM(E101:Q101)</f>
        <v>0</v>
      </c>
      <c r="S101" s="217"/>
      <c r="T101" s="217"/>
      <c r="U101" s="213"/>
    </row>
    <row r="102" spans="1:21" s="214" customFormat="1">
      <c r="A102" s="441" t="s">
        <v>2015</v>
      </c>
      <c r="B102" s="216">
        <f>SUM(C102+D102)</f>
        <v>0</v>
      </c>
      <c r="C102" s="217"/>
      <c r="D102" s="217"/>
      <c r="E102" s="217"/>
      <c r="F102" s="217"/>
      <c r="G102" s="217"/>
      <c r="H102" s="217"/>
      <c r="I102" s="217"/>
      <c r="J102" s="217"/>
      <c r="K102" s="217"/>
      <c r="L102" s="217"/>
      <c r="M102" s="217"/>
      <c r="N102" s="217"/>
      <c r="O102" s="217"/>
      <c r="P102" s="217"/>
      <c r="Q102" s="217"/>
      <c r="R102" s="881">
        <f>SUM(E102:Q102)</f>
        <v>0</v>
      </c>
      <c r="S102" s="217"/>
      <c r="T102" s="217"/>
      <c r="U102" s="213"/>
    </row>
    <row r="103" spans="1:21" s="214" customFormat="1">
      <c r="A103" s="222" t="s">
        <v>35</v>
      </c>
      <c r="B103" s="216">
        <f>SUM(C103+D103)</f>
        <v>0</v>
      </c>
      <c r="C103" s="217"/>
      <c r="D103" s="217"/>
      <c r="E103" s="217"/>
      <c r="F103" s="217"/>
      <c r="G103" s="217"/>
      <c r="H103" s="217"/>
      <c r="I103" s="217"/>
      <c r="J103" s="217"/>
      <c r="K103" s="217"/>
      <c r="L103" s="217"/>
      <c r="M103" s="217"/>
      <c r="N103" s="217"/>
      <c r="O103" s="217"/>
      <c r="P103" s="217"/>
      <c r="Q103" s="217"/>
      <c r="R103" s="881">
        <f>SUM(E103:Q103)</f>
        <v>0</v>
      </c>
      <c r="S103" s="217"/>
      <c r="T103" s="217"/>
      <c r="U103" s="213"/>
    </row>
    <row r="104" spans="1:21" s="214" customFormat="1">
      <c r="A104" s="219" t="s">
        <v>841</v>
      </c>
      <c r="B104" s="216">
        <f>SUM(C104:D104)</f>
        <v>4413441</v>
      </c>
      <c r="C104" s="216">
        <f>SUM(C99:C103)</f>
        <v>3985916</v>
      </c>
      <c r="D104" s="216">
        <f t="shared" ref="D104:T104" si="33">SUM(D99:D103)</f>
        <v>427525</v>
      </c>
      <c r="E104" s="216">
        <f t="shared" si="33"/>
        <v>2500000</v>
      </c>
      <c r="F104" s="216">
        <f t="shared" si="33"/>
        <v>0</v>
      </c>
      <c r="G104" s="216">
        <f t="shared" si="33"/>
        <v>0</v>
      </c>
      <c r="H104" s="216">
        <f t="shared" si="33"/>
        <v>0</v>
      </c>
      <c r="I104" s="216">
        <f t="shared" si="33"/>
        <v>0</v>
      </c>
      <c r="J104" s="216">
        <f t="shared" si="33"/>
        <v>0</v>
      </c>
      <c r="K104" s="216">
        <f t="shared" si="33"/>
        <v>0</v>
      </c>
      <c r="L104" s="216">
        <f t="shared" si="33"/>
        <v>0</v>
      </c>
      <c r="M104" s="216">
        <f t="shared" si="33"/>
        <v>1913441</v>
      </c>
      <c r="N104" s="216">
        <f t="shared" si="33"/>
        <v>0</v>
      </c>
      <c r="O104" s="216">
        <f t="shared" si="33"/>
        <v>0</v>
      </c>
      <c r="P104" s="216">
        <f t="shared" si="33"/>
        <v>0</v>
      </c>
      <c r="Q104" s="216">
        <f t="shared" si="33"/>
        <v>0</v>
      </c>
      <c r="R104" s="535">
        <f t="shared" si="33"/>
        <v>4413441</v>
      </c>
      <c r="S104" s="220">
        <f t="shared" si="33"/>
        <v>3985916</v>
      </c>
      <c r="T104" s="220">
        <f t="shared" si="33"/>
        <v>0</v>
      </c>
      <c r="U104" s="213"/>
    </row>
    <row r="105" spans="1:21" s="214" customFormat="1">
      <c r="A105" s="219" t="s">
        <v>842</v>
      </c>
      <c r="B105" s="220">
        <f>SUM(C105:D105)</f>
        <v>73514595</v>
      </c>
      <c r="C105" s="220">
        <f t="shared" ref="C105:R105" si="34">SUM(C97+C104)</f>
        <v>66692157</v>
      </c>
      <c r="D105" s="220">
        <f t="shared" si="34"/>
        <v>6822438</v>
      </c>
      <c r="E105" s="220">
        <f t="shared" si="34"/>
        <v>31876332</v>
      </c>
      <c r="F105" s="220">
        <f t="shared" si="34"/>
        <v>7915000</v>
      </c>
      <c r="G105" s="220">
        <f t="shared" si="34"/>
        <v>11295000</v>
      </c>
      <c r="H105" s="220">
        <f t="shared" si="34"/>
        <v>10400000</v>
      </c>
      <c r="I105" s="220">
        <f t="shared" si="34"/>
        <v>491190</v>
      </c>
      <c r="J105" s="220">
        <f t="shared" si="34"/>
        <v>1000000</v>
      </c>
      <c r="K105" s="220">
        <f t="shared" si="34"/>
        <v>8623532</v>
      </c>
      <c r="L105" s="220">
        <f t="shared" si="34"/>
        <v>0</v>
      </c>
      <c r="M105" s="220">
        <f t="shared" si="34"/>
        <v>1913441</v>
      </c>
      <c r="N105" s="220">
        <f t="shared" si="34"/>
        <v>100</v>
      </c>
      <c r="O105" s="220">
        <f t="shared" si="34"/>
        <v>0</v>
      </c>
      <c r="P105" s="220">
        <f t="shared" si="34"/>
        <v>0</v>
      </c>
      <c r="Q105" s="220">
        <f t="shared" si="34"/>
        <v>0</v>
      </c>
      <c r="R105" s="535">
        <f t="shared" si="34"/>
        <v>73514595</v>
      </c>
      <c r="S105" s="220">
        <f>S97+S104</f>
        <v>62831803</v>
      </c>
      <c r="T105" s="220">
        <f>T97+T104</f>
        <v>0</v>
      </c>
      <c r="U105" s="213"/>
    </row>
    <row r="106" spans="1:21">
      <c r="A106" s="868" t="s">
        <v>1136</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62831803</v>
      </c>
      <c r="T107" s="234">
        <f>T105+T106</f>
        <v>0</v>
      </c>
    </row>
    <row r="108" spans="1:21" s="301" customFormat="1">
      <c r="A108" s="233" t="s">
        <v>948</v>
      </c>
      <c r="B108" s="228"/>
      <c r="C108" s="228"/>
      <c r="D108" s="228"/>
      <c r="E108" s="465">
        <f>Application!AO650</f>
        <v>31876332</v>
      </c>
      <c r="F108" s="465">
        <f>Application!AO637</f>
        <v>7915000</v>
      </c>
      <c r="G108" s="465">
        <f>Application!AO638</f>
        <v>11295000</v>
      </c>
      <c r="H108" s="465">
        <f>Application!AO639</f>
        <v>10400000</v>
      </c>
      <c r="I108" s="465">
        <f>Application!AO640</f>
        <v>491190</v>
      </c>
      <c r="J108" s="465">
        <f>Application!AO641</f>
        <v>1000000</v>
      </c>
      <c r="K108" s="465">
        <f>Application!AO642</f>
        <v>8623532</v>
      </c>
      <c r="L108" s="465">
        <f>Application!AO643</f>
        <v>0</v>
      </c>
      <c r="M108" s="465">
        <f>Application!AO644</f>
        <v>1913441</v>
      </c>
      <c r="N108" s="465">
        <f>Application!AO645</f>
        <v>100</v>
      </c>
      <c r="O108" s="465">
        <f>Application!AO646</f>
        <v>0</v>
      </c>
      <c r="P108" s="465">
        <f>Application!AO647</f>
        <v>0</v>
      </c>
      <c r="Q108" s="465">
        <f>Application!AO648</f>
        <v>0</v>
      </c>
      <c r="R108" s="229"/>
      <c r="S108" s="229"/>
      <c r="T108" s="229"/>
      <c r="U108" s="300"/>
    </row>
    <row r="109" spans="1:21" ht="10.2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6"/>
      <c r="B112" s="228"/>
      <c r="C112" s="228"/>
      <c r="D112" s="228"/>
    </row>
    <row r="113" spans="1:21">
      <c r="A113" s="227" t="s">
        <v>1130</v>
      </c>
      <c r="B113" s="228"/>
      <c r="C113" s="228"/>
      <c r="D113" s="228"/>
    </row>
    <row r="114" spans="1:21">
      <c r="A114" s="227" t="s">
        <v>1131</v>
      </c>
      <c r="B114" s="228"/>
      <c r="C114" s="228"/>
      <c r="D114" s="228"/>
    </row>
    <row r="115" spans="1:21" ht="12" customHeight="1">
      <c r="A115" s="486"/>
      <c r="B115" s="228"/>
      <c r="C115" s="228"/>
      <c r="D115" s="228"/>
    </row>
    <row r="116" spans="1:21">
      <c r="A116" s="538" t="s">
        <v>1138</v>
      </c>
      <c r="B116" s="228"/>
      <c r="C116" s="228"/>
      <c r="D116" s="228"/>
    </row>
    <row r="117" spans="1:21">
      <c r="A117" s="538" t="s">
        <v>1445</v>
      </c>
      <c r="B117" s="228"/>
      <c r="C117" s="228"/>
      <c r="D117" s="228"/>
    </row>
    <row r="118" spans="1:21">
      <c r="A118" s="538" t="s">
        <v>1137</v>
      </c>
      <c r="B118" s="228"/>
      <c r="C118" s="228"/>
      <c r="D118" s="228"/>
    </row>
    <row r="119" spans="1:21">
      <c r="A119" s="538" t="s">
        <v>1139</v>
      </c>
      <c r="B119" s="228"/>
      <c r="C119" s="228"/>
      <c r="D119" s="228"/>
    </row>
    <row r="120" spans="1:21" ht="12" customHeight="1">
      <c r="A120" s="537"/>
      <c r="B120" s="228"/>
      <c r="C120" s="228"/>
      <c r="D120" s="228"/>
    </row>
    <row r="121" spans="1:21" ht="15.5">
      <c r="A121" s="531" t="s">
        <v>1114</v>
      </c>
      <c r="B121" s="228"/>
      <c r="C121" s="228"/>
      <c r="D121" s="228"/>
    </row>
    <row r="122" spans="1:21">
      <c r="A122" s="516" t="s">
        <v>1098</v>
      </c>
      <c r="B122" s="515"/>
      <c r="C122" s="515"/>
      <c r="D122" s="2609" t="s">
        <v>1099</v>
      </c>
      <c r="E122" s="2609"/>
      <c r="F122" s="2609"/>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99" t="s">
        <v>1446</v>
      </c>
      <c r="E123" s="2600"/>
      <c r="F123" s="2600"/>
      <c r="G123" s="2600"/>
      <c r="H123" s="2600"/>
      <c r="I123" s="2600"/>
      <c r="J123" s="2600"/>
      <c r="K123" s="2600"/>
      <c r="L123" s="2600"/>
      <c r="M123" s="2600"/>
      <c r="N123" s="2600"/>
      <c r="O123" s="2600"/>
      <c r="P123" s="2600"/>
      <c r="Q123" s="2600"/>
      <c r="R123" s="2600"/>
      <c r="S123" s="2600"/>
      <c r="T123" s="515"/>
      <c r="U123" s="517"/>
    </row>
    <row r="124" spans="1:21" ht="12.5">
      <c r="A124" s="514" t="s">
        <v>1101</v>
      </c>
      <c r="B124" s="524"/>
      <c r="C124" s="514"/>
      <c r="D124" s="2600"/>
      <c r="E124" s="2600"/>
      <c r="F124" s="2600"/>
      <c r="G124" s="2600"/>
      <c r="H124" s="2600"/>
      <c r="I124" s="2600"/>
      <c r="J124" s="2600"/>
      <c r="K124" s="2600"/>
      <c r="L124" s="2600"/>
      <c r="M124" s="2600"/>
      <c r="N124" s="2600"/>
      <c r="O124" s="2600"/>
      <c r="P124" s="2600"/>
      <c r="Q124" s="2600"/>
      <c r="R124" s="2600"/>
      <c r="S124" s="2600"/>
      <c r="T124" s="515"/>
      <c r="U124" s="517"/>
    </row>
    <row r="125" spans="1:21" ht="12.5">
      <c r="A125" s="514" t="s">
        <v>1102</v>
      </c>
      <c r="B125" s="524"/>
      <c r="C125" s="514"/>
      <c r="D125" s="2600"/>
      <c r="E125" s="2600"/>
      <c r="F125" s="2600"/>
      <c r="G125" s="2600"/>
      <c r="H125" s="2600"/>
      <c r="I125" s="2600"/>
      <c r="J125" s="2600"/>
      <c r="K125" s="2600"/>
      <c r="L125" s="2600"/>
      <c r="M125" s="2600"/>
      <c r="N125" s="2600"/>
      <c r="O125" s="2600"/>
      <c r="P125" s="2600"/>
      <c r="Q125" s="2600"/>
      <c r="R125" s="2600"/>
      <c r="S125" s="2600"/>
      <c r="T125" s="515"/>
      <c r="U125" s="517"/>
    </row>
    <row r="126" spans="1:21" ht="12.5">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5">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5">
      <c r="A128" s="514" t="s">
        <v>1105</v>
      </c>
      <c r="B128" s="524"/>
      <c r="C128" s="514"/>
      <c r="D128" s="2607"/>
      <c r="E128" s="2607"/>
      <c r="F128" s="2607"/>
      <c r="G128" s="2607"/>
      <c r="H128" s="2607"/>
      <c r="I128" s="514"/>
      <c r="J128" s="2598"/>
      <c r="K128" s="2598"/>
      <c r="L128" s="514"/>
      <c r="M128" s="514"/>
      <c r="N128" s="514"/>
      <c r="O128" s="514"/>
      <c r="P128" s="514"/>
      <c r="Q128" s="514"/>
      <c r="R128" s="514"/>
      <c r="S128" s="514"/>
      <c r="T128" s="515"/>
      <c r="U128" s="517"/>
    </row>
    <row r="129" spans="1:21" ht="12.5">
      <c r="A129" s="514" t="s">
        <v>310</v>
      </c>
      <c r="B129" s="524"/>
      <c r="C129" s="514"/>
      <c r="D129" s="2608" t="s">
        <v>1106</v>
      </c>
      <c r="E129" s="2608"/>
      <c r="F129" s="2608"/>
      <c r="G129" s="2608"/>
      <c r="H129" s="2608"/>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3">
      <c r="A131" s="527" t="s">
        <v>1108</v>
      </c>
      <c r="B131" s="525">
        <f>SUM(B123:B129)</f>
        <v>0</v>
      </c>
      <c r="C131" s="514"/>
      <c r="D131" s="2089"/>
      <c r="E131" s="2089"/>
      <c r="F131" s="2089"/>
      <c r="G131" s="2089"/>
      <c r="H131" s="2089"/>
      <c r="I131" s="514"/>
      <c r="J131" s="2089"/>
      <c r="K131" s="2089"/>
      <c r="L131" s="2089"/>
      <c r="M131" s="2089"/>
      <c r="N131" s="514"/>
      <c r="O131" s="514"/>
      <c r="P131" s="514"/>
      <c r="Q131" s="514"/>
      <c r="R131" s="514"/>
      <c r="S131" s="514"/>
      <c r="T131" s="515"/>
      <c r="U131" s="517"/>
    </row>
    <row r="132" spans="1:21" ht="12" customHeight="1">
      <c r="A132" s="528"/>
      <c r="B132" s="514"/>
      <c r="C132" s="514"/>
      <c r="D132" s="2601" t="s">
        <v>1109</v>
      </c>
      <c r="E132" s="2601"/>
      <c r="F132" s="2601"/>
      <c r="G132" s="2601"/>
      <c r="H132" s="2601"/>
      <c r="I132" s="514"/>
      <c r="J132" s="2601" t="s">
        <v>1110</v>
      </c>
      <c r="K132" s="2601"/>
      <c r="L132" s="2601"/>
      <c r="M132" s="2601"/>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5">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3">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602"/>
      <c r="B138" s="2603"/>
      <c r="C138" s="2603"/>
      <c r="D138" s="519"/>
      <c r="E138" s="2598"/>
      <c r="F138" s="2598"/>
      <c r="G138" s="514"/>
      <c r="H138" s="514"/>
      <c r="I138" s="514"/>
      <c r="J138" s="514"/>
      <c r="K138" s="514"/>
      <c r="L138" s="514"/>
      <c r="M138" s="514"/>
      <c r="N138" s="514"/>
      <c r="O138" s="514"/>
      <c r="P138" s="514"/>
      <c r="Q138" s="514"/>
      <c r="R138" s="514"/>
      <c r="S138" s="514"/>
      <c r="T138" s="521"/>
      <c r="U138" s="522"/>
    </row>
    <row r="139" spans="1:21" ht="13">
      <c r="A139" s="2596" t="s">
        <v>1113</v>
      </c>
      <c r="B139" s="2597"/>
      <c r="C139" s="2597"/>
      <c r="D139" s="519"/>
      <c r="E139" s="514" t="s">
        <v>1107</v>
      </c>
      <c r="F139" s="514"/>
      <c r="G139" s="514"/>
      <c r="H139" s="514"/>
      <c r="I139" s="514"/>
      <c r="J139" s="514"/>
      <c r="K139" s="514"/>
      <c r="L139" s="514"/>
      <c r="M139" s="514"/>
      <c r="N139" s="514"/>
      <c r="O139" s="514"/>
      <c r="P139" s="514"/>
      <c r="Q139" s="514"/>
      <c r="R139" s="514"/>
      <c r="S139" s="514"/>
      <c r="T139" s="521"/>
      <c r="U139" s="522"/>
    </row>
    <row r="140" spans="1:21" ht="13">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86" priority="246" stopIfTrue="1">
      <formula>T9&gt;C9</formula>
    </cfRule>
  </conditionalFormatting>
  <conditionalFormatting sqref="S10">
    <cfRule type="expression" dxfId="85" priority="245" stopIfTrue="1">
      <formula>(S10+T10)&gt;C10</formula>
    </cfRule>
  </conditionalFormatting>
  <conditionalFormatting sqref="R8">
    <cfRule type="cellIs" dxfId="84" priority="234" stopIfTrue="1" operator="notEqual">
      <formula>$B8</formula>
    </cfRule>
    <cfRule type="cellIs" priority="237" stopIfTrue="1" operator="notEqual">
      <formula>$B8</formula>
    </cfRule>
  </conditionalFormatting>
  <conditionalFormatting sqref="R4:R7 R56:R61 R45:R53 R83:R95 R99:R103">
    <cfRule type="cellIs" dxfId="83" priority="236" stopIfTrue="1" operator="notEqual">
      <formula>$B4</formula>
    </cfRule>
  </conditionalFormatting>
  <conditionalFormatting sqref="R9:R10">
    <cfRule type="cellIs" dxfId="82" priority="235" stopIfTrue="1" operator="notEqual">
      <formula>$B9</formula>
    </cfRule>
  </conditionalFormatting>
  <conditionalFormatting sqref="R11:R12">
    <cfRule type="cellIs" dxfId="81" priority="232" stopIfTrue="1" operator="notEqual">
      <formula>$B11</formula>
    </cfRule>
    <cfRule type="cellIs" priority="233" stopIfTrue="1" operator="notEqual">
      <formula>$B11</formula>
    </cfRule>
  </conditionalFormatting>
  <conditionalFormatting sqref="R13:R15">
    <cfRule type="cellIs" dxfId="80" priority="231" stopIfTrue="1" operator="notEqual">
      <formula>$B13</formula>
    </cfRule>
  </conditionalFormatting>
  <conditionalFormatting sqref="R26">
    <cfRule type="cellIs" dxfId="79" priority="229" stopIfTrue="1" operator="notEqual">
      <formula>$B26</formula>
    </cfRule>
    <cfRule type="cellIs" priority="230" stopIfTrue="1" operator="notEqual">
      <formula>$B26</formula>
    </cfRule>
  </conditionalFormatting>
  <conditionalFormatting sqref="R17:R25">
    <cfRule type="cellIs" dxfId="78" priority="228" stopIfTrue="1" operator="notEqual">
      <formula>$B17</formula>
    </cfRule>
  </conditionalFormatting>
  <conditionalFormatting sqref="R27">
    <cfRule type="cellIs" dxfId="77" priority="227" stopIfTrue="1" operator="notEqual">
      <formula>$B27</formula>
    </cfRule>
  </conditionalFormatting>
  <conditionalFormatting sqref="R38">
    <cfRule type="cellIs" dxfId="76" priority="225" stopIfTrue="1" operator="notEqual">
      <formula>$B38</formula>
    </cfRule>
    <cfRule type="cellIs" priority="226" stopIfTrue="1" operator="notEqual">
      <formula>$B38</formula>
    </cfRule>
  </conditionalFormatting>
  <conditionalFormatting sqref="R29:R37">
    <cfRule type="cellIs" dxfId="75" priority="224" stopIfTrue="1" operator="notEqual">
      <formula>$B29</formula>
    </cfRule>
  </conditionalFormatting>
  <conditionalFormatting sqref="R42">
    <cfRule type="cellIs" dxfId="74" priority="222" stopIfTrue="1" operator="notEqual">
      <formula>$B42</formula>
    </cfRule>
    <cfRule type="cellIs" priority="223" stopIfTrue="1" operator="notEqual">
      <formula>$B42</formula>
    </cfRule>
  </conditionalFormatting>
  <conditionalFormatting sqref="R40:R41">
    <cfRule type="cellIs" dxfId="73" priority="221" stopIfTrue="1" operator="notEqual">
      <formula>$B40</formula>
    </cfRule>
  </conditionalFormatting>
  <conditionalFormatting sqref="R43">
    <cfRule type="cellIs" dxfId="72" priority="220" stopIfTrue="1" operator="notEqual">
      <formula>$B43</formula>
    </cfRule>
  </conditionalFormatting>
  <conditionalFormatting sqref="R54">
    <cfRule type="cellIs" dxfId="71" priority="218" stopIfTrue="1" operator="notEqual">
      <formula>$B54</formula>
    </cfRule>
    <cfRule type="cellIs" priority="219" stopIfTrue="1" operator="notEqual">
      <formula>$B54</formula>
    </cfRule>
  </conditionalFormatting>
  <conditionalFormatting sqref="R62:R63">
    <cfRule type="cellIs" dxfId="70" priority="215" stopIfTrue="1" operator="notEqual">
      <formula>$B62</formula>
    </cfRule>
    <cfRule type="cellIs" priority="216" stopIfTrue="1" operator="notEqual">
      <formula>$B62</formula>
    </cfRule>
  </conditionalFormatting>
  <conditionalFormatting sqref="R70">
    <cfRule type="cellIs" dxfId="69" priority="212" stopIfTrue="1" operator="notEqual">
      <formula>$B70</formula>
    </cfRule>
    <cfRule type="cellIs" priority="213" stopIfTrue="1" operator="notEqual">
      <formula>$B70</formula>
    </cfRule>
  </conditionalFormatting>
  <conditionalFormatting sqref="R65:R69">
    <cfRule type="cellIs" dxfId="68" priority="211" stopIfTrue="1" operator="notEqual">
      <formula>$B65</formula>
    </cfRule>
  </conditionalFormatting>
  <conditionalFormatting sqref="R77">
    <cfRule type="cellIs" dxfId="67" priority="209" stopIfTrue="1" operator="notEqual">
      <formula>$B77</formula>
    </cfRule>
    <cfRule type="cellIs" priority="210" stopIfTrue="1" operator="notEqual">
      <formula>$B77</formula>
    </cfRule>
  </conditionalFormatting>
  <conditionalFormatting sqref="R96">
    <cfRule type="cellIs" dxfId="66" priority="207" stopIfTrue="1" operator="notEqual">
      <formula>$B96</formula>
    </cfRule>
    <cfRule type="cellIs" priority="208" stopIfTrue="1" operator="notEqual">
      <formula>$B96</formula>
    </cfRule>
  </conditionalFormatting>
  <conditionalFormatting sqref="R72:R76">
    <cfRule type="cellIs" dxfId="65" priority="206" stopIfTrue="1" operator="notEqual">
      <formula>$B72</formula>
    </cfRule>
  </conditionalFormatting>
  <conditionalFormatting sqref="R79:R80">
    <cfRule type="cellIs" dxfId="64" priority="205" stopIfTrue="1" operator="notEqual">
      <formula>$B79</formula>
    </cfRule>
  </conditionalFormatting>
  <conditionalFormatting sqref="R104:R105">
    <cfRule type="cellIs" dxfId="63" priority="202" stopIfTrue="1" operator="notEqual">
      <formula>$B104</formula>
    </cfRule>
    <cfRule type="cellIs" priority="203" stopIfTrue="1" operator="notEqual">
      <formula>$B104</formula>
    </cfRule>
  </conditionalFormatting>
  <conditionalFormatting sqref="E105:Q105">
    <cfRule type="cellIs" dxfId="62" priority="200" stopIfTrue="1" operator="notEqual">
      <formula>E$108</formula>
    </cfRule>
  </conditionalFormatting>
  <conditionalFormatting sqref="S13">
    <cfRule type="expression" dxfId="61" priority="197" stopIfTrue="1">
      <formula>(S13+T13)&gt;C13</formula>
    </cfRule>
  </conditionalFormatting>
  <conditionalFormatting sqref="S14">
    <cfRule type="expression" dxfId="60" priority="194" stopIfTrue="1">
      <formula>(S14+T14)&gt;C14</formula>
    </cfRule>
  </conditionalFormatting>
  <conditionalFormatting sqref="S17">
    <cfRule type="expression" dxfId="59" priority="193" stopIfTrue="1">
      <formula>(S17+T17)&gt;C17</formula>
    </cfRule>
  </conditionalFormatting>
  <conditionalFormatting sqref="S18">
    <cfRule type="expression" dxfId="58" priority="185" stopIfTrue="1">
      <formula>(S18+T18)&gt;C18</formula>
    </cfRule>
  </conditionalFormatting>
  <conditionalFormatting sqref="S19">
    <cfRule type="expression" dxfId="57" priority="183" stopIfTrue="1">
      <formula>(S19+T19)&gt;C19</formula>
    </cfRule>
  </conditionalFormatting>
  <conditionalFormatting sqref="S20">
    <cfRule type="expression" dxfId="56" priority="182" stopIfTrue="1">
      <formula>(S20+T20)&gt;C20</formula>
    </cfRule>
  </conditionalFormatting>
  <conditionalFormatting sqref="S21">
    <cfRule type="expression" dxfId="55" priority="181" stopIfTrue="1">
      <formula>(S21+T21)&gt;C21</formula>
    </cfRule>
  </conditionalFormatting>
  <conditionalFormatting sqref="S22">
    <cfRule type="expression" dxfId="54" priority="180" stopIfTrue="1">
      <formula>(S22+T22)&gt;C22</formula>
    </cfRule>
  </conditionalFormatting>
  <conditionalFormatting sqref="S23:S24">
    <cfRule type="expression" dxfId="53" priority="179" stopIfTrue="1">
      <formula>(S23+T23)&gt;C23</formula>
    </cfRule>
  </conditionalFormatting>
  <conditionalFormatting sqref="S25">
    <cfRule type="expression" dxfId="52" priority="178" stopIfTrue="1">
      <formula>(S25+T25)&gt;C25</formula>
    </cfRule>
  </conditionalFormatting>
  <conditionalFormatting sqref="S27">
    <cfRule type="expression" dxfId="51" priority="171" stopIfTrue="1">
      <formula>(S27+T27)&gt;C27</formula>
    </cfRule>
  </conditionalFormatting>
  <conditionalFormatting sqref="S29:S35">
    <cfRule type="expression" dxfId="50" priority="169" stopIfTrue="1">
      <formula>(S29+T29)&gt;C29</formula>
    </cfRule>
  </conditionalFormatting>
  <conditionalFormatting sqref="S36">
    <cfRule type="expression" dxfId="49" priority="162" stopIfTrue="1">
      <formula>(S36+T36)&gt;C36</formula>
    </cfRule>
  </conditionalFormatting>
  <conditionalFormatting sqref="S37">
    <cfRule type="expression" dxfId="48" priority="161" stopIfTrue="1">
      <formula>(S37+T37)&gt;C37</formula>
    </cfRule>
  </conditionalFormatting>
  <conditionalFormatting sqref="S40">
    <cfRule type="expression" dxfId="47" priority="153" stopIfTrue="1">
      <formula>(S40+T40)&gt;C40</formula>
    </cfRule>
  </conditionalFormatting>
  <conditionalFormatting sqref="S41">
    <cfRule type="expression" dxfId="46" priority="152" stopIfTrue="1">
      <formula>(S41+T41)&gt;C41</formula>
    </cfRule>
  </conditionalFormatting>
  <conditionalFormatting sqref="S43">
    <cfRule type="expression" dxfId="45" priority="149" stopIfTrue="1">
      <formula>(S43+T43)&gt;C43</formula>
    </cfRule>
  </conditionalFormatting>
  <conditionalFormatting sqref="S45">
    <cfRule type="expression" dxfId="44" priority="147" stopIfTrue="1">
      <formula>(S45+T45)&gt;C45</formula>
    </cfRule>
  </conditionalFormatting>
  <conditionalFormatting sqref="S46">
    <cfRule type="expression" dxfId="43" priority="142" stopIfTrue="1">
      <formula>(S46+T46)&gt;C46</formula>
    </cfRule>
  </conditionalFormatting>
  <conditionalFormatting sqref="S47">
    <cfRule type="expression" dxfId="42" priority="141" stopIfTrue="1">
      <formula>(S47+T47)&gt;C47</formula>
    </cfRule>
  </conditionalFormatting>
  <conditionalFormatting sqref="S48">
    <cfRule type="expression" dxfId="41" priority="140" stopIfTrue="1">
      <formula>(S48+T48)&gt;C48</formula>
    </cfRule>
  </conditionalFormatting>
  <conditionalFormatting sqref="S49">
    <cfRule type="expression" dxfId="40" priority="139" stopIfTrue="1">
      <formula>(S49+T49)&gt;C49</formula>
    </cfRule>
  </conditionalFormatting>
  <conditionalFormatting sqref="S50:S52">
    <cfRule type="expression" dxfId="39" priority="138" stopIfTrue="1">
      <formula>(S50+T50)&gt;C50</formula>
    </cfRule>
  </conditionalFormatting>
  <conditionalFormatting sqref="S53">
    <cfRule type="expression" dxfId="38" priority="134" stopIfTrue="1">
      <formula>(S53+T53)&gt;C53</formula>
    </cfRule>
  </conditionalFormatting>
  <conditionalFormatting sqref="S65:S68">
    <cfRule type="expression" dxfId="37" priority="124" stopIfTrue="1">
      <formula>(S65+T65)&gt;C65</formula>
    </cfRule>
  </conditionalFormatting>
  <conditionalFormatting sqref="S69">
    <cfRule type="expression" dxfId="36" priority="123" stopIfTrue="1">
      <formula>(S69+T69)&gt;C69</formula>
    </cfRule>
  </conditionalFormatting>
  <conditionalFormatting sqref="S79:S80">
    <cfRule type="expression" dxfId="35" priority="120" stopIfTrue="1">
      <formula>(S79+T79)&gt;C79</formula>
    </cfRule>
  </conditionalFormatting>
  <conditionalFormatting sqref="S84:S86">
    <cfRule type="expression" dxfId="34" priority="116" stopIfTrue="1">
      <formula>(S84+T84)&gt;C84</formula>
    </cfRule>
  </conditionalFormatting>
  <conditionalFormatting sqref="S87">
    <cfRule type="expression" dxfId="33" priority="113" stopIfTrue="1">
      <formula>(S87+T87)&gt;C87</formula>
    </cfRule>
  </conditionalFormatting>
  <conditionalFormatting sqref="S89">
    <cfRule type="expression" dxfId="32" priority="108" stopIfTrue="1">
      <formula>(S89+T89)&gt;C89</formula>
    </cfRule>
  </conditionalFormatting>
  <conditionalFormatting sqref="S90">
    <cfRule type="expression" dxfId="31" priority="107" stopIfTrue="1">
      <formula>(S90+T90)&gt;C90</formula>
    </cfRule>
  </conditionalFormatting>
  <conditionalFormatting sqref="S91">
    <cfRule type="expression" dxfId="30" priority="106" stopIfTrue="1">
      <formula>(S91+T91)&gt;C91</formula>
    </cfRule>
  </conditionalFormatting>
  <conditionalFormatting sqref="S92">
    <cfRule type="expression" dxfId="29" priority="105" stopIfTrue="1">
      <formula>(S92+T92)&gt;C92</formula>
    </cfRule>
  </conditionalFormatting>
  <conditionalFormatting sqref="S93">
    <cfRule type="expression" dxfId="28" priority="104" stopIfTrue="1">
      <formula>(S93+T93)&gt;C93</formula>
    </cfRule>
  </conditionalFormatting>
  <conditionalFormatting sqref="S94">
    <cfRule type="expression" dxfId="27" priority="103" stopIfTrue="1">
      <formula>(S94+T94)&gt;C94</formula>
    </cfRule>
  </conditionalFormatting>
  <conditionalFormatting sqref="S95">
    <cfRule type="expression" dxfId="26" priority="102" stopIfTrue="1">
      <formula>(S95+T95)&gt;C95</formula>
    </cfRule>
  </conditionalFormatting>
  <conditionalFormatting sqref="S99">
    <cfRule type="expression" dxfId="25" priority="90" stopIfTrue="1">
      <formula>(S99+T99)&gt;C99</formula>
    </cfRule>
  </conditionalFormatting>
  <conditionalFormatting sqref="S100">
    <cfRule type="expression" dxfId="24" priority="89" stopIfTrue="1">
      <formula>(S100+T100)&gt;C100</formula>
    </cfRule>
  </conditionalFormatting>
  <conditionalFormatting sqref="S101">
    <cfRule type="expression" dxfId="23" priority="87" stopIfTrue="1">
      <formula>(S101+T101)&gt;C101</formula>
    </cfRule>
  </conditionalFormatting>
  <conditionalFormatting sqref="S102">
    <cfRule type="expression" dxfId="22" priority="86" stopIfTrue="1">
      <formula>(S102+T102)&gt;C102</formula>
    </cfRule>
  </conditionalFormatting>
  <conditionalFormatting sqref="S103">
    <cfRule type="expression" dxfId="21" priority="85" stopIfTrue="1">
      <formula>(S103+T103)&gt;C103</formula>
    </cfRule>
  </conditionalFormatting>
  <conditionalFormatting sqref="C10">
    <cfRule type="expression" dxfId="20" priority="77">
      <formula>"(S10+T10)&gt;C10 "</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13" zoomScaleNormal="100" zoomScaleSheetLayoutView="100" workbookViewId="0">
      <selection activeCell="C4" sqref="C4"/>
    </sheetView>
  </sheetViews>
  <sheetFormatPr defaultColWidth="0" defaultRowHeight="11.5" zeroHeight="1"/>
  <cols>
    <col min="1" max="1" width="32.6328125" style="611" customWidth="1"/>
    <col min="2" max="3" width="12.1796875" style="604" customWidth="1"/>
    <col min="4" max="6" width="12.81640625" style="604" customWidth="1"/>
    <col min="7" max="9" width="12.1796875" style="604" customWidth="1"/>
    <col min="10" max="10" width="12.1796875" style="605" customWidth="1"/>
    <col min="11" max="11" width="8.81640625" style="606" hidden="1" customWidth="1"/>
    <col min="12" max="21" width="8.81640625" style="604" hidden="1" customWidth="1"/>
    <col min="22" max="23" width="0" style="604" hidden="1"/>
    <col min="24" max="256" width="8.81640625" style="604" hidden="1"/>
    <col min="257" max="257" width="32.6328125" style="604" hidden="1" customWidth="1"/>
    <col min="258" max="259" width="12.1796875" style="604" hidden="1" customWidth="1"/>
    <col min="260" max="260" width="12.81640625" style="604" hidden="1" customWidth="1"/>
    <col min="261" max="266" width="12.1796875" style="604" hidden="1" customWidth="1"/>
    <col min="267" max="277" width="8.81640625" style="604" hidden="1" customWidth="1"/>
    <col min="278" max="512" width="8.81640625" style="604" hidden="1"/>
    <col min="513" max="513" width="32.6328125" style="604" hidden="1" customWidth="1"/>
    <col min="514" max="515" width="12.1796875" style="604" hidden="1" customWidth="1"/>
    <col min="516" max="516" width="12.81640625" style="604" hidden="1" customWidth="1"/>
    <col min="517" max="522" width="12.1796875" style="604" hidden="1" customWidth="1"/>
    <col min="523" max="533" width="8.81640625" style="604" hidden="1" customWidth="1"/>
    <col min="534" max="768" width="8.81640625" style="604" hidden="1"/>
    <col min="769" max="769" width="32.6328125" style="604" hidden="1" customWidth="1"/>
    <col min="770" max="771" width="12.1796875" style="604" hidden="1" customWidth="1"/>
    <col min="772" max="772" width="12.81640625" style="604" hidden="1" customWidth="1"/>
    <col min="773" max="778" width="12.1796875" style="604" hidden="1" customWidth="1"/>
    <col min="779" max="789" width="8.81640625" style="604" hidden="1" customWidth="1"/>
    <col min="790" max="1024" width="8.81640625" style="604" hidden="1"/>
    <col min="1025" max="1025" width="32.6328125" style="604" hidden="1" customWidth="1"/>
    <col min="1026" max="1027" width="12.1796875" style="604" hidden="1" customWidth="1"/>
    <col min="1028" max="1028" width="12.81640625" style="604" hidden="1" customWidth="1"/>
    <col min="1029" max="1034" width="12.1796875" style="604" hidden="1" customWidth="1"/>
    <col min="1035" max="1045" width="8.81640625" style="604" hidden="1" customWidth="1"/>
    <col min="1046" max="1280" width="8.81640625" style="604" hidden="1"/>
    <col min="1281" max="1281" width="32.6328125" style="604" hidden="1" customWidth="1"/>
    <col min="1282" max="1283" width="12.1796875" style="604" hidden="1" customWidth="1"/>
    <col min="1284" max="1284" width="12.81640625" style="604" hidden="1" customWidth="1"/>
    <col min="1285" max="1290" width="12.1796875" style="604" hidden="1" customWidth="1"/>
    <col min="1291" max="1301" width="8.81640625" style="604" hidden="1" customWidth="1"/>
    <col min="1302" max="1536" width="8.81640625" style="604" hidden="1"/>
    <col min="1537" max="1537" width="32.6328125" style="604" hidden="1" customWidth="1"/>
    <col min="1538" max="1539" width="12.1796875" style="604" hidden="1" customWidth="1"/>
    <col min="1540" max="1540" width="12.81640625" style="604" hidden="1" customWidth="1"/>
    <col min="1541" max="1546" width="12.1796875" style="604" hidden="1" customWidth="1"/>
    <col min="1547" max="1557" width="8.81640625" style="604" hidden="1" customWidth="1"/>
    <col min="1558" max="1792" width="8.81640625" style="604" hidden="1"/>
    <col min="1793" max="1793" width="32.6328125" style="604" hidden="1" customWidth="1"/>
    <col min="1794" max="1795" width="12.1796875" style="604" hidden="1" customWidth="1"/>
    <col min="1796" max="1796" width="12.81640625" style="604" hidden="1" customWidth="1"/>
    <col min="1797" max="1802" width="12.1796875" style="604" hidden="1" customWidth="1"/>
    <col min="1803" max="1813" width="8.81640625" style="604" hidden="1" customWidth="1"/>
    <col min="1814" max="2048" width="8.81640625" style="604" hidden="1"/>
    <col min="2049" max="2049" width="32.6328125" style="604" hidden="1" customWidth="1"/>
    <col min="2050" max="2051" width="12.1796875" style="604" hidden="1" customWidth="1"/>
    <col min="2052" max="2052" width="12.81640625" style="604" hidden="1" customWidth="1"/>
    <col min="2053" max="2058" width="12.1796875" style="604" hidden="1" customWidth="1"/>
    <col min="2059" max="2069" width="8.81640625" style="604" hidden="1" customWidth="1"/>
    <col min="2070" max="2304" width="8.81640625" style="604" hidden="1"/>
    <col min="2305" max="2305" width="32.6328125" style="604" hidden="1" customWidth="1"/>
    <col min="2306" max="2307" width="12.1796875" style="604" hidden="1" customWidth="1"/>
    <col min="2308" max="2308" width="12.81640625" style="604" hidden="1" customWidth="1"/>
    <col min="2309" max="2314" width="12.1796875" style="604" hidden="1" customWidth="1"/>
    <col min="2315" max="2325" width="8.81640625" style="604" hidden="1" customWidth="1"/>
    <col min="2326" max="2560" width="8.81640625" style="604" hidden="1"/>
    <col min="2561" max="2561" width="32.6328125" style="604" hidden="1" customWidth="1"/>
    <col min="2562" max="2563" width="12.1796875" style="604" hidden="1" customWidth="1"/>
    <col min="2564" max="2564" width="12.81640625" style="604" hidden="1" customWidth="1"/>
    <col min="2565" max="2570" width="12.1796875" style="604" hidden="1" customWidth="1"/>
    <col min="2571" max="2581" width="8.81640625" style="604" hidden="1" customWidth="1"/>
    <col min="2582" max="2816" width="8.81640625" style="604" hidden="1"/>
    <col min="2817" max="2817" width="32.6328125" style="604" hidden="1" customWidth="1"/>
    <col min="2818" max="2819" width="12.1796875" style="604" hidden="1" customWidth="1"/>
    <col min="2820" max="2820" width="12.81640625" style="604" hidden="1" customWidth="1"/>
    <col min="2821" max="2826" width="12.1796875" style="604" hidden="1" customWidth="1"/>
    <col min="2827" max="2837" width="8.81640625" style="604" hidden="1" customWidth="1"/>
    <col min="2838" max="3072" width="8.81640625" style="604" hidden="1"/>
    <col min="3073" max="3073" width="32.6328125" style="604" hidden="1" customWidth="1"/>
    <col min="3074" max="3075" width="12.1796875" style="604" hidden="1" customWidth="1"/>
    <col min="3076" max="3076" width="12.81640625" style="604" hidden="1" customWidth="1"/>
    <col min="3077" max="3082" width="12.1796875" style="604" hidden="1" customWidth="1"/>
    <col min="3083" max="3093" width="8.81640625" style="604" hidden="1" customWidth="1"/>
    <col min="3094" max="3328" width="8.81640625" style="604" hidden="1"/>
    <col min="3329" max="3329" width="32.6328125" style="604" hidden="1" customWidth="1"/>
    <col min="3330" max="3331" width="12.1796875" style="604" hidden="1" customWidth="1"/>
    <col min="3332" max="3332" width="12.81640625" style="604" hidden="1" customWidth="1"/>
    <col min="3333" max="3338" width="12.1796875" style="604" hidden="1" customWidth="1"/>
    <col min="3339" max="3349" width="8.81640625" style="604" hidden="1" customWidth="1"/>
    <col min="3350" max="3584" width="8.81640625" style="604" hidden="1"/>
    <col min="3585" max="3585" width="32.6328125" style="604" hidden="1" customWidth="1"/>
    <col min="3586" max="3587" width="12.1796875" style="604" hidden="1" customWidth="1"/>
    <col min="3588" max="3588" width="12.81640625" style="604" hidden="1" customWidth="1"/>
    <col min="3589" max="3594" width="12.1796875" style="604" hidden="1" customWidth="1"/>
    <col min="3595" max="3605" width="8.81640625" style="604" hidden="1" customWidth="1"/>
    <col min="3606" max="3840" width="8.81640625" style="604" hidden="1"/>
    <col min="3841" max="3841" width="32.6328125" style="604" hidden="1" customWidth="1"/>
    <col min="3842" max="3843" width="12.1796875" style="604" hidden="1" customWidth="1"/>
    <col min="3844" max="3844" width="12.81640625" style="604" hidden="1" customWidth="1"/>
    <col min="3845" max="3850" width="12.1796875" style="604" hidden="1" customWidth="1"/>
    <col min="3851" max="3861" width="8.81640625" style="604" hidden="1" customWidth="1"/>
    <col min="3862" max="4096" width="8.81640625" style="604" hidden="1"/>
    <col min="4097" max="4097" width="32.6328125" style="604" hidden="1" customWidth="1"/>
    <col min="4098" max="4099" width="12.1796875" style="604" hidden="1" customWidth="1"/>
    <col min="4100" max="4100" width="12.81640625" style="604" hidden="1" customWidth="1"/>
    <col min="4101" max="4106" width="12.1796875" style="604" hidden="1" customWidth="1"/>
    <col min="4107" max="4117" width="8.81640625" style="604" hidden="1" customWidth="1"/>
    <col min="4118" max="4352" width="8.81640625" style="604" hidden="1"/>
    <col min="4353" max="4353" width="32.6328125" style="604" hidden="1" customWidth="1"/>
    <col min="4354" max="4355" width="12.1796875" style="604" hidden="1" customWidth="1"/>
    <col min="4356" max="4356" width="12.81640625" style="604" hidden="1" customWidth="1"/>
    <col min="4357" max="4362" width="12.1796875" style="604" hidden="1" customWidth="1"/>
    <col min="4363" max="4373" width="8.81640625" style="604" hidden="1" customWidth="1"/>
    <col min="4374" max="4608" width="8.81640625" style="604" hidden="1"/>
    <col min="4609" max="4609" width="32.6328125" style="604" hidden="1" customWidth="1"/>
    <col min="4610" max="4611" width="12.1796875" style="604" hidden="1" customWidth="1"/>
    <col min="4612" max="4612" width="12.81640625" style="604" hidden="1" customWidth="1"/>
    <col min="4613" max="4618" width="12.1796875" style="604" hidden="1" customWidth="1"/>
    <col min="4619" max="4629" width="8.81640625" style="604" hidden="1" customWidth="1"/>
    <col min="4630" max="4864" width="8.81640625" style="604" hidden="1"/>
    <col min="4865" max="4865" width="32.6328125" style="604" hidden="1" customWidth="1"/>
    <col min="4866" max="4867" width="12.1796875" style="604" hidden="1" customWidth="1"/>
    <col min="4868" max="4868" width="12.81640625" style="604" hidden="1" customWidth="1"/>
    <col min="4869" max="4874" width="12.1796875" style="604" hidden="1" customWidth="1"/>
    <col min="4875" max="4885" width="8.81640625" style="604" hidden="1" customWidth="1"/>
    <col min="4886" max="5120" width="8.81640625" style="604" hidden="1"/>
    <col min="5121" max="5121" width="32.6328125" style="604" hidden="1" customWidth="1"/>
    <col min="5122" max="5123" width="12.1796875" style="604" hidden="1" customWidth="1"/>
    <col min="5124" max="5124" width="12.81640625" style="604" hidden="1" customWidth="1"/>
    <col min="5125" max="5130" width="12.1796875" style="604" hidden="1" customWidth="1"/>
    <col min="5131" max="5141" width="8.81640625" style="604" hidden="1" customWidth="1"/>
    <col min="5142" max="5376" width="8.81640625" style="604" hidden="1"/>
    <col min="5377" max="5377" width="32.6328125" style="604" hidden="1" customWidth="1"/>
    <col min="5378" max="5379" width="12.1796875" style="604" hidden="1" customWidth="1"/>
    <col min="5380" max="5380" width="12.81640625" style="604" hidden="1" customWidth="1"/>
    <col min="5381" max="5386" width="12.1796875" style="604" hidden="1" customWidth="1"/>
    <col min="5387" max="5397" width="8.81640625" style="604" hidden="1" customWidth="1"/>
    <col min="5398" max="5632" width="8.81640625" style="604" hidden="1"/>
    <col min="5633" max="5633" width="32.6328125" style="604" hidden="1" customWidth="1"/>
    <col min="5634" max="5635" width="12.1796875" style="604" hidden="1" customWidth="1"/>
    <col min="5636" max="5636" width="12.81640625" style="604" hidden="1" customWidth="1"/>
    <col min="5637" max="5642" width="12.1796875" style="604" hidden="1" customWidth="1"/>
    <col min="5643" max="5653" width="8.81640625" style="604" hidden="1" customWidth="1"/>
    <col min="5654" max="5888" width="8.81640625" style="604" hidden="1"/>
    <col min="5889" max="5889" width="32.6328125" style="604" hidden="1" customWidth="1"/>
    <col min="5890" max="5891" width="12.1796875" style="604" hidden="1" customWidth="1"/>
    <col min="5892" max="5892" width="12.81640625" style="604" hidden="1" customWidth="1"/>
    <col min="5893" max="5898" width="12.1796875" style="604" hidden="1" customWidth="1"/>
    <col min="5899" max="5909" width="8.81640625" style="604" hidden="1" customWidth="1"/>
    <col min="5910" max="6144" width="8.81640625" style="604" hidden="1"/>
    <col min="6145" max="6145" width="32.6328125" style="604" hidden="1" customWidth="1"/>
    <col min="6146" max="6147" width="12.1796875" style="604" hidden="1" customWidth="1"/>
    <col min="6148" max="6148" width="12.81640625" style="604" hidden="1" customWidth="1"/>
    <col min="6149" max="6154" width="12.1796875" style="604" hidden="1" customWidth="1"/>
    <col min="6155" max="6165" width="8.81640625" style="604" hidden="1" customWidth="1"/>
    <col min="6166" max="6400" width="8.81640625" style="604" hidden="1"/>
    <col min="6401" max="6401" width="32.6328125" style="604" hidden="1" customWidth="1"/>
    <col min="6402" max="6403" width="12.1796875" style="604" hidden="1" customWidth="1"/>
    <col min="6404" max="6404" width="12.81640625" style="604" hidden="1" customWidth="1"/>
    <col min="6405" max="6410" width="12.1796875" style="604" hidden="1" customWidth="1"/>
    <col min="6411" max="6421" width="8.81640625" style="604" hidden="1" customWidth="1"/>
    <col min="6422" max="6656" width="8.81640625" style="604" hidden="1"/>
    <col min="6657" max="6657" width="32.6328125" style="604" hidden="1" customWidth="1"/>
    <col min="6658" max="6659" width="12.1796875" style="604" hidden="1" customWidth="1"/>
    <col min="6660" max="6660" width="12.81640625" style="604" hidden="1" customWidth="1"/>
    <col min="6661" max="6666" width="12.1796875" style="604" hidden="1" customWidth="1"/>
    <col min="6667" max="6677" width="8.81640625" style="604" hidden="1" customWidth="1"/>
    <col min="6678" max="6912" width="8.81640625" style="604" hidden="1"/>
    <col min="6913" max="6913" width="32.6328125" style="604" hidden="1" customWidth="1"/>
    <col min="6914" max="6915" width="12.1796875" style="604" hidden="1" customWidth="1"/>
    <col min="6916" max="6916" width="12.81640625" style="604" hidden="1" customWidth="1"/>
    <col min="6917" max="6922" width="12.1796875" style="604" hidden="1" customWidth="1"/>
    <col min="6923" max="6933" width="8.81640625" style="604" hidden="1" customWidth="1"/>
    <col min="6934" max="7168" width="8.81640625" style="604" hidden="1"/>
    <col min="7169" max="7169" width="32.6328125" style="604" hidden="1" customWidth="1"/>
    <col min="7170" max="7171" width="12.1796875" style="604" hidden="1" customWidth="1"/>
    <col min="7172" max="7172" width="12.81640625" style="604" hidden="1" customWidth="1"/>
    <col min="7173" max="7178" width="12.1796875" style="604" hidden="1" customWidth="1"/>
    <col min="7179" max="7189" width="8.81640625" style="604" hidden="1" customWidth="1"/>
    <col min="7190" max="7424" width="8.81640625" style="604" hidden="1"/>
    <col min="7425" max="7425" width="32.6328125" style="604" hidden="1" customWidth="1"/>
    <col min="7426" max="7427" width="12.1796875" style="604" hidden="1" customWidth="1"/>
    <col min="7428" max="7428" width="12.81640625" style="604" hidden="1" customWidth="1"/>
    <col min="7429" max="7434" width="12.1796875" style="604" hidden="1" customWidth="1"/>
    <col min="7435" max="7445" width="8.81640625" style="604" hidden="1" customWidth="1"/>
    <col min="7446" max="7680" width="8.81640625" style="604" hidden="1"/>
    <col min="7681" max="7681" width="32.6328125" style="604" hidden="1" customWidth="1"/>
    <col min="7682" max="7683" width="12.1796875" style="604" hidden="1" customWidth="1"/>
    <col min="7684" max="7684" width="12.81640625" style="604" hidden="1" customWidth="1"/>
    <col min="7685" max="7690" width="12.1796875" style="604" hidden="1" customWidth="1"/>
    <col min="7691" max="7701" width="8.81640625" style="604" hidden="1" customWidth="1"/>
    <col min="7702" max="7936" width="8.81640625" style="604" hidden="1"/>
    <col min="7937" max="7937" width="32.6328125" style="604" hidden="1" customWidth="1"/>
    <col min="7938" max="7939" width="12.1796875" style="604" hidden="1" customWidth="1"/>
    <col min="7940" max="7940" width="12.81640625" style="604" hidden="1" customWidth="1"/>
    <col min="7941" max="7946" width="12.1796875" style="604" hidden="1" customWidth="1"/>
    <col min="7947" max="7957" width="8.81640625" style="604" hidden="1" customWidth="1"/>
    <col min="7958" max="8192" width="8.81640625" style="604" hidden="1"/>
    <col min="8193" max="8193" width="32.6328125" style="604" hidden="1" customWidth="1"/>
    <col min="8194" max="8195" width="12.1796875" style="604" hidden="1" customWidth="1"/>
    <col min="8196" max="8196" width="12.81640625" style="604" hidden="1" customWidth="1"/>
    <col min="8197" max="8202" width="12.1796875" style="604" hidden="1" customWidth="1"/>
    <col min="8203" max="8213" width="8.81640625" style="604" hidden="1" customWidth="1"/>
    <col min="8214" max="8448" width="8.81640625" style="604" hidden="1"/>
    <col min="8449" max="8449" width="32.6328125" style="604" hidden="1" customWidth="1"/>
    <col min="8450" max="8451" width="12.1796875" style="604" hidden="1" customWidth="1"/>
    <col min="8452" max="8452" width="12.81640625" style="604" hidden="1" customWidth="1"/>
    <col min="8453" max="8458" width="12.1796875" style="604" hidden="1" customWidth="1"/>
    <col min="8459" max="8469" width="8.81640625" style="604" hidden="1" customWidth="1"/>
    <col min="8470" max="8704" width="8.81640625" style="604" hidden="1"/>
    <col min="8705" max="8705" width="32.6328125" style="604" hidden="1" customWidth="1"/>
    <col min="8706" max="8707" width="12.1796875" style="604" hidden="1" customWidth="1"/>
    <col min="8708" max="8708" width="12.81640625" style="604" hidden="1" customWidth="1"/>
    <col min="8709" max="8714" width="12.1796875" style="604" hidden="1" customWidth="1"/>
    <col min="8715" max="8725" width="8.81640625" style="604" hidden="1" customWidth="1"/>
    <col min="8726" max="8960" width="8.81640625" style="604" hidden="1"/>
    <col min="8961" max="8961" width="32.6328125" style="604" hidden="1" customWidth="1"/>
    <col min="8962" max="8963" width="12.1796875" style="604" hidden="1" customWidth="1"/>
    <col min="8964" max="8964" width="12.81640625" style="604" hidden="1" customWidth="1"/>
    <col min="8965" max="8970" width="12.1796875" style="604" hidden="1" customWidth="1"/>
    <col min="8971" max="8981" width="8.81640625" style="604" hidden="1" customWidth="1"/>
    <col min="8982" max="9216" width="8.81640625" style="604" hidden="1"/>
    <col min="9217" max="9217" width="32.6328125" style="604" hidden="1" customWidth="1"/>
    <col min="9218" max="9219" width="12.1796875" style="604" hidden="1" customWidth="1"/>
    <col min="9220" max="9220" width="12.81640625" style="604" hidden="1" customWidth="1"/>
    <col min="9221" max="9226" width="12.1796875" style="604" hidden="1" customWidth="1"/>
    <col min="9227" max="9237" width="8.81640625" style="604" hidden="1" customWidth="1"/>
    <col min="9238" max="9472" width="8.81640625" style="604" hidden="1"/>
    <col min="9473" max="9473" width="32.6328125" style="604" hidden="1" customWidth="1"/>
    <col min="9474" max="9475" width="12.1796875" style="604" hidden="1" customWidth="1"/>
    <col min="9476" max="9476" width="12.81640625" style="604" hidden="1" customWidth="1"/>
    <col min="9477" max="9482" width="12.1796875" style="604" hidden="1" customWidth="1"/>
    <col min="9483" max="9493" width="8.81640625" style="604" hidden="1" customWidth="1"/>
    <col min="9494" max="9728" width="8.81640625" style="604" hidden="1"/>
    <col min="9729" max="9729" width="32.6328125" style="604" hidden="1" customWidth="1"/>
    <col min="9730" max="9731" width="12.1796875" style="604" hidden="1" customWidth="1"/>
    <col min="9732" max="9732" width="12.81640625" style="604" hidden="1" customWidth="1"/>
    <col min="9733" max="9738" width="12.1796875" style="604" hidden="1" customWidth="1"/>
    <col min="9739" max="9749" width="8.81640625" style="604" hidden="1" customWidth="1"/>
    <col min="9750" max="9984" width="8.81640625" style="604" hidden="1"/>
    <col min="9985" max="9985" width="32.6328125" style="604" hidden="1" customWidth="1"/>
    <col min="9986" max="9987" width="12.1796875" style="604" hidden="1" customWidth="1"/>
    <col min="9988" max="9988" width="12.81640625" style="604" hidden="1" customWidth="1"/>
    <col min="9989" max="9994" width="12.1796875" style="604" hidden="1" customWidth="1"/>
    <col min="9995" max="10005" width="8.81640625" style="604" hidden="1" customWidth="1"/>
    <col min="10006" max="10240" width="8.81640625" style="604" hidden="1"/>
    <col min="10241" max="10241" width="32.6328125" style="604" hidden="1" customWidth="1"/>
    <col min="10242" max="10243" width="12.1796875" style="604" hidden="1" customWidth="1"/>
    <col min="10244" max="10244" width="12.81640625" style="604" hidden="1" customWidth="1"/>
    <col min="10245" max="10250" width="12.1796875" style="604" hidden="1" customWidth="1"/>
    <col min="10251" max="10261" width="8.81640625" style="604" hidden="1" customWidth="1"/>
    <col min="10262" max="10496" width="8.81640625" style="604" hidden="1"/>
    <col min="10497" max="10497" width="32.6328125" style="604" hidden="1" customWidth="1"/>
    <col min="10498" max="10499" width="12.1796875" style="604" hidden="1" customWidth="1"/>
    <col min="10500" max="10500" width="12.81640625" style="604" hidden="1" customWidth="1"/>
    <col min="10501" max="10506" width="12.1796875" style="604" hidden="1" customWidth="1"/>
    <col min="10507" max="10517" width="8.81640625" style="604" hidden="1" customWidth="1"/>
    <col min="10518" max="10752" width="8.81640625" style="604" hidden="1"/>
    <col min="10753" max="10753" width="32.6328125" style="604" hidden="1" customWidth="1"/>
    <col min="10754" max="10755" width="12.1796875" style="604" hidden="1" customWidth="1"/>
    <col min="10756" max="10756" width="12.81640625" style="604" hidden="1" customWidth="1"/>
    <col min="10757" max="10762" width="12.1796875" style="604" hidden="1" customWidth="1"/>
    <col min="10763" max="10773" width="8.81640625" style="604" hidden="1" customWidth="1"/>
    <col min="10774" max="11008" width="8.81640625" style="604" hidden="1"/>
    <col min="11009" max="11009" width="32.6328125" style="604" hidden="1" customWidth="1"/>
    <col min="11010" max="11011" width="12.1796875" style="604" hidden="1" customWidth="1"/>
    <col min="11012" max="11012" width="12.81640625" style="604" hidden="1" customWidth="1"/>
    <col min="11013" max="11018" width="12.1796875" style="604" hidden="1" customWidth="1"/>
    <col min="11019" max="11029" width="8.81640625" style="604" hidden="1" customWidth="1"/>
    <col min="11030" max="11264" width="8.81640625" style="604" hidden="1"/>
    <col min="11265" max="11265" width="32.6328125" style="604" hidden="1" customWidth="1"/>
    <col min="11266" max="11267" width="12.1796875" style="604" hidden="1" customWidth="1"/>
    <col min="11268" max="11268" width="12.81640625" style="604" hidden="1" customWidth="1"/>
    <col min="11269" max="11274" width="12.1796875" style="604" hidden="1" customWidth="1"/>
    <col min="11275" max="11285" width="8.81640625" style="604" hidden="1" customWidth="1"/>
    <col min="11286" max="11520" width="8.81640625" style="604" hidden="1"/>
    <col min="11521" max="11521" width="32.6328125" style="604" hidden="1" customWidth="1"/>
    <col min="11522" max="11523" width="12.1796875" style="604" hidden="1" customWidth="1"/>
    <col min="11524" max="11524" width="12.81640625" style="604" hidden="1" customWidth="1"/>
    <col min="11525" max="11530" width="12.1796875" style="604" hidden="1" customWidth="1"/>
    <col min="11531" max="11541" width="8.81640625" style="604" hidden="1" customWidth="1"/>
    <col min="11542" max="11776" width="8.81640625" style="604" hidden="1"/>
    <col min="11777" max="11777" width="32.6328125" style="604" hidden="1" customWidth="1"/>
    <col min="11778" max="11779" width="12.1796875" style="604" hidden="1" customWidth="1"/>
    <col min="11780" max="11780" width="12.81640625" style="604" hidden="1" customWidth="1"/>
    <col min="11781" max="11786" width="12.1796875" style="604" hidden="1" customWidth="1"/>
    <col min="11787" max="11797" width="8.81640625" style="604" hidden="1" customWidth="1"/>
    <col min="11798" max="12032" width="8.81640625" style="604" hidden="1"/>
    <col min="12033" max="12033" width="32.6328125" style="604" hidden="1" customWidth="1"/>
    <col min="12034" max="12035" width="12.1796875" style="604" hidden="1" customWidth="1"/>
    <col min="12036" max="12036" width="12.81640625" style="604" hidden="1" customWidth="1"/>
    <col min="12037" max="12042" width="12.1796875" style="604" hidden="1" customWidth="1"/>
    <col min="12043" max="12053" width="8.81640625" style="604" hidden="1" customWidth="1"/>
    <col min="12054" max="12288" width="8.81640625" style="604" hidden="1"/>
    <col min="12289" max="12289" width="32.6328125" style="604" hidden="1" customWidth="1"/>
    <col min="12290" max="12291" width="12.1796875" style="604" hidden="1" customWidth="1"/>
    <col min="12292" max="12292" width="12.81640625" style="604" hidden="1" customWidth="1"/>
    <col min="12293" max="12298" width="12.1796875" style="604" hidden="1" customWidth="1"/>
    <col min="12299" max="12309" width="8.81640625" style="604" hidden="1" customWidth="1"/>
    <col min="12310" max="12544" width="8.81640625" style="604" hidden="1"/>
    <col min="12545" max="12545" width="32.6328125" style="604" hidden="1" customWidth="1"/>
    <col min="12546" max="12547" width="12.1796875" style="604" hidden="1" customWidth="1"/>
    <col min="12548" max="12548" width="12.81640625" style="604" hidden="1" customWidth="1"/>
    <col min="12549" max="12554" width="12.1796875" style="604" hidden="1" customWidth="1"/>
    <col min="12555" max="12565" width="8.81640625" style="604" hidden="1" customWidth="1"/>
    <col min="12566" max="12800" width="8.81640625" style="604" hidden="1"/>
    <col min="12801" max="12801" width="32.6328125" style="604" hidden="1" customWidth="1"/>
    <col min="12802" max="12803" width="12.1796875" style="604" hidden="1" customWidth="1"/>
    <col min="12804" max="12804" width="12.81640625" style="604" hidden="1" customWidth="1"/>
    <col min="12805" max="12810" width="12.1796875" style="604" hidden="1" customWidth="1"/>
    <col min="12811" max="12821" width="8.81640625" style="604" hidden="1" customWidth="1"/>
    <col min="12822" max="13056" width="8.81640625" style="604" hidden="1"/>
    <col min="13057" max="13057" width="32.6328125" style="604" hidden="1" customWidth="1"/>
    <col min="13058" max="13059" width="12.1796875" style="604" hidden="1" customWidth="1"/>
    <col min="13060" max="13060" width="12.81640625" style="604" hidden="1" customWidth="1"/>
    <col min="13061" max="13066" width="12.1796875" style="604" hidden="1" customWidth="1"/>
    <col min="13067" max="13077" width="8.81640625" style="604" hidden="1" customWidth="1"/>
    <col min="13078" max="13312" width="8.81640625" style="604" hidden="1"/>
    <col min="13313" max="13313" width="32.6328125" style="604" hidden="1" customWidth="1"/>
    <col min="13314" max="13315" width="12.1796875" style="604" hidden="1" customWidth="1"/>
    <col min="13316" max="13316" width="12.81640625" style="604" hidden="1" customWidth="1"/>
    <col min="13317" max="13322" width="12.1796875" style="604" hidden="1" customWidth="1"/>
    <col min="13323" max="13333" width="8.81640625" style="604" hidden="1" customWidth="1"/>
    <col min="13334" max="13568" width="8.81640625" style="604" hidden="1"/>
    <col min="13569" max="13569" width="32.6328125" style="604" hidden="1" customWidth="1"/>
    <col min="13570" max="13571" width="12.1796875" style="604" hidden="1" customWidth="1"/>
    <col min="13572" max="13572" width="12.81640625" style="604" hidden="1" customWidth="1"/>
    <col min="13573" max="13578" width="12.1796875" style="604" hidden="1" customWidth="1"/>
    <col min="13579" max="13589" width="8.81640625" style="604" hidden="1" customWidth="1"/>
    <col min="13590" max="13824" width="8.81640625" style="604" hidden="1"/>
    <col min="13825" max="13825" width="32.6328125" style="604" hidden="1" customWidth="1"/>
    <col min="13826" max="13827" width="12.1796875" style="604" hidden="1" customWidth="1"/>
    <col min="13828" max="13828" width="12.81640625" style="604" hidden="1" customWidth="1"/>
    <col min="13829" max="13834" width="12.1796875" style="604" hidden="1" customWidth="1"/>
    <col min="13835" max="13845" width="8.81640625" style="604" hidden="1" customWidth="1"/>
    <col min="13846" max="14080" width="8.81640625" style="604" hidden="1"/>
    <col min="14081" max="14081" width="32.6328125" style="604" hidden="1" customWidth="1"/>
    <col min="14082" max="14083" width="12.1796875" style="604" hidden="1" customWidth="1"/>
    <col min="14084" max="14084" width="12.81640625" style="604" hidden="1" customWidth="1"/>
    <col min="14085" max="14090" width="12.1796875" style="604" hidden="1" customWidth="1"/>
    <col min="14091" max="14101" width="8.81640625" style="604" hidden="1" customWidth="1"/>
    <col min="14102" max="14336" width="8.81640625" style="604" hidden="1"/>
    <col min="14337" max="14337" width="32.6328125" style="604" hidden="1" customWidth="1"/>
    <col min="14338" max="14339" width="12.1796875" style="604" hidden="1" customWidth="1"/>
    <col min="14340" max="14340" width="12.81640625" style="604" hidden="1" customWidth="1"/>
    <col min="14341" max="14346" width="12.1796875" style="604" hidden="1" customWidth="1"/>
    <col min="14347" max="14357" width="8.81640625" style="604" hidden="1" customWidth="1"/>
    <col min="14358" max="14592" width="8.81640625" style="604" hidden="1"/>
    <col min="14593" max="14593" width="32.6328125" style="604" hidden="1" customWidth="1"/>
    <col min="14594" max="14595" width="12.1796875" style="604" hidden="1" customWidth="1"/>
    <col min="14596" max="14596" width="12.81640625" style="604" hidden="1" customWidth="1"/>
    <col min="14597" max="14602" width="12.1796875" style="604" hidden="1" customWidth="1"/>
    <col min="14603" max="14613" width="8.81640625" style="604" hidden="1" customWidth="1"/>
    <col min="14614" max="14848" width="8.81640625" style="604" hidden="1"/>
    <col min="14849" max="14849" width="32.6328125" style="604" hidden="1" customWidth="1"/>
    <col min="14850" max="14851" width="12.1796875" style="604" hidden="1" customWidth="1"/>
    <col min="14852" max="14852" width="12.81640625" style="604" hidden="1" customWidth="1"/>
    <col min="14853" max="14858" width="12.1796875" style="604" hidden="1" customWidth="1"/>
    <col min="14859" max="14869" width="8.81640625" style="604" hidden="1" customWidth="1"/>
    <col min="14870" max="15104" width="8.81640625" style="604" hidden="1"/>
    <col min="15105" max="15105" width="32.6328125" style="604" hidden="1" customWidth="1"/>
    <col min="15106" max="15107" width="12.1796875" style="604" hidden="1" customWidth="1"/>
    <col min="15108" max="15108" width="12.81640625" style="604" hidden="1" customWidth="1"/>
    <col min="15109" max="15114" width="12.1796875" style="604" hidden="1" customWidth="1"/>
    <col min="15115" max="15125" width="8.81640625" style="604" hidden="1" customWidth="1"/>
    <col min="15126" max="15360" width="8.81640625" style="604" hidden="1"/>
    <col min="15361" max="15361" width="32.6328125" style="604" hidden="1" customWidth="1"/>
    <col min="15362" max="15363" width="12.1796875" style="604" hidden="1" customWidth="1"/>
    <col min="15364" max="15364" width="12.81640625" style="604" hidden="1" customWidth="1"/>
    <col min="15365" max="15370" width="12.1796875" style="604" hidden="1" customWidth="1"/>
    <col min="15371" max="15381" width="8.81640625" style="604" hidden="1" customWidth="1"/>
    <col min="15382" max="15616" width="8.81640625" style="604" hidden="1"/>
    <col min="15617" max="15617" width="32.6328125" style="604" hidden="1" customWidth="1"/>
    <col min="15618" max="15619" width="12.1796875" style="604" hidden="1" customWidth="1"/>
    <col min="15620" max="15620" width="12.81640625" style="604" hidden="1" customWidth="1"/>
    <col min="15621" max="15626" width="12.1796875" style="604" hidden="1" customWidth="1"/>
    <col min="15627" max="15637" width="8.81640625" style="604" hidden="1" customWidth="1"/>
    <col min="15638" max="15872" width="8.81640625" style="604" hidden="1"/>
    <col min="15873" max="15873" width="32.6328125" style="604" hidden="1" customWidth="1"/>
    <col min="15874" max="15875" width="12.1796875" style="604" hidden="1" customWidth="1"/>
    <col min="15876" max="15876" width="12.81640625" style="604" hidden="1" customWidth="1"/>
    <col min="15877" max="15882" width="12.1796875" style="604" hidden="1" customWidth="1"/>
    <col min="15883" max="15893" width="8.81640625" style="604" hidden="1" customWidth="1"/>
    <col min="15894" max="16128" width="8.81640625" style="604" hidden="1"/>
    <col min="16129" max="16129" width="32.6328125" style="604" hidden="1" customWidth="1"/>
    <col min="16130" max="16131" width="12.1796875" style="604" hidden="1" customWidth="1"/>
    <col min="16132" max="16132" width="12.81640625" style="604" hidden="1" customWidth="1"/>
    <col min="16133" max="16138" width="12.1796875" style="604" hidden="1" customWidth="1"/>
    <col min="16139" max="16149" width="8.81640625" style="604" hidden="1" customWidth="1"/>
    <col min="16150" max="16384" width="8.81640625" style="604" hidden="1"/>
  </cols>
  <sheetData>
    <row r="1" spans="1:11" s="561" customFormat="1" ht="13">
      <c r="A1" s="2616" t="s">
        <v>1449</v>
      </c>
      <c r="B1" s="2617"/>
      <c r="C1" s="2617"/>
      <c r="D1" s="2617"/>
      <c r="E1" s="2617"/>
      <c r="F1" s="2617"/>
      <c r="G1" s="2617"/>
      <c r="H1" s="2617"/>
      <c r="I1" s="2617"/>
      <c r="J1" s="2618"/>
      <c r="K1" s="560"/>
    </row>
    <row r="2" spans="1:11" s="616" customFormat="1" ht="69">
      <c r="A2" s="612"/>
      <c r="B2" s="613" t="s">
        <v>1143</v>
      </c>
      <c r="C2" s="613" t="s">
        <v>1451</v>
      </c>
      <c r="D2" s="614" t="s">
        <v>1452</v>
      </c>
      <c r="E2" s="613" t="s">
        <v>1355</v>
      </c>
      <c r="F2" s="613" t="s">
        <v>1453</v>
      </c>
      <c r="G2" s="613" t="s">
        <v>1454</v>
      </c>
      <c r="H2" s="613" t="s">
        <v>1144</v>
      </c>
      <c r="I2" s="613" t="s">
        <v>1455</v>
      </c>
      <c r="J2" s="613" t="s">
        <v>1456</v>
      </c>
      <c r="K2" s="615"/>
    </row>
    <row r="3" spans="1:11" s="565" customFormat="1" ht="12">
      <c r="A3" s="562" t="s">
        <v>27</v>
      </c>
      <c r="B3" s="563"/>
      <c r="C3" s="563"/>
      <c r="D3" s="563"/>
      <c r="E3" s="563"/>
      <c r="F3" s="563"/>
      <c r="G3" s="563"/>
      <c r="H3" s="563"/>
      <c r="I3" s="563"/>
      <c r="J3" s="563"/>
      <c r="K3" s="564"/>
    </row>
    <row r="4" spans="1:11" s="565" customFormat="1">
      <c r="A4" s="569" t="s">
        <v>28</v>
      </c>
      <c r="B4" s="566">
        <f>'Sources and Uses Budget'!C4</f>
        <v>0</v>
      </c>
      <c r="C4" s="567"/>
      <c r="D4" s="567"/>
      <c r="E4" s="568"/>
      <c r="F4" s="568"/>
      <c r="G4" s="568"/>
      <c r="H4" s="568"/>
      <c r="I4" s="568"/>
      <c r="J4" s="568"/>
      <c r="K4" s="564"/>
    </row>
    <row r="5" spans="1:11" s="565" customFormat="1">
      <c r="A5" s="569" t="s">
        <v>29</v>
      </c>
      <c r="B5" s="566">
        <f>'Sources and Uses Budget'!C5</f>
        <v>53536</v>
      </c>
      <c r="C5" s="567"/>
      <c r="D5" s="567"/>
      <c r="E5" s="568"/>
      <c r="F5" s="568"/>
      <c r="G5" s="568"/>
      <c r="H5" s="568"/>
      <c r="I5" s="568"/>
      <c r="J5" s="568"/>
      <c r="K5" s="564"/>
    </row>
    <row r="6" spans="1:11" s="565" customFormat="1">
      <c r="A6" s="569" t="s">
        <v>30</v>
      </c>
      <c r="B6" s="566">
        <f>'Sources and Uses Budget'!C6</f>
        <v>27094</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80630</v>
      </c>
      <c r="C8" s="566">
        <f>SUM(C4:C7)</f>
        <v>0</v>
      </c>
      <c r="D8" s="566">
        <f>SUM(D4:D7)</f>
        <v>0</v>
      </c>
      <c r="E8" s="568"/>
      <c r="F8" s="568"/>
      <c r="G8" s="568"/>
      <c r="H8" s="568"/>
      <c r="I8" s="568"/>
      <c r="J8" s="568"/>
      <c r="K8" s="564"/>
    </row>
    <row r="9" spans="1:11" s="565" customFormat="1">
      <c r="A9" s="569" t="s">
        <v>631</v>
      </c>
      <c r="B9" s="566">
        <f>'Sources and Uses Budget'!C9</f>
        <v>0</v>
      </c>
      <c r="C9" s="567"/>
      <c r="D9" s="567"/>
      <c r="E9" s="568"/>
      <c r="F9" s="568"/>
      <c r="G9" s="568"/>
      <c r="H9" s="566">
        <f>'Sources and Uses Budget'!T9</f>
        <v>0</v>
      </c>
      <c r="I9" s="567"/>
      <c r="J9" s="567"/>
      <c r="K9" s="564"/>
    </row>
    <row r="10" spans="1:11" s="565" customFormat="1">
      <c r="A10" s="569" t="s">
        <v>632</v>
      </c>
      <c r="B10" s="566">
        <f>'Sources and Uses Budget'!C10</f>
        <v>681639</v>
      </c>
      <c r="C10" s="567"/>
      <c r="D10" s="567"/>
      <c r="E10" s="566">
        <f>'Sources and Uses Budget'!S10</f>
        <v>0</v>
      </c>
      <c r="F10" s="567"/>
      <c r="G10" s="567"/>
      <c r="H10" s="566">
        <f>'Sources and Uses Budget'!T10</f>
        <v>0</v>
      </c>
      <c r="I10" s="567"/>
      <c r="J10" s="567"/>
      <c r="K10" s="564"/>
    </row>
    <row r="11" spans="1:11" s="565" customFormat="1">
      <c r="A11" s="570" t="s">
        <v>633</v>
      </c>
      <c r="B11" s="566">
        <f>'Sources and Uses Budget'!C11</f>
        <v>681639</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762269</v>
      </c>
      <c r="C12" s="566">
        <f>SUM(C8+C11)</f>
        <v>0</v>
      </c>
      <c r="D12" s="566">
        <f>SUM(D8+D11)</f>
        <v>0</v>
      </c>
      <c r="E12" s="568"/>
      <c r="F12" s="568"/>
      <c r="G12" s="568"/>
      <c r="H12" s="568"/>
      <c r="I12" s="568"/>
      <c r="J12" s="568"/>
      <c r="K12" s="564"/>
    </row>
    <row r="13" spans="1:11" s="565" customFormat="1">
      <c r="A13" s="571" t="s">
        <v>975</v>
      </c>
      <c r="B13" s="566">
        <f>'Sources and Uses Budget'!C13</f>
        <v>191463</v>
      </c>
      <c r="C13" s="567"/>
      <c r="D13" s="567"/>
      <c r="E13" s="566">
        <f>'Sources and Uses Budget'!S13</f>
        <v>0</v>
      </c>
      <c r="F13" s="567"/>
      <c r="G13" s="567"/>
      <c r="H13" s="566">
        <f>'Sources and Uses Budget'!T13</f>
        <v>0</v>
      </c>
      <c r="I13" s="567"/>
      <c r="J13" s="567"/>
      <c r="K13" s="564"/>
    </row>
    <row r="14" spans="1:11" s="565" customFormat="1" ht="23">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ht="12">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2008</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ht="12">
      <c r="A28" s="562" t="s">
        <v>147</v>
      </c>
      <c r="B28" s="563"/>
      <c r="C28" s="563"/>
      <c r="D28" s="563"/>
      <c r="E28" s="563"/>
      <c r="F28" s="563"/>
      <c r="G28" s="563"/>
      <c r="H28" s="563"/>
      <c r="I28" s="563"/>
      <c r="J28" s="563"/>
      <c r="K28" s="564"/>
    </row>
    <row r="29" spans="1:11" s="565" customFormat="1">
      <c r="A29" s="215" t="s">
        <v>635</v>
      </c>
      <c r="B29" s="566">
        <f>'Sources and Uses Budget'!C29</f>
        <v>431703</v>
      </c>
      <c r="C29" s="567"/>
      <c r="D29" s="567"/>
      <c r="E29" s="566">
        <f>'Sources and Uses Budget'!S29</f>
        <v>431703</v>
      </c>
      <c r="F29" s="567"/>
      <c r="G29" s="567"/>
      <c r="H29" s="566">
        <f>'Sources and Uses Budget'!T29</f>
        <v>0</v>
      </c>
      <c r="I29" s="567"/>
      <c r="J29" s="567"/>
      <c r="K29" s="564"/>
    </row>
    <row r="30" spans="1:11" s="565" customFormat="1">
      <c r="A30" s="215" t="s">
        <v>636</v>
      </c>
      <c r="B30" s="566">
        <f>'Sources and Uses Budget'!C30</f>
        <v>42589005</v>
      </c>
      <c r="C30" s="567"/>
      <c r="D30" s="567"/>
      <c r="E30" s="566">
        <f>'Sources and Uses Budget'!S30</f>
        <v>42589005</v>
      </c>
      <c r="F30" s="567"/>
      <c r="G30" s="567"/>
      <c r="H30" s="566">
        <f>'Sources and Uses Budget'!T30</f>
        <v>0</v>
      </c>
      <c r="I30" s="567"/>
      <c r="J30" s="567"/>
      <c r="K30" s="564"/>
    </row>
    <row r="31" spans="1:11" s="565" customFormat="1">
      <c r="A31" s="215" t="s">
        <v>637</v>
      </c>
      <c r="B31" s="566">
        <f>'Sources and Uses Budget'!C31</f>
        <v>2139778</v>
      </c>
      <c r="C31" s="567"/>
      <c r="D31" s="567"/>
      <c r="E31" s="566">
        <f>'Sources and Uses Budget'!S31</f>
        <v>2139778</v>
      </c>
      <c r="F31" s="567"/>
      <c r="G31" s="567"/>
      <c r="H31" s="566">
        <f>'Sources and Uses Budget'!T31</f>
        <v>0</v>
      </c>
      <c r="I31" s="567"/>
      <c r="J31" s="567"/>
      <c r="K31" s="564"/>
    </row>
    <row r="32" spans="1:11" s="565" customFormat="1">
      <c r="A32" s="215" t="s">
        <v>142</v>
      </c>
      <c r="B32" s="566">
        <f>'Sources and Uses Budget'!C32</f>
        <v>507861.89999999997</v>
      </c>
      <c r="C32" s="567"/>
      <c r="D32" s="567"/>
      <c r="E32" s="566">
        <f>'Sources and Uses Budget'!S32</f>
        <v>507861.89999999997</v>
      </c>
      <c r="F32" s="567"/>
      <c r="G32" s="567"/>
      <c r="H32" s="566">
        <f>'Sources and Uses Budget'!T32</f>
        <v>0</v>
      </c>
      <c r="I32" s="567"/>
      <c r="J32" s="567"/>
      <c r="K32" s="564"/>
    </row>
    <row r="33" spans="1:11" s="565" customFormat="1">
      <c r="A33" s="215" t="s">
        <v>143</v>
      </c>
      <c r="B33" s="566">
        <f>'Sources and Uses Budget'!C33</f>
        <v>1185011.0999999999</v>
      </c>
      <c r="C33" s="567"/>
      <c r="D33" s="567"/>
      <c r="E33" s="566">
        <f>'Sources and Uses Budget'!S33</f>
        <v>1185011.0999999999</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787935</v>
      </c>
      <c r="C35" s="567"/>
      <c r="D35" s="567"/>
      <c r="E35" s="566">
        <f>'Sources and Uses Budget'!S35</f>
        <v>787935</v>
      </c>
      <c r="F35" s="567"/>
      <c r="G35" s="567"/>
      <c r="H35" s="566">
        <f>'Sources and Uses Budget'!T35</f>
        <v>0</v>
      </c>
      <c r="I35" s="567"/>
      <c r="J35" s="567"/>
      <c r="K35" s="564"/>
    </row>
    <row r="36" spans="1:11" s="565" customFormat="1">
      <c r="A36" s="860" t="s">
        <v>2008</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47641294</v>
      </c>
      <c r="C38" s="566">
        <f>SUM(C29:C37)</f>
        <v>0</v>
      </c>
      <c r="D38" s="566">
        <f>SUM(D29:D37)</f>
        <v>0</v>
      </c>
      <c r="E38" s="566">
        <f>'Sources and Uses Budget'!S38</f>
        <v>47641294</v>
      </c>
      <c r="F38" s="573">
        <f>SUM(F29:F37)</f>
        <v>0</v>
      </c>
      <c r="G38" s="573">
        <f>SUM(G29:G37)</f>
        <v>0</v>
      </c>
      <c r="H38" s="566">
        <f>'Sources and Uses Budget'!T38</f>
        <v>0</v>
      </c>
      <c r="I38" s="573">
        <f>SUM(I29:I37)</f>
        <v>0</v>
      </c>
      <c r="J38" s="573">
        <f>SUM(J29:J37)</f>
        <v>0</v>
      </c>
      <c r="K38" s="564"/>
    </row>
    <row r="39" spans="1:11" s="565" customFormat="1" ht="12">
      <c r="A39" s="562" t="s">
        <v>149</v>
      </c>
      <c r="B39" s="563"/>
      <c r="C39" s="563"/>
      <c r="D39" s="563"/>
      <c r="E39" s="563"/>
      <c r="F39" s="563"/>
      <c r="G39" s="563"/>
      <c r="H39" s="563"/>
      <c r="I39" s="563"/>
      <c r="J39" s="563"/>
      <c r="K39" s="564"/>
    </row>
    <row r="40" spans="1:11" s="565" customFormat="1">
      <c r="A40" s="569" t="s">
        <v>150</v>
      </c>
      <c r="B40" s="566">
        <f>'Sources and Uses Budget'!C40</f>
        <v>1986888</v>
      </c>
      <c r="C40" s="567"/>
      <c r="D40" s="567"/>
      <c r="E40" s="566">
        <f>'Sources and Uses Budget'!S40</f>
        <v>1986888</v>
      </c>
      <c r="F40" s="567"/>
      <c r="G40" s="567"/>
      <c r="H40" s="566">
        <f>'Sources and Uses Budget'!T40</f>
        <v>0</v>
      </c>
      <c r="I40" s="567"/>
      <c r="J40" s="567"/>
      <c r="K40" s="564"/>
    </row>
    <row r="41" spans="1:11" s="565" customFormat="1">
      <c r="A41" s="569" t="s">
        <v>151</v>
      </c>
      <c r="B41" s="566">
        <f>'Sources and Uses Budget'!C41</f>
        <v>0</v>
      </c>
      <c r="C41" s="567"/>
      <c r="D41" s="567"/>
      <c r="E41" s="566">
        <f>'Sources and Uses Budget'!S41</f>
        <v>0</v>
      </c>
      <c r="F41" s="567"/>
      <c r="G41" s="567"/>
      <c r="H41" s="566">
        <f>'Sources and Uses Budget'!T41</f>
        <v>0</v>
      </c>
      <c r="I41" s="567"/>
      <c r="J41" s="567"/>
      <c r="K41" s="564"/>
    </row>
    <row r="42" spans="1:11" s="565" customFormat="1">
      <c r="A42" s="570" t="s">
        <v>152</v>
      </c>
      <c r="B42" s="566">
        <f>'Sources and Uses Budget'!C42</f>
        <v>1986888</v>
      </c>
      <c r="C42" s="566">
        <f>SUM(C39:C41)</f>
        <v>0</v>
      </c>
      <c r="D42" s="566">
        <f>SUM(D39:D41)</f>
        <v>0</v>
      </c>
      <c r="E42" s="566">
        <f>'Sources and Uses Budget'!S42</f>
        <v>1986888</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958222</v>
      </c>
      <c r="C43" s="567"/>
      <c r="D43" s="567"/>
      <c r="E43" s="566">
        <f>'Sources and Uses Budget'!S43</f>
        <v>958222</v>
      </c>
      <c r="F43" s="567"/>
      <c r="G43" s="567"/>
      <c r="H43" s="566">
        <f>'Sources and Uses Budget'!T43</f>
        <v>0</v>
      </c>
      <c r="I43" s="567"/>
      <c r="J43" s="567"/>
      <c r="K43" s="564"/>
    </row>
    <row r="44" spans="1:11" s="565" customFormat="1" ht="12">
      <c r="A44" s="562" t="s">
        <v>154</v>
      </c>
      <c r="B44" s="563"/>
      <c r="C44" s="563"/>
      <c r="D44" s="563"/>
      <c r="E44" s="563"/>
      <c r="F44" s="563"/>
      <c r="G44" s="563"/>
      <c r="H44" s="563"/>
      <c r="I44" s="563"/>
      <c r="J44" s="563"/>
      <c r="K44" s="564"/>
    </row>
    <row r="45" spans="1:11" s="565" customFormat="1">
      <c r="A45" s="569" t="s">
        <v>155</v>
      </c>
      <c r="B45" s="566">
        <f>'Sources and Uses Budget'!C45</f>
        <v>2966987</v>
      </c>
      <c r="C45" s="567"/>
      <c r="D45" s="567"/>
      <c r="E45" s="566">
        <f>'Sources and Uses Budget'!S45</f>
        <v>1962569</v>
      </c>
      <c r="F45" s="567"/>
      <c r="G45" s="567"/>
      <c r="H45" s="566">
        <f>'Sources and Uses Budget'!T45</f>
        <v>0</v>
      </c>
      <c r="I45" s="567"/>
      <c r="J45" s="567"/>
      <c r="K45" s="564"/>
    </row>
    <row r="46" spans="1:11" s="565" customFormat="1">
      <c r="A46" s="569" t="s">
        <v>156</v>
      </c>
      <c r="B46" s="566">
        <f>'Sources and Uses Budget'!C46</f>
        <v>390170</v>
      </c>
      <c r="C46" s="567"/>
      <c r="D46" s="567"/>
      <c r="E46" s="566">
        <f>'Sources and Uses Budget'!S46</f>
        <v>239285</v>
      </c>
      <c r="F46" s="567"/>
      <c r="G46" s="567"/>
      <c r="H46" s="566">
        <f>'Sources and Uses Budget'!T46</f>
        <v>0</v>
      </c>
      <c r="I46" s="567"/>
      <c r="J46" s="567"/>
      <c r="K46" s="564"/>
    </row>
    <row r="47" spans="1:11" s="565" customFormat="1" ht="12" customHeight="1">
      <c r="A47" s="569" t="s">
        <v>157</v>
      </c>
      <c r="B47" s="566">
        <f>'Sources and Uses Budget'!C47</f>
        <v>38835</v>
      </c>
      <c r="C47" s="567"/>
      <c r="D47" s="567"/>
      <c r="E47" s="566">
        <f>'Sources and Uses Budget'!S47</f>
        <v>23817</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529164</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90313</v>
      </c>
      <c r="C50" s="567"/>
      <c r="D50" s="567"/>
      <c r="E50" s="566">
        <f>'Sources and Uses Budget'!S50</f>
        <v>90313</v>
      </c>
      <c r="F50" s="567"/>
      <c r="G50" s="567"/>
      <c r="H50" s="566">
        <f>'Sources and Uses Budget'!T50</f>
        <v>0</v>
      </c>
      <c r="I50" s="567"/>
      <c r="J50" s="567"/>
      <c r="K50" s="564"/>
    </row>
    <row r="51" spans="1:11" s="565" customFormat="1">
      <c r="A51" s="569" t="s">
        <v>159</v>
      </c>
      <c r="B51" s="566">
        <f>'Sources and Uses Budget'!C51</f>
        <v>256489</v>
      </c>
      <c r="C51" s="567"/>
      <c r="D51" s="567"/>
      <c r="E51" s="566">
        <f>'Sources and Uses Budget'!S51</f>
        <v>256489</v>
      </c>
      <c r="F51" s="567"/>
      <c r="G51" s="567"/>
      <c r="H51" s="566">
        <f>'Sources and Uses Budget'!T51</f>
        <v>0</v>
      </c>
      <c r="I51" s="567"/>
      <c r="J51" s="567"/>
      <c r="K51" s="564"/>
    </row>
    <row r="52" spans="1:11" s="565" customFormat="1">
      <c r="A52" s="569" t="s">
        <v>160</v>
      </c>
      <c r="B52" s="566">
        <f>'Sources and Uses Budget'!C52</f>
        <v>722505</v>
      </c>
      <c r="C52" s="567"/>
      <c r="D52" s="567"/>
      <c r="E52" s="566">
        <f>'Sources and Uses Budget'!S52</f>
        <v>722505</v>
      </c>
      <c r="F52" s="567"/>
      <c r="G52" s="567"/>
      <c r="H52" s="566">
        <f>'Sources and Uses Budget'!T52</f>
        <v>0</v>
      </c>
      <c r="I52" s="567"/>
      <c r="J52" s="567"/>
      <c r="K52" s="564"/>
    </row>
    <row r="53" spans="1:11" s="565" customFormat="1">
      <c r="A53" s="572" t="str">
        <f>'Sources and Uses Budget'!$A53</f>
        <v>Other: (Specify)</v>
      </c>
      <c r="B53" s="566">
        <f>'Sources and Uses Budget'!C53</f>
        <v>0</v>
      </c>
      <c r="C53" s="567"/>
      <c r="D53" s="567"/>
      <c r="E53" s="566">
        <f>'Sources and Uses Budget'!S53</f>
        <v>0</v>
      </c>
      <c r="F53" s="567"/>
      <c r="G53" s="567"/>
      <c r="H53" s="566">
        <f>'Sources and Uses Budget'!T53</f>
        <v>0</v>
      </c>
      <c r="I53" s="567"/>
      <c r="J53" s="567"/>
      <c r="K53" s="564"/>
    </row>
    <row r="54" spans="1:11" s="576" customFormat="1">
      <c r="A54" s="570" t="s">
        <v>162</v>
      </c>
      <c r="B54" s="566">
        <f>'Sources and Uses Budget'!C54</f>
        <v>4994463</v>
      </c>
      <c r="C54" s="573">
        <f>SUM(C45:C53)</f>
        <v>0</v>
      </c>
      <c r="D54" s="573">
        <f>SUM(D45:D53)</f>
        <v>0</v>
      </c>
      <c r="E54" s="566">
        <f>'Sources and Uses Budget'!S54</f>
        <v>3294978</v>
      </c>
      <c r="F54" s="573">
        <f>SUM(F45:F53)</f>
        <v>0</v>
      </c>
      <c r="G54" s="573">
        <f>SUM(G45:G53)</f>
        <v>0</v>
      </c>
      <c r="H54" s="566">
        <f>'Sources and Uses Budget'!T54</f>
        <v>0</v>
      </c>
      <c r="I54" s="573">
        <f>SUM(I45:I53)</f>
        <v>0</v>
      </c>
      <c r="J54" s="573">
        <f>SUM(J45:J53)</f>
        <v>0</v>
      </c>
      <c r="K54" s="575"/>
    </row>
    <row r="55" spans="1:11" s="565" customFormat="1" ht="12">
      <c r="A55" s="562" t="s">
        <v>441</v>
      </c>
      <c r="B55" s="563"/>
      <c r="C55" s="563"/>
      <c r="D55" s="563"/>
      <c r="E55" s="563"/>
      <c r="F55" s="563"/>
      <c r="G55" s="563"/>
      <c r="H55" s="563"/>
      <c r="I55" s="563"/>
      <c r="J55" s="563"/>
      <c r="K55" s="564"/>
    </row>
    <row r="56" spans="1:11" s="565" customFormat="1">
      <c r="A56" s="569" t="s">
        <v>163</v>
      </c>
      <c r="B56" s="566">
        <f>'Sources and Uses Budget'!C56</f>
        <v>176381</v>
      </c>
      <c r="C56" s="567"/>
      <c r="D56" s="567"/>
      <c r="E56" s="568"/>
      <c r="F56" s="568"/>
      <c r="G56" s="568"/>
      <c r="H56" s="568"/>
      <c r="I56" s="568"/>
      <c r="J56" s="568"/>
      <c r="K56" s="564"/>
    </row>
    <row r="57" spans="1:11" s="565" customFormat="1" ht="12" customHeight="1">
      <c r="A57" s="569" t="s">
        <v>157</v>
      </c>
      <c r="B57" s="566">
        <f>'Sources and Uses Budget'!C57</f>
        <v>9031</v>
      </c>
      <c r="C57" s="567"/>
      <c r="D57" s="567"/>
      <c r="E57" s="568"/>
      <c r="F57" s="568"/>
      <c r="G57" s="568"/>
      <c r="H57" s="568"/>
      <c r="I57" s="568"/>
      <c r="J57" s="568"/>
      <c r="K57" s="564"/>
    </row>
    <row r="58" spans="1:11" s="565" customFormat="1">
      <c r="A58" s="569" t="s">
        <v>161</v>
      </c>
      <c r="B58" s="566">
        <f>'Sources and Uses Budget'!C58</f>
        <v>27095</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Other: (Specify)</v>
      </c>
      <c r="B61" s="566">
        <f>'Sources and Uses Budget'!C61</f>
        <v>0</v>
      </c>
      <c r="C61" s="567"/>
      <c r="D61" s="567"/>
      <c r="E61" s="568"/>
      <c r="F61" s="568"/>
      <c r="G61" s="568"/>
      <c r="H61" s="568"/>
      <c r="I61" s="568"/>
      <c r="J61" s="568"/>
      <c r="K61" s="564"/>
    </row>
    <row r="62" spans="1:11" s="565" customFormat="1" ht="13.75" customHeight="1">
      <c r="A62" s="570" t="s">
        <v>311</v>
      </c>
      <c r="B62" s="566">
        <f>'Sources and Uses Budget'!C62</f>
        <v>212507</v>
      </c>
      <c r="C62" s="566">
        <f>SUM(C56:C61)</f>
        <v>0</v>
      </c>
      <c r="D62" s="566">
        <f>SUM(D56:D61)</f>
        <v>0</v>
      </c>
      <c r="E62" s="568"/>
      <c r="F62" s="568"/>
      <c r="G62" s="568"/>
      <c r="H62" s="568"/>
      <c r="I62" s="568"/>
      <c r="J62" s="568"/>
      <c r="K62" s="564"/>
    </row>
    <row r="63" spans="1:11" s="565" customFormat="1">
      <c r="A63" s="577" t="s">
        <v>312</v>
      </c>
      <c r="B63" s="566">
        <f>'Sources and Uses Budget'!C63</f>
        <v>56747106</v>
      </c>
      <c r="C63" s="566">
        <f>SUM(C8+C11+C13+C14+C15+C26+C27+C38+C42+C43+C54+C62)</f>
        <v>0</v>
      </c>
      <c r="D63" s="566">
        <f>SUM(D8+D11+D13+D14+D15+D26+D27+D38+D42+D43+D54+D62)</f>
        <v>0</v>
      </c>
      <c r="E63" s="566">
        <f>'Sources and Uses Budget'!S63</f>
        <v>53881382</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2012</v>
      </c>
      <c r="B64" s="563"/>
      <c r="C64" s="563"/>
      <c r="D64" s="563"/>
      <c r="E64" s="563"/>
      <c r="F64" s="563"/>
      <c r="G64" s="563"/>
      <c r="H64" s="563"/>
      <c r="I64" s="563"/>
      <c r="J64" s="563"/>
      <c r="K64" s="564"/>
    </row>
    <row r="65" spans="1:11" s="565" customFormat="1">
      <c r="A65" s="215" t="s">
        <v>176</v>
      </c>
      <c r="B65" s="566">
        <f>'Sources and Uses Budget'!C65</f>
        <v>72250</v>
      </c>
      <c r="C65" s="567"/>
      <c r="D65" s="567"/>
      <c r="E65" s="566">
        <f>'Sources and Uses Budget'!S65</f>
        <v>30463</v>
      </c>
      <c r="F65" s="567"/>
      <c r="G65" s="567"/>
      <c r="H65" s="566">
        <f>'Sources and Uses Budget'!T65</f>
        <v>0</v>
      </c>
      <c r="I65" s="567"/>
      <c r="J65" s="567"/>
      <c r="K65" s="564"/>
    </row>
    <row r="66" spans="1:11" s="565" customFormat="1" ht="23">
      <c r="A66" s="441" t="s">
        <v>2009</v>
      </c>
      <c r="B66" s="566">
        <f>'Sources and Uses Budget'!C66</f>
        <v>0</v>
      </c>
      <c r="C66" s="567"/>
      <c r="D66" s="567"/>
      <c r="E66" s="566">
        <f>'Sources and Uses Budget'!S66</f>
        <v>0</v>
      </c>
      <c r="F66" s="567"/>
      <c r="G66" s="567"/>
      <c r="H66" s="566">
        <f>'Sources and Uses Budget'!T66</f>
        <v>0</v>
      </c>
      <c r="I66" s="567"/>
      <c r="J66" s="567"/>
      <c r="K66" s="564"/>
    </row>
    <row r="67" spans="1:11" s="565" customFormat="1" ht="23">
      <c r="A67" s="441" t="s">
        <v>2010</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2016</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GP/Sponsor Legal</v>
      </c>
      <c r="B69" s="566">
        <f>'Sources and Uses Budget'!C69</f>
        <v>94829</v>
      </c>
      <c r="C69" s="567"/>
      <c r="D69" s="567"/>
      <c r="E69" s="566">
        <f>'Sources and Uses Budget'!S69</f>
        <v>67735</v>
      </c>
      <c r="F69" s="567"/>
      <c r="G69" s="567"/>
      <c r="H69" s="566">
        <f>'Sources and Uses Budget'!T69</f>
        <v>0</v>
      </c>
      <c r="I69" s="567"/>
      <c r="J69" s="567"/>
      <c r="K69" s="564"/>
    </row>
    <row r="70" spans="1:11" s="565" customFormat="1">
      <c r="A70" s="570" t="s">
        <v>638</v>
      </c>
      <c r="B70" s="566">
        <f>'Sources and Uses Budget'!C70</f>
        <v>167079</v>
      </c>
      <c r="C70" s="566">
        <f>SUM(C64:C69)</f>
        <v>0</v>
      </c>
      <c r="D70" s="566">
        <f>SUM(D64:D69)</f>
        <v>0</v>
      </c>
      <c r="E70" s="566">
        <f>'Sources and Uses Budget'!S70</f>
        <v>98198</v>
      </c>
      <c r="F70" s="573">
        <f>SUM(F65:F69)</f>
        <v>0</v>
      </c>
      <c r="G70" s="573">
        <f>SUM(G65:G69)</f>
        <v>0</v>
      </c>
      <c r="H70" s="566">
        <f>'Sources and Uses Budget'!T70</f>
        <v>0</v>
      </c>
      <c r="I70" s="573">
        <f>SUM(I65:I69)</f>
        <v>0</v>
      </c>
      <c r="J70" s="573">
        <f>SUM(J65:J69)</f>
        <v>0</v>
      </c>
      <c r="K70" s="564"/>
    </row>
    <row r="71" spans="1:11" s="565" customFormat="1" ht="12">
      <c r="A71" s="562" t="s">
        <v>639</v>
      </c>
      <c r="B71" s="563"/>
      <c r="C71" s="563"/>
      <c r="D71" s="563"/>
      <c r="E71" s="563"/>
      <c r="F71" s="563"/>
      <c r="G71" s="563"/>
      <c r="H71" s="563"/>
      <c r="I71" s="563"/>
      <c r="J71" s="563"/>
      <c r="K71" s="564"/>
    </row>
    <row r="72" spans="1:11" s="565" customFormat="1">
      <c r="A72" s="569" t="s">
        <v>640</v>
      </c>
      <c r="B72" s="566">
        <f>'Sources and Uses Budget'!C72</f>
        <v>0</v>
      </c>
      <c r="C72" s="567"/>
      <c r="D72" s="567"/>
      <c r="E72" s="568"/>
      <c r="F72" s="568"/>
      <c r="G72" s="568"/>
      <c r="H72" s="568"/>
      <c r="I72" s="568"/>
      <c r="J72" s="568"/>
      <c r="K72" s="564"/>
    </row>
    <row r="73" spans="1:11" s="565" customFormat="1">
      <c r="A73" s="569" t="s">
        <v>641</v>
      </c>
      <c r="B73" s="566">
        <f>'Sources and Uses Budget'!C73</f>
        <v>363501</v>
      </c>
      <c r="C73" s="567"/>
      <c r="D73" s="567"/>
      <c r="E73" s="568"/>
      <c r="F73" s="568"/>
      <c r="G73" s="568"/>
      <c r="H73" s="568"/>
      <c r="I73" s="568"/>
      <c r="J73" s="568"/>
      <c r="K73" s="564"/>
    </row>
    <row r="74" spans="1:11" s="565" customFormat="1">
      <c r="A74" s="740" t="s">
        <v>1089</v>
      </c>
      <c r="B74" s="566">
        <f>'Sources and Uses Budget'!C74</f>
        <v>0</v>
      </c>
      <c r="C74" s="567"/>
      <c r="D74" s="567"/>
      <c r="E74" s="568"/>
      <c r="F74" s="568"/>
      <c r="G74" s="568"/>
      <c r="H74" s="568"/>
      <c r="I74" s="568"/>
      <c r="J74" s="568"/>
      <c r="K74" s="564"/>
    </row>
    <row r="75" spans="1:11" s="565" customFormat="1">
      <c r="A75" s="569" t="s">
        <v>642</v>
      </c>
      <c r="B75" s="566">
        <f>'Sources and Uses Budget'!C75</f>
        <v>337775</v>
      </c>
      <c r="C75" s="567"/>
      <c r="D75" s="567"/>
      <c r="E75" s="568"/>
      <c r="F75" s="568"/>
      <c r="G75" s="568"/>
      <c r="H75" s="568"/>
      <c r="I75" s="568"/>
      <c r="J75" s="568"/>
      <c r="K75" s="564"/>
    </row>
    <row r="76" spans="1:11" s="565" customFormat="1">
      <c r="A76" s="572" t="str">
        <f>'Sources and Uses Budget'!$A76</f>
        <v>Other: (Specify)</v>
      </c>
      <c r="B76" s="566">
        <f>'Sources and Uses Budget'!C76</f>
        <v>0</v>
      </c>
      <c r="C76" s="567"/>
      <c r="D76" s="567"/>
      <c r="E76" s="568"/>
      <c r="F76" s="568"/>
      <c r="G76" s="568"/>
      <c r="H76" s="568"/>
      <c r="I76" s="568"/>
      <c r="J76" s="568"/>
      <c r="K76" s="564"/>
    </row>
    <row r="77" spans="1:11" s="565" customFormat="1">
      <c r="A77" s="570" t="s">
        <v>643</v>
      </c>
      <c r="B77" s="566">
        <f>'Sources and Uses Budget'!C77</f>
        <v>701276</v>
      </c>
      <c r="C77" s="566">
        <f>SUM(C72:C76)</f>
        <v>0</v>
      </c>
      <c r="D77" s="566">
        <f>SUM(D72:D76)</f>
        <v>0</v>
      </c>
      <c r="E77" s="568"/>
      <c r="F77" s="568"/>
      <c r="G77" s="568"/>
      <c r="H77" s="568"/>
      <c r="I77" s="568"/>
      <c r="J77" s="568"/>
      <c r="K77" s="564"/>
    </row>
    <row r="78" spans="1:11" s="565" customFormat="1" ht="12">
      <c r="A78" s="562" t="s">
        <v>1427</v>
      </c>
      <c r="B78" s="563"/>
      <c r="C78" s="563"/>
      <c r="D78" s="563"/>
      <c r="E78" s="563"/>
      <c r="F78" s="563"/>
      <c r="G78" s="563"/>
      <c r="H78" s="563"/>
      <c r="I78" s="563"/>
      <c r="J78" s="563"/>
      <c r="K78" s="564"/>
    </row>
    <row r="79" spans="1:11" s="565" customFormat="1">
      <c r="A79" s="569" t="s">
        <v>1429</v>
      </c>
      <c r="B79" s="566">
        <f>'Sources and Uses Budget'!C79</f>
        <v>2341755</v>
      </c>
      <c r="C79" s="567"/>
      <c r="D79" s="567"/>
      <c r="E79" s="566">
        <f>'Sources and Uses Budget'!S79</f>
        <v>2341755</v>
      </c>
      <c r="F79" s="567"/>
      <c r="G79" s="567"/>
      <c r="H79" s="566">
        <f>'Sources and Uses Budget'!T79</f>
        <v>0</v>
      </c>
      <c r="I79" s="567"/>
      <c r="J79" s="567"/>
      <c r="K79" s="564"/>
    </row>
    <row r="80" spans="1:11" s="565" customFormat="1">
      <c r="A80" s="569" t="s">
        <v>61</v>
      </c>
      <c r="B80" s="566">
        <f>'Sources and Uses Budget'!C80</f>
        <v>361252</v>
      </c>
      <c r="C80" s="567"/>
      <c r="D80" s="567"/>
      <c r="E80" s="566">
        <f>'Sources and Uses Budget'!S80</f>
        <v>361252</v>
      </c>
      <c r="F80" s="567"/>
      <c r="G80" s="567"/>
      <c r="H80" s="566">
        <f>'Sources and Uses Budget'!T80</f>
        <v>0</v>
      </c>
      <c r="I80" s="567"/>
      <c r="J80" s="567"/>
      <c r="K80" s="564"/>
    </row>
    <row r="81" spans="1:11" s="565" customFormat="1">
      <c r="A81" s="570" t="s">
        <v>1426</v>
      </c>
      <c r="B81" s="566">
        <f>'Sources and Uses Budget'!C81</f>
        <v>2703007</v>
      </c>
      <c r="C81" s="566">
        <f>SUM(C79:C80)</f>
        <v>0</v>
      </c>
      <c r="D81" s="566">
        <f>SUM(D79:D80)</f>
        <v>0</v>
      </c>
      <c r="E81" s="566">
        <f>'Sources and Uses Budget'!S81</f>
        <v>2703007</v>
      </c>
      <c r="F81" s="566">
        <f>SUM(F79:F80)</f>
        <v>0</v>
      </c>
      <c r="G81" s="566">
        <f>SUM(G79:G80)</f>
        <v>0</v>
      </c>
      <c r="H81" s="566">
        <f>'Sources and Uses Budget'!T81</f>
        <v>0</v>
      </c>
      <c r="I81" s="566">
        <f>SUM(I79:I80)</f>
        <v>0</v>
      </c>
      <c r="J81" s="566">
        <f>SUM(J79:J80)</f>
        <v>0</v>
      </c>
      <c r="K81" s="564"/>
    </row>
    <row r="82" spans="1:11" s="565" customFormat="1" ht="12">
      <c r="A82" s="562" t="s">
        <v>827</v>
      </c>
      <c r="B82" s="563"/>
      <c r="C82" s="563"/>
      <c r="D82" s="563"/>
      <c r="E82" s="563"/>
      <c r="F82" s="563"/>
      <c r="G82" s="563"/>
      <c r="H82" s="563"/>
      <c r="I82" s="563"/>
      <c r="J82" s="563"/>
      <c r="K82" s="564"/>
    </row>
    <row r="83" spans="1:11" s="565" customFormat="1" ht="13.75" customHeight="1">
      <c r="A83" s="215" t="s">
        <v>828</v>
      </c>
      <c r="B83" s="566">
        <f>'Sources and Uses Budget'!C83</f>
        <v>66473</v>
      </c>
      <c r="C83" s="567"/>
      <c r="D83" s="567"/>
      <c r="E83" s="568"/>
      <c r="F83" s="568"/>
      <c r="G83" s="568"/>
      <c r="H83" s="568"/>
      <c r="I83" s="568"/>
      <c r="J83" s="568"/>
      <c r="K83" s="564"/>
    </row>
    <row r="84" spans="1:11" s="565" customFormat="1">
      <c r="A84" s="215" t="s">
        <v>829</v>
      </c>
      <c r="B84" s="566">
        <f>'Sources and Uses Budget'!C84</f>
        <v>113795</v>
      </c>
      <c r="C84" s="567"/>
      <c r="D84" s="567"/>
      <c r="E84" s="566">
        <f>'Sources and Uses Budget'!S84</f>
        <v>113795</v>
      </c>
      <c r="F84" s="567"/>
      <c r="G84" s="567"/>
      <c r="H84" s="566">
        <f>'Sources and Uses Budget'!T84</f>
        <v>0</v>
      </c>
      <c r="I84" s="567"/>
      <c r="J84" s="567"/>
      <c r="K84" s="564"/>
    </row>
    <row r="85" spans="1:11" s="565" customFormat="1">
      <c r="A85" s="215" t="s">
        <v>830</v>
      </c>
      <c r="B85" s="566">
        <f>'Sources and Uses Budget'!C85</f>
        <v>1027656</v>
      </c>
      <c r="C85" s="567"/>
      <c r="D85" s="567"/>
      <c r="E85" s="566">
        <f>'Sources and Uses Budget'!S85</f>
        <v>1027656</v>
      </c>
      <c r="F85" s="567"/>
      <c r="G85" s="567"/>
      <c r="H85" s="566">
        <f>'Sources and Uses Budget'!T85</f>
        <v>0</v>
      </c>
      <c r="I85" s="567"/>
      <c r="J85" s="567"/>
      <c r="K85" s="564"/>
    </row>
    <row r="86" spans="1:11" s="565" customFormat="1">
      <c r="A86" s="215" t="s">
        <v>831</v>
      </c>
      <c r="B86" s="566">
        <f>'Sources and Uses Budget'!C86</f>
        <v>812818</v>
      </c>
      <c r="C86" s="567"/>
      <c r="D86" s="567"/>
      <c r="E86" s="566">
        <f>'Sources and Uses Budget'!S86</f>
        <v>812818</v>
      </c>
      <c r="F86" s="567"/>
      <c r="G86" s="567"/>
      <c r="H86" s="566">
        <f>'Sources and Uses Budget'!T86</f>
        <v>0</v>
      </c>
      <c r="I86" s="567"/>
      <c r="J86" s="567"/>
      <c r="K86" s="564"/>
    </row>
    <row r="87" spans="1:11" s="565" customFormat="1">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833</v>
      </c>
      <c r="B88" s="566">
        <f>'Sources and Uses Budget'!C88</f>
        <v>150000</v>
      </c>
      <c r="C88" s="567"/>
      <c r="D88" s="567"/>
      <c r="E88" s="568"/>
      <c r="F88" s="568"/>
      <c r="G88" s="568"/>
      <c r="H88" s="568"/>
      <c r="I88" s="568"/>
      <c r="J88" s="568"/>
      <c r="K88" s="564"/>
    </row>
    <row r="89" spans="1:11" s="565" customFormat="1">
      <c r="A89" s="215" t="s">
        <v>834</v>
      </c>
      <c r="B89" s="566">
        <f>'Sources and Uses Budget'!C89</f>
        <v>200000</v>
      </c>
      <c r="C89" s="567"/>
      <c r="D89" s="567"/>
      <c r="E89" s="566">
        <f>'Sources and Uses Budget'!S89</f>
        <v>200000</v>
      </c>
      <c r="F89" s="567"/>
      <c r="G89" s="567"/>
      <c r="H89" s="566">
        <f>'Sources and Uses Budget'!T89</f>
        <v>0</v>
      </c>
      <c r="I89" s="567"/>
      <c r="J89" s="567"/>
      <c r="K89" s="564"/>
    </row>
    <row r="90" spans="1:11" s="565" customFormat="1">
      <c r="A90" s="215" t="s">
        <v>835</v>
      </c>
      <c r="B90" s="566">
        <f>'Sources and Uses Budget'!C90</f>
        <v>8000</v>
      </c>
      <c r="C90" s="567"/>
      <c r="D90" s="567"/>
      <c r="E90" s="566">
        <f>'Sources and Uses Budget'!S90</f>
        <v>0</v>
      </c>
      <c r="F90" s="567"/>
      <c r="G90" s="567"/>
      <c r="H90" s="566">
        <f>'Sources and Uses Budget'!T90</f>
        <v>0</v>
      </c>
      <c r="I90" s="567"/>
      <c r="J90" s="567"/>
      <c r="K90" s="564"/>
    </row>
    <row r="91" spans="1:11" s="565" customFormat="1">
      <c r="A91" s="226" t="s">
        <v>392</v>
      </c>
      <c r="B91" s="566">
        <f>'Sources and Uses Budget'!C91</f>
        <v>0</v>
      </c>
      <c r="C91" s="567"/>
      <c r="D91" s="567"/>
      <c r="E91" s="566">
        <f>'Sources and Uses Budget'!S91</f>
        <v>0</v>
      </c>
      <c r="F91" s="567"/>
      <c r="G91" s="567"/>
      <c r="H91" s="566">
        <f>'Sources and Uses Budget'!T91</f>
        <v>0</v>
      </c>
      <c r="I91" s="567"/>
      <c r="J91" s="567"/>
      <c r="K91" s="564"/>
    </row>
    <row r="92" spans="1:11" s="565" customFormat="1">
      <c r="A92" s="860" t="s">
        <v>1428</v>
      </c>
      <c r="B92" s="566">
        <f>'Sources and Uses Budget'!C92</f>
        <v>9031</v>
      </c>
      <c r="C92" s="567"/>
      <c r="D92" s="567"/>
      <c r="E92" s="566">
        <f>'Sources and Uses Budget'!S92</f>
        <v>9031</v>
      </c>
      <c r="F92" s="567"/>
      <c r="G92" s="567"/>
      <c r="H92" s="566">
        <f>'Sources and Uses Budget'!T92</f>
        <v>0</v>
      </c>
      <c r="I92" s="567"/>
      <c r="J92" s="567"/>
      <c r="K92" s="564"/>
    </row>
    <row r="93" spans="1:11" s="565" customFormat="1">
      <c r="A93" s="572" t="str">
        <f>'Sources and Uses Budget'!$A93</f>
        <v>Other: (Specify)</v>
      </c>
      <c r="B93" s="566">
        <f>'Sources and Uses Budget'!C93</f>
        <v>0</v>
      </c>
      <c r="C93" s="567"/>
      <c r="D93" s="567"/>
      <c r="E93" s="566">
        <f>'Sources and Uses Budget'!S93</f>
        <v>0</v>
      </c>
      <c r="F93" s="567"/>
      <c r="G93" s="567"/>
      <c r="H93" s="566">
        <f>'Sources and Uses Budget'!T93</f>
        <v>0</v>
      </c>
      <c r="I93" s="567"/>
      <c r="J93" s="567"/>
      <c r="K93" s="564"/>
    </row>
    <row r="94" spans="1:11" s="565" customFormat="1">
      <c r="A94" s="572" t="str">
        <f>'Sources and Uses Budget'!$A94</f>
        <v>Other: (Specify)</v>
      </c>
      <c r="B94" s="566">
        <f>'Sources and Uses Budget'!C94</f>
        <v>0</v>
      </c>
      <c r="C94" s="567"/>
      <c r="D94" s="567"/>
      <c r="E94" s="566">
        <f>'Sources and Uses Budget'!S94</f>
        <v>0</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836</v>
      </c>
      <c r="B96" s="566">
        <f>'Sources and Uses Budget'!C96</f>
        <v>2387773</v>
      </c>
      <c r="C96" s="566">
        <f>SUM(C83:C95)</f>
        <v>0</v>
      </c>
      <c r="D96" s="566">
        <f>SUM(D83:D95)</f>
        <v>0</v>
      </c>
      <c r="E96" s="566">
        <f>'Sources and Uses Budget'!S96</f>
        <v>2163300</v>
      </c>
      <c r="F96" s="573">
        <f>SUM(F84:F87,F89:F95)</f>
        <v>0</v>
      </c>
      <c r="G96" s="573">
        <f>SUM(G84:G87,G89:G95)</f>
        <v>0</v>
      </c>
      <c r="H96" s="566">
        <f>'Sources and Uses Budget'!T96</f>
        <v>0</v>
      </c>
      <c r="I96" s="566">
        <f>SUM(I84:I87,I89:I95)</f>
        <v>0</v>
      </c>
      <c r="J96" s="566">
        <f>SUM(J84:J87,J89:J95)</f>
        <v>0</v>
      </c>
      <c r="K96" s="564"/>
    </row>
    <row r="97" spans="1:11" s="565" customFormat="1">
      <c r="A97" s="570" t="s">
        <v>1145</v>
      </c>
      <c r="B97" s="566">
        <f>'Sources and Uses Budget'!C97</f>
        <v>62706241</v>
      </c>
      <c r="C97" s="566">
        <f>SUM(C63+C70+C77+C81+C96)</f>
        <v>0</v>
      </c>
      <c r="D97" s="566">
        <f>SUM(D63+D70+D77+D81+D96)</f>
        <v>0</v>
      </c>
      <c r="E97" s="566">
        <f>'Sources and Uses Budget'!S97</f>
        <v>58845887</v>
      </c>
      <c r="F97" s="573">
        <f>SUM(+F63+F70+F81+F96)</f>
        <v>0</v>
      </c>
      <c r="G97" s="573">
        <f>SUM(+G63+G70+G81+G96)</f>
        <v>0</v>
      </c>
      <c r="H97" s="566">
        <f>'Sources and Uses Budget'!T97</f>
        <v>0</v>
      </c>
      <c r="I97" s="573">
        <f>SUM(I63+I70+I81+I96)</f>
        <v>0</v>
      </c>
      <c r="J97" s="573">
        <f>SUM(J63+J70+J81+J96)</f>
        <v>0</v>
      </c>
      <c r="K97" s="564"/>
    </row>
    <row r="98" spans="1:11" s="565" customFormat="1" ht="12">
      <c r="A98" s="562" t="s">
        <v>838</v>
      </c>
      <c r="B98" s="563"/>
      <c r="C98" s="563"/>
      <c r="D98" s="563"/>
      <c r="E98" s="563"/>
      <c r="F98" s="563"/>
      <c r="G98" s="563"/>
      <c r="H98" s="563"/>
      <c r="I98" s="563"/>
      <c r="J98" s="563"/>
      <c r="K98" s="564"/>
    </row>
    <row r="99" spans="1:11" s="565" customFormat="1">
      <c r="A99" s="215" t="s">
        <v>839</v>
      </c>
      <c r="B99" s="566">
        <f>'Sources and Uses Budget'!C99</f>
        <v>3985916</v>
      </c>
      <c r="C99" s="567"/>
      <c r="D99" s="567"/>
      <c r="E99" s="566">
        <f>'Sources and Uses Budget'!S99</f>
        <v>3985916</v>
      </c>
      <c r="F99" s="567"/>
      <c r="G99" s="567"/>
      <c r="H99" s="566">
        <f>'Sources and Uses Budget'!T99</f>
        <v>0</v>
      </c>
      <c r="I99" s="567"/>
      <c r="J99" s="567"/>
      <c r="K99" s="564"/>
    </row>
    <row r="100" spans="1:11" s="565" customFormat="1">
      <c r="A100" s="441" t="s">
        <v>2014</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2015</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3985916</v>
      </c>
      <c r="C104" s="566">
        <f>SUM(C99:C103)</f>
        <v>0</v>
      </c>
      <c r="D104" s="566">
        <f>SUM(D99:D103)</f>
        <v>0</v>
      </c>
      <c r="E104" s="566">
        <f>'Sources and Uses Budget'!S104</f>
        <v>3985916</v>
      </c>
      <c r="F104" s="573">
        <f>SUM(F99:F103)</f>
        <v>0</v>
      </c>
      <c r="G104" s="573">
        <f>SUM(G99:G103)</f>
        <v>0</v>
      </c>
      <c r="H104" s="566">
        <f>'Sources and Uses Budget'!T104</f>
        <v>0</v>
      </c>
      <c r="I104" s="573">
        <f>SUM(I99:I103)</f>
        <v>0</v>
      </c>
      <c r="J104" s="573">
        <f>SUM(J99:J103)</f>
        <v>0</v>
      </c>
      <c r="K104" s="564"/>
    </row>
    <row r="105" spans="1:11" s="565" customFormat="1">
      <c r="A105" s="570" t="s">
        <v>1146</v>
      </c>
      <c r="B105" s="566">
        <f>'Sources and Uses Budget'!C105</f>
        <v>66692157</v>
      </c>
      <c r="C105" s="573">
        <f>SUM(C97+C104)</f>
        <v>0</v>
      </c>
      <c r="D105" s="573">
        <f>SUM(D97+D104)</f>
        <v>0</v>
      </c>
      <c r="E105" s="566">
        <f>'Sources and Uses Budget'!S105</f>
        <v>62831803</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62831803</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3">
      <c r="A111" s="585"/>
      <c r="B111" s="583"/>
      <c r="C111" s="583"/>
      <c r="D111" s="583"/>
      <c r="J111" s="584"/>
      <c r="K111" s="564"/>
    </row>
    <row r="112" spans="1:11" s="565" customFormat="1" ht="13">
      <c r="A112" s="585"/>
      <c r="B112" s="583"/>
      <c r="C112" s="583"/>
      <c r="D112" s="583"/>
      <c r="J112" s="584"/>
      <c r="K112" s="564"/>
    </row>
    <row r="113" spans="1:11" s="565" customFormat="1" ht="15">
      <c r="A113" s="586"/>
      <c r="B113" s="583"/>
      <c r="C113" s="583"/>
      <c r="D113" s="583"/>
      <c r="J113" s="584"/>
      <c r="K113" s="564"/>
    </row>
    <row r="114" spans="1:11" s="565" customFormat="1" ht="13">
      <c r="A114" s="585"/>
      <c r="J114" s="584"/>
      <c r="K114" s="564"/>
    </row>
    <row r="115" spans="1:11" s="565" customFormat="1" ht="15">
      <c r="A115" s="586"/>
      <c r="J115" s="584"/>
      <c r="K115" s="564"/>
    </row>
    <row r="116" spans="1:11" s="565" customFormat="1" ht="1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5">
      <c r="A121" s="586"/>
      <c r="J121" s="584"/>
      <c r="K121" s="564"/>
    </row>
    <row r="122" spans="1:11" s="589" customFormat="1" ht="15.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610"/>
      <c r="E124" s="2611"/>
      <c r="F124" s="2611"/>
      <c r="G124" s="2611"/>
      <c r="H124" s="2611"/>
      <c r="I124" s="2611"/>
      <c r="J124" s="584"/>
      <c r="K124" s="564"/>
    </row>
    <row r="125" spans="1:11" s="565" customFormat="1" ht="12.5">
      <c r="A125" s="595"/>
      <c r="B125" s="594"/>
      <c r="C125" s="595"/>
      <c r="D125" s="2611"/>
      <c r="E125" s="2611"/>
      <c r="F125" s="2611"/>
      <c r="G125" s="2611"/>
      <c r="H125" s="2611"/>
      <c r="I125" s="2611"/>
      <c r="J125" s="584"/>
      <c r="K125" s="564"/>
    </row>
    <row r="126" spans="1:11" s="565" customFormat="1" ht="12.5">
      <c r="A126" s="595"/>
      <c r="B126" s="594"/>
      <c r="C126" s="595"/>
      <c r="D126" s="2611"/>
      <c r="E126" s="2611"/>
      <c r="F126" s="2611"/>
      <c r="G126" s="2611"/>
      <c r="H126" s="2611"/>
      <c r="I126" s="2611"/>
      <c r="J126" s="584"/>
      <c r="K126" s="564"/>
    </row>
    <row r="127" spans="1:11" s="565" customFormat="1" ht="12.5">
      <c r="A127" s="595"/>
      <c r="B127" s="594"/>
      <c r="C127" s="595"/>
      <c r="D127" s="596"/>
      <c r="E127" s="595"/>
      <c r="F127" s="595"/>
      <c r="G127" s="595"/>
      <c r="J127" s="584"/>
      <c r="K127" s="564"/>
    </row>
    <row r="128" spans="1:11" s="565" customFormat="1" ht="12.5">
      <c r="A128" s="595"/>
      <c r="B128" s="594"/>
      <c r="C128" s="595"/>
      <c r="D128" s="596"/>
      <c r="E128" s="595"/>
      <c r="F128" s="595"/>
      <c r="G128" s="595"/>
      <c r="J128" s="584"/>
      <c r="K128" s="564"/>
    </row>
    <row r="129" spans="1:11" s="565" customFormat="1" ht="12.5">
      <c r="A129" s="595"/>
      <c r="B129" s="594"/>
      <c r="C129" s="595"/>
      <c r="D129" s="595"/>
      <c r="E129" s="595"/>
      <c r="F129" s="595"/>
      <c r="G129" s="595"/>
      <c r="J129" s="584"/>
      <c r="K129" s="564"/>
    </row>
    <row r="130" spans="1:11" s="565" customFormat="1" ht="12.5">
      <c r="A130" s="595"/>
      <c r="B130" s="594"/>
      <c r="C130" s="595"/>
      <c r="D130" s="595"/>
      <c r="E130" s="595"/>
      <c r="F130" s="595"/>
      <c r="G130" s="595"/>
      <c r="J130" s="584"/>
      <c r="K130" s="564"/>
    </row>
    <row r="131" spans="1:11" s="565" customFormat="1" ht="12.5">
      <c r="A131" s="595"/>
      <c r="B131" s="597"/>
      <c r="C131" s="595"/>
      <c r="D131" s="595"/>
      <c r="E131" s="595"/>
      <c r="F131" s="595"/>
      <c r="G131" s="595"/>
      <c r="J131" s="584"/>
      <c r="K131" s="564"/>
    </row>
    <row r="132" spans="1:11" s="565" customFormat="1" ht="13">
      <c r="A132" s="598"/>
      <c r="B132" s="599"/>
      <c r="C132" s="595"/>
      <c r="D132" s="600"/>
      <c r="E132" s="595"/>
      <c r="F132" s="595"/>
      <c r="G132" s="595"/>
      <c r="J132" s="584"/>
      <c r="K132" s="564"/>
    </row>
    <row r="133" spans="1:11" s="565" customFormat="1" ht="12.5">
      <c r="A133" s="601"/>
      <c r="B133" s="595"/>
      <c r="C133" s="595"/>
      <c r="D133" s="595"/>
      <c r="E133" s="595"/>
      <c r="F133" s="595"/>
      <c r="G133" s="595"/>
      <c r="J133" s="584"/>
      <c r="K133" s="564"/>
    </row>
    <row r="134" spans="1:11" s="565" customFormat="1" ht="12.5">
      <c r="A134" s="601"/>
      <c r="B134" s="595"/>
      <c r="C134" s="595"/>
      <c r="D134" s="595"/>
      <c r="E134" s="595"/>
      <c r="F134" s="595"/>
      <c r="G134" s="595"/>
      <c r="J134" s="584"/>
      <c r="K134" s="564"/>
    </row>
    <row r="135" spans="1:11" s="565" customFormat="1" ht="12.5">
      <c r="A135" s="602"/>
      <c r="B135" s="595"/>
      <c r="C135" s="595"/>
      <c r="D135" s="595"/>
      <c r="E135" s="595"/>
      <c r="F135" s="595"/>
      <c r="G135" s="595"/>
      <c r="J135" s="584"/>
      <c r="K135" s="564"/>
    </row>
    <row r="136" spans="1:11" s="565" customFormat="1" ht="13">
      <c r="A136" s="603"/>
      <c r="B136" s="595"/>
      <c r="C136" s="595"/>
      <c r="D136" s="595"/>
      <c r="E136" s="595"/>
      <c r="F136" s="595"/>
      <c r="G136" s="595"/>
      <c r="J136" s="584"/>
      <c r="K136" s="564"/>
    </row>
    <row r="137" spans="1:11" ht="12.5">
      <c r="A137" s="601"/>
      <c r="B137" s="595"/>
      <c r="C137" s="595"/>
      <c r="D137" s="595"/>
      <c r="E137" s="595"/>
      <c r="F137" s="595"/>
      <c r="G137" s="595"/>
    </row>
    <row r="138" spans="1:11" ht="12" customHeight="1">
      <c r="A138" s="601"/>
      <c r="B138" s="595"/>
      <c r="C138" s="595"/>
      <c r="D138" s="595"/>
      <c r="E138" s="595"/>
      <c r="F138" s="595"/>
      <c r="G138" s="595"/>
    </row>
    <row r="139" spans="1:11" ht="12" customHeight="1">
      <c r="A139" s="2612"/>
      <c r="B139" s="2613"/>
      <c r="C139" s="2613"/>
      <c r="D139" s="607"/>
      <c r="E139" s="595"/>
      <c r="F139" s="595"/>
      <c r="G139" s="595"/>
    </row>
    <row r="140" spans="1:11" ht="12" customHeight="1">
      <c r="A140" s="2614"/>
      <c r="B140" s="2615"/>
      <c r="C140" s="2615"/>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70" zoomScale="120" zoomScaleNormal="120" workbookViewId="0">
      <selection activeCell="AP4" sqref="AP4:AU4"/>
    </sheetView>
  </sheetViews>
  <sheetFormatPr defaultColWidth="2.6328125" defaultRowHeight="15.75" customHeight="1"/>
  <cols>
    <col min="1" max="37" width="2.6328125" style="1528"/>
    <col min="38" max="38" width="3" style="1528" customWidth="1"/>
    <col min="39" max="64" width="2.6328125" style="1528"/>
    <col min="65" max="65" width="6.1796875" style="1528" bestFit="1" customWidth="1"/>
    <col min="66" max="70" width="5.453125" style="1528" bestFit="1" customWidth="1"/>
    <col min="71" max="71" width="6.1796875" style="1528" bestFit="1" customWidth="1"/>
    <col min="72" max="76" width="5.453125" style="1528" bestFit="1" customWidth="1"/>
    <col min="77" max="77" width="6.1796875" style="1528" bestFit="1" customWidth="1"/>
    <col min="78" max="78" width="5.453125" style="1528" bestFit="1" customWidth="1"/>
    <col min="79" max="16384" width="2.6328125" style="1528"/>
  </cols>
  <sheetData>
    <row r="1" spans="1:58" ht="15.75" customHeight="1">
      <c r="A1" s="2619" t="s">
        <v>2047</v>
      </c>
      <c r="B1" s="2620"/>
      <c r="C1" s="2620"/>
      <c r="D1" s="2620"/>
      <c r="E1" s="2620"/>
      <c r="F1" s="2620"/>
      <c r="G1" s="2620"/>
      <c r="H1" s="2620"/>
      <c r="I1" s="2620"/>
      <c r="J1" s="2620"/>
      <c r="K1" s="2620"/>
      <c r="L1" s="2620"/>
      <c r="M1" s="2620"/>
      <c r="N1" s="2620"/>
      <c r="O1" s="2620"/>
      <c r="P1" s="2620"/>
      <c r="Q1" s="2620"/>
      <c r="R1" s="2620"/>
      <c r="S1" s="2620"/>
      <c r="T1" s="2620"/>
      <c r="U1" s="2620"/>
      <c r="V1" s="2620"/>
      <c r="W1" s="2620"/>
      <c r="X1" s="2620"/>
      <c r="Y1" s="2620"/>
      <c r="Z1" s="2620"/>
      <c r="AA1" s="2620"/>
      <c r="AB1" s="2620"/>
      <c r="AC1" s="2620"/>
      <c r="AD1" s="2620"/>
      <c r="AE1" s="2620"/>
      <c r="AF1" s="2620"/>
      <c r="AG1" s="2620"/>
      <c r="AH1" s="2620"/>
      <c r="AI1" s="2620"/>
      <c r="AJ1" s="2620"/>
      <c r="AK1" s="2620"/>
      <c r="AL1" s="2620"/>
      <c r="AM1" s="2620"/>
      <c r="AN1" s="2620"/>
      <c r="AO1" s="2620"/>
      <c r="AP1" s="2620"/>
      <c r="AQ1" s="2620"/>
      <c r="AR1" s="2620"/>
      <c r="AS1" s="2620"/>
      <c r="AT1" s="2620"/>
      <c r="AU1" s="2620"/>
      <c r="AV1" s="2620"/>
      <c r="AW1" s="2620"/>
      <c r="AX1" s="2620"/>
      <c r="AY1" s="2620"/>
      <c r="AZ1" s="2620"/>
      <c r="BA1" s="2620"/>
      <c r="BB1" s="2620"/>
      <c r="BC1" s="2620"/>
      <c r="BD1" s="2620"/>
      <c r="BE1" s="2621"/>
    </row>
    <row r="2" spans="1:58" ht="15.75" customHeight="1">
      <c r="A2" s="2622" t="s">
        <v>2048</v>
      </c>
      <c r="B2" s="2623"/>
      <c r="C2" s="2623"/>
      <c r="D2" s="2623"/>
      <c r="E2" s="2623"/>
      <c r="F2" s="2623"/>
      <c r="G2" s="2623"/>
      <c r="H2" s="2623"/>
      <c r="I2" s="2623"/>
      <c r="J2" s="2623"/>
      <c r="K2" s="2623"/>
      <c r="L2" s="2623"/>
      <c r="M2" s="2623"/>
      <c r="N2" s="2623"/>
      <c r="O2" s="2623"/>
      <c r="P2" s="2623"/>
      <c r="Q2" s="2623"/>
      <c r="R2" s="2623"/>
      <c r="S2" s="2623"/>
      <c r="T2" s="2623"/>
      <c r="U2" s="2623"/>
      <c r="V2" s="2623"/>
      <c r="W2" s="2623"/>
      <c r="X2" s="2623"/>
      <c r="Y2" s="2623"/>
      <c r="Z2" s="2623"/>
      <c r="AA2" s="2623"/>
      <c r="AB2" s="2623"/>
      <c r="AC2" s="2623"/>
      <c r="AD2" s="2623"/>
      <c r="AE2" s="2623"/>
      <c r="AF2" s="2623"/>
      <c r="AG2" s="2623"/>
      <c r="AH2" s="2623"/>
      <c r="AI2" s="2623"/>
      <c r="AJ2" s="2623"/>
      <c r="AK2" s="2623"/>
      <c r="AL2" s="2623"/>
      <c r="AM2" s="2623"/>
      <c r="AN2" s="2623"/>
      <c r="AO2" s="2623"/>
      <c r="AP2" s="2623"/>
      <c r="AQ2" s="2623"/>
      <c r="AR2" s="2623"/>
      <c r="AS2" s="2623"/>
      <c r="AT2" s="2623"/>
      <c r="AU2" s="2623"/>
      <c r="AV2" s="2623"/>
      <c r="AW2" s="2623"/>
      <c r="AX2" s="2623"/>
      <c r="AY2" s="2623"/>
      <c r="AZ2" s="2623"/>
      <c r="BA2" s="2623"/>
      <c r="BB2" s="2623"/>
      <c r="BC2" s="2623"/>
      <c r="BD2" s="2623"/>
      <c r="BE2" s="2624"/>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625" t="str">
        <f>IF(Application!H18="","",Application!H18)</f>
        <v>Roosevelt Park Apartments</v>
      </c>
      <c r="M4" s="2626"/>
      <c r="N4" s="2626"/>
      <c r="O4" s="2626"/>
      <c r="P4" s="2626"/>
      <c r="Q4" s="2626"/>
      <c r="R4" s="2626"/>
      <c r="S4" s="2626"/>
      <c r="T4" s="2626"/>
      <c r="U4" s="2626"/>
      <c r="V4" s="2626"/>
      <c r="W4" s="2626"/>
      <c r="X4" s="2626"/>
      <c r="Y4" s="2626"/>
      <c r="Z4" s="2626"/>
      <c r="AA4" s="2626"/>
      <c r="AB4" s="2626"/>
      <c r="AC4" s="2627"/>
      <c r="AD4" s="1531"/>
      <c r="AE4" s="1531"/>
      <c r="AF4" s="2628" t="s">
        <v>2049</v>
      </c>
      <c r="AG4" s="2629"/>
      <c r="AH4" s="2629"/>
      <c r="AI4" s="2629"/>
      <c r="AJ4" s="2629"/>
      <c r="AK4" s="2629"/>
      <c r="AL4" s="2629"/>
      <c r="AM4" s="2629"/>
      <c r="AN4" s="2629"/>
      <c r="AO4" s="2629"/>
      <c r="AP4" s="2630">
        <v>44197</v>
      </c>
      <c r="AQ4" s="2631"/>
      <c r="AR4" s="2631"/>
      <c r="AS4" s="2631"/>
      <c r="AT4" s="2631"/>
      <c r="AU4" s="2632"/>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33" t="s">
        <v>2050</v>
      </c>
      <c r="AG5" s="2634"/>
      <c r="AH5" s="2634"/>
      <c r="AI5" s="2634"/>
      <c r="AJ5" s="2634"/>
      <c r="AK5" s="2634"/>
      <c r="AL5" s="2634"/>
      <c r="AM5" s="2634"/>
      <c r="AN5" s="2634"/>
      <c r="AO5" s="2634"/>
      <c r="AP5" s="2630">
        <v>44197</v>
      </c>
      <c r="AQ5" s="2631"/>
      <c r="AR5" s="2631"/>
      <c r="AS5" s="2631"/>
      <c r="AT5" s="2631"/>
      <c r="AU5" s="2632"/>
      <c r="AV5" s="1531"/>
      <c r="AW5" s="1531"/>
      <c r="AX5" s="1531"/>
      <c r="AY5" s="1531"/>
      <c r="AZ5" s="1531"/>
      <c r="BA5" s="1531"/>
      <c r="BB5" s="1531"/>
      <c r="BC5" s="1531"/>
      <c r="BD5" s="1531"/>
      <c r="BE5" s="1532"/>
    </row>
    <row r="6" spans="1:58" ht="15.75" customHeight="1" thickBot="1">
      <c r="A6" s="1835"/>
      <c r="B6" s="1533" t="s">
        <v>2051</v>
      </c>
      <c r="C6" s="1531"/>
      <c r="D6" s="1531"/>
      <c r="E6" s="1531"/>
      <c r="F6" s="1531"/>
      <c r="G6" s="1531"/>
      <c r="H6" s="1531"/>
      <c r="I6" s="1531"/>
      <c r="J6" s="1531"/>
      <c r="K6" s="1531"/>
      <c r="L6" s="2649" t="str">
        <f>IF(Application!H16="","",Application!H16)</f>
        <v xml:space="preserve"> 21 N 21st Street, LP &amp; First Community Housing</v>
      </c>
      <c r="M6" s="2650"/>
      <c r="N6" s="2650"/>
      <c r="O6" s="2650"/>
      <c r="P6" s="2650"/>
      <c r="Q6" s="2650"/>
      <c r="R6" s="2650"/>
      <c r="S6" s="2650"/>
      <c r="T6" s="2650"/>
      <c r="U6" s="2650"/>
      <c r="V6" s="2650"/>
      <c r="W6" s="2650"/>
      <c r="X6" s="2650"/>
      <c r="Y6" s="2650"/>
      <c r="Z6" s="2650"/>
      <c r="AA6" s="2650"/>
      <c r="AB6" s="2650"/>
      <c r="AC6" s="2651"/>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5"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5" thickBot="1">
      <c r="A8" s="1835"/>
      <c r="B8" s="1533" t="s">
        <v>2052</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652" t="str">
        <f>Application!T196</f>
        <v>No</v>
      </c>
      <c r="AC8" s="2653"/>
      <c r="AD8" s="2654"/>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5"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5" thickBot="1">
      <c r="A10" s="1835"/>
      <c r="B10" s="1533" t="s">
        <v>2054</v>
      </c>
      <c r="C10" s="1533"/>
      <c r="D10" s="1533"/>
      <c r="E10" s="1533"/>
      <c r="F10" s="1533"/>
      <c r="G10" s="1533"/>
      <c r="H10" s="1533"/>
      <c r="I10" s="1533"/>
      <c r="J10" s="1533"/>
      <c r="K10" s="1533"/>
      <c r="L10" s="1533"/>
      <c r="M10" s="1531"/>
      <c r="N10" s="2655" t="e">
        <f>VLOOKUP("CalHFA Permanent Loan",Application!C564:AS575,37,TRUE)</f>
        <v>#N/A</v>
      </c>
      <c r="O10" s="2656"/>
      <c r="P10" s="2656"/>
      <c r="Q10" s="2656"/>
      <c r="R10" s="2656"/>
      <c r="S10" s="2656"/>
      <c r="T10" s="2657"/>
      <c r="U10" s="1531"/>
      <c r="V10" s="1531"/>
      <c r="W10" s="1531"/>
      <c r="X10" s="2635" t="s">
        <v>2055</v>
      </c>
      <c r="Y10" s="2636"/>
      <c r="Z10" s="2636"/>
      <c r="AA10" s="2636"/>
      <c r="AB10" s="2636"/>
      <c r="AC10" s="2636"/>
      <c r="AD10" s="2636"/>
      <c r="AE10" s="2636"/>
      <c r="AF10" s="2636"/>
      <c r="AG10" s="2636"/>
      <c r="AH10" s="2636"/>
      <c r="AI10" s="2636"/>
      <c r="AJ10" s="2636"/>
      <c r="AK10" s="2637"/>
      <c r="AL10" s="2641">
        <f>Application!W471</f>
        <v>20</v>
      </c>
      <c r="AM10" s="2642"/>
      <c r="AN10" s="2642"/>
      <c r="AO10" s="2642"/>
      <c r="AP10" s="2643"/>
      <c r="AQ10" s="1534"/>
      <c r="AR10" s="1534"/>
      <c r="AS10" s="1534"/>
      <c r="AT10" s="1534"/>
      <c r="AU10" s="1534"/>
      <c r="AV10" s="1534"/>
      <c r="AW10" s="1534"/>
      <c r="AX10" s="1531"/>
      <c r="AY10" s="1531"/>
      <c r="AZ10" s="1531"/>
      <c r="BA10" s="1531"/>
      <c r="BB10" s="1531"/>
      <c r="BC10" s="1531"/>
      <c r="BD10" s="1531"/>
      <c r="BE10" s="1532"/>
    </row>
    <row r="11" spans="1:58" ht="15" thickBot="1">
      <c r="A11" s="1835"/>
      <c r="B11" s="1533" t="s">
        <v>2056</v>
      </c>
      <c r="C11" s="1533"/>
      <c r="D11" s="1533"/>
      <c r="E11" s="1533"/>
      <c r="F11" s="1533"/>
      <c r="G11" s="1533"/>
      <c r="H11" s="1533"/>
      <c r="I11" s="1533"/>
      <c r="J11" s="1533"/>
      <c r="K11" s="1533"/>
      <c r="L11" s="1533"/>
      <c r="M11" s="1531"/>
      <c r="N11" s="2658">
        <f>Application!AA925</f>
        <v>0</v>
      </c>
      <c r="O11" s="2659"/>
      <c r="P11" s="2659"/>
      <c r="Q11" s="2659"/>
      <c r="R11" s="2659"/>
      <c r="S11" s="2659"/>
      <c r="T11" s="2660"/>
      <c r="U11" s="1531"/>
      <c r="V11" s="1531"/>
      <c r="W11" s="1531"/>
      <c r="X11" s="2661" t="s">
        <v>2057</v>
      </c>
      <c r="Y11" s="2662"/>
      <c r="Z11" s="2662"/>
      <c r="AA11" s="2662"/>
      <c r="AB11" s="2662"/>
      <c r="AC11" s="2662"/>
      <c r="AD11" s="2662"/>
      <c r="AE11" s="2662"/>
      <c r="AF11" s="2662"/>
      <c r="AG11" s="2662"/>
      <c r="AH11" s="2662"/>
      <c r="AI11" s="2662"/>
      <c r="AJ11" s="2662"/>
      <c r="AK11" s="2663"/>
      <c r="AL11" s="2638">
        <v>44197</v>
      </c>
      <c r="AM11" s="2639"/>
      <c r="AN11" s="2639"/>
      <c r="AO11" s="2639"/>
      <c r="AP11" s="2640"/>
      <c r="AQ11" s="1535"/>
      <c r="AR11" s="1536"/>
      <c r="AS11" s="1534"/>
      <c r="AT11" s="1534"/>
      <c r="AU11" s="1534"/>
      <c r="AV11" s="1534"/>
      <c r="AW11" s="1534"/>
      <c r="AX11" s="1531"/>
      <c r="AY11" s="1531"/>
      <c r="AZ11" s="1531"/>
      <c r="BA11" s="1531"/>
      <c r="BB11" s="1531"/>
      <c r="BC11" s="1531"/>
      <c r="BD11" s="1531"/>
      <c r="BE11" s="1532"/>
    </row>
    <row r="12" spans="1:58" ht="15"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35" t="s">
        <v>2058</v>
      </c>
      <c r="Y12" s="2636"/>
      <c r="Z12" s="2636"/>
      <c r="AA12" s="2636"/>
      <c r="AB12" s="2636"/>
      <c r="AC12" s="2636"/>
      <c r="AD12" s="2636"/>
      <c r="AE12" s="2636"/>
      <c r="AF12" s="2636"/>
      <c r="AG12" s="2636"/>
      <c r="AH12" s="2636"/>
      <c r="AI12" s="2636"/>
      <c r="AJ12" s="2636"/>
      <c r="AK12" s="2637"/>
      <c r="AL12" s="2638">
        <v>44197</v>
      </c>
      <c r="AM12" s="2639"/>
      <c r="AN12" s="2639"/>
      <c r="AO12" s="2639"/>
      <c r="AP12" s="2640"/>
      <c r="AQ12" s="1534"/>
      <c r="AR12" s="1534"/>
      <c r="AS12" s="1534"/>
      <c r="AT12" s="1534"/>
      <c r="AU12" s="1534"/>
      <c r="AV12" s="1531"/>
      <c r="AW12" s="1531"/>
      <c r="AX12" s="1531"/>
      <c r="AY12" s="1531"/>
      <c r="AZ12" s="1531"/>
      <c r="BA12" s="1531"/>
      <c r="BB12" s="1531"/>
      <c r="BC12" s="1531"/>
      <c r="BD12" s="1531"/>
      <c r="BE12" s="1537"/>
    </row>
    <row r="13" spans="1:58" ht="15" thickBot="1">
      <c r="A13" s="1836"/>
      <c r="B13" s="2635" t="s">
        <v>2059</v>
      </c>
      <c r="C13" s="2636"/>
      <c r="D13" s="2636"/>
      <c r="E13" s="2636"/>
      <c r="F13" s="2636"/>
      <c r="G13" s="2636"/>
      <c r="H13" s="2636"/>
      <c r="I13" s="2636"/>
      <c r="J13" s="2636"/>
      <c r="K13" s="2636"/>
      <c r="L13" s="2636"/>
      <c r="M13" s="2636"/>
      <c r="N13" s="2636"/>
      <c r="O13" s="2636"/>
      <c r="P13" s="2637"/>
      <c r="Q13" s="2644" t="s">
        <v>2053</v>
      </c>
      <c r="R13" s="2631"/>
      <c r="S13" s="2631"/>
      <c r="T13" s="2632"/>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5"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5">
      <c r="A15" s="1836"/>
      <c r="B15" s="2645" t="s">
        <v>2060</v>
      </c>
      <c r="C15" s="2645"/>
      <c r="D15" s="2645"/>
      <c r="E15" s="2645"/>
      <c r="F15" s="2645"/>
      <c r="G15" s="2645"/>
      <c r="H15" s="2645"/>
      <c r="I15" s="2645"/>
      <c r="J15" s="2645"/>
      <c r="K15" s="2645"/>
      <c r="L15" s="2646"/>
      <c r="M15" s="2628" t="s">
        <v>2061</v>
      </c>
      <c r="N15" s="2629"/>
      <c r="O15" s="2629"/>
      <c r="P15" s="2629"/>
      <c r="Q15" s="2629"/>
      <c r="R15" s="2629"/>
      <c r="S15" s="2647" t="str">
        <f>IF(Application!AB214="","",Application!AB214)</f>
        <v/>
      </c>
      <c r="T15" s="2647"/>
      <c r="U15" s="2647"/>
      <c r="V15" s="2647"/>
      <c r="W15" s="2648"/>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5"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5">
      <c r="A17" s="1836"/>
      <c r="B17" s="2664" t="s">
        <v>2062</v>
      </c>
      <c r="C17" s="2665"/>
      <c r="D17" s="2665"/>
      <c r="E17" s="2665"/>
      <c r="F17" s="2665"/>
      <c r="G17" s="2665"/>
      <c r="H17" s="2665"/>
      <c r="I17" s="2665"/>
      <c r="J17" s="2665"/>
      <c r="K17" s="2665"/>
      <c r="L17" s="2665"/>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c r="AS17" s="2665"/>
      <c r="AT17" s="2665"/>
      <c r="AU17" s="2665"/>
      <c r="AV17" s="2665"/>
      <c r="AW17" s="2665"/>
      <c r="AX17" s="2665"/>
      <c r="AY17" s="2666"/>
      <c r="AZ17" s="1531"/>
      <c r="BA17" s="1531"/>
      <c r="BB17" s="1531"/>
      <c r="BC17" s="1531"/>
      <c r="BD17" s="1531"/>
      <c r="BE17" s="1537"/>
      <c r="BF17" s="1529"/>
    </row>
    <row r="18" spans="1:58" ht="15.75" customHeight="1">
      <c r="A18" s="1836"/>
      <c r="B18" s="2667" t="s">
        <v>2063</v>
      </c>
      <c r="C18" s="2668"/>
      <c r="D18" s="2668"/>
      <c r="E18" s="2668"/>
      <c r="F18" s="2668"/>
      <c r="G18" s="2668"/>
      <c r="H18" s="2668"/>
      <c r="I18" s="2669"/>
      <c r="J18" s="2670" t="s">
        <v>1893</v>
      </c>
      <c r="K18" s="2671"/>
      <c r="L18" s="2671"/>
      <c r="M18" s="2671"/>
      <c r="N18" s="2671"/>
      <c r="O18" s="2672"/>
      <c r="P18" s="2670" t="s">
        <v>335</v>
      </c>
      <c r="Q18" s="2671"/>
      <c r="R18" s="2671"/>
      <c r="S18" s="2671"/>
      <c r="T18" s="2671"/>
      <c r="U18" s="2672"/>
      <c r="V18" s="2670" t="s">
        <v>336</v>
      </c>
      <c r="W18" s="2671"/>
      <c r="X18" s="2671"/>
      <c r="Y18" s="2671"/>
      <c r="Z18" s="2671"/>
      <c r="AA18" s="2672"/>
      <c r="AB18" s="2670" t="s">
        <v>168</v>
      </c>
      <c r="AC18" s="2671"/>
      <c r="AD18" s="2671"/>
      <c r="AE18" s="2671"/>
      <c r="AF18" s="2671"/>
      <c r="AG18" s="2672"/>
      <c r="AH18" s="2670" t="s">
        <v>169</v>
      </c>
      <c r="AI18" s="2671"/>
      <c r="AJ18" s="2671"/>
      <c r="AK18" s="2671"/>
      <c r="AL18" s="2671"/>
      <c r="AM18" s="2672"/>
      <c r="AN18" s="2670" t="s">
        <v>170</v>
      </c>
      <c r="AO18" s="2671"/>
      <c r="AP18" s="2671"/>
      <c r="AQ18" s="2671"/>
      <c r="AR18" s="2671"/>
      <c r="AS18" s="2672"/>
      <c r="AT18" s="2670" t="s">
        <v>2064</v>
      </c>
      <c r="AU18" s="2671"/>
      <c r="AV18" s="2671"/>
      <c r="AW18" s="2671"/>
      <c r="AX18" s="2671"/>
      <c r="AY18" s="2673"/>
      <c r="AZ18" s="1531"/>
      <c r="BA18" s="1531"/>
      <c r="BB18" s="1531"/>
      <c r="BC18" s="1531"/>
      <c r="BD18" s="1531"/>
      <c r="BE18" s="1537"/>
    </row>
    <row r="19" spans="1:58" ht="14.5">
      <c r="A19" s="1836"/>
      <c r="B19" s="2680">
        <v>0.2</v>
      </c>
      <c r="C19" s="2681"/>
      <c r="D19" s="2681"/>
      <c r="E19" s="2681"/>
      <c r="F19" s="2681"/>
      <c r="G19" s="2681"/>
      <c r="H19" s="2681"/>
      <c r="I19" s="2681"/>
      <c r="J19" s="2670">
        <f>SUM(P19:AS19)</f>
        <v>0</v>
      </c>
      <c r="K19" s="2671"/>
      <c r="L19" s="2671"/>
      <c r="M19" s="2671"/>
      <c r="N19" s="2671"/>
      <c r="O19" s="2672"/>
      <c r="P19" s="2674" cm="1">
        <f t="array" ref="P19">SUMPRODUCT((Application!$B$728:$B$752 = 'CalHFA Addendum'!P$18)*(Application!$AH$728:$AH$752 = 'CalHFA Addendum'!$B19),Application!$G$728:$G$752)</f>
        <v>0</v>
      </c>
      <c r="Q19" s="2675"/>
      <c r="R19" s="2675"/>
      <c r="S19" s="2675"/>
      <c r="T19" s="2675"/>
      <c r="U19" s="2676"/>
      <c r="V19" s="2674" cm="1">
        <f t="array" ref="V19">SUMPRODUCT((Application!$B$728:$B$752 = 'CalHFA Addendum'!V$18)*(Application!$AH$728:$AH$752 = 'CalHFA Addendum'!$B19),Application!$G$728:$G$752)</f>
        <v>0</v>
      </c>
      <c r="W19" s="2675"/>
      <c r="X19" s="2675"/>
      <c r="Y19" s="2675"/>
      <c r="Z19" s="2675"/>
      <c r="AA19" s="2676"/>
      <c r="AB19" s="2674" cm="1">
        <f t="array" ref="AB19">SUMPRODUCT((Application!$B$728:$B$752 = 'CalHFA Addendum'!AB$18)*(Application!$AH$728:$AH$752 = 'CalHFA Addendum'!$B19),Application!$G$728:$G$752)</f>
        <v>0</v>
      </c>
      <c r="AC19" s="2675"/>
      <c r="AD19" s="2675"/>
      <c r="AE19" s="2675"/>
      <c r="AF19" s="2675"/>
      <c r="AG19" s="2676"/>
      <c r="AH19" s="2674" cm="1">
        <f t="array" ref="AH19">SUMPRODUCT((Application!$B$728:$B$752 = 'CalHFA Addendum'!AH$18)*(Application!$AH$728:$AH$752 = 'CalHFA Addendum'!$B19),Application!$G$728:$G$752)</f>
        <v>0</v>
      </c>
      <c r="AI19" s="2675"/>
      <c r="AJ19" s="2675"/>
      <c r="AK19" s="2675"/>
      <c r="AL19" s="2675"/>
      <c r="AM19" s="2676"/>
      <c r="AN19" s="2674" cm="1">
        <f t="array" ref="AN19">SUMPRODUCT((Application!$B$728:$B$752 = 'CalHFA Addendum'!AN$18)*(Application!$AH$728:$AH$752 = 'CalHFA Addendum'!$B19),Application!$G$728:$G$752)</f>
        <v>0</v>
      </c>
      <c r="AO19" s="2675"/>
      <c r="AP19" s="2675"/>
      <c r="AQ19" s="2675"/>
      <c r="AR19" s="2675"/>
      <c r="AS19" s="2676"/>
      <c r="AT19" s="2677">
        <f t="shared" ref="AT19:AT27" si="0">J19/$J$29</f>
        <v>0</v>
      </c>
      <c r="AU19" s="2678"/>
      <c r="AV19" s="2678"/>
      <c r="AW19" s="2678"/>
      <c r="AX19" s="2678"/>
      <c r="AY19" s="2679"/>
      <c r="AZ19" s="1538"/>
      <c r="BA19" s="1531"/>
      <c r="BB19" s="1531"/>
      <c r="BC19" s="1531"/>
      <c r="BD19" s="1531"/>
      <c r="BE19" s="1537"/>
    </row>
    <row r="20" spans="1:58" ht="15" customHeight="1">
      <c r="A20" s="1836"/>
      <c r="B20" s="2680">
        <v>0.3</v>
      </c>
      <c r="C20" s="2681"/>
      <c r="D20" s="2681"/>
      <c r="E20" s="2681"/>
      <c r="F20" s="2681"/>
      <c r="G20" s="2681"/>
      <c r="H20" s="2681"/>
      <c r="I20" s="2681"/>
      <c r="J20" s="2670">
        <f t="shared" ref="J20:J27" si="1">SUM(P20:AS20)</f>
        <v>50</v>
      </c>
      <c r="K20" s="2671"/>
      <c r="L20" s="2671"/>
      <c r="M20" s="2671"/>
      <c r="N20" s="2671"/>
      <c r="O20" s="2672"/>
      <c r="P20" s="2674" cm="1">
        <f t="array" ref="P20">SUMPRODUCT((Application!$B$728:$B$752 = 'CalHFA Addendum'!P$18)*(Application!$AH$728:$AH$752 = 'CalHFA Addendum'!$B20),Application!$G$728:$G$752)</f>
        <v>14</v>
      </c>
      <c r="Q20" s="2675"/>
      <c r="R20" s="2675"/>
      <c r="S20" s="2675"/>
      <c r="T20" s="2675"/>
      <c r="U20" s="2676"/>
      <c r="V20" s="2674" cm="1">
        <f t="array" ref="V20">SUMPRODUCT((Application!$B$728:$B$752 = 'CalHFA Addendum'!V$18)*(Application!$AH$728:$AH$752 = 'CalHFA Addendum'!$B20),Application!$G$728:$G$752)</f>
        <v>7</v>
      </c>
      <c r="W20" s="2675"/>
      <c r="X20" s="2675"/>
      <c r="Y20" s="2675"/>
      <c r="Z20" s="2675"/>
      <c r="AA20" s="2676"/>
      <c r="AB20" s="2674" cm="1">
        <f t="array" ref="AB20">SUMPRODUCT((Application!$B$728:$B$752 = 'CalHFA Addendum'!AB$18)*(Application!$AH$728:$AH$752 = 'CalHFA Addendum'!$B20),Application!$G$728:$G$752)</f>
        <v>21</v>
      </c>
      <c r="AC20" s="2675"/>
      <c r="AD20" s="2675"/>
      <c r="AE20" s="2675"/>
      <c r="AF20" s="2675"/>
      <c r="AG20" s="2676"/>
      <c r="AH20" s="2674" cm="1">
        <f t="array" ref="AH20">SUMPRODUCT((Application!$B$728:$B$752 = 'CalHFA Addendum'!AH$18)*(Application!$AH$728:$AH$752 = 'CalHFA Addendum'!$B20),Application!$G$728:$G$752)</f>
        <v>8</v>
      </c>
      <c r="AI20" s="2675"/>
      <c r="AJ20" s="2675"/>
      <c r="AK20" s="2675"/>
      <c r="AL20" s="2675"/>
      <c r="AM20" s="2676"/>
      <c r="AN20" s="2674" cm="1">
        <f t="array" ref="AN20">SUMPRODUCT((Application!$B$728:$B$752 = 'CalHFA Addendum'!AN$18)*(Application!$AH$728:$AH$752 = 'CalHFA Addendum'!$B20),Application!$G$728:$G$752)</f>
        <v>0</v>
      </c>
      <c r="AO20" s="2675"/>
      <c r="AP20" s="2675"/>
      <c r="AQ20" s="2675"/>
      <c r="AR20" s="2675"/>
      <c r="AS20" s="2676"/>
      <c r="AT20" s="2677">
        <f t="shared" si="0"/>
        <v>0.625</v>
      </c>
      <c r="AU20" s="2678"/>
      <c r="AV20" s="2678"/>
      <c r="AW20" s="2678"/>
      <c r="AX20" s="2678"/>
      <c r="AY20" s="2679"/>
      <c r="AZ20" s="1531"/>
      <c r="BA20" s="1531"/>
      <c r="BB20" s="1531"/>
      <c r="BC20" s="1531"/>
      <c r="BD20" s="1531"/>
      <c r="BE20" s="1537"/>
    </row>
    <row r="21" spans="1:58" ht="14.5">
      <c r="A21" s="1836"/>
      <c r="B21" s="2680">
        <v>0.4</v>
      </c>
      <c r="C21" s="2681"/>
      <c r="D21" s="2681"/>
      <c r="E21" s="2681"/>
      <c r="F21" s="2681"/>
      <c r="G21" s="2681"/>
      <c r="H21" s="2681"/>
      <c r="I21" s="2681"/>
      <c r="J21" s="2670">
        <f t="shared" si="1"/>
        <v>0</v>
      </c>
      <c r="K21" s="2671"/>
      <c r="L21" s="2671"/>
      <c r="M21" s="2671"/>
      <c r="N21" s="2671"/>
      <c r="O21" s="2672"/>
      <c r="P21" s="2674" cm="1">
        <f t="array" ref="P21">SUMPRODUCT((Application!$B$728:$B$752 = 'CalHFA Addendum'!P$18)*(Application!$AH$728:$AH$752 = 'CalHFA Addendum'!$B21),Application!$G$728:$G$752)</f>
        <v>0</v>
      </c>
      <c r="Q21" s="2675"/>
      <c r="R21" s="2675"/>
      <c r="S21" s="2675"/>
      <c r="T21" s="2675"/>
      <c r="U21" s="2676"/>
      <c r="V21" s="2674" cm="1">
        <f t="array" ref="V21">SUMPRODUCT((Application!$B$728:$B$752 = 'CalHFA Addendum'!V$18)*(Application!$AH$728:$AH$752 = 'CalHFA Addendum'!$B21),Application!$G$728:$G$752)</f>
        <v>0</v>
      </c>
      <c r="W21" s="2675"/>
      <c r="X21" s="2675"/>
      <c r="Y21" s="2675"/>
      <c r="Z21" s="2675"/>
      <c r="AA21" s="2676"/>
      <c r="AB21" s="2674" cm="1">
        <f t="array" ref="AB21">SUMPRODUCT((Application!$B$728:$B$752 = 'CalHFA Addendum'!AB$18)*(Application!$AH$728:$AH$752 = 'CalHFA Addendum'!$B21),Application!$G$728:$G$752)</f>
        <v>0</v>
      </c>
      <c r="AC21" s="2675"/>
      <c r="AD21" s="2675"/>
      <c r="AE21" s="2675"/>
      <c r="AF21" s="2675"/>
      <c r="AG21" s="2676"/>
      <c r="AH21" s="2674" cm="1">
        <f t="array" ref="AH21">SUMPRODUCT((Application!$B$728:$B$752 = 'CalHFA Addendum'!AH$18)*(Application!$AH$728:$AH$752 = 'CalHFA Addendum'!$B21),Application!$G$728:$G$752)</f>
        <v>0</v>
      </c>
      <c r="AI21" s="2675"/>
      <c r="AJ21" s="2675"/>
      <c r="AK21" s="2675"/>
      <c r="AL21" s="2675"/>
      <c r="AM21" s="2676"/>
      <c r="AN21" s="2674" cm="1">
        <f t="array" ref="AN21">SUMPRODUCT((Application!$B$728:$B$752 = 'CalHFA Addendum'!AN$18)*(Application!$AH$728:$AH$752 = 'CalHFA Addendum'!$B21),Application!$G$728:$G$752)</f>
        <v>0</v>
      </c>
      <c r="AO21" s="2675"/>
      <c r="AP21" s="2675"/>
      <c r="AQ21" s="2675"/>
      <c r="AR21" s="2675"/>
      <c r="AS21" s="2676"/>
      <c r="AT21" s="2677">
        <f t="shared" si="0"/>
        <v>0</v>
      </c>
      <c r="AU21" s="2678"/>
      <c r="AV21" s="2678"/>
      <c r="AW21" s="2678"/>
      <c r="AX21" s="2678"/>
      <c r="AY21" s="2679"/>
      <c r="AZ21" s="1531"/>
      <c r="BA21" s="1531"/>
      <c r="BB21" s="1531"/>
      <c r="BC21" s="1531"/>
      <c r="BD21" s="1531"/>
      <c r="BE21" s="1537"/>
    </row>
    <row r="22" spans="1:58" ht="14.5">
      <c r="A22" s="1836"/>
      <c r="B22" s="2680">
        <v>0.5</v>
      </c>
      <c r="C22" s="2681"/>
      <c r="D22" s="2681"/>
      <c r="E22" s="2681"/>
      <c r="F22" s="2681"/>
      <c r="G22" s="2681"/>
      <c r="H22" s="2681"/>
      <c r="I22" s="2681"/>
      <c r="J22" s="2670">
        <f t="shared" si="1"/>
        <v>29</v>
      </c>
      <c r="K22" s="2671"/>
      <c r="L22" s="2671"/>
      <c r="M22" s="2671"/>
      <c r="N22" s="2671"/>
      <c r="O22" s="2672"/>
      <c r="P22" s="2674" cm="1">
        <f t="array" ref="P22">SUMPRODUCT((Application!$B$728:$B$752 = 'CalHFA Addendum'!P$18)*(Application!$AH$728:$AH$752 = 'CalHFA Addendum'!$B22),Application!$G$728:$G$752)</f>
        <v>14</v>
      </c>
      <c r="Q22" s="2675"/>
      <c r="R22" s="2675"/>
      <c r="S22" s="2675"/>
      <c r="T22" s="2675"/>
      <c r="U22" s="2676"/>
      <c r="V22" s="2674" cm="1">
        <f t="array" ref="V22">SUMPRODUCT((Application!$B$728:$B$752 = 'CalHFA Addendum'!V$18)*(Application!$AH$728:$AH$752 = 'CalHFA Addendum'!$B22),Application!$G$728:$G$752)</f>
        <v>4</v>
      </c>
      <c r="W22" s="2675"/>
      <c r="X22" s="2675"/>
      <c r="Y22" s="2675"/>
      <c r="Z22" s="2675"/>
      <c r="AA22" s="2676"/>
      <c r="AB22" s="2674" cm="1">
        <f t="array" ref="AB22">SUMPRODUCT((Application!$B$728:$B$752 = 'CalHFA Addendum'!AB$18)*(Application!$AH$728:$AH$752 = 'CalHFA Addendum'!$B22),Application!$G$728:$G$752)</f>
        <v>5</v>
      </c>
      <c r="AC22" s="2675"/>
      <c r="AD22" s="2675"/>
      <c r="AE22" s="2675"/>
      <c r="AF22" s="2675"/>
      <c r="AG22" s="2676"/>
      <c r="AH22" s="2674" cm="1">
        <f t="array" ref="AH22">SUMPRODUCT((Application!$B$728:$B$752 = 'CalHFA Addendum'!AH$18)*(Application!$AH$728:$AH$752 = 'CalHFA Addendum'!$B22),Application!$G$728:$G$752)</f>
        <v>6</v>
      </c>
      <c r="AI22" s="2675"/>
      <c r="AJ22" s="2675"/>
      <c r="AK22" s="2675"/>
      <c r="AL22" s="2675"/>
      <c r="AM22" s="2676"/>
      <c r="AN22" s="2674" cm="1">
        <f t="array" ref="AN22">SUMPRODUCT((Application!$B$728:$B$752 = 'CalHFA Addendum'!AN$18)*(Application!$AH$728:$AH$752 = 'CalHFA Addendum'!$B22),Application!$G$728:$G$752)</f>
        <v>0</v>
      </c>
      <c r="AO22" s="2675"/>
      <c r="AP22" s="2675"/>
      <c r="AQ22" s="2675"/>
      <c r="AR22" s="2675"/>
      <c r="AS22" s="2676"/>
      <c r="AT22" s="2677">
        <f t="shared" si="0"/>
        <v>0.36249999999999999</v>
      </c>
      <c r="AU22" s="2678"/>
      <c r="AV22" s="2678"/>
      <c r="AW22" s="2678"/>
      <c r="AX22" s="2678"/>
      <c r="AY22" s="2679"/>
      <c r="AZ22" s="1531"/>
      <c r="BA22" s="1531"/>
      <c r="BB22" s="1531"/>
      <c r="BC22" s="1531"/>
      <c r="BD22" s="1531"/>
      <c r="BE22" s="1537"/>
    </row>
    <row r="23" spans="1:58" ht="14.5">
      <c r="A23" s="1836"/>
      <c r="B23" s="2680">
        <v>0.6</v>
      </c>
      <c r="C23" s="2681"/>
      <c r="D23" s="2681"/>
      <c r="E23" s="2681"/>
      <c r="F23" s="2681"/>
      <c r="G23" s="2681"/>
      <c r="H23" s="2681"/>
      <c r="I23" s="2681"/>
      <c r="J23" s="2670">
        <f t="shared" si="1"/>
        <v>0</v>
      </c>
      <c r="K23" s="2671"/>
      <c r="L23" s="2671"/>
      <c r="M23" s="2671"/>
      <c r="N23" s="2671"/>
      <c r="O23" s="2672"/>
      <c r="P23" s="2674" cm="1">
        <f t="array" ref="P23">SUMPRODUCT((Application!$B$728:$B$752 = 'CalHFA Addendum'!P$18)*(Application!$AH$728:$AH$752 = 'CalHFA Addendum'!$B23),Application!$G$728:$G$752)</f>
        <v>0</v>
      </c>
      <c r="Q23" s="2675"/>
      <c r="R23" s="2675"/>
      <c r="S23" s="2675"/>
      <c r="T23" s="2675"/>
      <c r="U23" s="2676"/>
      <c r="V23" s="2674" cm="1">
        <f t="array" ref="V23">SUMPRODUCT((Application!$B$728:$B$752 = 'CalHFA Addendum'!V$18)*(Application!$AH$728:$AH$752 = 'CalHFA Addendum'!$B23),Application!$G$728:$G$752)</f>
        <v>0</v>
      </c>
      <c r="W23" s="2675"/>
      <c r="X23" s="2675"/>
      <c r="Y23" s="2675"/>
      <c r="Z23" s="2675"/>
      <c r="AA23" s="2676"/>
      <c r="AB23" s="2674" cm="1">
        <f t="array" ref="AB23">SUMPRODUCT((Application!$B$728:$B$752 = 'CalHFA Addendum'!AB$18)*(Application!$AH$728:$AH$752 = 'CalHFA Addendum'!$B23),Application!$G$728:$G$752)</f>
        <v>0</v>
      </c>
      <c r="AC23" s="2675"/>
      <c r="AD23" s="2675"/>
      <c r="AE23" s="2675"/>
      <c r="AF23" s="2675"/>
      <c r="AG23" s="2676"/>
      <c r="AH23" s="2674" cm="1">
        <f t="array" ref="AH23">SUMPRODUCT((Application!$B$728:$B$752 = 'CalHFA Addendum'!AH$18)*(Application!$AH$728:$AH$752 = 'CalHFA Addendum'!$B23),Application!$G$728:$G$752)</f>
        <v>0</v>
      </c>
      <c r="AI23" s="2675"/>
      <c r="AJ23" s="2675"/>
      <c r="AK23" s="2675"/>
      <c r="AL23" s="2675"/>
      <c r="AM23" s="2676"/>
      <c r="AN23" s="2674" cm="1">
        <f t="array" ref="AN23">SUMPRODUCT((Application!$B$728:$B$752 = 'CalHFA Addendum'!AN$18)*(Application!$AH$728:$AH$752 = 'CalHFA Addendum'!$B23),Application!$G$728:$G$752)</f>
        <v>0</v>
      </c>
      <c r="AO23" s="2675"/>
      <c r="AP23" s="2675"/>
      <c r="AQ23" s="2675"/>
      <c r="AR23" s="2675"/>
      <c r="AS23" s="2676"/>
      <c r="AT23" s="2677">
        <f t="shared" si="0"/>
        <v>0</v>
      </c>
      <c r="AU23" s="2678"/>
      <c r="AV23" s="2678"/>
      <c r="AW23" s="2678"/>
      <c r="AX23" s="2678"/>
      <c r="AY23" s="2679"/>
      <c r="AZ23" s="1531"/>
      <c r="BA23" s="1531"/>
      <c r="BB23" s="1531"/>
      <c r="BC23" s="1531"/>
      <c r="BD23" s="1531"/>
      <c r="BE23" s="1537"/>
    </row>
    <row r="24" spans="1:58" ht="14.5">
      <c r="A24" s="1836"/>
      <c r="B24" s="2680">
        <v>0.7</v>
      </c>
      <c r="C24" s="2681"/>
      <c r="D24" s="2681"/>
      <c r="E24" s="2681"/>
      <c r="F24" s="2681"/>
      <c r="G24" s="2681"/>
      <c r="H24" s="2681"/>
      <c r="I24" s="2681"/>
      <c r="J24" s="2670">
        <f t="shared" si="1"/>
        <v>0</v>
      </c>
      <c r="K24" s="2671"/>
      <c r="L24" s="2671"/>
      <c r="M24" s="2671"/>
      <c r="N24" s="2671"/>
      <c r="O24" s="2672"/>
      <c r="P24" s="2674" cm="1">
        <f t="array" ref="P24">SUMPRODUCT((Application!$B$728:$B$752 = 'CalHFA Addendum'!P$18)*(Application!$AH$728:$AH$752 = 'CalHFA Addendum'!$B24),Application!$G$728:$G$752)</f>
        <v>0</v>
      </c>
      <c r="Q24" s="2675"/>
      <c r="R24" s="2675"/>
      <c r="S24" s="2675"/>
      <c r="T24" s="2675"/>
      <c r="U24" s="2676"/>
      <c r="V24" s="2674" cm="1">
        <f t="array" ref="V24">SUMPRODUCT((Application!$B$728:$B$752 = 'CalHFA Addendum'!V$18)*(Application!$AH$728:$AH$752 = 'CalHFA Addendum'!$B24),Application!$G$728:$G$752)</f>
        <v>0</v>
      </c>
      <c r="W24" s="2675"/>
      <c r="X24" s="2675"/>
      <c r="Y24" s="2675"/>
      <c r="Z24" s="2675"/>
      <c r="AA24" s="2676"/>
      <c r="AB24" s="2674" cm="1">
        <f t="array" ref="AB24">SUMPRODUCT((Application!$B$728:$B$752 = 'CalHFA Addendum'!AB$18)*(Application!$AH$728:$AH$752 = 'CalHFA Addendum'!$B24),Application!$G$728:$G$752)</f>
        <v>0</v>
      </c>
      <c r="AC24" s="2675"/>
      <c r="AD24" s="2675"/>
      <c r="AE24" s="2675"/>
      <c r="AF24" s="2675"/>
      <c r="AG24" s="2676"/>
      <c r="AH24" s="2674" cm="1">
        <f t="array" ref="AH24">SUMPRODUCT((Application!$B$728:$B$752 = 'CalHFA Addendum'!AH$18)*(Application!$AH$728:$AH$752 = 'CalHFA Addendum'!$B24),Application!$G$728:$G$752)</f>
        <v>0</v>
      </c>
      <c r="AI24" s="2675"/>
      <c r="AJ24" s="2675"/>
      <c r="AK24" s="2675"/>
      <c r="AL24" s="2675"/>
      <c r="AM24" s="2676"/>
      <c r="AN24" s="2674" cm="1">
        <f t="array" ref="AN24">SUMPRODUCT((Application!$B$728:$B$752 = 'CalHFA Addendum'!AN$18)*(Application!$AH$728:$AH$752 = 'CalHFA Addendum'!$B24),Application!$G$728:$G$752)</f>
        <v>0</v>
      </c>
      <c r="AO24" s="2675"/>
      <c r="AP24" s="2675"/>
      <c r="AQ24" s="2675"/>
      <c r="AR24" s="2675"/>
      <c r="AS24" s="2676"/>
      <c r="AT24" s="2677">
        <f t="shared" si="0"/>
        <v>0</v>
      </c>
      <c r="AU24" s="2678"/>
      <c r="AV24" s="2678"/>
      <c r="AW24" s="2678"/>
      <c r="AX24" s="2678"/>
      <c r="AY24" s="2679"/>
      <c r="AZ24" s="1531"/>
      <c r="BA24" s="1531"/>
      <c r="BB24" s="1531"/>
      <c r="BC24" s="1531"/>
      <c r="BD24" s="1531"/>
      <c r="BE24" s="1537"/>
    </row>
    <row r="25" spans="1:58" ht="14.5">
      <c r="A25" s="1836"/>
      <c r="B25" s="2680">
        <v>0.8</v>
      </c>
      <c r="C25" s="2681"/>
      <c r="D25" s="2681"/>
      <c r="E25" s="2681"/>
      <c r="F25" s="2681"/>
      <c r="G25" s="2681"/>
      <c r="H25" s="2681"/>
      <c r="I25" s="2681"/>
      <c r="J25" s="2670">
        <f t="shared" si="1"/>
        <v>0</v>
      </c>
      <c r="K25" s="2671"/>
      <c r="L25" s="2671"/>
      <c r="M25" s="2671"/>
      <c r="N25" s="2671"/>
      <c r="O25" s="2672"/>
      <c r="P25" s="2674" cm="1">
        <f t="array" ref="P25">SUMPRODUCT((Application!$B$728:$B$752 = 'CalHFA Addendum'!P$18)*(Application!$AH$728:$AH$752 = 'CalHFA Addendum'!$B25),Application!$G$728:$G$752)</f>
        <v>0</v>
      </c>
      <c r="Q25" s="2675"/>
      <c r="R25" s="2675"/>
      <c r="S25" s="2675"/>
      <c r="T25" s="2675"/>
      <c r="U25" s="2676"/>
      <c r="V25" s="2674" cm="1">
        <f t="array" ref="V25">SUMPRODUCT((Application!$B$728:$B$752 = 'CalHFA Addendum'!V$18)*(Application!$AH$728:$AH$752 = 'CalHFA Addendum'!$B25),Application!$G$728:$G$752)</f>
        <v>0</v>
      </c>
      <c r="W25" s="2675"/>
      <c r="X25" s="2675"/>
      <c r="Y25" s="2675"/>
      <c r="Z25" s="2675"/>
      <c r="AA25" s="2676"/>
      <c r="AB25" s="2674" cm="1">
        <f t="array" ref="AB25">SUMPRODUCT((Application!$B$728:$B$752 = 'CalHFA Addendum'!AB$18)*(Application!$AH$728:$AH$752 = 'CalHFA Addendum'!$B25),Application!$G$728:$G$752)</f>
        <v>0</v>
      </c>
      <c r="AC25" s="2675"/>
      <c r="AD25" s="2675"/>
      <c r="AE25" s="2675"/>
      <c r="AF25" s="2675"/>
      <c r="AG25" s="2676"/>
      <c r="AH25" s="2674" cm="1">
        <f t="array" ref="AH25">SUMPRODUCT((Application!$B$728:$B$752 = 'CalHFA Addendum'!AH$18)*(Application!$AH$728:$AH$752 = 'CalHFA Addendum'!$B25),Application!$G$728:$G$752)</f>
        <v>0</v>
      </c>
      <c r="AI25" s="2675"/>
      <c r="AJ25" s="2675"/>
      <c r="AK25" s="2675"/>
      <c r="AL25" s="2675"/>
      <c r="AM25" s="2676"/>
      <c r="AN25" s="2674" cm="1">
        <f t="array" ref="AN25">SUMPRODUCT((Application!$B$728:$B$752 = 'CalHFA Addendum'!AN$18)*(Application!$AH$728:$AH$752 = 'CalHFA Addendum'!$B25),Application!$G$728:$G$752)</f>
        <v>0</v>
      </c>
      <c r="AO25" s="2675"/>
      <c r="AP25" s="2675"/>
      <c r="AQ25" s="2675"/>
      <c r="AR25" s="2675"/>
      <c r="AS25" s="2676"/>
      <c r="AT25" s="2677">
        <f t="shared" si="0"/>
        <v>0</v>
      </c>
      <c r="AU25" s="2678"/>
      <c r="AV25" s="2678"/>
      <c r="AW25" s="2678"/>
      <c r="AX25" s="2678"/>
      <c r="AY25" s="2679"/>
      <c r="AZ25" s="1531"/>
      <c r="BA25" s="1531"/>
      <c r="BB25" s="1531"/>
      <c r="BC25" s="1531"/>
      <c r="BD25" s="1531"/>
      <c r="BE25" s="1537"/>
    </row>
    <row r="26" spans="1:58" ht="14.5">
      <c r="A26" s="1836"/>
      <c r="B26" s="2680">
        <v>0.9</v>
      </c>
      <c r="C26" s="2681"/>
      <c r="D26" s="2681"/>
      <c r="E26" s="2681"/>
      <c r="F26" s="2681"/>
      <c r="G26" s="2681"/>
      <c r="H26" s="2681"/>
      <c r="I26" s="2681"/>
      <c r="J26" s="2670">
        <f t="shared" si="1"/>
        <v>0</v>
      </c>
      <c r="K26" s="2671"/>
      <c r="L26" s="2671"/>
      <c r="M26" s="2671"/>
      <c r="N26" s="2671"/>
      <c r="O26" s="2672"/>
      <c r="P26" s="2674" cm="1">
        <f t="array" ref="P26">SUMPRODUCT((Application!$B$728:$B$752 = 'CalHFA Addendum'!P$18)*(Application!$AH$728:$AH$752 = 'CalHFA Addendum'!$B26),Application!$G$728:$G$752)</f>
        <v>0</v>
      </c>
      <c r="Q26" s="2675"/>
      <c r="R26" s="2675"/>
      <c r="S26" s="2675"/>
      <c r="T26" s="2675"/>
      <c r="U26" s="2676"/>
      <c r="V26" s="2674" cm="1">
        <f t="array" ref="V26">SUMPRODUCT((Application!$B$728:$B$752 = 'CalHFA Addendum'!V$18)*(Application!$AH$728:$AH$752 = 'CalHFA Addendum'!$B26),Application!$G$728:$G$752)</f>
        <v>0</v>
      </c>
      <c r="W26" s="2675"/>
      <c r="X26" s="2675"/>
      <c r="Y26" s="2675"/>
      <c r="Z26" s="2675"/>
      <c r="AA26" s="2676"/>
      <c r="AB26" s="2674" cm="1">
        <f t="array" ref="AB26">SUMPRODUCT((Application!$B$728:$B$752 = 'CalHFA Addendum'!AB$18)*(Application!$AH$728:$AH$752 = 'CalHFA Addendum'!$B26),Application!$G$728:$G$752)</f>
        <v>0</v>
      </c>
      <c r="AC26" s="2675"/>
      <c r="AD26" s="2675"/>
      <c r="AE26" s="2675"/>
      <c r="AF26" s="2675"/>
      <c r="AG26" s="2676"/>
      <c r="AH26" s="2674" cm="1">
        <f t="array" ref="AH26">SUMPRODUCT((Application!$B$728:$B$752 = 'CalHFA Addendum'!AH$18)*(Application!$AH$728:$AH$752 = 'CalHFA Addendum'!$B26),Application!$G$728:$G$752)</f>
        <v>0</v>
      </c>
      <c r="AI26" s="2675"/>
      <c r="AJ26" s="2675"/>
      <c r="AK26" s="2675"/>
      <c r="AL26" s="2675"/>
      <c r="AM26" s="2676"/>
      <c r="AN26" s="2674" cm="1">
        <f t="array" ref="AN26">SUMPRODUCT((Application!$B$728:$B$752 = 'CalHFA Addendum'!AN$18)*(Application!$AH$728:$AH$752 = 'CalHFA Addendum'!$B26),Application!$G$728:$G$752)</f>
        <v>0</v>
      </c>
      <c r="AO26" s="2675"/>
      <c r="AP26" s="2675"/>
      <c r="AQ26" s="2675"/>
      <c r="AR26" s="2675"/>
      <c r="AS26" s="2676"/>
      <c r="AT26" s="2677">
        <f t="shared" si="0"/>
        <v>0</v>
      </c>
      <c r="AU26" s="2678"/>
      <c r="AV26" s="2678"/>
      <c r="AW26" s="2678"/>
      <c r="AX26" s="2678"/>
      <c r="AY26" s="2679"/>
      <c r="AZ26" s="1531"/>
      <c r="BA26" s="1531"/>
      <c r="BB26" s="1531"/>
      <c r="BC26" s="1531"/>
      <c r="BD26" s="1531"/>
      <c r="BE26" s="1537"/>
    </row>
    <row r="27" spans="1:58" ht="14.5">
      <c r="A27" s="1836"/>
      <c r="B27" s="2680">
        <v>1</v>
      </c>
      <c r="C27" s="2681"/>
      <c r="D27" s="2681"/>
      <c r="E27" s="2681"/>
      <c r="F27" s="2681"/>
      <c r="G27" s="2681"/>
      <c r="H27" s="2681"/>
      <c r="I27" s="2681"/>
      <c r="J27" s="2670">
        <f t="shared" si="1"/>
        <v>0</v>
      </c>
      <c r="K27" s="2671"/>
      <c r="L27" s="2671"/>
      <c r="M27" s="2671"/>
      <c r="N27" s="2671"/>
      <c r="O27" s="2672"/>
      <c r="P27" s="2674" cm="1">
        <f t="array" ref="P27">SUMPRODUCT((Application!$B$728:$B$752 = 'CalHFA Addendum'!P$18)*(Application!$AH$728:$AH$752 = 'CalHFA Addendum'!$B27),Application!$G$728:$G$752)</f>
        <v>0</v>
      </c>
      <c r="Q27" s="2675"/>
      <c r="R27" s="2675"/>
      <c r="S27" s="2675"/>
      <c r="T27" s="2675"/>
      <c r="U27" s="2676"/>
      <c r="V27" s="2674" cm="1">
        <f t="array" ref="V27">SUMPRODUCT((Application!$B$728:$B$752 = 'CalHFA Addendum'!V$18)*(Application!$AH$728:$AH$752 = 'CalHFA Addendum'!$B27),Application!$G$728:$G$752)</f>
        <v>0</v>
      </c>
      <c r="W27" s="2675"/>
      <c r="X27" s="2675"/>
      <c r="Y27" s="2675"/>
      <c r="Z27" s="2675"/>
      <c r="AA27" s="2676"/>
      <c r="AB27" s="2674" cm="1">
        <f t="array" ref="AB27">SUMPRODUCT((Application!$B$728:$B$752 = 'CalHFA Addendum'!AB$18)*(Application!$AH$728:$AH$752 = 'CalHFA Addendum'!$B27),Application!$G$728:$G$752)</f>
        <v>0</v>
      </c>
      <c r="AC27" s="2675"/>
      <c r="AD27" s="2675"/>
      <c r="AE27" s="2675"/>
      <c r="AF27" s="2675"/>
      <c r="AG27" s="2676"/>
      <c r="AH27" s="2674" cm="1">
        <f t="array" ref="AH27">SUMPRODUCT((Application!$B$728:$B$752 = 'CalHFA Addendum'!AH$18)*(Application!$AH$728:$AH$752 = 'CalHFA Addendum'!$B27),Application!$G$728:$G$752)</f>
        <v>0</v>
      </c>
      <c r="AI27" s="2675"/>
      <c r="AJ27" s="2675"/>
      <c r="AK27" s="2675"/>
      <c r="AL27" s="2675"/>
      <c r="AM27" s="2676"/>
      <c r="AN27" s="2674" cm="1">
        <f t="array" ref="AN27">SUMPRODUCT((Application!$B$728:$B$752 = 'CalHFA Addendum'!AN$18)*(Application!$AH$728:$AH$752 = 'CalHFA Addendum'!$B27),Application!$G$728:$G$752)</f>
        <v>0</v>
      </c>
      <c r="AO27" s="2675"/>
      <c r="AP27" s="2675"/>
      <c r="AQ27" s="2675"/>
      <c r="AR27" s="2675"/>
      <c r="AS27" s="2676"/>
      <c r="AT27" s="2677">
        <f t="shared" si="0"/>
        <v>0</v>
      </c>
      <c r="AU27" s="2678"/>
      <c r="AV27" s="2678"/>
      <c r="AW27" s="2678"/>
      <c r="AX27" s="2678"/>
      <c r="AY27" s="2679"/>
      <c r="AZ27" s="1531"/>
      <c r="BA27" s="1531"/>
      <c r="BB27" s="1531"/>
      <c r="BC27" s="1531"/>
      <c r="BD27" s="1531"/>
      <c r="BE27" s="1537"/>
      <c r="BF27" s="1704"/>
    </row>
    <row r="28" spans="1:58" ht="15" thickBot="1">
      <c r="A28" s="1836"/>
      <c r="B28" s="2692" t="s">
        <v>2065</v>
      </c>
      <c r="C28" s="2693"/>
      <c r="D28" s="2693"/>
      <c r="E28" s="2693"/>
      <c r="F28" s="2693"/>
      <c r="G28" s="2693"/>
      <c r="H28" s="2693"/>
      <c r="I28" s="2694"/>
      <c r="J28" s="2670">
        <f>SUM(P28:AS28)</f>
        <v>1</v>
      </c>
      <c r="K28" s="2671"/>
      <c r="L28" s="2671"/>
      <c r="M28" s="2671"/>
      <c r="N28" s="2671"/>
      <c r="O28" s="2672"/>
      <c r="P28" s="2682">
        <f>_xlfn.IFNA(VLOOKUP(P$18,Application!$J$772:$S$775,6,FALSE), 0)</f>
        <v>0</v>
      </c>
      <c r="Q28" s="2683"/>
      <c r="R28" s="2683"/>
      <c r="S28" s="2683"/>
      <c r="T28" s="2683"/>
      <c r="U28" s="2684"/>
      <c r="V28" s="2682">
        <f>_xlfn.IFNA(VLOOKUP(V$18,Application!$J$772:$S$775,6,FALSE), 0)</f>
        <v>0</v>
      </c>
      <c r="W28" s="2683"/>
      <c r="X28" s="2683"/>
      <c r="Y28" s="2683"/>
      <c r="Z28" s="2683"/>
      <c r="AA28" s="2684"/>
      <c r="AB28" s="2682">
        <f>_xlfn.IFNA(VLOOKUP(AB$18,Application!$J$772:$S$775,6,FALSE), 0)</f>
        <v>1</v>
      </c>
      <c r="AC28" s="2683"/>
      <c r="AD28" s="2683"/>
      <c r="AE28" s="2683"/>
      <c r="AF28" s="2683"/>
      <c r="AG28" s="2684"/>
      <c r="AH28" s="2682">
        <f>_xlfn.IFNA(VLOOKUP(AH$18,Application!$J$772:$S$775,6,FALSE), 0)</f>
        <v>0</v>
      </c>
      <c r="AI28" s="2683"/>
      <c r="AJ28" s="2683"/>
      <c r="AK28" s="2683"/>
      <c r="AL28" s="2683"/>
      <c r="AM28" s="2684"/>
      <c r="AN28" s="2682">
        <f>_xlfn.IFNA(VLOOKUP(AN$18,Application!$J$772:$S$775,6,FALSE), 0)</f>
        <v>0</v>
      </c>
      <c r="AO28" s="2683"/>
      <c r="AP28" s="2683"/>
      <c r="AQ28" s="2683"/>
      <c r="AR28" s="2683"/>
      <c r="AS28" s="2684"/>
      <c r="AT28" s="2677">
        <f>J28/$J$29</f>
        <v>1.2500000000000001E-2</v>
      </c>
      <c r="AU28" s="2678"/>
      <c r="AV28" s="2678"/>
      <c r="AW28" s="2678"/>
      <c r="AX28" s="2678"/>
      <c r="AY28" s="2679"/>
      <c r="AZ28" s="1531"/>
      <c r="BA28" s="1531"/>
      <c r="BB28" s="1531"/>
      <c r="BC28" s="1531"/>
      <c r="BD28" s="1531"/>
      <c r="BE28" s="1537"/>
    </row>
    <row r="29" spans="1:58" ht="15" thickBot="1">
      <c r="A29" s="1836"/>
      <c r="B29" s="2685" t="s">
        <v>1893</v>
      </c>
      <c r="C29" s="2686"/>
      <c r="D29" s="2686"/>
      <c r="E29" s="2686"/>
      <c r="F29" s="2686"/>
      <c r="G29" s="2686"/>
      <c r="H29" s="2686"/>
      <c r="I29" s="2687"/>
      <c r="J29" s="2688">
        <f>SUM(J19:O28)</f>
        <v>80</v>
      </c>
      <c r="K29" s="2686"/>
      <c r="L29" s="2686"/>
      <c r="M29" s="2686"/>
      <c r="N29" s="2686"/>
      <c r="O29" s="2687"/>
      <c r="P29" s="2688">
        <f>SUM(P19:U28)</f>
        <v>28</v>
      </c>
      <c r="Q29" s="2686"/>
      <c r="R29" s="2686"/>
      <c r="S29" s="2686"/>
      <c r="T29" s="2686"/>
      <c r="U29" s="2687"/>
      <c r="V29" s="2688">
        <f>SUM(V19:AA28)</f>
        <v>11</v>
      </c>
      <c r="W29" s="2686"/>
      <c r="X29" s="2686"/>
      <c r="Y29" s="2686"/>
      <c r="Z29" s="2686"/>
      <c r="AA29" s="2687"/>
      <c r="AB29" s="2688">
        <f>SUM(AB19:AG28)</f>
        <v>27</v>
      </c>
      <c r="AC29" s="2686"/>
      <c r="AD29" s="2686"/>
      <c r="AE29" s="2686"/>
      <c r="AF29" s="2686"/>
      <c r="AG29" s="2687"/>
      <c r="AH29" s="2688">
        <f>SUM(AH19:AM28)</f>
        <v>14</v>
      </c>
      <c r="AI29" s="2686"/>
      <c r="AJ29" s="2686"/>
      <c r="AK29" s="2686"/>
      <c r="AL29" s="2686"/>
      <c r="AM29" s="2687"/>
      <c r="AN29" s="2688">
        <f>SUM(AN19:AS28)</f>
        <v>0</v>
      </c>
      <c r="AO29" s="2686"/>
      <c r="AP29" s="2686"/>
      <c r="AQ29" s="2686"/>
      <c r="AR29" s="2686"/>
      <c r="AS29" s="2687"/>
      <c r="AT29" s="2689">
        <f>J29/$J$29</f>
        <v>1</v>
      </c>
      <c r="AU29" s="2690"/>
      <c r="AV29" s="2690"/>
      <c r="AW29" s="2690"/>
      <c r="AX29" s="2690"/>
      <c r="AY29" s="2691"/>
      <c r="AZ29" s="1531"/>
      <c r="BA29" s="1531"/>
      <c r="BB29" s="1531"/>
      <c r="BC29" s="1531"/>
      <c r="BD29" s="1531"/>
      <c r="BE29" s="1537"/>
    </row>
    <row r="30" spans="1:58" ht="15"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5" thickBot="1">
      <c r="A31" s="1836"/>
      <c r="B31" s="2695" t="s">
        <v>2066</v>
      </c>
      <c r="C31" s="2696"/>
      <c r="D31" s="2696"/>
      <c r="E31" s="2696"/>
      <c r="F31" s="2696"/>
      <c r="G31" s="2696"/>
      <c r="H31" s="2696"/>
      <c r="I31" s="2696"/>
      <c r="J31" s="2696"/>
      <c r="K31" s="2696"/>
      <c r="L31" s="2696"/>
      <c r="M31" s="2696"/>
      <c r="N31" s="2696"/>
      <c r="O31" s="2696"/>
      <c r="P31" s="2696"/>
      <c r="Q31" s="2696"/>
      <c r="R31" s="2696"/>
      <c r="S31" s="2696"/>
      <c r="T31" s="2696"/>
      <c r="U31" s="2696"/>
      <c r="V31" s="2696"/>
      <c r="W31" s="2696"/>
      <c r="X31" s="2696"/>
      <c r="Y31" s="2696"/>
      <c r="Z31" s="2696"/>
      <c r="AA31" s="2696"/>
      <c r="AB31" s="2696"/>
      <c r="AC31" s="2696"/>
      <c r="AD31" s="2696"/>
      <c r="AE31" s="2696"/>
      <c r="AF31" s="2696"/>
      <c r="AG31" s="2696"/>
      <c r="AH31" s="2696"/>
      <c r="AI31" s="2696"/>
      <c r="AJ31" s="2696"/>
      <c r="AK31" s="2696"/>
      <c r="AL31" s="2696"/>
      <c r="AM31" s="2696"/>
      <c r="AN31" s="2696"/>
      <c r="AO31" s="2696"/>
      <c r="AP31" s="2696"/>
      <c r="AQ31" s="2696"/>
      <c r="AR31" s="2696"/>
      <c r="AS31" s="2696"/>
      <c r="AT31" s="2696"/>
      <c r="AU31" s="2696"/>
      <c r="AV31" s="2696"/>
      <c r="AW31" s="2696"/>
      <c r="AX31" s="2696"/>
      <c r="AY31" s="2696"/>
      <c r="AZ31" s="2697"/>
      <c r="BA31" s="1531"/>
      <c r="BB31" s="1531"/>
      <c r="BC31" s="1531"/>
      <c r="BD31" s="1531"/>
      <c r="BE31" s="1537"/>
    </row>
    <row r="32" spans="1:58" ht="15" thickBot="1">
      <c r="A32" s="1836"/>
      <c r="B32" s="2698" t="s">
        <v>2067</v>
      </c>
      <c r="C32" s="2699"/>
      <c r="D32" s="2699"/>
      <c r="E32" s="2699"/>
      <c r="F32" s="2699"/>
      <c r="G32" s="2699"/>
      <c r="H32" s="2699"/>
      <c r="I32" s="2700"/>
      <c r="J32" s="2702" t="s">
        <v>2068</v>
      </c>
      <c r="K32" s="2703"/>
      <c r="L32" s="2703"/>
      <c r="M32" s="2704"/>
      <c r="N32" s="2702" t="s">
        <v>2069</v>
      </c>
      <c r="O32" s="2703"/>
      <c r="P32" s="2703"/>
      <c r="Q32" s="2703"/>
      <c r="R32" s="2706" t="s">
        <v>2070</v>
      </c>
      <c r="S32" s="2707"/>
      <c r="T32" s="2707"/>
      <c r="U32" s="2707"/>
      <c r="V32" s="2707"/>
      <c r="W32" s="2707"/>
      <c r="X32" s="2707"/>
      <c r="Y32" s="2707"/>
      <c r="Z32" s="2707"/>
      <c r="AA32" s="2707"/>
      <c r="AB32" s="2707"/>
      <c r="AC32" s="2707"/>
      <c r="AD32" s="2707"/>
      <c r="AE32" s="2707"/>
      <c r="AF32" s="2707"/>
      <c r="AG32" s="2707"/>
      <c r="AH32" s="2707"/>
      <c r="AI32" s="2707"/>
      <c r="AJ32" s="2707"/>
      <c r="AK32" s="2707"/>
      <c r="AL32" s="2707"/>
      <c r="AM32" s="2707"/>
      <c r="AN32" s="2707"/>
      <c r="AO32" s="2707"/>
      <c r="AP32" s="2707"/>
      <c r="AQ32" s="2707"/>
      <c r="AR32" s="2707"/>
      <c r="AS32" s="2707"/>
      <c r="AT32" s="2707"/>
      <c r="AU32" s="2707"/>
      <c r="AV32" s="2707"/>
      <c r="AW32" s="2707"/>
      <c r="AX32" s="2707"/>
      <c r="AY32" s="2707"/>
      <c r="AZ32" s="2708"/>
      <c r="BA32" s="1531"/>
      <c r="BB32" s="1531"/>
      <c r="BC32" s="1531"/>
      <c r="BD32" s="1531"/>
      <c r="BE32" s="1537"/>
    </row>
    <row r="33" spans="1:58" ht="15" customHeight="1">
      <c r="A33" s="1836"/>
      <c r="B33" s="2701"/>
      <c r="C33" s="2699"/>
      <c r="D33" s="2699"/>
      <c r="E33" s="2699"/>
      <c r="F33" s="2699"/>
      <c r="G33" s="2699"/>
      <c r="H33" s="2699"/>
      <c r="I33" s="2700"/>
      <c r="J33" s="2705"/>
      <c r="K33" s="2703"/>
      <c r="L33" s="2703"/>
      <c r="M33" s="2704"/>
      <c r="N33" s="2705"/>
      <c r="O33" s="2703"/>
      <c r="P33" s="2703"/>
      <c r="Q33" s="2703"/>
      <c r="R33" s="2709" t="s">
        <v>2071</v>
      </c>
      <c r="S33" s="2710"/>
      <c r="T33" s="2710"/>
      <c r="U33" s="2710"/>
      <c r="V33" s="2710"/>
      <c r="W33" s="2710"/>
      <c r="X33" s="2710"/>
      <c r="Y33" s="2710"/>
      <c r="Z33" s="2710"/>
      <c r="AA33" s="2710"/>
      <c r="AB33" s="2710"/>
      <c r="AC33" s="2710"/>
      <c r="AD33" s="2710"/>
      <c r="AE33" s="2710"/>
      <c r="AF33" s="2710"/>
      <c r="AG33" s="2710"/>
      <c r="AH33" s="2710"/>
      <c r="AI33" s="2710"/>
      <c r="AJ33" s="2710"/>
      <c r="AK33" s="2710"/>
      <c r="AL33" s="2710"/>
      <c r="AM33" s="2710"/>
      <c r="AN33" s="2710"/>
      <c r="AO33" s="2710"/>
      <c r="AP33" s="2710"/>
      <c r="AQ33" s="2710"/>
      <c r="AR33" s="2710"/>
      <c r="AS33" s="2710"/>
      <c r="AT33" s="2710"/>
      <c r="AU33" s="2710"/>
      <c r="AV33" s="2710"/>
      <c r="AW33" s="2710"/>
      <c r="AX33" s="2710"/>
      <c r="AY33" s="2710"/>
      <c r="AZ33" s="2711"/>
      <c r="BA33" s="1538"/>
      <c r="BB33" s="1531"/>
      <c r="BC33" s="1531"/>
      <c r="BD33" s="1531"/>
      <c r="BE33" s="1537"/>
    </row>
    <row r="34" spans="1:58" ht="15.75" customHeight="1" thickBot="1">
      <c r="A34" s="1836"/>
      <c r="B34" s="2701"/>
      <c r="C34" s="2699"/>
      <c r="D34" s="2699"/>
      <c r="E34" s="2699"/>
      <c r="F34" s="2699"/>
      <c r="G34" s="2699"/>
      <c r="H34" s="2699"/>
      <c r="I34" s="2700"/>
      <c r="J34" s="2705"/>
      <c r="K34" s="2703"/>
      <c r="L34" s="2703"/>
      <c r="M34" s="2704"/>
      <c r="N34" s="2705"/>
      <c r="O34" s="2703"/>
      <c r="P34" s="2703"/>
      <c r="Q34" s="2703"/>
      <c r="R34" s="2712"/>
      <c r="S34" s="2713"/>
      <c r="T34" s="2713"/>
      <c r="U34" s="2713"/>
      <c r="V34" s="2713"/>
      <c r="W34" s="2713"/>
      <c r="X34" s="2713"/>
      <c r="Y34" s="2713"/>
      <c r="Z34" s="2713"/>
      <c r="AA34" s="2713"/>
      <c r="AB34" s="2713"/>
      <c r="AC34" s="2713"/>
      <c r="AD34" s="2713"/>
      <c r="AE34" s="2713"/>
      <c r="AF34" s="2713"/>
      <c r="AG34" s="2713"/>
      <c r="AH34" s="2713"/>
      <c r="AI34" s="2713"/>
      <c r="AJ34" s="2713"/>
      <c r="AK34" s="2713"/>
      <c r="AL34" s="2713"/>
      <c r="AM34" s="2713"/>
      <c r="AN34" s="2713"/>
      <c r="AO34" s="2713"/>
      <c r="AP34" s="2713"/>
      <c r="AQ34" s="2713"/>
      <c r="AR34" s="2713"/>
      <c r="AS34" s="2713"/>
      <c r="AT34" s="2713"/>
      <c r="AU34" s="2713"/>
      <c r="AV34" s="2713"/>
      <c r="AW34" s="2713"/>
      <c r="AX34" s="2713"/>
      <c r="AY34" s="2713"/>
      <c r="AZ34" s="2714"/>
      <c r="BA34" s="1538"/>
      <c r="BB34" s="1531"/>
      <c r="BC34" s="1531"/>
      <c r="BD34" s="1531"/>
      <c r="BE34" s="1537"/>
    </row>
    <row r="35" spans="1:58" ht="15.75" customHeight="1" thickBot="1">
      <c r="A35" s="1836"/>
      <c r="B35" s="2701"/>
      <c r="C35" s="2699"/>
      <c r="D35" s="2699"/>
      <c r="E35" s="2699"/>
      <c r="F35" s="2699"/>
      <c r="G35" s="2699"/>
      <c r="H35" s="2699"/>
      <c r="I35" s="2700"/>
      <c r="J35" s="2705"/>
      <c r="K35" s="2703"/>
      <c r="L35" s="2703"/>
      <c r="M35" s="2704"/>
      <c r="N35" s="2705"/>
      <c r="O35" s="2703"/>
      <c r="P35" s="2703"/>
      <c r="Q35" s="2703"/>
      <c r="R35" s="2715">
        <v>0.5</v>
      </c>
      <c r="S35" s="2716"/>
      <c r="T35" s="2716"/>
      <c r="U35" s="2717"/>
      <c r="V35" s="2715">
        <v>0.6</v>
      </c>
      <c r="W35" s="2716"/>
      <c r="X35" s="2716"/>
      <c r="Y35" s="2717"/>
      <c r="Z35" s="2715">
        <v>0.7</v>
      </c>
      <c r="AA35" s="2716"/>
      <c r="AB35" s="2716"/>
      <c r="AC35" s="2717"/>
      <c r="AD35" s="2715">
        <v>0.8</v>
      </c>
      <c r="AE35" s="2716"/>
      <c r="AF35" s="2716"/>
      <c r="AG35" s="2717"/>
      <c r="AH35" s="2715">
        <v>1</v>
      </c>
      <c r="AI35" s="2716"/>
      <c r="AJ35" s="2716"/>
      <c r="AK35" s="2717"/>
      <c r="AL35" s="2715">
        <v>1.2</v>
      </c>
      <c r="AM35" s="2716"/>
      <c r="AN35" s="2717"/>
      <c r="AO35" s="2727" t="s">
        <v>2072</v>
      </c>
      <c r="AP35" s="2728"/>
      <c r="AQ35" s="2728"/>
      <c r="AR35" s="2728"/>
      <c r="AS35" s="2728"/>
      <c r="AT35" s="2729"/>
      <c r="AU35" s="2727" t="s">
        <v>2073</v>
      </c>
      <c r="AV35" s="2728"/>
      <c r="AW35" s="2728"/>
      <c r="AX35" s="2728"/>
      <c r="AY35" s="2728"/>
      <c r="AZ35" s="2729"/>
      <c r="BA35" s="1538"/>
      <c r="BB35" s="1531"/>
      <c r="BC35" s="1531"/>
      <c r="BD35" s="1531"/>
      <c r="BE35" s="1537"/>
      <c r="BF35" s="1529"/>
    </row>
    <row r="36" spans="1:58" ht="15.75" customHeight="1">
      <c r="A36" s="1836"/>
      <c r="B36" s="2730" t="s">
        <v>2074</v>
      </c>
      <c r="C36" s="2731"/>
      <c r="D36" s="2731"/>
      <c r="E36" s="2731"/>
      <c r="F36" s="2731"/>
      <c r="G36" s="2731"/>
      <c r="H36" s="2731"/>
      <c r="I36" s="2732"/>
      <c r="J36" s="2733" t="s">
        <v>2075</v>
      </c>
      <c r="K36" s="2734"/>
      <c r="L36" s="2734"/>
      <c r="M36" s="2735"/>
      <c r="N36" s="2736">
        <v>55</v>
      </c>
      <c r="O36" s="2737"/>
      <c r="P36" s="2737"/>
      <c r="Q36" s="2738"/>
      <c r="R36" s="2739">
        <v>10</v>
      </c>
      <c r="S36" s="2739"/>
      <c r="T36" s="2739"/>
      <c r="U36" s="2739"/>
      <c r="V36" s="2739">
        <v>30</v>
      </c>
      <c r="W36" s="2739"/>
      <c r="X36" s="2739"/>
      <c r="Y36" s="2739"/>
      <c r="Z36" s="2739"/>
      <c r="AA36" s="2739"/>
      <c r="AB36" s="2739"/>
      <c r="AC36" s="2739"/>
      <c r="AD36" s="2739">
        <v>59</v>
      </c>
      <c r="AE36" s="2739"/>
      <c r="AF36" s="2739"/>
      <c r="AG36" s="2739"/>
      <c r="AH36" s="2742"/>
      <c r="AI36" s="2742"/>
      <c r="AJ36" s="2742"/>
      <c r="AK36" s="2742"/>
      <c r="AL36" s="2742"/>
      <c r="AM36" s="2742"/>
      <c r="AN36" s="2742"/>
      <c r="AO36" s="2740">
        <f>SUM(R36:AN36)</f>
        <v>99</v>
      </c>
      <c r="AP36" s="2740"/>
      <c r="AQ36" s="2740"/>
      <c r="AR36" s="2740"/>
      <c r="AS36" s="2740"/>
      <c r="AT36" s="2740"/>
      <c r="AU36" s="2741">
        <f>AO36/$J$29</f>
        <v>1.2375</v>
      </c>
      <c r="AV36" s="2741"/>
      <c r="AW36" s="2741"/>
      <c r="AX36" s="2741"/>
      <c r="AY36" s="2741"/>
      <c r="AZ36" s="2741"/>
      <c r="BA36" s="1531"/>
      <c r="BB36" s="1531"/>
      <c r="BC36" s="1531"/>
      <c r="BD36" s="1531"/>
      <c r="BE36" s="1537"/>
      <c r="BF36" s="1529"/>
    </row>
    <row r="37" spans="1:58" ht="15.75" customHeight="1">
      <c r="A37" s="1836"/>
      <c r="B37" s="2718" t="s">
        <v>2076</v>
      </c>
      <c r="C37" s="2719"/>
      <c r="D37" s="2719"/>
      <c r="E37" s="2719"/>
      <c r="F37" s="2719"/>
      <c r="G37" s="2719"/>
      <c r="H37" s="2719"/>
      <c r="I37" s="2720"/>
      <c r="J37" s="2721" t="s">
        <v>2077</v>
      </c>
      <c r="K37" s="2722"/>
      <c r="L37" s="2722"/>
      <c r="M37" s="2723"/>
      <c r="N37" s="2724">
        <v>55</v>
      </c>
      <c r="O37" s="2722"/>
      <c r="P37" s="2722"/>
      <c r="Q37" s="2725"/>
      <c r="R37" s="2726"/>
      <c r="S37" s="2726"/>
      <c r="T37" s="2726"/>
      <c r="U37" s="2726"/>
      <c r="V37" s="2726"/>
      <c r="W37" s="2726"/>
      <c r="X37" s="2726"/>
      <c r="Y37" s="2726"/>
      <c r="Z37" s="2726"/>
      <c r="AA37" s="2726"/>
      <c r="AB37" s="2726"/>
      <c r="AC37" s="2726"/>
      <c r="AD37" s="2726"/>
      <c r="AE37" s="2726"/>
      <c r="AF37" s="2726"/>
      <c r="AG37" s="2726"/>
      <c r="AH37" s="2726"/>
      <c r="AI37" s="2726"/>
      <c r="AJ37" s="2726"/>
      <c r="AK37" s="2726"/>
      <c r="AL37" s="2726"/>
      <c r="AM37" s="2726"/>
      <c r="AN37" s="2726"/>
      <c r="AO37" s="2740">
        <f t="shared" ref="AO37:AO47" si="2">SUM(R37:AN37)</f>
        <v>0</v>
      </c>
      <c r="AP37" s="2740"/>
      <c r="AQ37" s="2740"/>
      <c r="AR37" s="2740"/>
      <c r="AS37" s="2740"/>
      <c r="AT37" s="2740"/>
      <c r="AU37" s="2741">
        <f t="shared" ref="AU37:AU47" si="3">AO37/$J$29</f>
        <v>0</v>
      </c>
      <c r="AV37" s="2741"/>
      <c r="AW37" s="2741"/>
      <c r="AX37" s="2741"/>
      <c r="AY37" s="2741"/>
      <c r="AZ37" s="2741"/>
      <c r="BA37" s="1531"/>
      <c r="BB37" s="1531"/>
      <c r="BC37" s="1531"/>
      <c r="BD37" s="1531"/>
      <c r="BE37" s="1537"/>
      <c r="BF37" s="1529"/>
    </row>
    <row r="38" spans="1:58" ht="15.75" customHeight="1">
      <c r="A38" s="1836"/>
      <c r="B38" s="2718" t="s">
        <v>2078</v>
      </c>
      <c r="C38" s="2719"/>
      <c r="D38" s="2719"/>
      <c r="E38" s="2719"/>
      <c r="F38" s="2719"/>
      <c r="G38" s="2719"/>
      <c r="H38" s="2719"/>
      <c r="I38" s="2720"/>
      <c r="J38" s="2721" t="s">
        <v>2079</v>
      </c>
      <c r="K38" s="2722"/>
      <c r="L38" s="2722"/>
      <c r="M38" s="2723"/>
      <c r="N38" s="2724">
        <v>55</v>
      </c>
      <c r="O38" s="2722"/>
      <c r="P38" s="2722"/>
      <c r="Q38" s="2725"/>
      <c r="R38" s="2726"/>
      <c r="S38" s="2726"/>
      <c r="T38" s="2726"/>
      <c r="U38" s="2726"/>
      <c r="V38" s="2726"/>
      <c r="W38" s="2726"/>
      <c r="X38" s="2726"/>
      <c r="Y38" s="2726"/>
      <c r="Z38" s="2726"/>
      <c r="AA38" s="2726"/>
      <c r="AB38" s="2726"/>
      <c r="AC38" s="2726"/>
      <c r="AD38" s="2726"/>
      <c r="AE38" s="2726"/>
      <c r="AF38" s="2726"/>
      <c r="AG38" s="2726"/>
      <c r="AH38" s="2726"/>
      <c r="AI38" s="2726"/>
      <c r="AJ38" s="2726"/>
      <c r="AK38" s="2726"/>
      <c r="AL38" s="2726"/>
      <c r="AM38" s="2726"/>
      <c r="AN38" s="2726"/>
      <c r="AO38" s="2740">
        <f t="shared" si="2"/>
        <v>0</v>
      </c>
      <c r="AP38" s="2740"/>
      <c r="AQ38" s="2740"/>
      <c r="AR38" s="2740"/>
      <c r="AS38" s="2740"/>
      <c r="AT38" s="2740"/>
      <c r="AU38" s="2741">
        <f t="shared" si="3"/>
        <v>0</v>
      </c>
      <c r="AV38" s="2741"/>
      <c r="AW38" s="2741"/>
      <c r="AX38" s="2741"/>
      <c r="AY38" s="2741"/>
      <c r="AZ38" s="2741"/>
      <c r="BA38" s="1531"/>
      <c r="BB38" s="1531"/>
      <c r="BC38" s="1531"/>
      <c r="BD38" s="1531"/>
      <c r="BE38" s="1537"/>
      <c r="BF38" s="1529"/>
    </row>
    <row r="39" spans="1:58" ht="15.75" customHeight="1">
      <c r="A39" s="1836"/>
      <c r="B39" s="2718" t="s">
        <v>2080</v>
      </c>
      <c r="C39" s="2719"/>
      <c r="D39" s="2719"/>
      <c r="E39" s="2719"/>
      <c r="F39" s="2719"/>
      <c r="G39" s="2719"/>
      <c r="H39" s="2719"/>
      <c r="I39" s="2720"/>
      <c r="J39" s="2743"/>
      <c r="K39" s="2744"/>
      <c r="L39" s="2744"/>
      <c r="M39" s="2745"/>
      <c r="N39" s="2746"/>
      <c r="O39" s="2744"/>
      <c r="P39" s="2744"/>
      <c r="Q39" s="2747"/>
      <c r="R39" s="2726"/>
      <c r="S39" s="2726"/>
      <c r="T39" s="2726"/>
      <c r="U39" s="2726"/>
      <c r="V39" s="2726"/>
      <c r="W39" s="2726"/>
      <c r="X39" s="2726"/>
      <c r="Y39" s="2726"/>
      <c r="Z39" s="2726"/>
      <c r="AA39" s="2726"/>
      <c r="AB39" s="2726"/>
      <c r="AC39" s="2726"/>
      <c r="AD39" s="2726"/>
      <c r="AE39" s="2726"/>
      <c r="AF39" s="2726"/>
      <c r="AG39" s="2726"/>
      <c r="AH39" s="2726"/>
      <c r="AI39" s="2726"/>
      <c r="AJ39" s="2726"/>
      <c r="AK39" s="2726"/>
      <c r="AL39" s="2726"/>
      <c r="AM39" s="2726"/>
      <c r="AN39" s="2726"/>
      <c r="AO39" s="2740">
        <f t="shared" si="2"/>
        <v>0</v>
      </c>
      <c r="AP39" s="2740"/>
      <c r="AQ39" s="2740"/>
      <c r="AR39" s="2740"/>
      <c r="AS39" s="2740"/>
      <c r="AT39" s="2740"/>
      <c r="AU39" s="2741">
        <f t="shared" si="3"/>
        <v>0</v>
      </c>
      <c r="AV39" s="2741"/>
      <c r="AW39" s="2741"/>
      <c r="AX39" s="2741"/>
      <c r="AY39" s="2741"/>
      <c r="AZ39" s="2741"/>
      <c r="BA39" s="1531"/>
      <c r="BB39" s="1531"/>
      <c r="BC39" s="1531"/>
      <c r="BD39" s="1531"/>
      <c r="BE39" s="1537"/>
    </row>
    <row r="40" spans="1:58" ht="15.75" customHeight="1">
      <c r="A40" s="1836"/>
      <c r="B40" s="2718" t="s">
        <v>2080</v>
      </c>
      <c r="C40" s="2719"/>
      <c r="D40" s="2719"/>
      <c r="E40" s="2719"/>
      <c r="F40" s="2719"/>
      <c r="G40" s="2719"/>
      <c r="H40" s="2719"/>
      <c r="I40" s="2720"/>
      <c r="J40" s="2743"/>
      <c r="K40" s="2744"/>
      <c r="L40" s="2744"/>
      <c r="M40" s="2745"/>
      <c r="N40" s="2746"/>
      <c r="O40" s="2744"/>
      <c r="P40" s="2744"/>
      <c r="Q40" s="2747"/>
      <c r="R40" s="2726"/>
      <c r="S40" s="2726"/>
      <c r="T40" s="2726"/>
      <c r="U40" s="2726"/>
      <c r="V40" s="2726"/>
      <c r="W40" s="2726"/>
      <c r="X40" s="2726"/>
      <c r="Y40" s="2726"/>
      <c r="Z40" s="2726"/>
      <c r="AA40" s="2726"/>
      <c r="AB40" s="2726"/>
      <c r="AC40" s="2726"/>
      <c r="AD40" s="2726"/>
      <c r="AE40" s="2726"/>
      <c r="AF40" s="2726"/>
      <c r="AG40" s="2726"/>
      <c r="AH40" s="2726"/>
      <c r="AI40" s="2726"/>
      <c r="AJ40" s="2726"/>
      <c r="AK40" s="2726"/>
      <c r="AL40" s="2726"/>
      <c r="AM40" s="2726"/>
      <c r="AN40" s="2726"/>
      <c r="AO40" s="2740">
        <f t="shared" si="2"/>
        <v>0</v>
      </c>
      <c r="AP40" s="2740"/>
      <c r="AQ40" s="2740"/>
      <c r="AR40" s="2740"/>
      <c r="AS40" s="2740"/>
      <c r="AT40" s="2740"/>
      <c r="AU40" s="2741">
        <f t="shared" si="3"/>
        <v>0</v>
      </c>
      <c r="AV40" s="2741"/>
      <c r="AW40" s="2741"/>
      <c r="AX40" s="2741"/>
      <c r="AY40" s="2741"/>
      <c r="AZ40" s="2741"/>
      <c r="BA40" s="1531"/>
      <c r="BB40" s="1531"/>
      <c r="BC40" s="1531"/>
      <c r="BD40" s="1531"/>
      <c r="BE40" s="1537"/>
    </row>
    <row r="41" spans="1:58" ht="15.75" customHeight="1">
      <c r="A41" s="1836"/>
      <c r="B41" s="2748" t="s">
        <v>2081</v>
      </c>
      <c r="C41" s="2749"/>
      <c r="D41" s="2749"/>
      <c r="E41" s="2749"/>
      <c r="F41" s="2749"/>
      <c r="G41" s="2749"/>
      <c r="H41" s="2749"/>
      <c r="I41" s="2750"/>
      <c r="J41" s="2743"/>
      <c r="K41" s="2744"/>
      <c r="L41" s="2744"/>
      <c r="M41" s="2745"/>
      <c r="N41" s="2746"/>
      <c r="O41" s="2744"/>
      <c r="P41" s="2744"/>
      <c r="Q41" s="2747"/>
      <c r="R41" s="2726"/>
      <c r="S41" s="2726"/>
      <c r="T41" s="2726"/>
      <c r="U41" s="2726"/>
      <c r="V41" s="2726"/>
      <c r="W41" s="2726"/>
      <c r="X41" s="2726"/>
      <c r="Y41" s="2726"/>
      <c r="Z41" s="2726"/>
      <c r="AA41" s="2726"/>
      <c r="AB41" s="2726"/>
      <c r="AC41" s="2726"/>
      <c r="AD41" s="2726"/>
      <c r="AE41" s="2726"/>
      <c r="AF41" s="2726"/>
      <c r="AG41" s="2726"/>
      <c r="AH41" s="2726"/>
      <c r="AI41" s="2726"/>
      <c r="AJ41" s="2726"/>
      <c r="AK41" s="2726"/>
      <c r="AL41" s="2726"/>
      <c r="AM41" s="2726"/>
      <c r="AN41" s="2726"/>
      <c r="AO41" s="2740">
        <f t="shared" si="2"/>
        <v>0</v>
      </c>
      <c r="AP41" s="2740"/>
      <c r="AQ41" s="2740"/>
      <c r="AR41" s="2740"/>
      <c r="AS41" s="2740"/>
      <c r="AT41" s="2740"/>
      <c r="AU41" s="2741">
        <f t="shared" si="3"/>
        <v>0</v>
      </c>
      <c r="AV41" s="2741"/>
      <c r="AW41" s="2741"/>
      <c r="AX41" s="2741"/>
      <c r="AY41" s="2741"/>
      <c r="AZ41" s="2741"/>
      <c r="BA41" s="1531"/>
      <c r="BB41" s="1531"/>
      <c r="BC41" s="1531"/>
      <c r="BD41" s="1531"/>
      <c r="BE41" s="1537"/>
    </row>
    <row r="42" spans="1:58" ht="15.75" customHeight="1">
      <c r="A42" s="1836"/>
      <c r="B42" s="2748" t="s">
        <v>2081</v>
      </c>
      <c r="C42" s="2749"/>
      <c r="D42" s="2749"/>
      <c r="E42" s="2749"/>
      <c r="F42" s="2749"/>
      <c r="G42" s="2749"/>
      <c r="H42" s="2749"/>
      <c r="I42" s="2750"/>
      <c r="J42" s="2743"/>
      <c r="K42" s="2744"/>
      <c r="L42" s="2744"/>
      <c r="M42" s="2745"/>
      <c r="N42" s="2746"/>
      <c r="O42" s="2744"/>
      <c r="P42" s="2744"/>
      <c r="Q42" s="2747"/>
      <c r="R42" s="2726"/>
      <c r="S42" s="2726"/>
      <c r="T42" s="2726"/>
      <c r="U42" s="2726"/>
      <c r="V42" s="2726"/>
      <c r="W42" s="2726"/>
      <c r="X42" s="2726"/>
      <c r="Y42" s="2726"/>
      <c r="Z42" s="2726"/>
      <c r="AA42" s="2726"/>
      <c r="AB42" s="2726"/>
      <c r="AC42" s="2726"/>
      <c r="AD42" s="2726"/>
      <c r="AE42" s="2726"/>
      <c r="AF42" s="2726"/>
      <c r="AG42" s="2726"/>
      <c r="AH42" s="2726"/>
      <c r="AI42" s="2726"/>
      <c r="AJ42" s="2726"/>
      <c r="AK42" s="2726"/>
      <c r="AL42" s="2726"/>
      <c r="AM42" s="2726"/>
      <c r="AN42" s="2726"/>
      <c r="AO42" s="2740">
        <f t="shared" si="2"/>
        <v>0</v>
      </c>
      <c r="AP42" s="2740"/>
      <c r="AQ42" s="2740"/>
      <c r="AR42" s="2740"/>
      <c r="AS42" s="2740"/>
      <c r="AT42" s="2740"/>
      <c r="AU42" s="2741">
        <f t="shared" si="3"/>
        <v>0</v>
      </c>
      <c r="AV42" s="2741"/>
      <c r="AW42" s="2741"/>
      <c r="AX42" s="2741"/>
      <c r="AY42" s="2741"/>
      <c r="AZ42" s="2741"/>
      <c r="BA42" s="1531"/>
      <c r="BB42" s="1531"/>
      <c r="BC42" s="1531"/>
      <c r="BD42" s="1531"/>
      <c r="BE42" s="1537"/>
    </row>
    <row r="43" spans="1:58" ht="15.75" customHeight="1">
      <c r="A43" s="1836"/>
      <c r="B43" s="2751" t="s">
        <v>2082</v>
      </c>
      <c r="C43" s="2752"/>
      <c r="D43" s="2752"/>
      <c r="E43" s="2752"/>
      <c r="F43" s="2752"/>
      <c r="G43" s="2752"/>
      <c r="H43" s="2752"/>
      <c r="I43" s="2753"/>
      <c r="J43" s="2743"/>
      <c r="K43" s="2744"/>
      <c r="L43" s="2744"/>
      <c r="M43" s="2745"/>
      <c r="N43" s="2746"/>
      <c r="O43" s="2744"/>
      <c r="P43" s="2744"/>
      <c r="Q43" s="2747"/>
      <c r="R43" s="2726"/>
      <c r="S43" s="2726"/>
      <c r="T43" s="2726"/>
      <c r="U43" s="2726"/>
      <c r="V43" s="2726"/>
      <c r="W43" s="2726"/>
      <c r="X43" s="2726"/>
      <c r="Y43" s="2726"/>
      <c r="Z43" s="2726"/>
      <c r="AA43" s="2726"/>
      <c r="AB43" s="2726"/>
      <c r="AC43" s="2726"/>
      <c r="AD43" s="2726"/>
      <c r="AE43" s="2726"/>
      <c r="AF43" s="2726"/>
      <c r="AG43" s="2726"/>
      <c r="AH43" s="2726"/>
      <c r="AI43" s="2726"/>
      <c r="AJ43" s="2726"/>
      <c r="AK43" s="2726"/>
      <c r="AL43" s="2726"/>
      <c r="AM43" s="2726"/>
      <c r="AN43" s="2726"/>
      <c r="AO43" s="2740">
        <f t="shared" si="2"/>
        <v>0</v>
      </c>
      <c r="AP43" s="2740"/>
      <c r="AQ43" s="2740"/>
      <c r="AR43" s="2740"/>
      <c r="AS43" s="2740"/>
      <c r="AT43" s="2740"/>
      <c r="AU43" s="2741">
        <f t="shared" si="3"/>
        <v>0</v>
      </c>
      <c r="AV43" s="2741"/>
      <c r="AW43" s="2741"/>
      <c r="AX43" s="2741"/>
      <c r="AY43" s="2741"/>
      <c r="AZ43" s="2741"/>
      <c r="BA43" s="1531"/>
      <c r="BB43" s="1531"/>
      <c r="BC43" s="1531"/>
      <c r="BD43" s="1531"/>
      <c r="BE43" s="1537"/>
    </row>
    <row r="44" spans="1:58" ht="15.75" customHeight="1">
      <c r="A44" s="1836"/>
      <c r="B44" s="2751" t="s">
        <v>2083</v>
      </c>
      <c r="C44" s="2752"/>
      <c r="D44" s="2752"/>
      <c r="E44" s="2752"/>
      <c r="F44" s="2752"/>
      <c r="G44" s="2752"/>
      <c r="H44" s="2752"/>
      <c r="I44" s="2753"/>
      <c r="J44" s="2743"/>
      <c r="K44" s="2744"/>
      <c r="L44" s="2744"/>
      <c r="M44" s="2745"/>
      <c r="N44" s="2746"/>
      <c r="O44" s="2744"/>
      <c r="P44" s="2744"/>
      <c r="Q44" s="2747"/>
      <c r="R44" s="2726"/>
      <c r="S44" s="2726"/>
      <c r="T44" s="2726"/>
      <c r="U44" s="2726"/>
      <c r="V44" s="2726"/>
      <c r="W44" s="2726"/>
      <c r="X44" s="2726"/>
      <c r="Y44" s="2726"/>
      <c r="Z44" s="2726"/>
      <c r="AA44" s="2726"/>
      <c r="AB44" s="2726"/>
      <c r="AC44" s="2726"/>
      <c r="AD44" s="2726"/>
      <c r="AE44" s="2726"/>
      <c r="AF44" s="2726"/>
      <c r="AG44" s="2726"/>
      <c r="AH44" s="2726"/>
      <c r="AI44" s="2726"/>
      <c r="AJ44" s="2726"/>
      <c r="AK44" s="2726"/>
      <c r="AL44" s="2726"/>
      <c r="AM44" s="2726"/>
      <c r="AN44" s="2726"/>
      <c r="AO44" s="2740">
        <f t="shared" si="2"/>
        <v>0</v>
      </c>
      <c r="AP44" s="2740"/>
      <c r="AQ44" s="2740"/>
      <c r="AR44" s="2740"/>
      <c r="AS44" s="2740"/>
      <c r="AT44" s="2740"/>
      <c r="AU44" s="2741">
        <f t="shared" si="3"/>
        <v>0</v>
      </c>
      <c r="AV44" s="2741"/>
      <c r="AW44" s="2741"/>
      <c r="AX44" s="2741"/>
      <c r="AY44" s="2741"/>
      <c r="AZ44" s="2741"/>
      <c r="BA44" s="1531"/>
      <c r="BB44" s="1531"/>
      <c r="BC44" s="1531"/>
      <c r="BD44" s="1531"/>
      <c r="BE44" s="1537"/>
    </row>
    <row r="45" spans="1:58" ht="15.75" customHeight="1">
      <c r="A45" s="1836"/>
      <c r="B45" s="2754" t="s">
        <v>2084</v>
      </c>
      <c r="C45" s="2755"/>
      <c r="D45" s="2755"/>
      <c r="E45" s="2755"/>
      <c r="F45" s="2755"/>
      <c r="G45" s="2755"/>
      <c r="H45" s="2755"/>
      <c r="I45" s="2756"/>
      <c r="J45" s="2743"/>
      <c r="K45" s="2744"/>
      <c r="L45" s="2744"/>
      <c r="M45" s="2745"/>
      <c r="N45" s="2746"/>
      <c r="O45" s="2744"/>
      <c r="P45" s="2744"/>
      <c r="Q45" s="2747"/>
      <c r="R45" s="2726"/>
      <c r="S45" s="2726"/>
      <c r="T45" s="2726"/>
      <c r="U45" s="2726"/>
      <c r="V45" s="2726"/>
      <c r="W45" s="2726"/>
      <c r="X45" s="2726"/>
      <c r="Y45" s="2726"/>
      <c r="Z45" s="2726"/>
      <c r="AA45" s="2726"/>
      <c r="AB45" s="2726"/>
      <c r="AC45" s="2726"/>
      <c r="AD45" s="2726"/>
      <c r="AE45" s="2726"/>
      <c r="AF45" s="2726"/>
      <c r="AG45" s="2726"/>
      <c r="AH45" s="2726"/>
      <c r="AI45" s="2726"/>
      <c r="AJ45" s="2726"/>
      <c r="AK45" s="2726"/>
      <c r="AL45" s="2726"/>
      <c r="AM45" s="2726"/>
      <c r="AN45" s="2726"/>
      <c r="AO45" s="2740">
        <f t="shared" si="2"/>
        <v>0</v>
      </c>
      <c r="AP45" s="2740"/>
      <c r="AQ45" s="2740"/>
      <c r="AR45" s="2740"/>
      <c r="AS45" s="2740"/>
      <c r="AT45" s="2740"/>
      <c r="AU45" s="2741">
        <f t="shared" si="3"/>
        <v>0</v>
      </c>
      <c r="AV45" s="2741"/>
      <c r="AW45" s="2741"/>
      <c r="AX45" s="2741"/>
      <c r="AY45" s="2741"/>
      <c r="AZ45" s="2741"/>
      <c r="BA45" s="1531"/>
      <c r="BB45" s="1531"/>
      <c r="BC45" s="1531"/>
      <c r="BD45" s="1531"/>
      <c r="BE45" s="1537"/>
    </row>
    <row r="46" spans="1:58" ht="15.75" customHeight="1">
      <c r="A46" s="1836"/>
      <c r="B46" s="2754" t="s">
        <v>2085</v>
      </c>
      <c r="C46" s="2755"/>
      <c r="D46" s="2755"/>
      <c r="E46" s="2755"/>
      <c r="F46" s="2755"/>
      <c r="G46" s="2755"/>
      <c r="H46" s="2755"/>
      <c r="I46" s="2756"/>
      <c r="J46" s="2743"/>
      <c r="K46" s="2744"/>
      <c r="L46" s="2744"/>
      <c r="M46" s="2745"/>
      <c r="N46" s="2724">
        <v>99</v>
      </c>
      <c r="O46" s="2722"/>
      <c r="P46" s="2722"/>
      <c r="Q46" s="2725"/>
      <c r="R46" s="2726"/>
      <c r="S46" s="2726"/>
      <c r="T46" s="2726"/>
      <c r="U46" s="2726"/>
      <c r="V46" s="2726"/>
      <c r="W46" s="2726"/>
      <c r="X46" s="2726"/>
      <c r="Y46" s="2726"/>
      <c r="Z46" s="2726"/>
      <c r="AA46" s="2726"/>
      <c r="AB46" s="2726"/>
      <c r="AC46" s="2726"/>
      <c r="AD46" s="2726"/>
      <c r="AE46" s="2726"/>
      <c r="AF46" s="2726"/>
      <c r="AG46" s="2726"/>
      <c r="AH46" s="2726"/>
      <c r="AI46" s="2726"/>
      <c r="AJ46" s="2726"/>
      <c r="AK46" s="2726"/>
      <c r="AL46" s="2726"/>
      <c r="AM46" s="2726"/>
      <c r="AN46" s="2726"/>
      <c r="AO46" s="2740">
        <f t="shared" si="2"/>
        <v>0</v>
      </c>
      <c r="AP46" s="2740"/>
      <c r="AQ46" s="2740"/>
      <c r="AR46" s="2740"/>
      <c r="AS46" s="2740"/>
      <c r="AT46" s="2740"/>
      <c r="AU46" s="2741">
        <f t="shared" si="3"/>
        <v>0</v>
      </c>
      <c r="AV46" s="2741"/>
      <c r="AW46" s="2741"/>
      <c r="AX46" s="2741"/>
      <c r="AY46" s="2741"/>
      <c r="AZ46" s="2741"/>
      <c r="BA46" s="1531"/>
      <c r="BB46" s="1531"/>
      <c r="BC46" s="1531"/>
      <c r="BD46" s="1531"/>
      <c r="BE46" s="1537"/>
    </row>
    <row r="47" spans="1:58" ht="15.75" customHeight="1" thickBot="1">
      <c r="A47" s="1836"/>
      <c r="B47" s="2757" t="s">
        <v>310</v>
      </c>
      <c r="C47" s="2758"/>
      <c r="D47" s="2758"/>
      <c r="E47" s="2758"/>
      <c r="F47" s="2758"/>
      <c r="G47" s="2758"/>
      <c r="H47" s="2758"/>
      <c r="I47" s="2759"/>
      <c r="J47" s="2760"/>
      <c r="K47" s="2761"/>
      <c r="L47" s="2761"/>
      <c r="M47" s="2762"/>
      <c r="N47" s="2763"/>
      <c r="O47" s="2761"/>
      <c r="P47" s="2761"/>
      <c r="Q47" s="2764"/>
      <c r="R47" s="2726"/>
      <c r="S47" s="2726"/>
      <c r="T47" s="2726"/>
      <c r="U47" s="2726"/>
      <c r="V47" s="2726"/>
      <c r="W47" s="2726"/>
      <c r="X47" s="2726"/>
      <c r="Y47" s="2726"/>
      <c r="Z47" s="2726"/>
      <c r="AA47" s="2726"/>
      <c r="AB47" s="2726"/>
      <c r="AC47" s="2726"/>
      <c r="AD47" s="2726"/>
      <c r="AE47" s="2726"/>
      <c r="AF47" s="2726"/>
      <c r="AG47" s="2726"/>
      <c r="AH47" s="2726"/>
      <c r="AI47" s="2726"/>
      <c r="AJ47" s="2726"/>
      <c r="AK47" s="2726"/>
      <c r="AL47" s="2726"/>
      <c r="AM47" s="2726"/>
      <c r="AN47" s="2726"/>
      <c r="AO47" s="2740">
        <f t="shared" si="2"/>
        <v>0</v>
      </c>
      <c r="AP47" s="2740"/>
      <c r="AQ47" s="2740"/>
      <c r="AR47" s="2740"/>
      <c r="AS47" s="2740"/>
      <c r="AT47" s="2740"/>
      <c r="AU47" s="2741">
        <f t="shared" si="3"/>
        <v>0</v>
      </c>
      <c r="AV47" s="2741"/>
      <c r="AW47" s="2741"/>
      <c r="AX47" s="2741"/>
      <c r="AY47" s="2741"/>
      <c r="AZ47" s="2741"/>
      <c r="BA47" s="1531"/>
      <c r="BB47" s="1531"/>
      <c r="BC47" s="1531"/>
      <c r="BD47" s="1531"/>
      <c r="BE47" s="1537"/>
    </row>
    <row r="48" spans="1:58" ht="15.75" customHeight="1">
      <c r="A48" s="1836"/>
      <c r="B48" s="1539" t="s">
        <v>2086</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2087</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765" t="s">
        <v>2088</v>
      </c>
      <c r="C50" s="2766"/>
      <c r="D50" s="2766"/>
      <c r="E50" s="2766"/>
      <c r="F50" s="2766"/>
      <c r="G50" s="2766"/>
      <c r="H50" s="2766"/>
      <c r="I50" s="2766"/>
      <c r="J50" s="2766"/>
      <c r="K50" s="2766"/>
      <c r="L50" s="2766"/>
      <c r="M50" s="2766"/>
      <c r="N50" s="2766"/>
      <c r="O50" s="2766"/>
      <c r="P50" s="2766"/>
      <c r="Q50" s="2766"/>
      <c r="R50" s="2766"/>
      <c r="S50" s="2766"/>
      <c r="T50" s="2766"/>
      <c r="U50" s="2766"/>
      <c r="V50" s="2766"/>
      <c r="W50" s="2766"/>
      <c r="X50" s="2766"/>
      <c r="Y50" s="2766"/>
      <c r="Z50" s="2766"/>
      <c r="AA50" s="2766"/>
      <c r="AB50" s="2766"/>
      <c r="AC50" s="2766"/>
      <c r="AD50" s="2766"/>
      <c r="AE50" s="2766"/>
      <c r="AF50" s="2766"/>
      <c r="AG50" s="2766"/>
      <c r="AH50" s="2766"/>
      <c r="AI50" s="2766"/>
      <c r="AJ50" s="2766"/>
      <c r="AK50" s="2766"/>
      <c r="AL50" s="2766"/>
      <c r="AM50" s="2766"/>
      <c r="AN50" s="2766"/>
      <c r="AO50" s="2767"/>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768" t="s">
        <v>2089</v>
      </c>
      <c r="C51" s="2769"/>
      <c r="D51" s="2769"/>
      <c r="E51" s="2769"/>
      <c r="F51" s="2769"/>
      <c r="G51" s="2769"/>
      <c r="H51" s="2769"/>
      <c r="I51" s="2770"/>
      <c r="J51" s="2768" t="s">
        <v>2090</v>
      </c>
      <c r="K51" s="2769"/>
      <c r="L51" s="2769"/>
      <c r="M51" s="2769"/>
      <c r="N51" s="2769"/>
      <c r="O51" s="2769"/>
      <c r="P51" s="2769"/>
      <c r="Q51" s="2770"/>
      <c r="R51" s="2771" t="s">
        <v>2091</v>
      </c>
      <c r="S51" s="2772"/>
      <c r="T51" s="2772"/>
      <c r="U51" s="2772"/>
      <c r="V51" s="2772"/>
      <c r="W51" s="2772"/>
      <c r="X51" s="2772"/>
      <c r="Y51" s="2773"/>
      <c r="Z51" s="2774" t="s">
        <v>2092</v>
      </c>
      <c r="AA51" s="2775"/>
      <c r="AB51" s="2775"/>
      <c r="AC51" s="2775"/>
      <c r="AD51" s="2775"/>
      <c r="AE51" s="2775"/>
      <c r="AF51" s="2775"/>
      <c r="AG51" s="2776"/>
      <c r="AH51" s="2774" t="s">
        <v>2093</v>
      </c>
      <c r="AI51" s="2775"/>
      <c r="AJ51" s="2775"/>
      <c r="AK51" s="2775"/>
      <c r="AL51" s="2775"/>
      <c r="AM51" s="2775"/>
      <c r="AN51" s="2775"/>
      <c r="AO51" s="2776"/>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777"/>
      <c r="C52" s="2778"/>
      <c r="D52" s="2778"/>
      <c r="E52" s="2778"/>
      <c r="F52" s="2778"/>
      <c r="G52" s="2778"/>
      <c r="H52" s="2778"/>
      <c r="I52" s="2778"/>
      <c r="J52" s="2778"/>
      <c r="K52" s="2778"/>
      <c r="L52" s="2778"/>
      <c r="M52" s="2778"/>
      <c r="N52" s="2778"/>
      <c r="O52" s="2778"/>
      <c r="P52" s="2778"/>
      <c r="Q52" s="2778"/>
      <c r="R52" s="2779"/>
      <c r="S52" s="2779"/>
      <c r="T52" s="2779"/>
      <c r="U52" s="2779"/>
      <c r="V52" s="2779"/>
      <c r="W52" s="2779"/>
      <c r="X52" s="2779"/>
      <c r="Y52" s="2779"/>
      <c r="Z52" s="2778"/>
      <c r="AA52" s="2778"/>
      <c r="AB52" s="2778"/>
      <c r="AC52" s="2778"/>
      <c r="AD52" s="2778"/>
      <c r="AE52" s="2778"/>
      <c r="AF52" s="2778"/>
      <c r="AG52" s="2778"/>
      <c r="AH52" s="2778"/>
      <c r="AI52" s="2778"/>
      <c r="AJ52" s="2778"/>
      <c r="AK52" s="2778"/>
      <c r="AL52" s="2778"/>
      <c r="AM52" s="2778"/>
      <c r="AN52" s="2778"/>
      <c r="AO52" s="2780"/>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777"/>
      <c r="C53" s="2778"/>
      <c r="D53" s="2778"/>
      <c r="E53" s="2778"/>
      <c r="F53" s="2778"/>
      <c r="G53" s="2778"/>
      <c r="H53" s="2778"/>
      <c r="I53" s="2778"/>
      <c r="J53" s="2778"/>
      <c r="K53" s="2778"/>
      <c r="L53" s="2778"/>
      <c r="M53" s="2778"/>
      <c r="N53" s="2778"/>
      <c r="O53" s="2778"/>
      <c r="P53" s="2778"/>
      <c r="Q53" s="2778"/>
      <c r="R53" s="2779"/>
      <c r="S53" s="2779"/>
      <c r="T53" s="2779"/>
      <c r="U53" s="2779"/>
      <c r="V53" s="2779"/>
      <c r="W53" s="2779"/>
      <c r="X53" s="2779"/>
      <c r="Y53" s="2779"/>
      <c r="Z53" s="2778"/>
      <c r="AA53" s="2778"/>
      <c r="AB53" s="2778"/>
      <c r="AC53" s="2778"/>
      <c r="AD53" s="2778"/>
      <c r="AE53" s="2778"/>
      <c r="AF53" s="2778"/>
      <c r="AG53" s="2778"/>
      <c r="AH53" s="2778"/>
      <c r="AI53" s="2778"/>
      <c r="AJ53" s="2778"/>
      <c r="AK53" s="2778"/>
      <c r="AL53" s="2778"/>
      <c r="AM53" s="2778"/>
      <c r="AN53" s="2778"/>
      <c r="AO53" s="2780"/>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777"/>
      <c r="C54" s="2778"/>
      <c r="D54" s="2778"/>
      <c r="E54" s="2778"/>
      <c r="F54" s="2778"/>
      <c r="G54" s="2778"/>
      <c r="H54" s="2778"/>
      <c r="I54" s="2778"/>
      <c r="J54" s="2778"/>
      <c r="K54" s="2778"/>
      <c r="L54" s="2778"/>
      <c r="M54" s="2778"/>
      <c r="N54" s="2778"/>
      <c r="O54" s="2778"/>
      <c r="P54" s="2778"/>
      <c r="Q54" s="2778"/>
      <c r="R54" s="2779"/>
      <c r="S54" s="2779"/>
      <c r="T54" s="2779"/>
      <c r="U54" s="2779"/>
      <c r="V54" s="2779"/>
      <c r="W54" s="2779"/>
      <c r="X54" s="2779"/>
      <c r="Y54" s="2779"/>
      <c r="Z54" s="2778"/>
      <c r="AA54" s="2778"/>
      <c r="AB54" s="2778"/>
      <c r="AC54" s="2778"/>
      <c r="AD54" s="2778"/>
      <c r="AE54" s="2778"/>
      <c r="AF54" s="2778"/>
      <c r="AG54" s="2778"/>
      <c r="AH54" s="2778"/>
      <c r="AI54" s="2778"/>
      <c r="AJ54" s="2778"/>
      <c r="AK54" s="2778"/>
      <c r="AL54" s="2778"/>
      <c r="AM54" s="2778"/>
      <c r="AN54" s="2778"/>
      <c r="AO54" s="2780"/>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777"/>
      <c r="C55" s="2778"/>
      <c r="D55" s="2778"/>
      <c r="E55" s="2778"/>
      <c r="F55" s="2778"/>
      <c r="G55" s="2778"/>
      <c r="H55" s="2778"/>
      <c r="I55" s="2778"/>
      <c r="J55" s="2778"/>
      <c r="K55" s="2778"/>
      <c r="L55" s="2778"/>
      <c r="M55" s="2778"/>
      <c r="N55" s="2778"/>
      <c r="O55" s="2778"/>
      <c r="P55" s="2778"/>
      <c r="Q55" s="2778"/>
      <c r="R55" s="2779"/>
      <c r="S55" s="2779"/>
      <c r="T55" s="2779"/>
      <c r="U55" s="2779"/>
      <c r="V55" s="2779"/>
      <c r="W55" s="2779"/>
      <c r="X55" s="2779"/>
      <c r="Y55" s="2779"/>
      <c r="Z55" s="2778"/>
      <c r="AA55" s="2778"/>
      <c r="AB55" s="2778"/>
      <c r="AC55" s="2778"/>
      <c r="AD55" s="2778"/>
      <c r="AE55" s="2778"/>
      <c r="AF55" s="2778"/>
      <c r="AG55" s="2778"/>
      <c r="AH55" s="2778"/>
      <c r="AI55" s="2778"/>
      <c r="AJ55" s="2778"/>
      <c r="AK55" s="2778"/>
      <c r="AL55" s="2778"/>
      <c r="AM55" s="2778"/>
      <c r="AN55" s="2778"/>
      <c r="AO55" s="2780"/>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790"/>
      <c r="C56" s="2791"/>
      <c r="D56" s="2791"/>
      <c r="E56" s="2791"/>
      <c r="F56" s="2791"/>
      <c r="G56" s="2791"/>
      <c r="H56" s="2791"/>
      <c r="I56" s="2791"/>
      <c r="J56" s="2791"/>
      <c r="K56" s="2791"/>
      <c r="L56" s="2791"/>
      <c r="M56" s="2791"/>
      <c r="N56" s="2791"/>
      <c r="O56" s="2791"/>
      <c r="P56" s="2791"/>
      <c r="Q56" s="2791"/>
      <c r="R56" s="2792"/>
      <c r="S56" s="2792"/>
      <c r="T56" s="2792"/>
      <c r="U56" s="2792"/>
      <c r="V56" s="2792"/>
      <c r="W56" s="2792"/>
      <c r="X56" s="2792"/>
      <c r="Y56" s="2792"/>
      <c r="Z56" s="2791"/>
      <c r="AA56" s="2791"/>
      <c r="AB56" s="2791"/>
      <c r="AC56" s="2791"/>
      <c r="AD56" s="2791"/>
      <c r="AE56" s="2791"/>
      <c r="AF56" s="2791"/>
      <c r="AG56" s="2791"/>
      <c r="AH56" s="2791"/>
      <c r="AI56" s="2791"/>
      <c r="AJ56" s="2791"/>
      <c r="AK56" s="2791"/>
      <c r="AL56" s="2791"/>
      <c r="AM56" s="2791"/>
      <c r="AN56" s="2791"/>
      <c r="AO56" s="2793"/>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794" t="s">
        <v>1893</v>
      </c>
      <c r="C57" s="2795"/>
      <c r="D57" s="2795"/>
      <c r="E57" s="2795"/>
      <c r="F57" s="2795"/>
      <c r="G57" s="2795"/>
      <c r="H57" s="2795"/>
      <c r="I57" s="2795"/>
      <c r="J57" s="2795"/>
      <c r="K57" s="2795"/>
      <c r="L57" s="2795"/>
      <c r="M57" s="2795"/>
      <c r="N57" s="2795"/>
      <c r="O57" s="2795"/>
      <c r="P57" s="2795"/>
      <c r="Q57" s="2795"/>
      <c r="R57" s="2796">
        <f>SUM(R52:Y56)</f>
        <v>0</v>
      </c>
      <c r="S57" s="2796"/>
      <c r="T57" s="2796"/>
      <c r="U57" s="2796"/>
      <c r="V57" s="2796"/>
      <c r="W57" s="2796"/>
      <c r="X57" s="2796"/>
      <c r="Y57" s="2796"/>
      <c r="Z57" s="2796">
        <f>SUM(Z52:AG56)</f>
        <v>0</v>
      </c>
      <c r="AA57" s="2796"/>
      <c r="AB57" s="2796"/>
      <c r="AC57" s="2796"/>
      <c r="AD57" s="2796"/>
      <c r="AE57" s="2796"/>
      <c r="AF57" s="2796"/>
      <c r="AG57" s="2796"/>
      <c r="AH57" s="2796">
        <f>SUM(AH52:AO56)</f>
        <v>0</v>
      </c>
      <c r="AI57" s="2796"/>
      <c r="AJ57" s="2796"/>
      <c r="AK57" s="2796"/>
      <c r="AL57" s="2796"/>
      <c r="AM57" s="2796"/>
      <c r="AN57" s="2796"/>
      <c r="AO57" s="2796"/>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781" t="s">
        <v>2089</v>
      </c>
      <c r="C59" s="2782"/>
      <c r="D59" s="2782"/>
      <c r="E59" s="2782"/>
      <c r="F59" s="2782"/>
      <c r="G59" s="2782"/>
      <c r="H59" s="2782"/>
      <c r="I59" s="2783"/>
      <c r="J59" s="2784" t="s">
        <v>2094</v>
      </c>
      <c r="K59" s="2784"/>
      <c r="L59" s="2784"/>
      <c r="M59" s="2784"/>
      <c r="N59" s="2784"/>
      <c r="O59" s="2784"/>
      <c r="P59" s="2784"/>
      <c r="Q59" s="2784"/>
      <c r="R59" s="2784"/>
      <c r="S59" s="2784"/>
      <c r="T59" s="2784"/>
      <c r="U59" s="2784"/>
      <c r="V59" s="2784"/>
      <c r="W59" s="2784"/>
      <c r="X59" s="2784"/>
      <c r="Y59" s="2784"/>
      <c r="Z59" s="2784"/>
      <c r="AA59" s="2784"/>
      <c r="AB59" s="2784"/>
      <c r="AC59" s="2784"/>
      <c r="AD59" s="2784"/>
      <c r="AE59" s="2784"/>
      <c r="AF59" s="2784"/>
      <c r="AG59" s="2784"/>
      <c r="AH59" s="2784"/>
      <c r="AI59" s="2784"/>
      <c r="AJ59" s="2784"/>
      <c r="AK59" s="2784"/>
      <c r="AL59" s="2784"/>
      <c r="AM59" s="2784"/>
      <c r="AN59" s="2784"/>
      <c r="AO59" s="2784"/>
      <c r="AP59" s="2784"/>
      <c r="AQ59" s="2784"/>
      <c r="AR59" s="2784"/>
      <c r="AS59" s="2784"/>
      <c r="AT59" s="2784"/>
      <c r="AU59" s="2784"/>
      <c r="AV59" s="2784"/>
      <c r="AW59" s="2785"/>
      <c r="AX59" s="1531"/>
      <c r="AY59" s="1531"/>
      <c r="AZ59" s="1531"/>
      <c r="BA59" s="1531"/>
      <c r="BB59" s="1531"/>
      <c r="BC59" s="1531"/>
      <c r="BD59" s="1531"/>
      <c r="BE59" s="1537"/>
    </row>
    <row r="60" spans="1:58" ht="15.75" customHeight="1">
      <c r="A60" s="1836"/>
      <c r="B60" s="2786" t="str">
        <f>IF(B52="", "", B52)</f>
        <v/>
      </c>
      <c r="C60" s="2787"/>
      <c r="D60" s="2787"/>
      <c r="E60" s="2787"/>
      <c r="F60" s="2787"/>
      <c r="G60" s="2787"/>
      <c r="H60" s="2787"/>
      <c r="I60" s="2788"/>
      <c r="J60" s="2789"/>
      <c r="K60" s="2778"/>
      <c r="L60" s="2778"/>
      <c r="M60" s="2778"/>
      <c r="N60" s="2778"/>
      <c r="O60" s="2778"/>
      <c r="P60" s="2778"/>
      <c r="Q60" s="2778"/>
      <c r="R60" s="2778"/>
      <c r="S60" s="2778"/>
      <c r="T60" s="2778"/>
      <c r="U60" s="2778"/>
      <c r="V60" s="2778"/>
      <c r="W60" s="2778"/>
      <c r="X60" s="2778"/>
      <c r="Y60" s="2778"/>
      <c r="Z60" s="2778"/>
      <c r="AA60" s="2778"/>
      <c r="AB60" s="2778"/>
      <c r="AC60" s="2778"/>
      <c r="AD60" s="2778"/>
      <c r="AE60" s="2778"/>
      <c r="AF60" s="2778"/>
      <c r="AG60" s="2778"/>
      <c r="AH60" s="2778"/>
      <c r="AI60" s="2778"/>
      <c r="AJ60" s="2778"/>
      <c r="AK60" s="2778"/>
      <c r="AL60" s="2778"/>
      <c r="AM60" s="2778"/>
      <c r="AN60" s="2778"/>
      <c r="AO60" s="2778"/>
      <c r="AP60" s="2778"/>
      <c r="AQ60" s="2778"/>
      <c r="AR60" s="2778"/>
      <c r="AS60" s="2778"/>
      <c r="AT60" s="2778"/>
      <c r="AU60" s="2778"/>
      <c r="AV60" s="2778"/>
      <c r="AW60" s="2780"/>
      <c r="AX60" s="1531"/>
      <c r="AY60" s="1531"/>
      <c r="AZ60" s="1531"/>
      <c r="BA60" s="1531"/>
      <c r="BB60" s="1531"/>
      <c r="BC60" s="1531"/>
      <c r="BD60" s="1531"/>
      <c r="BE60" s="1537"/>
    </row>
    <row r="61" spans="1:58" ht="15.75" customHeight="1">
      <c r="A61" s="1836"/>
      <c r="B61" s="2786" t="str">
        <f>IF(B53="", "", B53)</f>
        <v/>
      </c>
      <c r="C61" s="2787"/>
      <c r="D61" s="2787"/>
      <c r="E61" s="2787"/>
      <c r="F61" s="2787"/>
      <c r="G61" s="2787"/>
      <c r="H61" s="2787"/>
      <c r="I61" s="2788"/>
      <c r="J61" s="2789"/>
      <c r="K61" s="2778"/>
      <c r="L61" s="2778"/>
      <c r="M61" s="2778"/>
      <c r="N61" s="2778"/>
      <c r="O61" s="2778"/>
      <c r="P61" s="2778"/>
      <c r="Q61" s="2778"/>
      <c r="R61" s="2778"/>
      <c r="S61" s="2778"/>
      <c r="T61" s="2778"/>
      <c r="U61" s="2778"/>
      <c r="V61" s="2778"/>
      <c r="W61" s="2778"/>
      <c r="X61" s="2778"/>
      <c r="Y61" s="2778"/>
      <c r="Z61" s="2778"/>
      <c r="AA61" s="2778"/>
      <c r="AB61" s="2778"/>
      <c r="AC61" s="2778"/>
      <c r="AD61" s="2778"/>
      <c r="AE61" s="2778"/>
      <c r="AF61" s="2778"/>
      <c r="AG61" s="2778"/>
      <c r="AH61" s="2778"/>
      <c r="AI61" s="2778"/>
      <c r="AJ61" s="2778"/>
      <c r="AK61" s="2778"/>
      <c r="AL61" s="2778"/>
      <c r="AM61" s="2778"/>
      <c r="AN61" s="2778"/>
      <c r="AO61" s="2778"/>
      <c r="AP61" s="2778"/>
      <c r="AQ61" s="2778"/>
      <c r="AR61" s="2778"/>
      <c r="AS61" s="2778"/>
      <c r="AT61" s="2778"/>
      <c r="AU61" s="2778"/>
      <c r="AV61" s="2778"/>
      <c r="AW61" s="2780"/>
      <c r="AX61" s="1531"/>
      <c r="AY61" s="1531"/>
      <c r="AZ61" s="1531"/>
      <c r="BA61" s="1531"/>
      <c r="BB61" s="1531"/>
      <c r="BC61" s="1531"/>
      <c r="BD61" s="1531"/>
      <c r="BE61" s="1537"/>
    </row>
    <row r="62" spans="1:58" ht="15.75" customHeight="1">
      <c r="A62" s="1836"/>
      <c r="B62" s="2786" t="str">
        <f>IF(B54="", "", B54)</f>
        <v/>
      </c>
      <c r="C62" s="2787"/>
      <c r="D62" s="2787"/>
      <c r="E62" s="2787"/>
      <c r="F62" s="2787"/>
      <c r="G62" s="2787"/>
      <c r="H62" s="2787"/>
      <c r="I62" s="2788"/>
      <c r="J62" s="2789"/>
      <c r="K62" s="2778"/>
      <c r="L62" s="2778"/>
      <c r="M62" s="2778"/>
      <c r="N62" s="2778"/>
      <c r="O62" s="2778"/>
      <c r="P62" s="2778"/>
      <c r="Q62" s="2778"/>
      <c r="R62" s="2778"/>
      <c r="S62" s="2778"/>
      <c r="T62" s="2778"/>
      <c r="U62" s="2778"/>
      <c r="V62" s="2778"/>
      <c r="W62" s="2778"/>
      <c r="X62" s="2778"/>
      <c r="Y62" s="2778"/>
      <c r="Z62" s="2778"/>
      <c r="AA62" s="2778"/>
      <c r="AB62" s="2778"/>
      <c r="AC62" s="2778"/>
      <c r="AD62" s="2778"/>
      <c r="AE62" s="2778"/>
      <c r="AF62" s="2778"/>
      <c r="AG62" s="2778"/>
      <c r="AH62" s="2778"/>
      <c r="AI62" s="2778"/>
      <c r="AJ62" s="2778"/>
      <c r="AK62" s="2778"/>
      <c r="AL62" s="2778"/>
      <c r="AM62" s="2778"/>
      <c r="AN62" s="2778"/>
      <c r="AO62" s="2778"/>
      <c r="AP62" s="2778"/>
      <c r="AQ62" s="2778"/>
      <c r="AR62" s="2778"/>
      <c r="AS62" s="2778"/>
      <c r="AT62" s="2778"/>
      <c r="AU62" s="2778"/>
      <c r="AV62" s="2778"/>
      <c r="AW62" s="2780"/>
      <c r="AX62" s="1531"/>
      <c r="AY62" s="1531"/>
      <c r="AZ62" s="1531"/>
      <c r="BA62" s="1531"/>
      <c r="BB62" s="1531"/>
      <c r="BC62" s="1531"/>
      <c r="BD62" s="1531"/>
      <c r="BE62" s="1537"/>
    </row>
    <row r="63" spans="1:58" ht="15.75" customHeight="1">
      <c r="A63" s="1836"/>
      <c r="B63" s="2786" t="str">
        <f>IF(B55="", "", B55)</f>
        <v/>
      </c>
      <c r="C63" s="2787"/>
      <c r="D63" s="2787"/>
      <c r="E63" s="2787"/>
      <c r="F63" s="2787"/>
      <c r="G63" s="2787"/>
      <c r="H63" s="2787"/>
      <c r="I63" s="2788"/>
      <c r="J63" s="2789"/>
      <c r="K63" s="2778"/>
      <c r="L63" s="2778"/>
      <c r="M63" s="2778"/>
      <c r="N63" s="2778"/>
      <c r="O63" s="2778"/>
      <c r="P63" s="2778"/>
      <c r="Q63" s="2778"/>
      <c r="R63" s="2778"/>
      <c r="S63" s="2778"/>
      <c r="T63" s="2778"/>
      <c r="U63" s="2778"/>
      <c r="V63" s="2778"/>
      <c r="W63" s="2778"/>
      <c r="X63" s="2778"/>
      <c r="Y63" s="2778"/>
      <c r="Z63" s="2778"/>
      <c r="AA63" s="2778"/>
      <c r="AB63" s="2778"/>
      <c r="AC63" s="2778"/>
      <c r="AD63" s="2778"/>
      <c r="AE63" s="2778"/>
      <c r="AF63" s="2778"/>
      <c r="AG63" s="2778"/>
      <c r="AH63" s="2778"/>
      <c r="AI63" s="2778"/>
      <c r="AJ63" s="2778"/>
      <c r="AK63" s="2778"/>
      <c r="AL63" s="2778"/>
      <c r="AM63" s="2778"/>
      <c r="AN63" s="2778"/>
      <c r="AO63" s="2778"/>
      <c r="AP63" s="2778"/>
      <c r="AQ63" s="2778"/>
      <c r="AR63" s="2778"/>
      <c r="AS63" s="2778"/>
      <c r="AT63" s="2778"/>
      <c r="AU63" s="2778"/>
      <c r="AV63" s="2778"/>
      <c r="AW63" s="2780"/>
      <c r="AX63" s="1531"/>
      <c r="AY63" s="1531"/>
      <c r="AZ63" s="1531"/>
      <c r="BA63" s="1531"/>
      <c r="BB63" s="1531"/>
      <c r="BC63" s="1531"/>
      <c r="BD63" s="1531"/>
      <c r="BE63" s="1537"/>
    </row>
    <row r="64" spans="1:58" ht="15.75" customHeight="1" thickBot="1">
      <c r="A64" s="1836"/>
      <c r="B64" s="2809" t="str">
        <f>IF(B56="", "", B56)</f>
        <v/>
      </c>
      <c r="C64" s="2810"/>
      <c r="D64" s="2810"/>
      <c r="E64" s="2810"/>
      <c r="F64" s="2810"/>
      <c r="G64" s="2810"/>
      <c r="H64" s="2810"/>
      <c r="I64" s="2811"/>
      <c r="J64" s="2812"/>
      <c r="K64" s="2791"/>
      <c r="L64" s="2791"/>
      <c r="M64" s="2791"/>
      <c r="N64" s="2791"/>
      <c r="O64" s="2791"/>
      <c r="P64" s="2791"/>
      <c r="Q64" s="2791"/>
      <c r="R64" s="2791"/>
      <c r="S64" s="2791"/>
      <c r="T64" s="2791"/>
      <c r="U64" s="2791"/>
      <c r="V64" s="2791"/>
      <c r="W64" s="2791"/>
      <c r="X64" s="2791"/>
      <c r="Y64" s="2791"/>
      <c r="Z64" s="2791"/>
      <c r="AA64" s="2791"/>
      <c r="AB64" s="2791"/>
      <c r="AC64" s="2791"/>
      <c r="AD64" s="2791"/>
      <c r="AE64" s="2791"/>
      <c r="AF64" s="2791"/>
      <c r="AG64" s="2791"/>
      <c r="AH64" s="2791"/>
      <c r="AI64" s="2791"/>
      <c r="AJ64" s="2791"/>
      <c r="AK64" s="2791"/>
      <c r="AL64" s="2791"/>
      <c r="AM64" s="2791"/>
      <c r="AN64" s="2791"/>
      <c r="AO64" s="2791"/>
      <c r="AP64" s="2791"/>
      <c r="AQ64" s="2791"/>
      <c r="AR64" s="2791"/>
      <c r="AS64" s="2791"/>
      <c r="AT64" s="2791"/>
      <c r="AU64" s="2791"/>
      <c r="AV64" s="2791"/>
      <c r="AW64" s="2793"/>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2095</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664" t="s">
        <v>2096</v>
      </c>
      <c r="C68" s="2665"/>
      <c r="D68" s="2665"/>
      <c r="E68" s="2665"/>
      <c r="F68" s="2665"/>
      <c r="G68" s="2665"/>
      <c r="H68" s="2665"/>
      <c r="I68" s="2665"/>
      <c r="J68" s="2665"/>
      <c r="K68" s="2665"/>
      <c r="L68" s="2665"/>
      <c r="M68" s="2665"/>
      <c r="N68" s="2665"/>
      <c r="O68" s="2665"/>
      <c r="P68" s="2665"/>
      <c r="Q68" s="2665"/>
      <c r="R68" s="2665"/>
      <c r="S68" s="2665"/>
      <c r="T68" s="2665"/>
      <c r="U68" s="2665"/>
      <c r="V68" s="2665"/>
      <c r="W68" s="2665"/>
      <c r="X68" s="2665"/>
      <c r="Y68" s="2665"/>
      <c r="Z68" s="2665"/>
      <c r="AA68" s="2666"/>
      <c r="AB68" s="1531"/>
      <c r="AC68" s="2823" t="s">
        <v>2097</v>
      </c>
      <c r="AD68" s="2824"/>
      <c r="AE68" s="2824"/>
      <c r="AF68" s="2824"/>
      <c r="AG68" s="2824"/>
      <c r="AH68" s="2824"/>
      <c r="AI68" s="2824"/>
      <c r="AJ68" s="2824"/>
      <c r="AK68" s="2824"/>
      <c r="AL68" s="2824"/>
      <c r="AM68" s="2824"/>
      <c r="AN68" s="2824"/>
      <c r="AO68" s="2824"/>
      <c r="AP68" s="2824"/>
      <c r="AQ68" s="2824"/>
      <c r="AR68" s="2824"/>
      <c r="AS68" s="2824"/>
      <c r="AT68" s="2824"/>
      <c r="AU68" s="2824"/>
      <c r="AV68" s="2797" t="s">
        <v>2053</v>
      </c>
      <c r="AW68" s="2797"/>
      <c r="AX68" s="2797"/>
      <c r="AY68" s="2797"/>
      <c r="AZ68" s="2797"/>
      <c r="BA68" s="2797"/>
      <c r="BB68" s="2797"/>
      <c r="BC68" s="2798"/>
      <c r="BD68" s="1531"/>
      <c r="BE68" s="1537"/>
    </row>
    <row r="69" spans="1:57" ht="15.75" customHeight="1" thickBot="1">
      <c r="A69" s="1836"/>
      <c r="B69" s="2799" t="s">
        <v>2098</v>
      </c>
      <c r="C69" s="2800"/>
      <c r="D69" s="2800"/>
      <c r="E69" s="2800"/>
      <c r="F69" s="2800"/>
      <c r="G69" s="2800"/>
      <c r="H69" s="2800"/>
      <c r="I69" s="2800"/>
      <c r="J69" s="2800"/>
      <c r="K69" s="2800"/>
      <c r="L69" s="2800"/>
      <c r="M69" s="2800"/>
      <c r="N69" s="2800"/>
      <c r="O69" s="2801" t="s">
        <v>2099</v>
      </c>
      <c r="P69" s="2802"/>
      <c r="Q69" s="2802"/>
      <c r="R69" s="2802"/>
      <c r="S69" s="2802"/>
      <c r="T69" s="2802"/>
      <c r="U69" s="2802"/>
      <c r="V69" s="2802"/>
      <c r="W69" s="2802"/>
      <c r="X69" s="2802"/>
      <c r="Y69" s="2802"/>
      <c r="Z69" s="2802"/>
      <c r="AA69" s="2803"/>
      <c r="AB69" s="1531"/>
      <c r="AC69" s="2804" t="s">
        <v>2100</v>
      </c>
      <c r="AD69" s="2805"/>
      <c r="AE69" s="2805"/>
      <c r="AF69" s="2805"/>
      <c r="AG69" s="2805"/>
      <c r="AH69" s="2805"/>
      <c r="AI69" s="2805"/>
      <c r="AJ69" s="2805"/>
      <c r="AK69" s="2805"/>
      <c r="AL69" s="2805"/>
      <c r="AM69" s="2805"/>
      <c r="AN69" s="2805"/>
      <c r="AO69" s="2805"/>
      <c r="AP69" s="2805"/>
      <c r="AQ69" s="2805"/>
      <c r="AR69" s="2805"/>
      <c r="AS69" s="2805"/>
      <c r="AT69" s="2805"/>
      <c r="AU69" s="2805"/>
      <c r="AV69" s="2806">
        <v>44197</v>
      </c>
      <c r="AW69" s="2807"/>
      <c r="AX69" s="2807"/>
      <c r="AY69" s="2807"/>
      <c r="AZ69" s="2807"/>
      <c r="BA69" s="2807"/>
      <c r="BB69" s="2807"/>
      <c r="BC69" s="2808"/>
      <c r="BD69" s="1531"/>
      <c r="BE69" s="1537"/>
    </row>
    <row r="70" spans="1:57" ht="15.75" customHeight="1">
      <c r="A70" s="1836"/>
      <c r="B70" s="2813"/>
      <c r="C70" s="2814"/>
      <c r="D70" s="2814"/>
      <c r="E70" s="2814"/>
      <c r="F70" s="2814"/>
      <c r="G70" s="2814"/>
      <c r="H70" s="2814"/>
      <c r="I70" s="2814"/>
      <c r="J70" s="2814"/>
      <c r="K70" s="2814"/>
      <c r="L70" s="2814"/>
      <c r="M70" s="2814"/>
      <c r="N70" s="2814"/>
      <c r="O70" s="2815"/>
      <c r="P70" s="2815"/>
      <c r="Q70" s="2815"/>
      <c r="R70" s="2815"/>
      <c r="S70" s="2815"/>
      <c r="T70" s="2815"/>
      <c r="U70" s="2815"/>
      <c r="V70" s="2815"/>
      <c r="W70" s="2815"/>
      <c r="X70" s="2815"/>
      <c r="Y70" s="2815"/>
      <c r="Z70" s="2815"/>
      <c r="AA70" s="2816"/>
      <c r="AB70" s="1531"/>
      <c r="AC70" s="2817" t="s">
        <v>2101</v>
      </c>
      <c r="AD70" s="2818"/>
      <c r="AE70" s="2818"/>
      <c r="AF70" s="2819"/>
      <c r="AG70" s="2819"/>
      <c r="AH70" s="2819"/>
      <c r="AI70" s="2819"/>
      <c r="AJ70" s="2819"/>
      <c r="AK70" s="2819"/>
      <c r="AL70" s="2819"/>
      <c r="AM70" s="2819"/>
      <c r="AN70" s="2819"/>
      <c r="AO70" s="2819"/>
      <c r="AP70" s="2819"/>
      <c r="AQ70" s="2819"/>
      <c r="AR70" s="2819"/>
      <c r="AS70" s="2819"/>
      <c r="AT70" s="2819"/>
      <c r="AU70" s="2820"/>
      <c r="AV70" s="1531"/>
      <c r="AW70" s="1531"/>
      <c r="AX70" s="1531"/>
      <c r="AY70" s="1531"/>
      <c r="AZ70" s="1531"/>
      <c r="BA70" s="1531"/>
      <c r="BB70" s="1531"/>
      <c r="BC70" s="1531"/>
      <c r="BD70" s="1531"/>
      <c r="BE70" s="1537"/>
    </row>
    <row r="71" spans="1:57" ht="15.75" customHeight="1" thickBot="1">
      <c r="A71" s="1836"/>
      <c r="B71" s="2746"/>
      <c r="C71" s="2744"/>
      <c r="D71" s="2744"/>
      <c r="E71" s="2744"/>
      <c r="F71" s="2744"/>
      <c r="G71" s="2744"/>
      <c r="H71" s="2744"/>
      <c r="I71" s="2744"/>
      <c r="J71" s="2744"/>
      <c r="K71" s="2744"/>
      <c r="L71" s="2744"/>
      <c r="M71" s="2744"/>
      <c r="N71" s="2744"/>
      <c r="O71" s="2815"/>
      <c r="P71" s="2815"/>
      <c r="Q71" s="2815"/>
      <c r="R71" s="2815"/>
      <c r="S71" s="2815"/>
      <c r="T71" s="2815"/>
      <c r="U71" s="2815"/>
      <c r="V71" s="2815"/>
      <c r="W71" s="2815"/>
      <c r="X71" s="2815"/>
      <c r="Y71" s="2815"/>
      <c r="Z71" s="2815"/>
      <c r="AA71" s="2816"/>
      <c r="AB71" s="1531"/>
      <c r="AC71" s="2821" t="s">
        <v>2102</v>
      </c>
      <c r="AD71" s="2822"/>
      <c r="AE71" s="2822"/>
      <c r="AF71" s="2761"/>
      <c r="AG71" s="2761"/>
      <c r="AH71" s="2761"/>
      <c r="AI71" s="2761"/>
      <c r="AJ71" s="2761"/>
      <c r="AK71" s="2761"/>
      <c r="AL71" s="2761"/>
      <c r="AM71" s="2761"/>
      <c r="AN71" s="2761"/>
      <c r="AO71" s="2761"/>
      <c r="AP71" s="2761"/>
      <c r="AQ71" s="2761"/>
      <c r="AR71" s="2761"/>
      <c r="AS71" s="2761"/>
      <c r="AT71" s="2761"/>
      <c r="AU71" s="2762"/>
      <c r="AV71" s="1531"/>
      <c r="AW71" s="1531"/>
      <c r="AX71" s="1531"/>
      <c r="AY71" s="1531"/>
      <c r="AZ71" s="1531"/>
      <c r="BA71" s="1531"/>
      <c r="BB71" s="1531"/>
      <c r="BC71" s="1531"/>
      <c r="BD71" s="1531"/>
      <c r="BE71" s="1537"/>
    </row>
    <row r="72" spans="1:57" ht="15.75" customHeight="1">
      <c r="A72" s="1836"/>
      <c r="B72" s="2746"/>
      <c r="C72" s="2744"/>
      <c r="D72" s="2744"/>
      <c r="E72" s="2744"/>
      <c r="F72" s="2744"/>
      <c r="G72" s="2744"/>
      <c r="H72" s="2744"/>
      <c r="I72" s="2744"/>
      <c r="J72" s="2744"/>
      <c r="K72" s="2744"/>
      <c r="L72" s="2744"/>
      <c r="M72" s="2744"/>
      <c r="N72" s="2744"/>
      <c r="O72" s="2815"/>
      <c r="P72" s="2815"/>
      <c r="Q72" s="2815"/>
      <c r="R72" s="2815"/>
      <c r="S72" s="2815"/>
      <c r="T72" s="2815"/>
      <c r="U72" s="2815"/>
      <c r="V72" s="2815"/>
      <c r="W72" s="2815"/>
      <c r="X72" s="2815"/>
      <c r="Y72" s="2815"/>
      <c r="Z72" s="2815"/>
      <c r="AA72" s="2816"/>
      <c r="AB72" s="1531"/>
      <c r="AC72" s="2830" t="s">
        <v>2103</v>
      </c>
      <c r="AD72" s="2831"/>
      <c r="AE72" s="2831"/>
      <c r="AF72" s="2831"/>
      <c r="AG72" s="2831"/>
      <c r="AH72" s="2831"/>
      <c r="AI72" s="2831"/>
      <c r="AJ72" s="2831"/>
      <c r="AK72" s="2831"/>
      <c r="AL72" s="2831"/>
      <c r="AM72" s="2831"/>
      <c r="AN72" s="2831"/>
      <c r="AO72" s="2831"/>
      <c r="AP72" s="2831"/>
      <c r="AQ72" s="2831"/>
      <c r="AR72" s="2831"/>
      <c r="AS72" s="2831"/>
      <c r="AT72" s="2831"/>
      <c r="AU72" s="2831"/>
      <c r="AV72" s="2831"/>
      <c r="AW72" s="2831"/>
      <c r="AX72" s="2831"/>
      <c r="AY72" s="2831"/>
      <c r="AZ72" s="2831"/>
      <c r="BA72" s="2831"/>
      <c r="BB72" s="2831"/>
      <c r="BC72" s="2832"/>
      <c r="BD72" s="1531"/>
      <c r="BE72" s="1537"/>
    </row>
    <row r="73" spans="1:57" ht="15.75" customHeight="1">
      <c r="A73" s="1836"/>
      <c r="B73" s="2746"/>
      <c r="C73" s="2744"/>
      <c r="D73" s="2744"/>
      <c r="E73" s="2744"/>
      <c r="F73" s="2744"/>
      <c r="G73" s="2744"/>
      <c r="H73" s="2744"/>
      <c r="I73" s="2744"/>
      <c r="J73" s="2744"/>
      <c r="K73" s="2744"/>
      <c r="L73" s="2744"/>
      <c r="M73" s="2744"/>
      <c r="N73" s="2744"/>
      <c r="O73" s="2815"/>
      <c r="P73" s="2815"/>
      <c r="Q73" s="2815"/>
      <c r="R73" s="2815"/>
      <c r="S73" s="2815"/>
      <c r="T73" s="2815"/>
      <c r="U73" s="2815"/>
      <c r="V73" s="2815"/>
      <c r="W73" s="2815"/>
      <c r="X73" s="2815"/>
      <c r="Y73" s="2815"/>
      <c r="Z73" s="2815"/>
      <c r="AA73" s="2816"/>
      <c r="AB73" s="1531"/>
      <c r="AC73" s="2746"/>
      <c r="AD73" s="2744"/>
      <c r="AE73" s="2744"/>
      <c r="AF73" s="2744"/>
      <c r="AG73" s="2744"/>
      <c r="AH73" s="2744"/>
      <c r="AI73" s="2744"/>
      <c r="AJ73" s="2744"/>
      <c r="AK73" s="2744"/>
      <c r="AL73" s="2744"/>
      <c r="AM73" s="2744"/>
      <c r="AN73" s="2744"/>
      <c r="AO73" s="2744"/>
      <c r="AP73" s="2744"/>
      <c r="AQ73" s="2744"/>
      <c r="AR73" s="2744"/>
      <c r="AS73" s="2744"/>
      <c r="AT73" s="2744"/>
      <c r="AU73" s="2744"/>
      <c r="AV73" s="2744"/>
      <c r="AW73" s="2744"/>
      <c r="AX73" s="2744"/>
      <c r="AY73" s="2744"/>
      <c r="AZ73" s="2744"/>
      <c r="BA73" s="2744"/>
      <c r="BB73" s="2744"/>
      <c r="BC73" s="2745"/>
      <c r="BD73" s="1531"/>
      <c r="BE73" s="1537"/>
    </row>
    <row r="74" spans="1:57" ht="15.75" customHeight="1" thickBot="1">
      <c r="A74" s="1836"/>
      <c r="B74" s="2746"/>
      <c r="C74" s="2744"/>
      <c r="D74" s="2744"/>
      <c r="E74" s="2744"/>
      <c r="F74" s="2744"/>
      <c r="G74" s="2744"/>
      <c r="H74" s="2744"/>
      <c r="I74" s="2744"/>
      <c r="J74" s="2744"/>
      <c r="K74" s="2744"/>
      <c r="L74" s="2744"/>
      <c r="M74" s="2744"/>
      <c r="N74" s="2744"/>
      <c r="O74" s="2833"/>
      <c r="P74" s="2833"/>
      <c r="Q74" s="2833"/>
      <c r="R74" s="2833"/>
      <c r="S74" s="2833"/>
      <c r="T74" s="2833"/>
      <c r="U74" s="2833"/>
      <c r="V74" s="2833"/>
      <c r="W74" s="2833"/>
      <c r="X74" s="2833"/>
      <c r="Y74" s="2833"/>
      <c r="Z74" s="2833"/>
      <c r="AA74" s="2834"/>
      <c r="AB74" s="1531"/>
      <c r="AC74" s="2746"/>
      <c r="AD74" s="2744"/>
      <c r="AE74" s="2744"/>
      <c r="AF74" s="2744"/>
      <c r="AG74" s="2744"/>
      <c r="AH74" s="2744"/>
      <c r="AI74" s="2744"/>
      <c r="AJ74" s="2744"/>
      <c r="AK74" s="2744"/>
      <c r="AL74" s="2744"/>
      <c r="AM74" s="2744"/>
      <c r="AN74" s="2744"/>
      <c r="AO74" s="2744"/>
      <c r="AP74" s="2744"/>
      <c r="AQ74" s="2744"/>
      <c r="AR74" s="2744"/>
      <c r="AS74" s="2744"/>
      <c r="AT74" s="2744"/>
      <c r="AU74" s="2744"/>
      <c r="AV74" s="2744"/>
      <c r="AW74" s="2744"/>
      <c r="AX74" s="2744"/>
      <c r="AY74" s="2744"/>
      <c r="AZ74" s="2744"/>
      <c r="BA74" s="2744"/>
      <c r="BB74" s="2744"/>
      <c r="BC74" s="2745"/>
      <c r="BD74" s="1531"/>
      <c r="BE74" s="1537"/>
    </row>
    <row r="75" spans="1:57" ht="15.75" customHeight="1" thickTop="1" thickBot="1">
      <c r="A75" s="1836"/>
      <c r="B75" s="2835" t="s">
        <v>129</v>
      </c>
      <c r="C75" s="2836"/>
      <c r="D75" s="2836"/>
      <c r="E75" s="2836"/>
      <c r="F75" s="2836"/>
      <c r="G75" s="2836"/>
      <c r="H75" s="2836"/>
      <c r="I75" s="2836"/>
      <c r="J75" s="2836"/>
      <c r="K75" s="2836"/>
      <c r="L75" s="2836"/>
      <c r="M75" s="2836"/>
      <c r="N75" s="2836"/>
      <c r="O75" s="2837">
        <f>SUM(O70:AA74)</f>
        <v>0</v>
      </c>
      <c r="P75" s="2838"/>
      <c r="Q75" s="2838"/>
      <c r="R75" s="2838"/>
      <c r="S75" s="2838"/>
      <c r="T75" s="2838"/>
      <c r="U75" s="2838"/>
      <c r="V75" s="2838"/>
      <c r="W75" s="2838"/>
      <c r="X75" s="2838"/>
      <c r="Y75" s="2838"/>
      <c r="Z75" s="2838"/>
      <c r="AA75" s="2839"/>
      <c r="AB75" s="1531"/>
      <c r="AC75" s="2746"/>
      <c r="AD75" s="2744"/>
      <c r="AE75" s="2744"/>
      <c r="AF75" s="2744"/>
      <c r="AG75" s="2744"/>
      <c r="AH75" s="2744"/>
      <c r="AI75" s="2744"/>
      <c r="AJ75" s="2744"/>
      <c r="AK75" s="2744"/>
      <c r="AL75" s="2744"/>
      <c r="AM75" s="2744"/>
      <c r="AN75" s="2744"/>
      <c r="AO75" s="2744"/>
      <c r="AP75" s="2744"/>
      <c r="AQ75" s="2744"/>
      <c r="AR75" s="2744"/>
      <c r="AS75" s="2744"/>
      <c r="AT75" s="2744"/>
      <c r="AU75" s="2744"/>
      <c r="AV75" s="2744"/>
      <c r="AW75" s="2744"/>
      <c r="AX75" s="2744"/>
      <c r="AY75" s="2744"/>
      <c r="AZ75" s="2744"/>
      <c r="BA75" s="2744"/>
      <c r="BB75" s="2744"/>
      <c r="BC75" s="2745"/>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46"/>
      <c r="AD76" s="2744"/>
      <c r="AE76" s="2744"/>
      <c r="AF76" s="2744"/>
      <c r="AG76" s="2744"/>
      <c r="AH76" s="2744"/>
      <c r="AI76" s="2744"/>
      <c r="AJ76" s="2744"/>
      <c r="AK76" s="2744"/>
      <c r="AL76" s="2744"/>
      <c r="AM76" s="2744"/>
      <c r="AN76" s="2744"/>
      <c r="AO76" s="2744"/>
      <c r="AP76" s="2744"/>
      <c r="AQ76" s="2744"/>
      <c r="AR76" s="2744"/>
      <c r="AS76" s="2744"/>
      <c r="AT76" s="2744"/>
      <c r="AU76" s="2744"/>
      <c r="AV76" s="2744"/>
      <c r="AW76" s="2744"/>
      <c r="AX76" s="2744"/>
      <c r="AY76" s="2744"/>
      <c r="AZ76" s="2744"/>
      <c r="BA76" s="2744"/>
      <c r="BB76" s="2744"/>
      <c r="BC76" s="2745"/>
      <c r="BD76" s="1531"/>
      <c r="BE76" s="1537"/>
    </row>
    <row r="77" spans="1:57" ht="15.75" customHeight="1" thickBot="1">
      <c r="A77" s="1836"/>
      <c r="B77" s="1542" t="s">
        <v>2104</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63"/>
      <c r="AD77" s="2761"/>
      <c r="AE77" s="2761"/>
      <c r="AF77" s="2761"/>
      <c r="AG77" s="2761"/>
      <c r="AH77" s="2761"/>
      <c r="AI77" s="2761"/>
      <c r="AJ77" s="2761"/>
      <c r="AK77" s="2761"/>
      <c r="AL77" s="2761"/>
      <c r="AM77" s="2761"/>
      <c r="AN77" s="2761"/>
      <c r="AO77" s="2761"/>
      <c r="AP77" s="2761"/>
      <c r="AQ77" s="2761"/>
      <c r="AR77" s="2761"/>
      <c r="AS77" s="2761"/>
      <c r="AT77" s="2761"/>
      <c r="AU77" s="2761"/>
      <c r="AV77" s="2761"/>
      <c r="AW77" s="2761"/>
      <c r="AX77" s="2761"/>
      <c r="AY77" s="2761"/>
      <c r="AZ77" s="2761"/>
      <c r="BA77" s="2761"/>
      <c r="BB77" s="2761"/>
      <c r="BC77" s="2762"/>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35" t="s">
        <v>2105</v>
      </c>
      <c r="C79" s="2636"/>
      <c r="D79" s="2636"/>
      <c r="E79" s="2636"/>
      <c r="F79" s="2636"/>
      <c r="G79" s="2636"/>
      <c r="H79" s="2636"/>
      <c r="I79" s="2636"/>
      <c r="J79" s="2636"/>
      <c r="K79" s="2636"/>
      <c r="L79" s="2636"/>
      <c r="M79" s="2636"/>
      <c r="N79" s="2636"/>
      <c r="O79" s="2636"/>
      <c r="P79" s="2636"/>
      <c r="Q79" s="2636"/>
      <c r="R79" s="2636"/>
      <c r="S79" s="2636"/>
      <c r="T79" s="2636"/>
      <c r="U79" s="2636"/>
      <c r="V79" s="2636"/>
      <c r="W79" s="2636"/>
      <c r="X79" s="2636"/>
      <c r="Y79" s="2636"/>
      <c r="Z79" s="2636"/>
      <c r="AA79" s="2636"/>
      <c r="AB79" s="2825"/>
      <c r="AC79" s="2825"/>
      <c r="AD79" s="2825"/>
      <c r="AE79" s="2825"/>
      <c r="AF79" s="2825"/>
      <c r="AG79" s="2826"/>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35"/>
      <c r="C80" s="2636"/>
      <c r="D80" s="2636"/>
      <c r="E80" s="2636"/>
      <c r="F80" s="2636"/>
      <c r="G80" s="2636"/>
      <c r="H80" s="2637"/>
      <c r="I80" s="2827" t="s">
        <v>2106</v>
      </c>
      <c r="J80" s="2828"/>
      <c r="K80" s="2828"/>
      <c r="L80" s="2828"/>
      <c r="M80" s="2828"/>
      <c r="N80" s="2829"/>
      <c r="O80" s="2827" t="s">
        <v>2107</v>
      </c>
      <c r="P80" s="2828"/>
      <c r="Q80" s="2828"/>
      <c r="R80" s="2828"/>
      <c r="S80" s="2828"/>
      <c r="T80" s="2828"/>
      <c r="U80" s="2829"/>
      <c r="V80" s="2827" t="s">
        <v>2108</v>
      </c>
      <c r="W80" s="2828"/>
      <c r="X80" s="2828"/>
      <c r="Y80" s="2828"/>
      <c r="Z80" s="2828"/>
      <c r="AA80" s="2829"/>
      <c r="AB80" s="2827" t="s">
        <v>2109</v>
      </c>
      <c r="AC80" s="2828"/>
      <c r="AD80" s="2828"/>
      <c r="AE80" s="2828"/>
      <c r="AF80" s="2828"/>
      <c r="AG80" s="2829"/>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827" t="s">
        <v>2110</v>
      </c>
      <c r="C81" s="2828"/>
      <c r="D81" s="2828"/>
      <c r="E81" s="2828"/>
      <c r="F81" s="2828"/>
      <c r="G81" s="2828"/>
      <c r="H81" s="2829"/>
      <c r="I81" s="2846"/>
      <c r="J81" s="2847"/>
      <c r="K81" s="2847"/>
      <c r="L81" s="2847"/>
      <c r="M81" s="2847"/>
      <c r="N81" s="2847"/>
      <c r="O81" s="2847"/>
      <c r="P81" s="2847"/>
      <c r="Q81" s="2847"/>
      <c r="R81" s="2847"/>
      <c r="S81" s="2847"/>
      <c r="T81" s="2847"/>
      <c r="U81" s="2847"/>
      <c r="V81" s="2847"/>
      <c r="W81" s="2847"/>
      <c r="X81" s="2847"/>
      <c r="Y81" s="2847"/>
      <c r="Z81" s="2847"/>
      <c r="AA81" s="2848"/>
      <c r="AB81" s="2847"/>
      <c r="AC81" s="2847"/>
      <c r="AD81" s="2847"/>
      <c r="AE81" s="2847"/>
      <c r="AF81" s="2847"/>
      <c r="AG81" s="2848"/>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827" t="s">
        <v>2111</v>
      </c>
      <c r="C82" s="2828"/>
      <c r="D82" s="2828"/>
      <c r="E82" s="2828"/>
      <c r="F82" s="2828"/>
      <c r="G82" s="2828"/>
      <c r="H82" s="2829"/>
      <c r="I82" s="2849"/>
      <c r="J82" s="2850"/>
      <c r="K82" s="2850"/>
      <c r="L82" s="2850"/>
      <c r="M82" s="2850"/>
      <c r="N82" s="2850"/>
      <c r="O82" s="2850"/>
      <c r="P82" s="2850"/>
      <c r="Q82" s="2850"/>
      <c r="R82" s="2850"/>
      <c r="S82" s="2850"/>
      <c r="T82" s="2850"/>
      <c r="U82" s="2850"/>
      <c r="V82" s="2850"/>
      <c r="W82" s="2850"/>
      <c r="X82" s="2850"/>
      <c r="Y82" s="2850"/>
      <c r="Z82" s="2850"/>
      <c r="AA82" s="2851"/>
      <c r="AB82" s="2850"/>
      <c r="AC82" s="2850"/>
      <c r="AD82" s="2850"/>
      <c r="AE82" s="2850"/>
      <c r="AF82" s="2850"/>
      <c r="AG82" s="2851"/>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2112</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840" t="s">
        <v>2113</v>
      </c>
      <c r="C86" s="2841"/>
      <c r="D86" s="2841"/>
      <c r="E86" s="2841"/>
      <c r="F86" s="2841"/>
      <c r="G86" s="2841"/>
      <c r="H86" s="2841"/>
      <c r="I86" s="2841"/>
      <c r="J86" s="2841"/>
      <c r="K86" s="2841"/>
      <c r="L86" s="2841"/>
      <c r="M86" s="2841"/>
      <c r="N86" s="2841"/>
      <c r="O86" s="2841"/>
      <c r="P86" s="2841"/>
      <c r="Q86" s="2841"/>
      <c r="R86" s="2841"/>
      <c r="S86" s="2841"/>
      <c r="T86" s="2841"/>
      <c r="U86" s="2841"/>
      <c r="V86" s="2841"/>
      <c r="W86" s="2841"/>
      <c r="X86" s="2841"/>
      <c r="Y86" s="2841"/>
      <c r="Z86" s="2841"/>
      <c r="AA86" s="2841"/>
      <c r="AB86" s="2841"/>
      <c r="AC86" s="2841"/>
      <c r="AD86" s="2841"/>
      <c r="AE86" s="2841"/>
      <c r="AF86" s="2841"/>
      <c r="AG86" s="2841"/>
      <c r="AH86" s="2842"/>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35"/>
      <c r="C87" s="2636"/>
      <c r="D87" s="2636"/>
      <c r="E87" s="2636"/>
      <c r="F87" s="2636"/>
      <c r="G87" s="2636"/>
      <c r="H87" s="2637"/>
      <c r="I87" s="2827" t="s">
        <v>2106</v>
      </c>
      <c r="J87" s="2828"/>
      <c r="K87" s="2828"/>
      <c r="L87" s="2828"/>
      <c r="M87" s="2828"/>
      <c r="N87" s="2829"/>
      <c r="O87" s="2827" t="s">
        <v>2107</v>
      </c>
      <c r="P87" s="2828"/>
      <c r="Q87" s="2828"/>
      <c r="R87" s="2828"/>
      <c r="S87" s="2828"/>
      <c r="T87" s="2828"/>
      <c r="U87" s="2829"/>
      <c r="V87" s="2827" t="s">
        <v>2108</v>
      </c>
      <c r="W87" s="2828"/>
      <c r="X87" s="2828"/>
      <c r="Y87" s="2828"/>
      <c r="Z87" s="2828"/>
      <c r="AA87" s="2829"/>
      <c r="AB87" s="2843" t="s">
        <v>2109</v>
      </c>
      <c r="AC87" s="2844"/>
      <c r="AD87" s="2844"/>
      <c r="AE87" s="2844"/>
      <c r="AF87" s="2844"/>
      <c r="AG87" s="2844"/>
      <c r="AH87" s="2845"/>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827" t="s">
        <v>2110</v>
      </c>
      <c r="C88" s="2828"/>
      <c r="D88" s="2828"/>
      <c r="E88" s="2828"/>
      <c r="F88" s="2828"/>
      <c r="G88" s="2828"/>
      <c r="H88" s="2829"/>
      <c r="I88" s="2846"/>
      <c r="J88" s="2847"/>
      <c r="K88" s="2847"/>
      <c r="L88" s="2847"/>
      <c r="M88" s="2847"/>
      <c r="N88" s="2847"/>
      <c r="O88" s="2847"/>
      <c r="P88" s="2847"/>
      <c r="Q88" s="2847"/>
      <c r="R88" s="2847"/>
      <c r="S88" s="2847"/>
      <c r="T88" s="2847"/>
      <c r="U88" s="2847"/>
      <c r="V88" s="2847"/>
      <c r="W88" s="2847"/>
      <c r="X88" s="2847"/>
      <c r="Y88" s="2847"/>
      <c r="Z88" s="2847"/>
      <c r="AA88" s="2852"/>
      <c r="AB88" s="2819"/>
      <c r="AC88" s="2819"/>
      <c r="AD88" s="2819"/>
      <c r="AE88" s="2819"/>
      <c r="AF88" s="2819"/>
      <c r="AG88" s="2819"/>
      <c r="AH88" s="2820"/>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827" t="s">
        <v>2111</v>
      </c>
      <c r="C89" s="2828"/>
      <c r="D89" s="2828"/>
      <c r="E89" s="2828"/>
      <c r="F89" s="2828"/>
      <c r="G89" s="2828"/>
      <c r="H89" s="2829"/>
      <c r="I89" s="2849"/>
      <c r="J89" s="2850"/>
      <c r="K89" s="2850"/>
      <c r="L89" s="2850"/>
      <c r="M89" s="2850"/>
      <c r="N89" s="2850"/>
      <c r="O89" s="2850"/>
      <c r="P89" s="2850"/>
      <c r="Q89" s="2850"/>
      <c r="R89" s="2850"/>
      <c r="S89" s="2850"/>
      <c r="T89" s="2850"/>
      <c r="U89" s="2850"/>
      <c r="V89" s="2850"/>
      <c r="W89" s="2850"/>
      <c r="X89" s="2850"/>
      <c r="Y89" s="2850"/>
      <c r="Z89" s="2850"/>
      <c r="AA89" s="2853"/>
      <c r="AB89" s="2761"/>
      <c r="AC89" s="2761"/>
      <c r="AD89" s="2761"/>
      <c r="AE89" s="2761"/>
      <c r="AF89" s="2761"/>
      <c r="AG89" s="2761"/>
      <c r="AH89" s="2762"/>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2114</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35" t="s">
        <v>2115</v>
      </c>
      <c r="C93" s="2636"/>
      <c r="D93" s="2636"/>
      <c r="E93" s="2636"/>
      <c r="F93" s="2636"/>
      <c r="G93" s="2636"/>
      <c r="H93" s="2636"/>
      <c r="I93" s="2636"/>
      <c r="J93" s="2636"/>
      <c r="K93" s="2636"/>
      <c r="L93" s="2636"/>
      <c r="M93" s="2636"/>
      <c r="N93" s="2636"/>
      <c r="O93" s="2636"/>
      <c r="P93" s="2636"/>
      <c r="Q93" s="2636"/>
      <c r="R93" s="2636"/>
      <c r="S93" s="2636"/>
      <c r="T93" s="2636"/>
      <c r="U93" s="2636"/>
      <c r="V93" s="2636"/>
      <c r="W93" s="2636"/>
      <c r="X93" s="2636"/>
      <c r="Y93" s="2636"/>
      <c r="Z93" s="2636"/>
      <c r="AA93" s="2636"/>
      <c r="AB93" s="2636"/>
      <c r="AC93" s="2636"/>
      <c r="AD93" s="2636"/>
      <c r="AE93" s="2636"/>
      <c r="AF93" s="2636"/>
      <c r="AG93" s="2636"/>
      <c r="AH93" s="2637"/>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35"/>
      <c r="C94" s="2636"/>
      <c r="D94" s="2636"/>
      <c r="E94" s="2636"/>
      <c r="F94" s="2636"/>
      <c r="G94" s="2636"/>
      <c r="H94" s="2637"/>
      <c r="I94" s="2827" t="s">
        <v>2106</v>
      </c>
      <c r="J94" s="2828"/>
      <c r="K94" s="2828"/>
      <c r="L94" s="2828"/>
      <c r="M94" s="2828"/>
      <c r="N94" s="2829"/>
      <c r="O94" s="2827" t="s">
        <v>2107</v>
      </c>
      <c r="P94" s="2828"/>
      <c r="Q94" s="2828"/>
      <c r="R94" s="2828"/>
      <c r="S94" s="2828"/>
      <c r="T94" s="2828"/>
      <c r="U94" s="2829"/>
      <c r="V94" s="2827" t="s">
        <v>2108</v>
      </c>
      <c r="W94" s="2828"/>
      <c r="X94" s="2828"/>
      <c r="Y94" s="2828"/>
      <c r="Z94" s="2828"/>
      <c r="AA94" s="2829"/>
      <c r="AB94" s="2843" t="s">
        <v>2109</v>
      </c>
      <c r="AC94" s="2844"/>
      <c r="AD94" s="2844"/>
      <c r="AE94" s="2844"/>
      <c r="AF94" s="2844"/>
      <c r="AG94" s="2844"/>
      <c r="AH94" s="2845"/>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827" t="s">
        <v>2110</v>
      </c>
      <c r="C95" s="2828"/>
      <c r="D95" s="2828"/>
      <c r="E95" s="2828"/>
      <c r="F95" s="2828"/>
      <c r="G95" s="2828"/>
      <c r="H95" s="2829"/>
      <c r="I95" s="2846"/>
      <c r="J95" s="2847"/>
      <c r="K95" s="2847"/>
      <c r="L95" s="2847"/>
      <c r="M95" s="2847"/>
      <c r="N95" s="2847"/>
      <c r="O95" s="2847"/>
      <c r="P95" s="2847"/>
      <c r="Q95" s="2847"/>
      <c r="R95" s="2847"/>
      <c r="S95" s="2847"/>
      <c r="T95" s="2847"/>
      <c r="U95" s="2847"/>
      <c r="V95" s="2847"/>
      <c r="W95" s="2847"/>
      <c r="X95" s="2847"/>
      <c r="Y95" s="2847"/>
      <c r="Z95" s="2847"/>
      <c r="AA95" s="2848"/>
      <c r="AB95" s="2819"/>
      <c r="AC95" s="2819"/>
      <c r="AD95" s="2819"/>
      <c r="AE95" s="2819"/>
      <c r="AF95" s="2819"/>
      <c r="AG95" s="2819"/>
      <c r="AH95" s="2820"/>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827" t="s">
        <v>2111</v>
      </c>
      <c r="C96" s="2828"/>
      <c r="D96" s="2828"/>
      <c r="E96" s="2828"/>
      <c r="F96" s="2828"/>
      <c r="G96" s="2828"/>
      <c r="H96" s="2829"/>
      <c r="I96" s="2849"/>
      <c r="J96" s="2850"/>
      <c r="K96" s="2850"/>
      <c r="L96" s="2850"/>
      <c r="M96" s="2850"/>
      <c r="N96" s="2850"/>
      <c r="O96" s="2850"/>
      <c r="P96" s="2850"/>
      <c r="Q96" s="2850"/>
      <c r="R96" s="2850"/>
      <c r="S96" s="2850"/>
      <c r="T96" s="2850"/>
      <c r="U96" s="2850"/>
      <c r="V96" s="2850"/>
      <c r="W96" s="2850"/>
      <c r="X96" s="2850"/>
      <c r="Y96" s="2850"/>
      <c r="Z96" s="2850"/>
      <c r="AA96" s="2851"/>
      <c r="AB96" s="2761"/>
      <c r="AC96" s="2761"/>
      <c r="AD96" s="2761"/>
      <c r="AE96" s="2761"/>
      <c r="AF96" s="2761"/>
      <c r="AG96" s="2761"/>
      <c r="AH96" s="2762"/>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2116</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664" t="s">
        <v>2117</v>
      </c>
      <c r="C100" s="2665"/>
      <c r="D100" s="2665"/>
      <c r="E100" s="2665"/>
      <c r="F100" s="2665"/>
      <c r="G100" s="2665"/>
      <c r="H100" s="2665"/>
      <c r="I100" s="2665"/>
      <c r="J100" s="2665"/>
      <c r="K100" s="2665"/>
      <c r="L100" s="2665"/>
      <c r="M100" s="2665"/>
      <c r="N100" s="2665"/>
      <c r="O100" s="2665"/>
      <c r="P100" s="2665"/>
      <c r="Q100" s="2665"/>
      <c r="R100" s="2665"/>
      <c r="S100" s="2665"/>
      <c r="T100" s="2665"/>
      <c r="U100" s="2868"/>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869"/>
      <c r="C101" s="2870"/>
      <c r="D101" s="2870"/>
      <c r="E101" s="2870"/>
      <c r="F101" s="2870"/>
      <c r="G101" s="2870"/>
      <c r="H101" s="2871"/>
      <c r="I101" s="2801" t="s">
        <v>2107</v>
      </c>
      <c r="J101" s="2802"/>
      <c r="K101" s="2802"/>
      <c r="L101" s="2802"/>
      <c r="M101" s="2802"/>
      <c r="N101" s="2802"/>
      <c r="O101" s="2872"/>
      <c r="P101" s="2801" t="s">
        <v>2118</v>
      </c>
      <c r="Q101" s="2802"/>
      <c r="R101" s="2802"/>
      <c r="S101" s="2802"/>
      <c r="T101" s="2802"/>
      <c r="U101" s="2872"/>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873" t="s">
        <v>2110</v>
      </c>
      <c r="C102" s="2874"/>
      <c r="D102" s="2874"/>
      <c r="E102" s="2874"/>
      <c r="F102" s="2874"/>
      <c r="G102" s="2874"/>
      <c r="H102" s="2874"/>
      <c r="I102" s="2854"/>
      <c r="J102" s="2855"/>
      <c r="K102" s="2855"/>
      <c r="L102" s="2855"/>
      <c r="M102" s="2855"/>
      <c r="N102" s="2855"/>
      <c r="O102" s="2856"/>
      <c r="P102" s="2854"/>
      <c r="Q102" s="2855"/>
      <c r="R102" s="2855"/>
      <c r="S102" s="2855"/>
      <c r="T102" s="2855"/>
      <c r="U102" s="2856"/>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804" t="s">
        <v>2111</v>
      </c>
      <c r="C103" s="2805"/>
      <c r="D103" s="2805"/>
      <c r="E103" s="2805"/>
      <c r="F103" s="2805"/>
      <c r="G103" s="2805"/>
      <c r="H103" s="2805"/>
      <c r="I103" s="2854"/>
      <c r="J103" s="2855"/>
      <c r="K103" s="2855"/>
      <c r="L103" s="2855"/>
      <c r="M103" s="2855"/>
      <c r="N103" s="2855"/>
      <c r="O103" s="2856"/>
      <c r="P103" s="2854"/>
      <c r="Q103" s="2855"/>
      <c r="R103" s="2855"/>
      <c r="S103" s="2855"/>
      <c r="T103" s="2855"/>
      <c r="U103" s="2856"/>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857" t="s">
        <v>2119</v>
      </c>
      <c r="C105" s="2858"/>
      <c r="D105" s="2858"/>
      <c r="E105" s="2858"/>
      <c r="F105" s="2858"/>
      <c r="G105" s="2858"/>
      <c r="H105" s="2858"/>
      <c r="I105" s="2858"/>
      <c r="J105" s="2858"/>
      <c r="K105" s="2858"/>
      <c r="L105" s="2858"/>
      <c r="M105" s="2858"/>
      <c r="N105" s="2858"/>
      <c r="O105" s="2858"/>
      <c r="P105" s="2858"/>
      <c r="Q105" s="2858"/>
      <c r="R105" s="2859"/>
      <c r="S105" s="2859"/>
      <c r="T105" s="2859"/>
      <c r="U105" s="2859"/>
      <c r="V105" s="2859"/>
      <c r="W105" s="2859"/>
      <c r="X105" s="2859"/>
      <c r="Y105" s="2859"/>
      <c r="Z105" s="2859"/>
      <c r="AA105" s="2859"/>
      <c r="AB105" s="2859"/>
      <c r="AC105" s="2859"/>
      <c r="AD105" s="2859"/>
      <c r="AE105" s="2859"/>
      <c r="AF105" s="2859"/>
      <c r="AG105" s="2860" t="s">
        <v>2053</v>
      </c>
      <c r="AH105" s="2860"/>
      <c r="AI105" s="2860"/>
      <c r="AJ105" s="2861"/>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862" t="s">
        <v>2120</v>
      </c>
      <c r="C106" s="2863"/>
      <c r="D106" s="2863"/>
      <c r="E106" s="2863"/>
      <c r="F106" s="2863"/>
      <c r="G106" s="2863"/>
      <c r="H106" s="2863"/>
      <c r="I106" s="2863"/>
      <c r="J106" s="2863"/>
      <c r="K106" s="2863"/>
      <c r="L106" s="2863"/>
      <c r="M106" s="2863"/>
      <c r="N106" s="2863"/>
      <c r="O106" s="2863"/>
      <c r="P106" s="2863"/>
      <c r="Q106" s="2864"/>
      <c r="R106" s="2865" t="s">
        <v>2121</v>
      </c>
      <c r="S106" s="2866"/>
      <c r="T106" s="2866"/>
      <c r="U106" s="2866"/>
      <c r="V106" s="2866"/>
      <c r="W106" s="2866"/>
      <c r="X106" s="2866"/>
      <c r="Y106" s="2866"/>
      <c r="Z106" s="2866"/>
      <c r="AA106" s="2866"/>
      <c r="AB106" s="2866"/>
      <c r="AC106" s="2866"/>
      <c r="AD106" s="2866"/>
      <c r="AE106" s="2866"/>
      <c r="AF106" s="2866"/>
      <c r="AG106" s="2866"/>
      <c r="AH106" s="2866"/>
      <c r="AI106" s="2866"/>
      <c r="AJ106" s="2866"/>
      <c r="AK106" s="2866"/>
      <c r="AL106" s="2866"/>
      <c r="AM106" s="2866"/>
      <c r="AN106" s="2866"/>
      <c r="AO106" s="2866"/>
      <c r="AP106" s="2866"/>
      <c r="AQ106" s="2866"/>
      <c r="AR106" s="2866"/>
      <c r="AS106" s="2866"/>
      <c r="AT106" s="2866"/>
      <c r="AU106" s="2866"/>
      <c r="AV106" s="2866"/>
      <c r="AW106" s="2866"/>
      <c r="AX106" s="2867"/>
      <c r="AY106" s="1531"/>
      <c r="AZ106" s="1531"/>
      <c r="BA106" s="1531"/>
      <c r="BB106" s="1531"/>
      <c r="BC106" s="1531"/>
      <c r="BD106" s="1531"/>
      <c r="BE106" s="1537"/>
    </row>
    <row r="107" spans="1:57" ht="15.75" customHeight="1">
      <c r="A107" s="1836"/>
      <c r="B107" s="2888" t="s">
        <v>2122</v>
      </c>
      <c r="C107" s="2889"/>
      <c r="D107" s="2889"/>
      <c r="E107" s="2889"/>
      <c r="F107" s="2889"/>
      <c r="G107" s="2889"/>
      <c r="H107" s="2889"/>
      <c r="I107" s="2889"/>
      <c r="J107" s="2889"/>
      <c r="K107" s="2889"/>
      <c r="L107" s="2889"/>
      <c r="M107" s="2889"/>
      <c r="N107" s="2889"/>
      <c r="O107" s="2889"/>
      <c r="P107" s="2889"/>
      <c r="Q107" s="2889"/>
      <c r="R107" s="2889"/>
      <c r="S107" s="2889"/>
      <c r="T107" s="2889"/>
      <c r="U107" s="2889"/>
      <c r="V107" s="2889"/>
      <c r="W107" s="2889"/>
      <c r="X107" s="2889"/>
      <c r="Y107" s="2889"/>
      <c r="Z107" s="2889"/>
      <c r="AA107" s="2889"/>
      <c r="AB107" s="2889"/>
      <c r="AC107" s="2889"/>
      <c r="AD107" s="2889"/>
      <c r="AE107" s="2889"/>
      <c r="AF107" s="2889"/>
      <c r="AG107" s="2889"/>
      <c r="AH107" s="2889"/>
      <c r="AI107" s="2889"/>
      <c r="AJ107" s="2889"/>
      <c r="AK107" s="2889"/>
      <c r="AL107" s="2889"/>
      <c r="AM107" s="2889"/>
      <c r="AN107" s="2889"/>
      <c r="AO107" s="2889"/>
      <c r="AP107" s="2889"/>
      <c r="AQ107" s="2889"/>
      <c r="AR107" s="2889"/>
      <c r="AS107" s="2889"/>
      <c r="AT107" s="2889"/>
      <c r="AU107" s="2889"/>
      <c r="AV107" s="2889"/>
      <c r="AW107" s="2889"/>
      <c r="AX107" s="2890"/>
      <c r="AY107" s="1531"/>
      <c r="AZ107" s="1531"/>
      <c r="BA107" s="1531"/>
      <c r="BB107" s="1531"/>
      <c r="BC107" s="1531"/>
      <c r="BD107" s="1531"/>
      <c r="BE107" s="1537"/>
    </row>
    <row r="108" spans="1:57" ht="15.75" customHeight="1">
      <c r="A108" s="1836"/>
      <c r="B108" s="2891"/>
      <c r="C108" s="2892"/>
      <c r="D108" s="2892"/>
      <c r="E108" s="2892"/>
      <c r="F108" s="2892"/>
      <c r="G108" s="2892"/>
      <c r="H108" s="2892"/>
      <c r="I108" s="2892"/>
      <c r="J108" s="2892"/>
      <c r="K108" s="2892"/>
      <c r="L108" s="2892"/>
      <c r="M108" s="2892"/>
      <c r="N108" s="2892"/>
      <c r="O108" s="2892"/>
      <c r="P108" s="2892"/>
      <c r="Q108" s="2892"/>
      <c r="R108" s="2892"/>
      <c r="S108" s="2892"/>
      <c r="T108" s="2892"/>
      <c r="U108" s="2892"/>
      <c r="V108" s="2892"/>
      <c r="W108" s="2892"/>
      <c r="X108" s="2892"/>
      <c r="Y108" s="2892"/>
      <c r="Z108" s="2892"/>
      <c r="AA108" s="2892"/>
      <c r="AB108" s="2892"/>
      <c r="AC108" s="2892"/>
      <c r="AD108" s="2892"/>
      <c r="AE108" s="2892"/>
      <c r="AF108" s="2892"/>
      <c r="AG108" s="2892"/>
      <c r="AH108" s="2892"/>
      <c r="AI108" s="2892"/>
      <c r="AJ108" s="2892"/>
      <c r="AK108" s="2892"/>
      <c r="AL108" s="2892"/>
      <c r="AM108" s="2892"/>
      <c r="AN108" s="2892"/>
      <c r="AO108" s="2892"/>
      <c r="AP108" s="2892"/>
      <c r="AQ108" s="2892"/>
      <c r="AR108" s="2892"/>
      <c r="AS108" s="2892"/>
      <c r="AT108" s="2892"/>
      <c r="AU108" s="2892"/>
      <c r="AV108" s="2892"/>
      <c r="AW108" s="2892"/>
      <c r="AX108" s="2893"/>
      <c r="AY108" s="1531"/>
      <c r="AZ108" s="1531"/>
      <c r="BA108" s="1531"/>
      <c r="BB108" s="1531"/>
      <c r="BC108" s="1531"/>
      <c r="BD108" s="1531"/>
      <c r="BE108" s="1537"/>
    </row>
    <row r="109" spans="1:57" ht="15.75" customHeight="1">
      <c r="A109" s="1836"/>
      <c r="B109" s="2891"/>
      <c r="C109" s="2892"/>
      <c r="D109" s="2892"/>
      <c r="E109" s="2892"/>
      <c r="F109" s="2892"/>
      <c r="G109" s="2892"/>
      <c r="H109" s="2892"/>
      <c r="I109" s="2892"/>
      <c r="J109" s="2892"/>
      <c r="K109" s="2892"/>
      <c r="L109" s="2892"/>
      <c r="M109" s="2892"/>
      <c r="N109" s="2892"/>
      <c r="O109" s="2892"/>
      <c r="P109" s="2892"/>
      <c r="Q109" s="2892"/>
      <c r="R109" s="2892"/>
      <c r="S109" s="2892"/>
      <c r="T109" s="2892"/>
      <c r="U109" s="2892"/>
      <c r="V109" s="2892"/>
      <c r="W109" s="2892"/>
      <c r="X109" s="2892"/>
      <c r="Y109" s="2892"/>
      <c r="Z109" s="2892"/>
      <c r="AA109" s="2892"/>
      <c r="AB109" s="2892"/>
      <c r="AC109" s="2892"/>
      <c r="AD109" s="2892"/>
      <c r="AE109" s="2892"/>
      <c r="AF109" s="2892"/>
      <c r="AG109" s="2892"/>
      <c r="AH109" s="2892"/>
      <c r="AI109" s="2892"/>
      <c r="AJ109" s="2892"/>
      <c r="AK109" s="2892"/>
      <c r="AL109" s="2892"/>
      <c r="AM109" s="2892"/>
      <c r="AN109" s="2892"/>
      <c r="AO109" s="2892"/>
      <c r="AP109" s="2892"/>
      <c r="AQ109" s="2892"/>
      <c r="AR109" s="2892"/>
      <c r="AS109" s="2892"/>
      <c r="AT109" s="2892"/>
      <c r="AU109" s="2892"/>
      <c r="AV109" s="2892"/>
      <c r="AW109" s="2892"/>
      <c r="AX109" s="2893"/>
      <c r="AY109" s="1531"/>
      <c r="AZ109" s="1531"/>
      <c r="BA109" s="1531"/>
      <c r="BB109" s="1531"/>
      <c r="BC109" s="1531"/>
      <c r="BD109" s="1531"/>
      <c r="BE109" s="1537"/>
    </row>
    <row r="110" spans="1:57" ht="15.75" customHeight="1">
      <c r="A110" s="1836"/>
      <c r="B110" s="2891"/>
      <c r="C110" s="2892"/>
      <c r="D110" s="2892"/>
      <c r="E110" s="2892"/>
      <c r="F110" s="2892"/>
      <c r="G110" s="2892"/>
      <c r="H110" s="2892"/>
      <c r="I110" s="2892"/>
      <c r="J110" s="2892"/>
      <c r="K110" s="2892"/>
      <c r="L110" s="2892"/>
      <c r="M110" s="2892"/>
      <c r="N110" s="2892"/>
      <c r="O110" s="2892"/>
      <c r="P110" s="2892"/>
      <c r="Q110" s="2892"/>
      <c r="R110" s="2892"/>
      <c r="S110" s="2892"/>
      <c r="T110" s="2892"/>
      <c r="U110" s="2892"/>
      <c r="V110" s="2892"/>
      <c r="W110" s="2892"/>
      <c r="X110" s="2892"/>
      <c r="Y110" s="2892"/>
      <c r="Z110" s="2892"/>
      <c r="AA110" s="2892"/>
      <c r="AB110" s="2892"/>
      <c r="AC110" s="2892"/>
      <c r="AD110" s="2892"/>
      <c r="AE110" s="2892"/>
      <c r="AF110" s="2892"/>
      <c r="AG110" s="2892"/>
      <c r="AH110" s="2892"/>
      <c r="AI110" s="2892"/>
      <c r="AJ110" s="2892"/>
      <c r="AK110" s="2892"/>
      <c r="AL110" s="2892"/>
      <c r="AM110" s="2892"/>
      <c r="AN110" s="2892"/>
      <c r="AO110" s="2892"/>
      <c r="AP110" s="2892"/>
      <c r="AQ110" s="2892"/>
      <c r="AR110" s="2892"/>
      <c r="AS110" s="2892"/>
      <c r="AT110" s="2892"/>
      <c r="AU110" s="2892"/>
      <c r="AV110" s="2892"/>
      <c r="AW110" s="2892"/>
      <c r="AX110" s="2893"/>
      <c r="AY110" s="1531"/>
      <c r="AZ110" s="1531"/>
      <c r="BA110" s="1531"/>
      <c r="BB110" s="1531"/>
      <c r="BC110" s="1531"/>
      <c r="BD110" s="1531"/>
      <c r="BE110" s="1537"/>
    </row>
    <row r="111" spans="1:57" ht="15.75" customHeight="1">
      <c r="A111" s="1836"/>
      <c r="B111" s="2891"/>
      <c r="C111" s="2892"/>
      <c r="D111" s="2892"/>
      <c r="E111" s="2892"/>
      <c r="F111" s="2892"/>
      <c r="G111" s="2892"/>
      <c r="H111" s="2892"/>
      <c r="I111" s="2892"/>
      <c r="J111" s="2892"/>
      <c r="K111" s="2892"/>
      <c r="L111" s="2892"/>
      <c r="M111" s="2892"/>
      <c r="N111" s="2892"/>
      <c r="O111" s="2892"/>
      <c r="P111" s="2892"/>
      <c r="Q111" s="2892"/>
      <c r="R111" s="2892"/>
      <c r="S111" s="2892"/>
      <c r="T111" s="2892"/>
      <c r="U111" s="2892"/>
      <c r="V111" s="2892"/>
      <c r="W111" s="2892"/>
      <c r="X111" s="2892"/>
      <c r="Y111" s="2892"/>
      <c r="Z111" s="2892"/>
      <c r="AA111" s="2892"/>
      <c r="AB111" s="2892"/>
      <c r="AC111" s="2892"/>
      <c r="AD111" s="2892"/>
      <c r="AE111" s="2892"/>
      <c r="AF111" s="2892"/>
      <c r="AG111" s="2892"/>
      <c r="AH111" s="2892"/>
      <c r="AI111" s="2892"/>
      <c r="AJ111" s="2892"/>
      <c r="AK111" s="2892"/>
      <c r="AL111" s="2892"/>
      <c r="AM111" s="2892"/>
      <c r="AN111" s="2892"/>
      <c r="AO111" s="2892"/>
      <c r="AP111" s="2892"/>
      <c r="AQ111" s="2892"/>
      <c r="AR111" s="2892"/>
      <c r="AS111" s="2892"/>
      <c r="AT111" s="2892"/>
      <c r="AU111" s="2892"/>
      <c r="AV111" s="2892"/>
      <c r="AW111" s="2892"/>
      <c r="AX111" s="2893"/>
      <c r="AY111" s="1531"/>
      <c r="AZ111" s="1531"/>
      <c r="BA111" s="1531"/>
      <c r="BB111" s="1531"/>
      <c r="BC111" s="1531"/>
      <c r="BD111" s="1531"/>
      <c r="BE111" s="1537"/>
    </row>
    <row r="112" spans="1:57" ht="15.75" customHeight="1">
      <c r="A112" s="1836"/>
      <c r="B112" s="2891"/>
      <c r="C112" s="2892"/>
      <c r="D112" s="2892"/>
      <c r="E112" s="2892"/>
      <c r="F112" s="2892"/>
      <c r="G112" s="2892"/>
      <c r="H112" s="2892"/>
      <c r="I112" s="2892"/>
      <c r="J112" s="2892"/>
      <c r="K112" s="2892"/>
      <c r="L112" s="2892"/>
      <c r="M112" s="2892"/>
      <c r="N112" s="2892"/>
      <c r="O112" s="2892"/>
      <c r="P112" s="2892"/>
      <c r="Q112" s="2892"/>
      <c r="R112" s="2892"/>
      <c r="S112" s="2892"/>
      <c r="T112" s="2892"/>
      <c r="U112" s="2892"/>
      <c r="V112" s="2892"/>
      <c r="W112" s="2892"/>
      <c r="X112" s="2892"/>
      <c r="Y112" s="2892"/>
      <c r="Z112" s="2892"/>
      <c r="AA112" s="2892"/>
      <c r="AB112" s="2892"/>
      <c r="AC112" s="2892"/>
      <c r="AD112" s="2892"/>
      <c r="AE112" s="2892"/>
      <c r="AF112" s="2892"/>
      <c r="AG112" s="2892"/>
      <c r="AH112" s="2892"/>
      <c r="AI112" s="2892"/>
      <c r="AJ112" s="2892"/>
      <c r="AK112" s="2892"/>
      <c r="AL112" s="2892"/>
      <c r="AM112" s="2892"/>
      <c r="AN112" s="2892"/>
      <c r="AO112" s="2892"/>
      <c r="AP112" s="2892"/>
      <c r="AQ112" s="2892"/>
      <c r="AR112" s="2892"/>
      <c r="AS112" s="2892"/>
      <c r="AT112" s="2892"/>
      <c r="AU112" s="2892"/>
      <c r="AV112" s="2892"/>
      <c r="AW112" s="2892"/>
      <c r="AX112" s="2893"/>
      <c r="AY112" s="1531"/>
      <c r="AZ112" s="1531"/>
      <c r="BA112" s="1531"/>
      <c r="BB112" s="1531"/>
      <c r="BC112" s="1531"/>
      <c r="BD112" s="1531"/>
      <c r="BE112" s="1537"/>
    </row>
    <row r="113" spans="1:57" ht="15.75" customHeight="1">
      <c r="A113" s="1836"/>
      <c r="B113" s="2891"/>
      <c r="C113" s="2892"/>
      <c r="D113" s="2892"/>
      <c r="E113" s="2892"/>
      <c r="F113" s="2892"/>
      <c r="G113" s="2892"/>
      <c r="H113" s="2892"/>
      <c r="I113" s="2892"/>
      <c r="J113" s="2892"/>
      <c r="K113" s="2892"/>
      <c r="L113" s="2892"/>
      <c r="M113" s="2892"/>
      <c r="N113" s="2892"/>
      <c r="O113" s="2892"/>
      <c r="P113" s="2892"/>
      <c r="Q113" s="2892"/>
      <c r="R113" s="2892"/>
      <c r="S113" s="2892"/>
      <c r="T113" s="2892"/>
      <c r="U113" s="2892"/>
      <c r="V113" s="2892"/>
      <c r="W113" s="2892"/>
      <c r="X113" s="2892"/>
      <c r="Y113" s="2892"/>
      <c r="Z113" s="2892"/>
      <c r="AA113" s="2892"/>
      <c r="AB113" s="2892"/>
      <c r="AC113" s="2892"/>
      <c r="AD113" s="2892"/>
      <c r="AE113" s="2892"/>
      <c r="AF113" s="2892"/>
      <c r="AG113" s="2892"/>
      <c r="AH113" s="2892"/>
      <c r="AI113" s="2892"/>
      <c r="AJ113" s="2892"/>
      <c r="AK113" s="2892"/>
      <c r="AL113" s="2892"/>
      <c r="AM113" s="2892"/>
      <c r="AN113" s="2892"/>
      <c r="AO113" s="2892"/>
      <c r="AP113" s="2892"/>
      <c r="AQ113" s="2892"/>
      <c r="AR113" s="2892"/>
      <c r="AS113" s="2892"/>
      <c r="AT113" s="2892"/>
      <c r="AU113" s="2892"/>
      <c r="AV113" s="2892"/>
      <c r="AW113" s="2892"/>
      <c r="AX113" s="2893"/>
      <c r="AY113" s="1531"/>
      <c r="AZ113" s="1531"/>
      <c r="BA113" s="1531"/>
      <c r="BB113" s="1531"/>
      <c r="BC113" s="1531"/>
      <c r="BD113" s="1531"/>
      <c r="BE113" s="1537"/>
    </row>
    <row r="114" spans="1:57" ht="15.75" customHeight="1">
      <c r="A114" s="1836"/>
      <c r="B114" s="2891"/>
      <c r="C114" s="2892"/>
      <c r="D114" s="2892"/>
      <c r="E114" s="2892"/>
      <c r="F114" s="2892"/>
      <c r="G114" s="2892"/>
      <c r="H114" s="2892"/>
      <c r="I114" s="2892"/>
      <c r="J114" s="2892"/>
      <c r="K114" s="2892"/>
      <c r="L114" s="2892"/>
      <c r="M114" s="2892"/>
      <c r="N114" s="2892"/>
      <c r="O114" s="2892"/>
      <c r="P114" s="2892"/>
      <c r="Q114" s="2892"/>
      <c r="R114" s="2892"/>
      <c r="S114" s="2892"/>
      <c r="T114" s="2892"/>
      <c r="U114" s="2892"/>
      <c r="V114" s="2892"/>
      <c r="W114" s="2892"/>
      <c r="X114" s="2892"/>
      <c r="Y114" s="2892"/>
      <c r="Z114" s="2892"/>
      <c r="AA114" s="2892"/>
      <c r="AB114" s="2892"/>
      <c r="AC114" s="2892"/>
      <c r="AD114" s="2892"/>
      <c r="AE114" s="2892"/>
      <c r="AF114" s="2892"/>
      <c r="AG114" s="2892"/>
      <c r="AH114" s="2892"/>
      <c r="AI114" s="2892"/>
      <c r="AJ114" s="2892"/>
      <c r="AK114" s="2892"/>
      <c r="AL114" s="2892"/>
      <c r="AM114" s="2892"/>
      <c r="AN114" s="2892"/>
      <c r="AO114" s="2892"/>
      <c r="AP114" s="2892"/>
      <c r="AQ114" s="2892"/>
      <c r="AR114" s="2892"/>
      <c r="AS114" s="2892"/>
      <c r="AT114" s="2892"/>
      <c r="AU114" s="2892"/>
      <c r="AV114" s="2892"/>
      <c r="AW114" s="2892"/>
      <c r="AX114" s="2893"/>
      <c r="AY114" s="1531"/>
      <c r="AZ114" s="1531"/>
      <c r="BA114" s="1531"/>
      <c r="BB114" s="1531"/>
      <c r="BC114" s="1531"/>
      <c r="BD114" s="1531"/>
      <c r="BE114" s="1537"/>
    </row>
    <row r="115" spans="1:57" ht="15.75" customHeight="1">
      <c r="A115" s="1836"/>
      <c r="B115" s="2891"/>
      <c r="C115" s="2892"/>
      <c r="D115" s="2892"/>
      <c r="E115" s="2892"/>
      <c r="F115" s="2892"/>
      <c r="G115" s="2892"/>
      <c r="H115" s="2892"/>
      <c r="I115" s="2892"/>
      <c r="J115" s="2892"/>
      <c r="K115" s="2892"/>
      <c r="L115" s="2892"/>
      <c r="M115" s="2892"/>
      <c r="N115" s="2892"/>
      <c r="O115" s="2892"/>
      <c r="P115" s="2892"/>
      <c r="Q115" s="2892"/>
      <c r="R115" s="2892"/>
      <c r="S115" s="2892"/>
      <c r="T115" s="2892"/>
      <c r="U115" s="2892"/>
      <c r="V115" s="2892"/>
      <c r="W115" s="2892"/>
      <c r="X115" s="2892"/>
      <c r="Y115" s="2892"/>
      <c r="Z115" s="2892"/>
      <c r="AA115" s="2892"/>
      <c r="AB115" s="2892"/>
      <c r="AC115" s="2892"/>
      <c r="AD115" s="2892"/>
      <c r="AE115" s="2892"/>
      <c r="AF115" s="2892"/>
      <c r="AG115" s="2892"/>
      <c r="AH115" s="2892"/>
      <c r="AI115" s="2892"/>
      <c r="AJ115" s="2892"/>
      <c r="AK115" s="2892"/>
      <c r="AL115" s="2892"/>
      <c r="AM115" s="2892"/>
      <c r="AN115" s="2892"/>
      <c r="AO115" s="2892"/>
      <c r="AP115" s="2892"/>
      <c r="AQ115" s="2892"/>
      <c r="AR115" s="2892"/>
      <c r="AS115" s="2892"/>
      <c r="AT115" s="2892"/>
      <c r="AU115" s="2892"/>
      <c r="AV115" s="2892"/>
      <c r="AW115" s="2892"/>
      <c r="AX115" s="2893"/>
      <c r="AY115" s="1531"/>
      <c r="AZ115" s="1531"/>
      <c r="BA115" s="1531"/>
      <c r="BB115" s="1531"/>
      <c r="BC115" s="1531"/>
      <c r="BD115" s="1531"/>
      <c r="BE115" s="1537"/>
    </row>
    <row r="116" spans="1:57" ht="15.75" customHeight="1" thickBot="1">
      <c r="A116" s="1836"/>
      <c r="B116" s="2894"/>
      <c r="C116" s="2895"/>
      <c r="D116" s="2895"/>
      <c r="E116" s="2895"/>
      <c r="F116" s="2895"/>
      <c r="G116" s="2895"/>
      <c r="H116" s="2895"/>
      <c r="I116" s="2895"/>
      <c r="J116" s="2895"/>
      <c r="K116" s="2895"/>
      <c r="L116" s="2895"/>
      <c r="M116" s="2895"/>
      <c r="N116" s="2895"/>
      <c r="O116" s="2895"/>
      <c r="P116" s="2895"/>
      <c r="Q116" s="2895"/>
      <c r="R116" s="2895"/>
      <c r="S116" s="2895"/>
      <c r="T116" s="2895"/>
      <c r="U116" s="2895"/>
      <c r="V116" s="2895"/>
      <c r="W116" s="2895"/>
      <c r="X116" s="2895"/>
      <c r="Y116" s="2895"/>
      <c r="Z116" s="2895"/>
      <c r="AA116" s="2895"/>
      <c r="AB116" s="2895"/>
      <c r="AC116" s="2895"/>
      <c r="AD116" s="2895"/>
      <c r="AE116" s="2895"/>
      <c r="AF116" s="2895"/>
      <c r="AG116" s="2895"/>
      <c r="AH116" s="2895"/>
      <c r="AI116" s="2895"/>
      <c r="AJ116" s="2895"/>
      <c r="AK116" s="2895"/>
      <c r="AL116" s="2895"/>
      <c r="AM116" s="2895"/>
      <c r="AN116" s="2895"/>
      <c r="AO116" s="2895"/>
      <c r="AP116" s="2895"/>
      <c r="AQ116" s="2895"/>
      <c r="AR116" s="2895"/>
      <c r="AS116" s="2895"/>
      <c r="AT116" s="2895"/>
      <c r="AU116" s="2895"/>
      <c r="AV116" s="2895"/>
      <c r="AW116" s="2895"/>
      <c r="AX116" s="2896"/>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2123</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664" t="s">
        <v>2124</v>
      </c>
      <c r="C120" s="2665"/>
      <c r="D120" s="2665"/>
      <c r="E120" s="2665"/>
      <c r="F120" s="2665"/>
      <c r="G120" s="2665"/>
      <c r="H120" s="2665"/>
      <c r="I120" s="2665"/>
      <c r="J120" s="2665"/>
      <c r="K120" s="2665"/>
      <c r="L120" s="2665"/>
      <c r="M120" s="2665"/>
      <c r="N120" s="2665"/>
      <c r="O120" s="2665"/>
      <c r="P120" s="2665"/>
      <c r="Q120" s="2665"/>
      <c r="R120" s="2665"/>
      <c r="S120" s="2665"/>
      <c r="T120" s="2665"/>
      <c r="U120" s="2868"/>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869"/>
      <c r="C121" s="2870"/>
      <c r="D121" s="2870"/>
      <c r="E121" s="2870"/>
      <c r="F121" s="2870"/>
      <c r="G121" s="2870"/>
      <c r="H121" s="2871"/>
      <c r="I121" s="2801" t="s">
        <v>2107</v>
      </c>
      <c r="J121" s="2802"/>
      <c r="K121" s="2802"/>
      <c r="L121" s="2802"/>
      <c r="M121" s="2802"/>
      <c r="N121" s="2802"/>
      <c r="O121" s="2872"/>
      <c r="P121" s="2801" t="s">
        <v>2118</v>
      </c>
      <c r="Q121" s="2802"/>
      <c r="R121" s="2802"/>
      <c r="S121" s="2802"/>
      <c r="T121" s="2802"/>
      <c r="U121" s="2872"/>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873" t="s">
        <v>2110</v>
      </c>
      <c r="C122" s="2874"/>
      <c r="D122" s="2874"/>
      <c r="E122" s="2874"/>
      <c r="F122" s="2874"/>
      <c r="G122" s="2874"/>
      <c r="H122" s="2874"/>
      <c r="I122" s="2854"/>
      <c r="J122" s="2855"/>
      <c r="K122" s="2855"/>
      <c r="L122" s="2855"/>
      <c r="M122" s="2855"/>
      <c r="N122" s="2855"/>
      <c r="O122" s="2856"/>
      <c r="P122" s="2854"/>
      <c r="Q122" s="2855"/>
      <c r="R122" s="2855"/>
      <c r="S122" s="2855"/>
      <c r="T122" s="2855"/>
      <c r="U122" s="2856"/>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804" t="s">
        <v>2111</v>
      </c>
      <c r="C123" s="2805"/>
      <c r="D123" s="2805"/>
      <c r="E123" s="2805"/>
      <c r="F123" s="2805"/>
      <c r="G123" s="2805"/>
      <c r="H123" s="2805"/>
      <c r="I123" s="2854"/>
      <c r="J123" s="2855"/>
      <c r="K123" s="2855"/>
      <c r="L123" s="2855"/>
      <c r="M123" s="2855"/>
      <c r="N123" s="2855"/>
      <c r="O123" s="2856"/>
      <c r="P123" s="2854"/>
      <c r="Q123" s="2855"/>
      <c r="R123" s="2855"/>
      <c r="S123" s="2855"/>
      <c r="T123" s="2855"/>
      <c r="U123" s="2856"/>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875" t="s">
        <v>2125</v>
      </c>
      <c r="D125" s="2876"/>
      <c r="E125" s="2876"/>
      <c r="F125" s="2876"/>
      <c r="G125" s="2876"/>
      <c r="H125" s="2876"/>
      <c r="I125" s="2876"/>
      <c r="J125" s="2876"/>
      <c r="K125" s="2876"/>
      <c r="L125" s="2876"/>
      <c r="M125" s="2876"/>
      <c r="N125" s="2876"/>
      <c r="O125" s="2876"/>
      <c r="P125" s="2876"/>
      <c r="Q125" s="2876"/>
      <c r="R125" s="2876"/>
      <c r="S125" s="2876"/>
      <c r="T125" s="2876"/>
      <c r="U125" s="2876"/>
      <c r="V125" s="2876"/>
      <c r="W125" s="2876"/>
      <c r="X125" s="2876"/>
      <c r="Y125" s="2876"/>
      <c r="Z125" s="2876"/>
      <c r="AA125" s="2876"/>
      <c r="AB125" s="2876"/>
      <c r="AC125" s="2876"/>
      <c r="AD125" s="2876"/>
      <c r="AE125" s="2876"/>
      <c r="AF125" s="2876"/>
      <c r="AG125" s="2877"/>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878" t="s">
        <v>2126</v>
      </c>
      <c r="D126" s="2879"/>
      <c r="E126" s="2879"/>
      <c r="F126" s="2879"/>
      <c r="G126" s="2879"/>
      <c r="H126" s="2879"/>
      <c r="I126" s="2879"/>
      <c r="J126" s="2879"/>
      <c r="K126" s="2879"/>
      <c r="L126" s="2879"/>
      <c r="M126" s="2879"/>
      <c r="N126" s="2879"/>
      <c r="O126" s="2879"/>
      <c r="P126" s="2880"/>
      <c r="Q126" s="2881" t="s">
        <v>2127</v>
      </c>
      <c r="R126" s="2879"/>
      <c r="S126" s="2880"/>
      <c r="T126" s="2882" t="s">
        <v>2128</v>
      </c>
      <c r="U126" s="2883"/>
      <c r="V126" s="2883"/>
      <c r="W126" s="2883"/>
      <c r="X126" s="2883"/>
      <c r="Y126" s="2883"/>
      <c r="Z126" s="2883"/>
      <c r="AA126" s="2884"/>
      <c r="AB126" s="2885" t="s">
        <v>2129</v>
      </c>
      <c r="AC126" s="2886"/>
      <c r="AD126" s="2886"/>
      <c r="AE126" s="2886"/>
      <c r="AF126" s="2886"/>
      <c r="AG126" s="2887"/>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897" t="s">
        <v>2130</v>
      </c>
      <c r="D127" s="2898"/>
      <c r="E127" s="2898"/>
      <c r="F127" s="2898"/>
      <c r="G127" s="2898"/>
      <c r="H127" s="2898"/>
      <c r="I127" s="2898"/>
      <c r="J127" s="2898"/>
      <c r="K127" s="2898"/>
      <c r="L127" s="2898"/>
      <c r="M127" s="2898"/>
      <c r="N127" s="2898"/>
      <c r="O127" s="2898"/>
      <c r="P127" s="2899"/>
      <c r="Q127" s="2900">
        <v>55</v>
      </c>
      <c r="R127" s="2901"/>
      <c r="S127" s="2902"/>
      <c r="T127" s="2908"/>
      <c r="U127" s="2909"/>
      <c r="V127" s="2909"/>
      <c r="W127" s="2909"/>
      <c r="X127" s="2909"/>
      <c r="Y127" s="2909"/>
      <c r="Z127" s="2909"/>
      <c r="AA127" s="2909"/>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897" t="s">
        <v>432</v>
      </c>
      <c r="D128" s="2898"/>
      <c r="E128" s="2898"/>
      <c r="F128" s="2898"/>
      <c r="G128" s="2898"/>
      <c r="H128" s="2898"/>
      <c r="I128" s="2898"/>
      <c r="J128" s="2898"/>
      <c r="K128" s="2898"/>
      <c r="L128" s="2898"/>
      <c r="M128" s="2898"/>
      <c r="N128" s="2898"/>
      <c r="O128" s="2898"/>
      <c r="P128" s="2899"/>
      <c r="Q128" s="2900">
        <v>55</v>
      </c>
      <c r="R128" s="2901"/>
      <c r="S128" s="2902"/>
      <c r="T128" s="2910" t="str">
        <f>_xlfn.CONCAT(Application!AC515,"/", Application!AH515)</f>
        <v>2/2019</v>
      </c>
      <c r="U128" s="2911"/>
      <c r="V128" s="2911"/>
      <c r="W128" s="2911"/>
      <c r="X128" s="2911"/>
      <c r="Y128" s="2911"/>
      <c r="Z128" s="2911"/>
      <c r="AA128" s="2911"/>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897" t="s">
        <v>2131</v>
      </c>
      <c r="D129" s="2898"/>
      <c r="E129" s="2898"/>
      <c r="F129" s="2898"/>
      <c r="G129" s="2898"/>
      <c r="H129" s="2898"/>
      <c r="I129" s="2898"/>
      <c r="J129" s="2898"/>
      <c r="K129" s="2898"/>
      <c r="L129" s="2898"/>
      <c r="M129" s="2898"/>
      <c r="N129" s="2898"/>
      <c r="O129" s="2898"/>
      <c r="P129" s="2899"/>
      <c r="Q129" s="2900">
        <v>55</v>
      </c>
      <c r="R129" s="2901"/>
      <c r="S129" s="2902"/>
      <c r="T129" s="2903"/>
      <c r="U129" s="2904"/>
      <c r="V129" s="2904"/>
      <c r="W129" s="2904"/>
      <c r="X129" s="2904"/>
      <c r="Y129" s="2904"/>
      <c r="Z129" s="2904"/>
      <c r="AA129" s="2904"/>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897" t="s">
        <v>2132</v>
      </c>
      <c r="D130" s="2898"/>
      <c r="E130" s="2898"/>
      <c r="F130" s="2898"/>
      <c r="G130" s="2898"/>
      <c r="H130" s="2898"/>
      <c r="I130" s="2898"/>
      <c r="J130" s="2898"/>
      <c r="K130" s="2898"/>
      <c r="L130" s="2898"/>
      <c r="M130" s="2898"/>
      <c r="N130" s="2898"/>
      <c r="O130" s="2898"/>
      <c r="P130" s="2899"/>
      <c r="Q130" s="2905"/>
      <c r="R130" s="2906"/>
      <c r="S130" s="2907"/>
      <c r="T130" s="2908"/>
      <c r="U130" s="2909"/>
      <c r="V130" s="2909"/>
      <c r="W130" s="2909"/>
      <c r="X130" s="2909"/>
      <c r="Y130" s="2909"/>
      <c r="Z130" s="2909"/>
      <c r="AA130" s="2909"/>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897" t="s">
        <v>2085</v>
      </c>
      <c r="D131" s="2898"/>
      <c r="E131" s="2898"/>
      <c r="F131" s="2898"/>
      <c r="G131" s="2898"/>
      <c r="H131" s="2898"/>
      <c r="I131" s="2898"/>
      <c r="J131" s="2898"/>
      <c r="K131" s="2898"/>
      <c r="L131" s="2898"/>
      <c r="M131" s="2898"/>
      <c r="N131" s="2898"/>
      <c r="O131" s="2898"/>
      <c r="P131" s="2899"/>
      <c r="Q131" s="2912">
        <f>Application!AG400</f>
        <v>55</v>
      </c>
      <c r="R131" s="2913"/>
      <c r="S131" s="2914"/>
      <c r="T131" s="2908"/>
      <c r="U131" s="2909"/>
      <c r="V131" s="2909"/>
      <c r="W131" s="2909"/>
      <c r="X131" s="2909"/>
      <c r="Y131" s="2909"/>
      <c r="Z131" s="2909"/>
      <c r="AA131" s="2915"/>
      <c r="AB131" s="2916">
        <f>Application!AE401</f>
        <v>1</v>
      </c>
      <c r="AC131" s="2917"/>
      <c r="AD131" s="2917"/>
      <c r="AE131" s="2917"/>
      <c r="AF131" s="2917"/>
      <c r="AG131" s="2918"/>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33" t="s">
        <v>175</v>
      </c>
      <c r="D132" s="2634"/>
      <c r="E132" s="2634"/>
      <c r="F132" s="2919" t="s">
        <v>2133</v>
      </c>
      <c r="G132" s="2919"/>
      <c r="H132" s="2919"/>
      <c r="I132" s="2919"/>
      <c r="J132" s="2919"/>
      <c r="K132" s="2919"/>
      <c r="L132" s="2919"/>
      <c r="M132" s="2919"/>
      <c r="N132" s="2919"/>
      <c r="O132" s="2919"/>
      <c r="P132" s="2919"/>
      <c r="Q132" s="2920">
        <v>55</v>
      </c>
      <c r="R132" s="2920"/>
      <c r="S132" s="2920"/>
      <c r="T132" s="2921"/>
      <c r="U132" s="2921"/>
      <c r="V132" s="2921"/>
      <c r="W132" s="2921"/>
      <c r="X132" s="2921"/>
      <c r="Y132" s="2921"/>
      <c r="Z132" s="2921"/>
      <c r="AA132" s="2921"/>
      <c r="AB132" s="2922"/>
      <c r="AC132" s="2923"/>
      <c r="AD132" s="2923"/>
      <c r="AE132" s="2923"/>
      <c r="AF132" s="2923"/>
      <c r="AG132" s="2924"/>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33" t="s">
        <v>175</v>
      </c>
      <c r="D133" s="2634"/>
      <c r="E133" s="2634"/>
      <c r="F133" s="2919" t="s">
        <v>2133</v>
      </c>
      <c r="G133" s="2919"/>
      <c r="H133" s="2919"/>
      <c r="I133" s="2919"/>
      <c r="J133" s="2919"/>
      <c r="K133" s="2919"/>
      <c r="L133" s="2919"/>
      <c r="M133" s="2919"/>
      <c r="N133" s="2919"/>
      <c r="O133" s="2919"/>
      <c r="P133" s="2919"/>
      <c r="Q133" s="2920">
        <v>55</v>
      </c>
      <c r="R133" s="2920"/>
      <c r="S133" s="2920"/>
      <c r="T133" s="2921"/>
      <c r="U133" s="2921"/>
      <c r="V133" s="2921"/>
      <c r="W133" s="2921"/>
      <c r="X133" s="2921"/>
      <c r="Y133" s="2921"/>
      <c r="Z133" s="2921"/>
      <c r="AA133" s="2921"/>
      <c r="AB133" s="2922"/>
      <c r="AC133" s="2923"/>
      <c r="AD133" s="2923"/>
      <c r="AE133" s="2923"/>
      <c r="AF133" s="2923"/>
      <c r="AG133" s="2924"/>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33" t="s">
        <v>175</v>
      </c>
      <c r="D134" s="2634"/>
      <c r="E134" s="2634"/>
      <c r="F134" s="2925" t="s">
        <v>2133</v>
      </c>
      <c r="G134" s="2925"/>
      <c r="H134" s="2925"/>
      <c r="I134" s="2925"/>
      <c r="J134" s="2925"/>
      <c r="K134" s="2925"/>
      <c r="L134" s="2925"/>
      <c r="M134" s="2925"/>
      <c r="N134" s="2925"/>
      <c r="O134" s="2925"/>
      <c r="P134" s="2925"/>
      <c r="Q134" s="2807">
        <v>55</v>
      </c>
      <c r="R134" s="2807"/>
      <c r="S134" s="2807"/>
      <c r="T134" s="2806"/>
      <c r="U134" s="2806"/>
      <c r="V134" s="2806"/>
      <c r="W134" s="2806"/>
      <c r="X134" s="2806"/>
      <c r="Y134" s="2806"/>
      <c r="Z134" s="2806"/>
      <c r="AA134" s="2806"/>
      <c r="AB134" s="2926"/>
      <c r="AC134" s="2927"/>
      <c r="AD134" s="2927"/>
      <c r="AE134" s="2927"/>
      <c r="AF134" s="2927"/>
      <c r="AG134" s="2928"/>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35" t="s">
        <v>2134</v>
      </c>
      <c r="D136" s="2636"/>
      <c r="E136" s="2636"/>
      <c r="F136" s="2636"/>
      <c r="G136" s="2636"/>
      <c r="H136" s="2636"/>
      <c r="I136" s="2636"/>
      <c r="J136" s="2636"/>
      <c r="K136" s="2636"/>
      <c r="L136" s="2636"/>
      <c r="M136" s="2636"/>
      <c r="N136" s="2637"/>
      <c r="O136" s="1531"/>
      <c r="P136" s="2930" t="s">
        <v>2135</v>
      </c>
      <c r="Q136" s="2931"/>
      <c r="R136" s="2931"/>
      <c r="S136" s="2931"/>
      <c r="T136" s="2931"/>
      <c r="U136" s="2931"/>
      <c r="V136" s="2931"/>
      <c r="W136" s="2931"/>
      <c r="X136" s="2931"/>
      <c r="Y136" s="2931"/>
      <c r="Z136" s="2931"/>
      <c r="AA136" s="2931"/>
      <c r="AB136" s="2931"/>
      <c r="AC136" s="2931"/>
      <c r="AD136" s="2931"/>
      <c r="AE136" s="2931"/>
      <c r="AF136" s="2931"/>
      <c r="AG136" s="2931"/>
      <c r="AH136" s="2931"/>
      <c r="AI136" s="2931"/>
      <c r="AJ136" s="2931"/>
      <c r="AK136" s="2931"/>
      <c r="AL136" s="2931"/>
      <c r="AM136" s="2931"/>
      <c r="AN136" s="2931"/>
      <c r="AO136" s="2932"/>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840" t="s">
        <v>2136</v>
      </c>
      <c r="D137" s="2841"/>
      <c r="E137" s="2841"/>
      <c r="F137" s="2841"/>
      <c r="G137" s="2841"/>
      <c r="H137" s="2842"/>
      <c r="I137" s="2840" t="s">
        <v>2137</v>
      </c>
      <c r="J137" s="2841"/>
      <c r="K137" s="2841"/>
      <c r="L137" s="2841"/>
      <c r="M137" s="2841"/>
      <c r="N137" s="2842"/>
      <c r="O137" s="1531"/>
      <c r="P137" s="2933"/>
      <c r="Q137" s="2934"/>
      <c r="R137" s="2934"/>
      <c r="S137" s="2934"/>
      <c r="T137" s="2934"/>
      <c r="U137" s="2934"/>
      <c r="V137" s="2934"/>
      <c r="W137" s="2934"/>
      <c r="X137" s="2934"/>
      <c r="Y137" s="2934"/>
      <c r="Z137" s="2934"/>
      <c r="AA137" s="2934"/>
      <c r="AB137" s="2934"/>
      <c r="AC137" s="2934"/>
      <c r="AD137" s="2934"/>
      <c r="AE137" s="2934"/>
      <c r="AF137" s="2934"/>
      <c r="AG137" s="2934"/>
      <c r="AH137" s="2934"/>
      <c r="AI137" s="2934"/>
      <c r="AJ137" s="2934"/>
      <c r="AK137" s="2934"/>
      <c r="AL137" s="2934"/>
      <c r="AM137" s="2934"/>
      <c r="AN137" s="2934"/>
      <c r="AO137" s="2935"/>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744"/>
      <c r="D138" s="2744"/>
      <c r="E138" s="2744"/>
      <c r="F138" s="2744"/>
      <c r="G138" s="2744"/>
      <c r="H138" s="2744"/>
      <c r="I138" s="2929"/>
      <c r="J138" s="2929"/>
      <c r="K138" s="2929"/>
      <c r="L138" s="2929"/>
      <c r="M138" s="2929"/>
      <c r="N138" s="2929"/>
      <c r="O138" s="1531"/>
      <c r="P138" s="2933"/>
      <c r="Q138" s="2934"/>
      <c r="R138" s="2934"/>
      <c r="S138" s="2934"/>
      <c r="T138" s="2934"/>
      <c r="U138" s="2934"/>
      <c r="V138" s="2934"/>
      <c r="W138" s="2934"/>
      <c r="X138" s="2934"/>
      <c r="Y138" s="2934"/>
      <c r="Z138" s="2934"/>
      <c r="AA138" s="2934"/>
      <c r="AB138" s="2934"/>
      <c r="AC138" s="2934"/>
      <c r="AD138" s="2934"/>
      <c r="AE138" s="2934"/>
      <c r="AF138" s="2934"/>
      <c r="AG138" s="2934"/>
      <c r="AH138" s="2934"/>
      <c r="AI138" s="2934"/>
      <c r="AJ138" s="2934"/>
      <c r="AK138" s="2934"/>
      <c r="AL138" s="2934"/>
      <c r="AM138" s="2934"/>
      <c r="AN138" s="2934"/>
      <c r="AO138" s="2935"/>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744"/>
      <c r="D139" s="2744"/>
      <c r="E139" s="2744"/>
      <c r="F139" s="2744"/>
      <c r="G139" s="2744"/>
      <c r="H139" s="2744"/>
      <c r="I139" s="2929"/>
      <c r="J139" s="2929"/>
      <c r="K139" s="2929"/>
      <c r="L139" s="2929"/>
      <c r="M139" s="2929"/>
      <c r="N139" s="2929"/>
      <c r="O139" s="1531"/>
      <c r="P139" s="2933"/>
      <c r="Q139" s="2934"/>
      <c r="R139" s="2934"/>
      <c r="S139" s="2934"/>
      <c r="T139" s="2934"/>
      <c r="U139" s="2934"/>
      <c r="V139" s="2934"/>
      <c r="W139" s="2934"/>
      <c r="X139" s="2934"/>
      <c r="Y139" s="2934"/>
      <c r="Z139" s="2934"/>
      <c r="AA139" s="2934"/>
      <c r="AB139" s="2934"/>
      <c r="AC139" s="2934"/>
      <c r="AD139" s="2934"/>
      <c r="AE139" s="2934"/>
      <c r="AF139" s="2934"/>
      <c r="AG139" s="2934"/>
      <c r="AH139" s="2934"/>
      <c r="AI139" s="2934"/>
      <c r="AJ139" s="2934"/>
      <c r="AK139" s="2934"/>
      <c r="AL139" s="2934"/>
      <c r="AM139" s="2934"/>
      <c r="AN139" s="2934"/>
      <c r="AO139" s="2935"/>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744"/>
      <c r="D140" s="2744"/>
      <c r="E140" s="2744"/>
      <c r="F140" s="2744"/>
      <c r="G140" s="2744"/>
      <c r="H140" s="2744"/>
      <c r="I140" s="2929"/>
      <c r="J140" s="2929"/>
      <c r="K140" s="2929"/>
      <c r="L140" s="2929"/>
      <c r="M140" s="2929"/>
      <c r="N140" s="2929"/>
      <c r="O140" s="1531"/>
      <c r="P140" s="2933"/>
      <c r="Q140" s="2934"/>
      <c r="R140" s="2934"/>
      <c r="S140" s="2934"/>
      <c r="T140" s="2934"/>
      <c r="U140" s="2934"/>
      <c r="V140" s="2934"/>
      <c r="W140" s="2934"/>
      <c r="X140" s="2934"/>
      <c r="Y140" s="2934"/>
      <c r="Z140" s="2934"/>
      <c r="AA140" s="2934"/>
      <c r="AB140" s="2934"/>
      <c r="AC140" s="2934"/>
      <c r="AD140" s="2934"/>
      <c r="AE140" s="2934"/>
      <c r="AF140" s="2934"/>
      <c r="AG140" s="2934"/>
      <c r="AH140" s="2934"/>
      <c r="AI140" s="2934"/>
      <c r="AJ140" s="2934"/>
      <c r="AK140" s="2934"/>
      <c r="AL140" s="2934"/>
      <c r="AM140" s="2934"/>
      <c r="AN140" s="2934"/>
      <c r="AO140" s="2935"/>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744"/>
      <c r="D141" s="2744"/>
      <c r="E141" s="2744"/>
      <c r="F141" s="2744"/>
      <c r="G141" s="2744"/>
      <c r="H141" s="2744"/>
      <c r="I141" s="2929"/>
      <c r="J141" s="2929"/>
      <c r="K141" s="2929"/>
      <c r="L141" s="2929"/>
      <c r="M141" s="2929"/>
      <c r="N141" s="2929"/>
      <c r="O141" s="1531"/>
      <c r="P141" s="2933"/>
      <c r="Q141" s="2934"/>
      <c r="R141" s="2934"/>
      <c r="S141" s="2934"/>
      <c r="T141" s="2934"/>
      <c r="U141" s="2934"/>
      <c r="V141" s="2934"/>
      <c r="W141" s="2934"/>
      <c r="X141" s="2934"/>
      <c r="Y141" s="2934"/>
      <c r="Z141" s="2934"/>
      <c r="AA141" s="2934"/>
      <c r="AB141" s="2934"/>
      <c r="AC141" s="2934"/>
      <c r="AD141" s="2934"/>
      <c r="AE141" s="2934"/>
      <c r="AF141" s="2934"/>
      <c r="AG141" s="2934"/>
      <c r="AH141" s="2934"/>
      <c r="AI141" s="2934"/>
      <c r="AJ141" s="2934"/>
      <c r="AK141" s="2934"/>
      <c r="AL141" s="2934"/>
      <c r="AM141" s="2934"/>
      <c r="AN141" s="2934"/>
      <c r="AO141" s="2935"/>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744"/>
      <c r="D142" s="2744"/>
      <c r="E142" s="2744"/>
      <c r="F142" s="2744"/>
      <c r="G142" s="2744"/>
      <c r="H142" s="2744"/>
      <c r="I142" s="2929"/>
      <c r="J142" s="2929"/>
      <c r="K142" s="2929"/>
      <c r="L142" s="2929"/>
      <c r="M142" s="2929"/>
      <c r="N142" s="2929"/>
      <c r="O142" s="1531"/>
      <c r="P142" s="2933"/>
      <c r="Q142" s="2934"/>
      <c r="R142" s="2934"/>
      <c r="S142" s="2934"/>
      <c r="T142" s="2934"/>
      <c r="U142" s="2934"/>
      <c r="V142" s="2934"/>
      <c r="W142" s="2934"/>
      <c r="X142" s="2934"/>
      <c r="Y142" s="2934"/>
      <c r="Z142" s="2934"/>
      <c r="AA142" s="2934"/>
      <c r="AB142" s="2934"/>
      <c r="AC142" s="2934"/>
      <c r="AD142" s="2934"/>
      <c r="AE142" s="2934"/>
      <c r="AF142" s="2934"/>
      <c r="AG142" s="2934"/>
      <c r="AH142" s="2934"/>
      <c r="AI142" s="2934"/>
      <c r="AJ142" s="2934"/>
      <c r="AK142" s="2934"/>
      <c r="AL142" s="2934"/>
      <c r="AM142" s="2934"/>
      <c r="AN142" s="2934"/>
      <c r="AO142" s="2935"/>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744"/>
      <c r="D143" s="2744"/>
      <c r="E143" s="2744"/>
      <c r="F143" s="2744"/>
      <c r="G143" s="2744"/>
      <c r="H143" s="2744"/>
      <c r="I143" s="2929"/>
      <c r="J143" s="2929"/>
      <c r="K143" s="2929"/>
      <c r="L143" s="2929"/>
      <c r="M143" s="2929"/>
      <c r="N143" s="2929"/>
      <c r="O143" s="1531"/>
      <c r="P143" s="2933"/>
      <c r="Q143" s="2934"/>
      <c r="R143" s="2934"/>
      <c r="S143" s="2934"/>
      <c r="T143" s="2934"/>
      <c r="U143" s="2934"/>
      <c r="V143" s="2934"/>
      <c r="W143" s="2934"/>
      <c r="X143" s="2934"/>
      <c r="Y143" s="2934"/>
      <c r="Z143" s="2934"/>
      <c r="AA143" s="2934"/>
      <c r="AB143" s="2934"/>
      <c r="AC143" s="2934"/>
      <c r="AD143" s="2934"/>
      <c r="AE143" s="2934"/>
      <c r="AF143" s="2934"/>
      <c r="AG143" s="2934"/>
      <c r="AH143" s="2934"/>
      <c r="AI143" s="2934"/>
      <c r="AJ143" s="2934"/>
      <c r="AK143" s="2934"/>
      <c r="AL143" s="2934"/>
      <c r="AM143" s="2934"/>
      <c r="AN143" s="2934"/>
      <c r="AO143" s="2935"/>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744"/>
      <c r="D144" s="2744"/>
      <c r="E144" s="2744"/>
      <c r="F144" s="2744"/>
      <c r="G144" s="2744"/>
      <c r="H144" s="2744"/>
      <c r="I144" s="2929"/>
      <c r="J144" s="2929"/>
      <c r="K144" s="2929"/>
      <c r="L144" s="2929"/>
      <c r="M144" s="2929"/>
      <c r="N144" s="2929"/>
      <c r="O144" s="1531"/>
      <c r="P144" s="2936"/>
      <c r="Q144" s="2937"/>
      <c r="R144" s="2937"/>
      <c r="S144" s="2937"/>
      <c r="T144" s="2937"/>
      <c r="U144" s="2937"/>
      <c r="V144" s="2937"/>
      <c r="W144" s="2937"/>
      <c r="X144" s="2937"/>
      <c r="Y144" s="2937"/>
      <c r="Z144" s="2937"/>
      <c r="AA144" s="2937"/>
      <c r="AB144" s="2937"/>
      <c r="AC144" s="2937"/>
      <c r="AD144" s="2937"/>
      <c r="AE144" s="2937"/>
      <c r="AF144" s="2937"/>
      <c r="AG144" s="2937"/>
      <c r="AH144" s="2937"/>
      <c r="AI144" s="2937"/>
      <c r="AJ144" s="2937"/>
      <c r="AK144" s="2937"/>
      <c r="AL144" s="2937"/>
      <c r="AM144" s="2937"/>
      <c r="AN144" s="2937"/>
      <c r="AO144" s="2938"/>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2138</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2139</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949"/>
      <c r="D149" s="2950"/>
      <c r="E149" s="2950"/>
      <c r="F149" s="2950"/>
      <c r="G149" s="2950"/>
      <c r="H149" s="2950"/>
      <c r="I149" s="2950"/>
      <c r="J149" s="2950"/>
      <c r="K149" s="2950"/>
      <c r="L149" s="2950"/>
      <c r="M149" s="2951"/>
      <c r="N149" s="2952" t="s">
        <v>2140</v>
      </c>
      <c r="O149" s="2952"/>
      <c r="P149" s="2952"/>
      <c r="Q149" s="2952"/>
      <c r="R149" s="2952"/>
      <c r="S149" s="2952"/>
      <c r="T149" s="2953"/>
      <c r="U149" s="2954" t="s">
        <v>2126</v>
      </c>
      <c r="V149" s="2784"/>
      <c r="W149" s="2784"/>
      <c r="X149" s="2784"/>
      <c r="Y149" s="2784"/>
      <c r="Z149" s="2784"/>
      <c r="AA149" s="2784"/>
      <c r="AB149" s="2784"/>
      <c r="AC149" s="2784"/>
      <c r="AD149" s="2784"/>
      <c r="AE149" s="2785"/>
      <c r="AF149" s="1531"/>
      <c r="AG149" s="1531"/>
      <c r="AH149" s="2628" t="s">
        <v>2141</v>
      </c>
      <c r="AI149" s="2629"/>
      <c r="AJ149" s="2629"/>
      <c r="AK149" s="2629"/>
      <c r="AL149" s="2629"/>
      <c r="AM149" s="2629"/>
      <c r="AN149" s="2629"/>
      <c r="AO149" s="2629"/>
      <c r="AP149" s="2629"/>
      <c r="AQ149" s="2629"/>
      <c r="AR149" s="2629"/>
      <c r="AS149" s="2939"/>
      <c r="AT149" s="2940"/>
      <c r="AU149" s="2940"/>
      <c r="AV149" s="2940"/>
      <c r="AW149" s="2940"/>
      <c r="AX149" s="1531"/>
      <c r="AY149" s="1531"/>
      <c r="AZ149" s="1531"/>
      <c r="BA149" s="1531"/>
      <c r="BB149" s="1531"/>
      <c r="BC149" s="1531"/>
      <c r="BD149" s="1531"/>
      <c r="BE149" s="1537"/>
    </row>
    <row r="150" spans="1:57" ht="15.75" customHeight="1">
      <c r="A150" s="1836"/>
      <c r="B150" s="1531"/>
      <c r="C150" s="2878" t="s">
        <v>2142</v>
      </c>
      <c r="D150" s="2879"/>
      <c r="E150" s="2879"/>
      <c r="F150" s="2879"/>
      <c r="G150" s="2879"/>
      <c r="H150" s="2879"/>
      <c r="I150" s="2879"/>
      <c r="J150" s="2879"/>
      <c r="K150" s="2879"/>
      <c r="L150" s="2879"/>
      <c r="M150" s="2941"/>
      <c r="N150" s="2942">
        <f>'Sources and Uses Budget'!B104</f>
        <v>4413441</v>
      </c>
      <c r="O150" s="2942"/>
      <c r="P150" s="2942"/>
      <c r="Q150" s="2942"/>
      <c r="R150" s="2942"/>
      <c r="S150" s="2942"/>
      <c r="T150" s="2943"/>
      <c r="U150" s="2944"/>
      <c r="V150" s="2945"/>
      <c r="W150" s="2945"/>
      <c r="X150" s="2945"/>
      <c r="Y150" s="2945"/>
      <c r="Z150" s="2945"/>
      <c r="AA150" s="2945"/>
      <c r="AB150" s="2945"/>
      <c r="AC150" s="2945"/>
      <c r="AD150" s="2945"/>
      <c r="AE150" s="2946"/>
      <c r="AF150" s="1531"/>
      <c r="AG150" s="1531"/>
      <c r="AH150" s="2947" t="s">
        <v>2143</v>
      </c>
      <c r="AI150" s="2948"/>
      <c r="AJ150" s="2948"/>
      <c r="AK150" s="2948"/>
      <c r="AL150" s="2948"/>
      <c r="AM150" s="2948"/>
      <c r="AN150" s="2948"/>
      <c r="AO150" s="2948"/>
      <c r="AP150" s="2948"/>
      <c r="AQ150" s="2948"/>
      <c r="AR150" s="2948"/>
      <c r="AS150" s="2939"/>
      <c r="AT150" s="2940"/>
      <c r="AU150" s="2940"/>
      <c r="AV150" s="2940"/>
      <c r="AW150" s="2940"/>
      <c r="AX150" s="1531"/>
      <c r="AY150" s="1531"/>
      <c r="AZ150" s="1531"/>
      <c r="BA150" s="1531"/>
      <c r="BB150" s="1531"/>
      <c r="BC150" s="1531"/>
      <c r="BD150" s="1531"/>
      <c r="BE150" s="1537"/>
    </row>
    <row r="151" spans="1:57" ht="15.75" customHeight="1">
      <c r="A151" s="1836"/>
      <c r="B151" s="1531"/>
      <c r="C151" s="2878" t="s">
        <v>2144</v>
      </c>
      <c r="D151" s="2879"/>
      <c r="E151" s="2879"/>
      <c r="F151" s="2879"/>
      <c r="G151" s="2879"/>
      <c r="H151" s="2879"/>
      <c r="I151" s="2879"/>
      <c r="J151" s="2879"/>
      <c r="K151" s="2879"/>
      <c r="L151" s="2879"/>
      <c r="M151" s="2941"/>
      <c r="N151" s="2942">
        <f>N150/J29</f>
        <v>55168.012499999997</v>
      </c>
      <c r="O151" s="2942"/>
      <c r="P151" s="2942"/>
      <c r="Q151" s="2942"/>
      <c r="R151" s="2942"/>
      <c r="S151" s="2942"/>
      <c r="T151" s="2943"/>
      <c r="U151" s="1555"/>
      <c r="V151" s="1555"/>
      <c r="W151" s="1555"/>
      <c r="X151" s="1555"/>
      <c r="Y151" s="1555"/>
      <c r="Z151" s="1555"/>
      <c r="AA151" s="1555"/>
      <c r="AB151" s="1555"/>
      <c r="AC151" s="1555"/>
      <c r="AD151" s="1555"/>
      <c r="AE151" s="1556"/>
      <c r="AF151" s="1531"/>
      <c r="AG151" s="1531"/>
      <c r="AH151" s="2897" t="s">
        <v>2145</v>
      </c>
      <c r="AI151" s="2898"/>
      <c r="AJ151" s="2898"/>
      <c r="AK151" s="2898"/>
      <c r="AL151" s="2898"/>
      <c r="AM151" s="2898"/>
      <c r="AN151" s="2898"/>
      <c r="AO151" s="2898"/>
      <c r="AP151" s="2898"/>
      <c r="AQ151" s="2898"/>
      <c r="AR151" s="2899"/>
      <c r="AS151" s="2939"/>
      <c r="AT151" s="2940"/>
      <c r="AU151" s="2940"/>
      <c r="AV151" s="2940"/>
      <c r="AW151" s="2940"/>
      <c r="AX151" s="1531"/>
      <c r="AY151" s="1531"/>
      <c r="AZ151" s="1531"/>
      <c r="BA151" s="1531"/>
      <c r="BB151" s="1531"/>
      <c r="BC151" s="1531"/>
      <c r="BD151" s="1531"/>
      <c r="BE151" s="1537"/>
    </row>
    <row r="152" spans="1:57" ht="15.75" customHeight="1">
      <c r="A152" s="1836"/>
      <c r="B152" s="1531"/>
      <c r="C152" s="2965" t="s">
        <v>2146</v>
      </c>
      <c r="D152" s="2802"/>
      <c r="E152" s="2802"/>
      <c r="F152" s="2802"/>
      <c r="G152" s="2802"/>
      <c r="H152" s="2802"/>
      <c r="I152" s="2802"/>
      <c r="J152" s="2802"/>
      <c r="K152" s="2802"/>
      <c r="L152" s="2802"/>
      <c r="M152" s="2803"/>
      <c r="N152" s="2966"/>
      <c r="O152" s="2966"/>
      <c r="P152" s="2966"/>
      <c r="Q152" s="2966"/>
      <c r="R152" s="2966"/>
      <c r="S152" s="2966"/>
      <c r="T152" s="2967"/>
      <c r="U152" s="2972"/>
      <c r="V152" s="2973"/>
      <c r="W152" s="2973"/>
      <c r="X152" s="2973"/>
      <c r="Y152" s="2973"/>
      <c r="Z152" s="2973"/>
      <c r="AA152" s="2973"/>
      <c r="AB152" s="2973"/>
      <c r="AC152" s="2973"/>
      <c r="AD152" s="2973"/>
      <c r="AE152" s="2974"/>
      <c r="AF152" s="1531"/>
      <c r="AG152" s="1531"/>
      <c r="AH152" s="2944"/>
      <c r="AI152" s="2945"/>
      <c r="AJ152" s="2945"/>
      <c r="AK152" s="2945"/>
      <c r="AL152" s="2945"/>
      <c r="AM152" s="2945"/>
      <c r="AN152" s="2945"/>
      <c r="AO152" s="2945"/>
      <c r="AP152" s="2945"/>
      <c r="AQ152" s="2945"/>
      <c r="AR152" s="2968"/>
      <c r="AS152" s="2969"/>
      <c r="AT152" s="2970"/>
      <c r="AU152" s="2970"/>
      <c r="AV152" s="2970"/>
      <c r="AW152" s="2971"/>
      <c r="AX152" s="1531"/>
      <c r="AY152" s="1531"/>
      <c r="AZ152" s="1531"/>
      <c r="BA152" s="1531"/>
      <c r="BB152" s="1531"/>
      <c r="BC152" s="1531"/>
      <c r="BD152" s="1531"/>
      <c r="BE152" s="1537"/>
    </row>
    <row r="153" spans="1:57" ht="15.75" customHeight="1" thickBot="1">
      <c r="A153" s="1836"/>
      <c r="B153" s="1531"/>
      <c r="C153" s="2897" t="s">
        <v>2147</v>
      </c>
      <c r="D153" s="2898"/>
      <c r="E153" s="2898"/>
      <c r="F153" s="2898"/>
      <c r="G153" s="2898"/>
      <c r="H153" s="2898"/>
      <c r="I153" s="2898"/>
      <c r="J153" s="2898"/>
      <c r="K153" s="2898"/>
      <c r="L153" s="2898"/>
      <c r="M153" s="2955"/>
      <c r="N153" s="2956">
        <f>SUM('Sources and Uses Budget'!B85:B86)</f>
        <v>2037881</v>
      </c>
      <c r="O153" s="2956"/>
      <c r="P153" s="2956"/>
      <c r="Q153" s="2956"/>
      <c r="R153" s="2956"/>
      <c r="S153" s="2956"/>
      <c r="T153" s="2957"/>
      <c r="U153" s="2958"/>
      <c r="V153" s="2959"/>
      <c r="W153" s="2959"/>
      <c r="X153" s="2959"/>
      <c r="Y153" s="2959"/>
      <c r="Z153" s="2959"/>
      <c r="AA153" s="2959"/>
      <c r="AB153" s="2959"/>
      <c r="AC153" s="2959"/>
      <c r="AD153" s="2959"/>
      <c r="AE153" s="2960"/>
      <c r="AF153" s="1531"/>
      <c r="AG153" s="1531"/>
      <c r="AH153" s="2961" t="s">
        <v>2148</v>
      </c>
      <c r="AI153" s="2962"/>
      <c r="AJ153" s="2962"/>
      <c r="AK153" s="2962"/>
      <c r="AL153" s="2962"/>
      <c r="AM153" s="2962"/>
      <c r="AN153" s="2962"/>
      <c r="AO153" s="2962"/>
      <c r="AP153" s="2962"/>
      <c r="AQ153" s="2962"/>
      <c r="AR153" s="2962"/>
      <c r="AS153" s="2963">
        <f>SUM(AS149:AW151)</f>
        <v>0</v>
      </c>
      <c r="AT153" s="2964"/>
      <c r="AU153" s="2964"/>
      <c r="AV153" s="2964"/>
      <c r="AW153" s="2964"/>
      <c r="AX153" s="1531"/>
      <c r="AY153" s="1531"/>
      <c r="AZ153" s="1531"/>
      <c r="BA153" s="1531"/>
      <c r="BB153" s="1531"/>
      <c r="BC153" s="1531"/>
      <c r="BD153" s="1531"/>
      <c r="BE153" s="1537"/>
    </row>
    <row r="154" spans="1:57" ht="15.75" customHeight="1">
      <c r="A154" s="1836"/>
      <c r="B154" s="1531"/>
      <c r="C154" s="2897" t="s">
        <v>2149</v>
      </c>
      <c r="D154" s="2898"/>
      <c r="E154" s="2898"/>
      <c r="F154" s="2898"/>
      <c r="G154" s="2898"/>
      <c r="H154" s="2898"/>
      <c r="I154" s="2898"/>
      <c r="J154" s="2898"/>
      <c r="K154" s="2898"/>
      <c r="L154" s="2898"/>
      <c r="M154" s="2955"/>
      <c r="N154" s="2956">
        <f>'Sources and Uses Budget'!B8</f>
        <v>83536</v>
      </c>
      <c r="O154" s="2956"/>
      <c r="P154" s="2956"/>
      <c r="Q154" s="2956"/>
      <c r="R154" s="2956"/>
      <c r="S154" s="2956"/>
      <c r="T154" s="2957"/>
      <c r="U154" s="2958"/>
      <c r="V154" s="2959"/>
      <c r="W154" s="2959"/>
      <c r="X154" s="2959"/>
      <c r="Y154" s="2959"/>
      <c r="Z154" s="2959"/>
      <c r="AA154" s="2959"/>
      <c r="AB154" s="2959"/>
      <c r="AC154" s="2959"/>
      <c r="AD154" s="2959"/>
      <c r="AE154" s="2960"/>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897" t="s">
        <v>2150</v>
      </c>
      <c r="D155" s="2898"/>
      <c r="E155" s="2898"/>
      <c r="F155" s="2898"/>
      <c r="G155" s="2898"/>
      <c r="H155" s="2898"/>
      <c r="I155" s="2898"/>
      <c r="J155" s="2898"/>
      <c r="K155" s="2898"/>
      <c r="L155" s="2898"/>
      <c r="M155" s="2955"/>
      <c r="N155" s="2978"/>
      <c r="O155" s="2978"/>
      <c r="P155" s="2978"/>
      <c r="Q155" s="2978"/>
      <c r="R155" s="2978"/>
      <c r="S155" s="2978"/>
      <c r="T155" s="2979"/>
      <c r="U155" s="2958"/>
      <c r="V155" s="2959"/>
      <c r="W155" s="2959"/>
      <c r="X155" s="2959"/>
      <c r="Y155" s="2959"/>
      <c r="Z155" s="2959"/>
      <c r="AA155" s="2959"/>
      <c r="AB155" s="2959"/>
      <c r="AC155" s="2959"/>
      <c r="AD155" s="2959"/>
      <c r="AE155" s="2960"/>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897" t="s">
        <v>2143</v>
      </c>
      <c r="D156" s="2898"/>
      <c r="E156" s="2898"/>
      <c r="F156" s="2898"/>
      <c r="G156" s="2898"/>
      <c r="H156" s="2898"/>
      <c r="I156" s="2898"/>
      <c r="J156" s="2898"/>
      <c r="K156" s="2898"/>
      <c r="L156" s="2898"/>
      <c r="M156" s="2955"/>
      <c r="N156" s="2978"/>
      <c r="O156" s="2978"/>
      <c r="P156" s="2978"/>
      <c r="Q156" s="2978"/>
      <c r="R156" s="2978"/>
      <c r="S156" s="2978"/>
      <c r="T156" s="2979"/>
      <c r="U156" s="2958"/>
      <c r="V156" s="2959"/>
      <c r="W156" s="2959"/>
      <c r="X156" s="2959"/>
      <c r="Y156" s="2959"/>
      <c r="Z156" s="2959"/>
      <c r="AA156" s="2959"/>
      <c r="AB156" s="2959"/>
      <c r="AC156" s="2959"/>
      <c r="AD156" s="2959"/>
      <c r="AE156" s="2960"/>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975" t="s">
        <v>310</v>
      </c>
      <c r="D157" s="2976"/>
      <c r="E157" s="2919" t="s">
        <v>2133</v>
      </c>
      <c r="F157" s="2919"/>
      <c r="G157" s="2919"/>
      <c r="H157" s="2919"/>
      <c r="I157" s="2919"/>
      <c r="J157" s="2919"/>
      <c r="K157" s="2919"/>
      <c r="L157" s="2919"/>
      <c r="M157" s="2977"/>
      <c r="N157" s="2978"/>
      <c r="O157" s="2978"/>
      <c r="P157" s="2978"/>
      <c r="Q157" s="2978"/>
      <c r="R157" s="2978"/>
      <c r="S157" s="2978"/>
      <c r="T157" s="2979"/>
      <c r="U157" s="2958"/>
      <c r="V157" s="2959"/>
      <c r="W157" s="2959"/>
      <c r="X157" s="2959"/>
      <c r="Y157" s="2959"/>
      <c r="Z157" s="2959"/>
      <c r="AA157" s="2959"/>
      <c r="AB157" s="2959"/>
      <c r="AC157" s="2959"/>
      <c r="AD157" s="2959"/>
      <c r="AE157" s="2960"/>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972" t="s">
        <v>310</v>
      </c>
      <c r="D158" s="2973"/>
      <c r="E158" s="2919" t="s">
        <v>2133</v>
      </c>
      <c r="F158" s="2919"/>
      <c r="G158" s="2919"/>
      <c r="H158" s="2919"/>
      <c r="I158" s="2919"/>
      <c r="J158" s="2919"/>
      <c r="K158" s="2919"/>
      <c r="L158" s="2919"/>
      <c r="M158" s="2977"/>
      <c r="N158" s="2978"/>
      <c r="O158" s="2978"/>
      <c r="P158" s="2978"/>
      <c r="Q158" s="2978"/>
      <c r="R158" s="2978"/>
      <c r="S158" s="2978"/>
      <c r="T158" s="2979"/>
      <c r="U158" s="2958"/>
      <c r="V158" s="2959"/>
      <c r="W158" s="2959"/>
      <c r="X158" s="2959"/>
      <c r="Y158" s="2959"/>
      <c r="Z158" s="2959"/>
      <c r="AA158" s="2959"/>
      <c r="AB158" s="2959"/>
      <c r="AC158" s="2959"/>
      <c r="AD158" s="2959"/>
      <c r="AE158" s="2960"/>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991" t="s">
        <v>310</v>
      </c>
      <c r="D159" s="2992"/>
      <c r="E159" s="2925" t="s">
        <v>2133</v>
      </c>
      <c r="F159" s="2925"/>
      <c r="G159" s="2925"/>
      <c r="H159" s="2925"/>
      <c r="I159" s="2925"/>
      <c r="J159" s="2925"/>
      <c r="K159" s="2925"/>
      <c r="L159" s="2925"/>
      <c r="M159" s="2993"/>
      <c r="N159" s="2994"/>
      <c r="O159" s="2994"/>
      <c r="P159" s="2994"/>
      <c r="Q159" s="2994"/>
      <c r="R159" s="2994"/>
      <c r="S159" s="2994"/>
      <c r="T159" s="2995"/>
      <c r="U159" s="2996"/>
      <c r="V159" s="2997"/>
      <c r="W159" s="2997"/>
      <c r="X159" s="2997"/>
      <c r="Y159" s="2997"/>
      <c r="Z159" s="2997"/>
      <c r="AA159" s="2997"/>
      <c r="AB159" s="2997"/>
      <c r="AC159" s="2997"/>
      <c r="AD159" s="2997"/>
      <c r="AE159" s="2998"/>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999" t="s">
        <v>2151</v>
      </c>
      <c r="D160" s="3000"/>
      <c r="E160" s="3000"/>
      <c r="F160" s="3000"/>
      <c r="G160" s="3000"/>
      <c r="H160" s="3000"/>
      <c r="I160" s="3000"/>
      <c r="J160" s="3000"/>
      <c r="K160" s="3000"/>
      <c r="L160" s="3000"/>
      <c r="M160" s="3001"/>
      <c r="N160" s="3002">
        <f>SUM(N152:T159)</f>
        <v>2121417</v>
      </c>
      <c r="O160" s="3003"/>
      <c r="P160" s="3003"/>
      <c r="Q160" s="3003"/>
      <c r="R160" s="3003"/>
      <c r="S160" s="3003"/>
      <c r="T160" s="3004"/>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804" t="s">
        <v>2152</v>
      </c>
      <c r="D161" s="2805"/>
      <c r="E161" s="2805"/>
      <c r="F161" s="2805"/>
      <c r="G161" s="2805"/>
      <c r="H161" s="2805"/>
      <c r="I161" s="2805"/>
      <c r="J161" s="2805"/>
      <c r="K161" s="2805"/>
      <c r="L161" s="2805"/>
      <c r="M161" s="2805"/>
      <c r="N161" s="2980">
        <f>(N150-N160)/J29</f>
        <v>28650.3</v>
      </c>
      <c r="O161" s="2980"/>
      <c r="P161" s="2980"/>
      <c r="Q161" s="2980"/>
      <c r="R161" s="2980"/>
      <c r="S161" s="2980"/>
      <c r="T161" s="2981"/>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982" t="s">
        <v>2153</v>
      </c>
      <c r="C164" s="2983"/>
      <c r="D164" s="2983"/>
      <c r="E164" s="2983"/>
      <c r="F164" s="2983"/>
      <c r="G164" s="2983"/>
      <c r="H164" s="2983"/>
      <c r="I164" s="2983"/>
      <c r="J164" s="2983"/>
      <c r="K164" s="2983"/>
      <c r="L164" s="2983"/>
      <c r="M164" s="2983"/>
      <c r="N164" s="2983"/>
      <c r="O164" s="2983"/>
      <c r="P164" s="2983"/>
      <c r="Q164" s="2983"/>
      <c r="R164" s="2983"/>
      <c r="S164" s="2983"/>
      <c r="T164" s="2983"/>
      <c r="U164" s="2983"/>
      <c r="V164" s="2983"/>
      <c r="W164" s="2983"/>
      <c r="X164" s="2983"/>
      <c r="Y164" s="2983"/>
      <c r="Z164" s="2983"/>
      <c r="AA164" s="2983"/>
      <c r="AB164" s="2983"/>
      <c r="AC164" s="2983"/>
      <c r="AD164" s="2983"/>
      <c r="AE164" s="2983"/>
      <c r="AF164" s="2983"/>
      <c r="AG164" s="2983"/>
      <c r="AH164" s="2983"/>
      <c r="AI164" s="2983"/>
      <c r="AJ164" s="2983"/>
      <c r="AK164" s="2983"/>
      <c r="AL164" s="2983"/>
      <c r="AM164" s="2983"/>
      <c r="AN164" s="2983"/>
      <c r="AO164" s="2983"/>
      <c r="AP164" s="2983"/>
      <c r="AQ164" s="2983"/>
      <c r="AR164" s="2983"/>
      <c r="AS164" s="2983"/>
      <c r="AT164" s="2983"/>
      <c r="AU164" s="2983"/>
      <c r="AV164" s="2983"/>
      <c r="AW164" s="2983"/>
      <c r="AX164" s="2983"/>
      <c r="AY164" s="2983"/>
      <c r="AZ164" s="2983"/>
      <c r="BA164" s="2983"/>
      <c r="BB164" s="2983"/>
      <c r="BC164" s="2983"/>
      <c r="BD164" s="2984"/>
      <c r="BE164" s="1537"/>
    </row>
    <row r="165" spans="1:57" ht="15.75" customHeight="1">
      <c r="A165" s="1836"/>
      <c r="B165" s="2985"/>
      <c r="C165" s="2986"/>
      <c r="D165" s="2986"/>
      <c r="E165" s="2986"/>
      <c r="F165" s="2986"/>
      <c r="G165" s="2986"/>
      <c r="H165" s="2986"/>
      <c r="I165" s="2986"/>
      <c r="J165" s="2986"/>
      <c r="K165" s="2986"/>
      <c r="L165" s="2986"/>
      <c r="M165" s="2986"/>
      <c r="N165" s="2986"/>
      <c r="O165" s="2986"/>
      <c r="P165" s="2986"/>
      <c r="Q165" s="2986"/>
      <c r="R165" s="2986"/>
      <c r="S165" s="2986"/>
      <c r="T165" s="2986"/>
      <c r="U165" s="2986"/>
      <c r="V165" s="2986"/>
      <c r="W165" s="2986"/>
      <c r="X165" s="2986"/>
      <c r="Y165" s="2986"/>
      <c r="Z165" s="2986"/>
      <c r="AA165" s="2986"/>
      <c r="AB165" s="2986"/>
      <c r="AC165" s="2986"/>
      <c r="AD165" s="2986"/>
      <c r="AE165" s="2986"/>
      <c r="AF165" s="2986"/>
      <c r="AG165" s="2986"/>
      <c r="AH165" s="2986"/>
      <c r="AI165" s="2986"/>
      <c r="AJ165" s="2986"/>
      <c r="AK165" s="2986"/>
      <c r="AL165" s="2986"/>
      <c r="AM165" s="2986"/>
      <c r="AN165" s="2986"/>
      <c r="AO165" s="2986"/>
      <c r="AP165" s="2986"/>
      <c r="AQ165" s="2986"/>
      <c r="AR165" s="2986"/>
      <c r="AS165" s="2986"/>
      <c r="AT165" s="2986"/>
      <c r="AU165" s="2986"/>
      <c r="AV165" s="2986"/>
      <c r="AW165" s="2986"/>
      <c r="AX165" s="2986"/>
      <c r="AY165" s="2986"/>
      <c r="AZ165" s="2986"/>
      <c r="BA165" s="2986"/>
      <c r="BB165" s="2986"/>
      <c r="BC165" s="2986"/>
      <c r="BD165" s="2987"/>
      <c r="BE165" s="1537"/>
    </row>
    <row r="166" spans="1:57" ht="15.75" customHeight="1">
      <c r="A166" s="1836"/>
      <c r="B166" s="2988" t="s">
        <v>2154</v>
      </c>
      <c r="C166" s="2989"/>
      <c r="D166" s="2989"/>
      <c r="E166" s="2989"/>
      <c r="F166" s="2989"/>
      <c r="G166" s="2989"/>
      <c r="H166" s="2989"/>
      <c r="I166" s="2989"/>
      <c r="J166" s="2989"/>
      <c r="K166" s="2989"/>
      <c r="L166" s="2989"/>
      <c r="M166" s="2989"/>
      <c r="N166" s="2989"/>
      <c r="O166" s="2989"/>
      <c r="P166" s="2989"/>
      <c r="Q166" s="2989"/>
      <c r="R166" s="2989"/>
      <c r="S166" s="2989"/>
      <c r="T166" s="2989"/>
      <c r="U166" s="2989"/>
      <c r="V166" s="2989"/>
      <c r="W166" s="2989"/>
      <c r="X166" s="2989"/>
      <c r="Y166" s="2989"/>
      <c r="Z166" s="2989"/>
      <c r="AA166" s="2989"/>
      <c r="AB166" s="2989"/>
      <c r="AC166" s="2989"/>
      <c r="AD166" s="2989"/>
      <c r="AE166" s="2989"/>
      <c r="AF166" s="2989"/>
      <c r="AG166" s="2989"/>
      <c r="AH166" s="2989"/>
      <c r="AI166" s="2989"/>
      <c r="AJ166" s="2989"/>
      <c r="AK166" s="2989"/>
      <c r="AL166" s="2989"/>
      <c r="AM166" s="2989"/>
      <c r="AN166" s="2989"/>
      <c r="AO166" s="2989"/>
      <c r="AP166" s="2989"/>
      <c r="AQ166" s="2989"/>
      <c r="AR166" s="2989"/>
      <c r="AS166" s="2989"/>
      <c r="AT166" s="2989"/>
      <c r="AU166" s="2989"/>
      <c r="AV166" s="2989"/>
      <c r="AW166" s="2989"/>
      <c r="AX166" s="2989"/>
      <c r="AY166" s="2989"/>
      <c r="AZ166" s="2989"/>
      <c r="BA166" s="2989"/>
      <c r="BB166" s="2989"/>
      <c r="BC166" s="2989"/>
      <c r="BD166" s="2990"/>
      <c r="BE166" s="1537"/>
    </row>
    <row r="167" spans="1:57" ht="15.75" customHeight="1">
      <c r="A167" s="1836"/>
      <c r="B167" s="2988" t="s">
        <v>2155</v>
      </c>
      <c r="C167" s="2989"/>
      <c r="D167" s="2989"/>
      <c r="E167" s="2989"/>
      <c r="F167" s="2989"/>
      <c r="G167" s="2989"/>
      <c r="H167" s="2989"/>
      <c r="I167" s="2989"/>
      <c r="J167" s="2989"/>
      <c r="K167" s="2989"/>
      <c r="L167" s="2989"/>
      <c r="M167" s="2989"/>
      <c r="N167" s="2989"/>
      <c r="O167" s="2989"/>
      <c r="P167" s="2989"/>
      <c r="Q167" s="2989"/>
      <c r="R167" s="2989"/>
      <c r="S167" s="2989"/>
      <c r="T167" s="2989"/>
      <c r="U167" s="2989"/>
      <c r="V167" s="2989"/>
      <c r="W167" s="2989"/>
      <c r="X167" s="2989"/>
      <c r="Y167" s="2989"/>
      <c r="Z167" s="2989"/>
      <c r="AA167" s="2989"/>
      <c r="AB167" s="2989"/>
      <c r="AC167" s="2989"/>
      <c r="AD167" s="2989"/>
      <c r="AE167" s="2989"/>
      <c r="AF167" s="2989"/>
      <c r="AG167" s="2989"/>
      <c r="AH167" s="2989"/>
      <c r="AI167" s="2989"/>
      <c r="AJ167" s="2989"/>
      <c r="AK167" s="2989"/>
      <c r="AL167" s="2989"/>
      <c r="AM167" s="2989"/>
      <c r="AN167" s="2989"/>
      <c r="AO167" s="2989"/>
      <c r="AP167" s="2989"/>
      <c r="AQ167" s="2989"/>
      <c r="AR167" s="2989"/>
      <c r="AS167" s="2989"/>
      <c r="AT167" s="2989"/>
      <c r="AU167" s="2989"/>
      <c r="AV167" s="2989"/>
      <c r="AW167" s="2989"/>
      <c r="AX167" s="2989"/>
      <c r="AY167" s="2989"/>
      <c r="AZ167" s="2989"/>
      <c r="BA167" s="2989"/>
      <c r="BB167" s="2989"/>
      <c r="BC167" s="2989"/>
      <c r="BD167" s="2990"/>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3011" t="s">
        <v>2156</v>
      </c>
      <c r="C169" s="3012"/>
      <c r="D169" s="3012"/>
      <c r="E169" s="3012"/>
      <c r="F169" s="3012"/>
      <c r="G169" s="3012"/>
      <c r="H169" s="3012"/>
      <c r="I169" s="3012"/>
      <c r="J169" s="3012"/>
      <c r="K169" s="3012"/>
      <c r="L169" s="3012"/>
      <c r="M169" s="3012"/>
      <c r="N169" s="3012"/>
      <c r="O169" s="3012"/>
      <c r="P169" s="3012"/>
      <c r="Q169" s="3012"/>
      <c r="R169" s="3012"/>
      <c r="S169" s="3012"/>
      <c r="T169" s="3012"/>
      <c r="U169" s="3012"/>
      <c r="V169" s="3012"/>
      <c r="W169" s="3012"/>
      <c r="X169" s="3012"/>
      <c r="Y169" s="3012"/>
      <c r="Z169" s="3012"/>
      <c r="AA169" s="3012"/>
      <c r="AB169" s="3012"/>
      <c r="AC169" s="3012"/>
      <c r="AD169" s="3012"/>
      <c r="AE169" s="3012"/>
      <c r="AF169" s="3012"/>
      <c r="AG169" s="3012"/>
      <c r="AH169" s="3012"/>
      <c r="AI169" s="3012"/>
      <c r="AJ169" s="3012"/>
      <c r="AK169" s="3012"/>
      <c r="AL169" s="3012"/>
      <c r="AM169" s="3012"/>
      <c r="AN169" s="3012"/>
      <c r="AO169" s="3012"/>
      <c r="AP169" s="3012"/>
      <c r="AQ169" s="3012"/>
      <c r="AR169" s="3012"/>
      <c r="AS169" s="3012"/>
      <c r="AT169" s="3012"/>
      <c r="AU169" s="3012"/>
      <c r="AV169" s="3012"/>
      <c r="AW169" s="3012"/>
      <c r="AX169" s="3012"/>
      <c r="AY169" s="3012"/>
      <c r="AZ169" s="3012"/>
      <c r="BA169" s="3012"/>
      <c r="BB169" s="3012"/>
      <c r="BC169" s="3012"/>
      <c r="BD169" s="3013"/>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2157</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3014" t="s">
        <v>2158</v>
      </c>
      <c r="I173" s="3014"/>
      <c r="J173" s="3014"/>
      <c r="K173" s="3014"/>
      <c r="L173" s="3014"/>
      <c r="M173" s="3014"/>
      <c r="N173" s="3014"/>
      <c r="O173" s="3014"/>
      <c r="P173" s="3014"/>
      <c r="Q173" s="3014"/>
      <c r="R173" s="3014"/>
      <c r="S173" s="3014"/>
      <c r="T173" s="3014"/>
      <c r="U173" s="3014"/>
      <c r="V173" s="3014"/>
      <c r="W173" s="3014"/>
      <c r="X173" s="3014"/>
      <c r="Y173" s="3014"/>
      <c r="Z173" s="3014"/>
      <c r="AA173" s="3014"/>
      <c r="AB173" s="3014"/>
      <c r="AC173" s="3014"/>
      <c r="AD173" s="3014"/>
      <c r="AE173" s="3014"/>
      <c r="AF173" s="3014"/>
      <c r="AG173" s="3014"/>
      <c r="AH173" s="3014"/>
      <c r="AI173" s="3014"/>
      <c r="AJ173" s="3014"/>
      <c r="AK173" s="3014"/>
      <c r="AL173" s="3014"/>
      <c r="AM173" s="3014"/>
      <c r="AN173" s="3014"/>
      <c r="AO173" s="3014"/>
      <c r="AP173" s="3014"/>
      <c r="AQ173" s="3014"/>
      <c r="AR173" s="3014"/>
      <c r="AS173" s="3014"/>
      <c r="AT173" s="3014"/>
      <c r="AU173" s="3014"/>
      <c r="AV173" s="3014"/>
      <c r="AW173" s="3014"/>
      <c r="AX173" s="3014"/>
      <c r="AY173" s="3014"/>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3015" t="s">
        <v>2159</v>
      </c>
      <c r="I175" s="3015"/>
      <c r="J175" s="3015"/>
      <c r="K175" s="3015"/>
      <c r="L175" s="3015"/>
      <c r="M175" s="3015"/>
      <c r="N175" s="3015"/>
      <c r="O175" s="3015"/>
      <c r="P175" s="3015"/>
      <c r="Q175" s="3015"/>
      <c r="R175" s="3015"/>
      <c r="S175" s="3015"/>
      <c r="T175" s="3015"/>
      <c r="U175" s="3015"/>
      <c r="V175" s="3015"/>
      <c r="W175" s="3015"/>
      <c r="X175" s="3015"/>
      <c r="Y175" s="3015"/>
      <c r="Z175" s="3015"/>
      <c r="AA175" s="3015"/>
      <c r="AB175" s="3015"/>
      <c r="AC175" s="3015"/>
      <c r="AD175" s="3015"/>
      <c r="AE175" s="3015"/>
      <c r="AF175" s="3015"/>
      <c r="AG175" s="3015"/>
      <c r="AH175" s="3015"/>
      <c r="AI175" s="3015"/>
      <c r="AJ175" s="3015"/>
      <c r="AK175" s="3015"/>
      <c r="AL175" s="3015"/>
      <c r="AM175" s="3015"/>
      <c r="AN175" s="3015"/>
      <c r="AO175" s="3015"/>
      <c r="AP175" s="3015"/>
      <c r="AQ175" s="3015"/>
      <c r="AR175" s="3015"/>
      <c r="AS175" s="3015"/>
      <c r="AT175" s="3015"/>
      <c r="AU175" s="3015"/>
      <c r="AV175" s="3015"/>
      <c r="AW175" s="3015"/>
      <c r="AX175" s="3015"/>
      <c r="AY175" s="3015"/>
      <c r="AZ175" s="3015"/>
      <c r="BA175" s="1557"/>
      <c r="BB175" s="1557"/>
      <c r="BC175" s="1557"/>
      <c r="BD175" s="1537"/>
      <c r="BE175" s="1537"/>
    </row>
    <row r="176" spans="1:57" ht="15.75" customHeight="1">
      <c r="A176" s="1836"/>
      <c r="B176" s="1530"/>
      <c r="C176" s="1557"/>
      <c r="D176" s="1557"/>
      <c r="E176" s="1557"/>
      <c r="F176" s="1557"/>
      <c r="G176" s="1557"/>
      <c r="H176" s="3015"/>
      <c r="I176" s="3015"/>
      <c r="J176" s="3015"/>
      <c r="K176" s="3015"/>
      <c r="L176" s="3015"/>
      <c r="M176" s="3015"/>
      <c r="N176" s="3015"/>
      <c r="O176" s="3015"/>
      <c r="P176" s="3015"/>
      <c r="Q176" s="3015"/>
      <c r="R176" s="3015"/>
      <c r="S176" s="3015"/>
      <c r="T176" s="3015"/>
      <c r="U176" s="3015"/>
      <c r="V176" s="3015"/>
      <c r="W176" s="3015"/>
      <c r="X176" s="3015"/>
      <c r="Y176" s="3015"/>
      <c r="Z176" s="3015"/>
      <c r="AA176" s="3015"/>
      <c r="AB176" s="3015"/>
      <c r="AC176" s="3015"/>
      <c r="AD176" s="3015"/>
      <c r="AE176" s="3015"/>
      <c r="AF176" s="3015"/>
      <c r="AG176" s="3015"/>
      <c r="AH176" s="3015"/>
      <c r="AI176" s="3015"/>
      <c r="AJ176" s="3015"/>
      <c r="AK176" s="3015"/>
      <c r="AL176" s="3015"/>
      <c r="AM176" s="3015"/>
      <c r="AN176" s="3015"/>
      <c r="AO176" s="3015"/>
      <c r="AP176" s="3015"/>
      <c r="AQ176" s="3015"/>
      <c r="AR176" s="3015"/>
      <c r="AS176" s="3015"/>
      <c r="AT176" s="3015"/>
      <c r="AU176" s="3015"/>
      <c r="AV176" s="3015"/>
      <c r="AW176" s="3015"/>
      <c r="AX176" s="3015"/>
      <c r="AY176" s="3015"/>
      <c r="AZ176" s="3015"/>
      <c r="BA176" s="1557"/>
      <c r="BB176" s="1557"/>
      <c r="BC176" s="1557"/>
      <c r="BD176" s="1537"/>
      <c r="BE176" s="1537"/>
    </row>
    <row r="177" spans="1:57" ht="15.75" customHeight="1">
      <c r="A177" s="1836"/>
      <c r="B177" s="1530"/>
      <c r="C177" s="1557"/>
      <c r="D177" s="1557"/>
      <c r="E177" s="1557"/>
      <c r="F177" s="1557"/>
      <c r="G177" s="1557"/>
      <c r="H177" s="3015"/>
      <c r="I177" s="3015"/>
      <c r="J177" s="3015"/>
      <c r="K177" s="3015"/>
      <c r="L177" s="3015"/>
      <c r="M177" s="3015"/>
      <c r="N177" s="3015"/>
      <c r="O177" s="3015"/>
      <c r="P177" s="3015"/>
      <c r="Q177" s="3015"/>
      <c r="R177" s="3015"/>
      <c r="S177" s="3015"/>
      <c r="T177" s="3015"/>
      <c r="U177" s="3015"/>
      <c r="V177" s="3015"/>
      <c r="W177" s="3015"/>
      <c r="X177" s="3015"/>
      <c r="Y177" s="3015"/>
      <c r="Z177" s="3015"/>
      <c r="AA177" s="3015"/>
      <c r="AB177" s="3015"/>
      <c r="AC177" s="3015"/>
      <c r="AD177" s="3015"/>
      <c r="AE177" s="3015"/>
      <c r="AF177" s="3015"/>
      <c r="AG177" s="3015"/>
      <c r="AH177" s="3015"/>
      <c r="AI177" s="3015"/>
      <c r="AJ177" s="3015"/>
      <c r="AK177" s="3015"/>
      <c r="AL177" s="3015"/>
      <c r="AM177" s="3015"/>
      <c r="AN177" s="3015"/>
      <c r="AO177" s="3015"/>
      <c r="AP177" s="3015"/>
      <c r="AQ177" s="3015"/>
      <c r="AR177" s="3015"/>
      <c r="AS177" s="3015"/>
      <c r="AT177" s="3015"/>
      <c r="AU177" s="3015"/>
      <c r="AV177" s="3015"/>
      <c r="AW177" s="3015"/>
      <c r="AX177" s="3015"/>
      <c r="AY177" s="3015"/>
      <c r="AZ177" s="3015"/>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3016" t="s">
        <v>2160</v>
      </c>
      <c r="I180" s="3016"/>
      <c r="J180" s="3016"/>
      <c r="K180" s="3016"/>
      <c r="L180" s="3016"/>
      <c r="M180" s="3016"/>
      <c r="N180" s="3016"/>
      <c r="O180" s="3016"/>
      <c r="P180" s="3016"/>
      <c r="Q180" s="3016"/>
      <c r="R180" s="3016"/>
      <c r="S180" s="3016"/>
      <c r="T180" s="3016"/>
      <c r="U180" s="3016"/>
      <c r="V180" s="3016"/>
      <c r="W180" s="3016"/>
      <c r="X180" s="3016"/>
      <c r="Y180" s="3016"/>
      <c r="Z180" s="3016"/>
      <c r="AA180" s="3016"/>
      <c r="AB180" s="3016"/>
      <c r="AC180" s="3016"/>
      <c r="AD180" s="3016"/>
      <c r="AE180" s="3016"/>
      <c r="AF180" s="3016"/>
      <c r="AG180" s="3016"/>
      <c r="AH180" s="3016"/>
      <c r="AI180" s="3016"/>
      <c r="AJ180" s="3016"/>
      <c r="AK180" s="3016"/>
      <c r="AL180" s="3016"/>
      <c r="AM180" s="3016"/>
      <c r="AN180" s="3016"/>
      <c r="AO180" s="3016"/>
      <c r="AP180" s="3016"/>
      <c r="AQ180" s="3016"/>
      <c r="AR180" s="3016"/>
      <c r="AS180" s="3016"/>
      <c r="AT180" s="3016"/>
      <c r="AU180" s="3016"/>
      <c r="AV180" s="3016"/>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3009" t="s">
        <v>2161</v>
      </c>
      <c r="I182" s="3009"/>
      <c r="J182" s="3009"/>
      <c r="K182" s="3009"/>
      <c r="L182" s="1566"/>
      <c r="M182" s="1566"/>
      <c r="N182" s="1566"/>
      <c r="O182" s="1566"/>
      <c r="P182" s="1566"/>
      <c r="Q182" s="1566"/>
      <c r="R182" s="1566"/>
      <c r="S182" s="3006"/>
      <c r="T182" s="3007"/>
      <c r="U182" s="3007"/>
      <c r="V182" s="3007"/>
      <c r="W182" s="3007"/>
      <c r="X182" s="3007"/>
      <c r="Y182" s="3007"/>
      <c r="Z182" s="3007"/>
      <c r="AA182" s="3007"/>
      <c r="AB182" s="3007"/>
      <c r="AC182" s="3007"/>
      <c r="AD182" s="3007"/>
      <c r="AE182" s="3007"/>
      <c r="AF182" s="3007"/>
      <c r="AG182" s="3007"/>
      <c r="AH182" s="3007"/>
      <c r="AI182" s="3007"/>
      <c r="AJ182" s="3008"/>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3009" t="s">
        <v>2162</v>
      </c>
      <c r="I184" s="3009"/>
      <c r="J184" s="3009"/>
      <c r="K184" s="1568"/>
      <c r="L184" s="1566"/>
      <c r="M184" s="1566"/>
      <c r="N184" s="1566"/>
      <c r="O184" s="1566"/>
      <c r="P184" s="1566"/>
      <c r="Q184" s="1566"/>
      <c r="R184" s="1566"/>
      <c r="S184" s="3006"/>
      <c r="T184" s="3007"/>
      <c r="U184" s="3007"/>
      <c r="V184" s="3007"/>
      <c r="W184" s="3007"/>
      <c r="X184" s="3007"/>
      <c r="Y184" s="3007"/>
      <c r="Z184" s="3007"/>
      <c r="AA184" s="3007"/>
      <c r="AB184" s="3007"/>
      <c r="AC184" s="3007"/>
      <c r="AD184" s="3007"/>
      <c r="AE184" s="3007"/>
      <c r="AF184" s="3007"/>
      <c r="AG184" s="3007"/>
      <c r="AH184" s="3007"/>
      <c r="AI184" s="3007"/>
      <c r="AJ184" s="3008"/>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3009" t="s">
        <v>466</v>
      </c>
      <c r="I186" s="3009"/>
      <c r="J186" s="1568"/>
      <c r="K186" s="1568"/>
      <c r="L186" s="1566"/>
      <c r="M186" s="1566"/>
      <c r="N186" s="1566"/>
      <c r="O186" s="1566"/>
      <c r="P186" s="1566"/>
      <c r="Q186" s="1566"/>
      <c r="R186" s="1566"/>
      <c r="S186" s="3006"/>
      <c r="T186" s="3007"/>
      <c r="U186" s="3007"/>
      <c r="V186" s="3007"/>
      <c r="W186" s="3007"/>
      <c r="X186" s="3007"/>
      <c r="Y186" s="3007"/>
      <c r="Z186" s="3007"/>
      <c r="AA186" s="3007"/>
      <c r="AB186" s="3007"/>
      <c r="AC186" s="3007"/>
      <c r="AD186" s="3007"/>
      <c r="AE186" s="3007"/>
      <c r="AF186" s="3007"/>
      <c r="AG186" s="3007"/>
      <c r="AH186" s="3007"/>
      <c r="AI186" s="3007"/>
      <c r="AJ186" s="3008"/>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3010" t="s">
        <v>2163</v>
      </c>
      <c r="I188" s="3010"/>
      <c r="J188" s="3010"/>
      <c r="K188" s="3010"/>
      <c r="L188" s="3010"/>
      <c r="M188" s="3010"/>
      <c r="N188" s="3010"/>
      <c r="O188" s="3010"/>
      <c r="P188" s="1566"/>
      <c r="Q188" s="1566"/>
      <c r="R188" s="1566"/>
      <c r="S188" s="3006"/>
      <c r="T188" s="3007"/>
      <c r="U188" s="3007"/>
      <c r="V188" s="3007"/>
      <c r="W188" s="3007"/>
      <c r="X188" s="3007"/>
      <c r="Y188" s="3007"/>
      <c r="Z188" s="3007"/>
      <c r="AA188" s="3007"/>
      <c r="AB188" s="3007"/>
      <c r="AC188" s="3007"/>
      <c r="AD188" s="3007"/>
      <c r="AE188" s="3007"/>
      <c r="AF188" s="3007"/>
      <c r="AG188" s="3007"/>
      <c r="AH188" s="3007"/>
      <c r="AI188" s="3007"/>
      <c r="AJ188" s="3008"/>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3005" t="s">
        <v>2164</v>
      </c>
      <c r="I190" s="3005"/>
      <c r="J190" s="1566"/>
      <c r="K190" s="1566"/>
      <c r="L190" s="1566"/>
      <c r="M190" s="1566"/>
      <c r="N190" s="1566"/>
      <c r="O190" s="1566"/>
      <c r="P190" s="1566"/>
      <c r="Q190" s="1566"/>
      <c r="R190" s="1566"/>
      <c r="S190" s="3006"/>
      <c r="T190" s="3007"/>
      <c r="U190" s="3007"/>
      <c r="V190" s="3007"/>
      <c r="W190" s="3007"/>
      <c r="X190" s="3007"/>
      <c r="Y190" s="3007"/>
      <c r="Z190" s="3007"/>
      <c r="AA190" s="3007"/>
      <c r="AB190" s="3007"/>
      <c r="AC190" s="3007"/>
      <c r="AD190" s="3007"/>
      <c r="AE190" s="3007"/>
      <c r="AF190" s="3007"/>
      <c r="AG190" s="3007"/>
      <c r="AH190" s="3007"/>
      <c r="AI190" s="3007"/>
      <c r="AJ190" s="3008"/>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7"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64" zoomScaleNormal="100" zoomScaleSheetLayoutView="100" workbookViewId="0">
      <selection activeCell="T207" sqref="T207:Y207"/>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453125" style="51" customWidth="1"/>
    <col min="19" max="32" width="2.453125" style="51" customWidth="1"/>
    <col min="33" max="33" width="3.453125" style="51" customWidth="1"/>
    <col min="34" max="36" width="2.453125" style="51" customWidth="1"/>
    <col min="37" max="37" width="5.453125" style="51" customWidth="1"/>
    <col min="38" max="38" width="2.453125" style="51" customWidth="1"/>
    <col min="39" max="39" width="3.453125" style="51" customWidth="1"/>
    <col min="40" max="40" width="5.453125" style="927" hidden="1" customWidth="1"/>
    <col min="41" max="41" width="5.453125" style="126" hidden="1" customWidth="1"/>
    <col min="42" max="45" width="5.453125" style="51" hidden="1" customWidth="1"/>
    <col min="46" max="46" width="10.81640625" style="51" hidden="1" customWidth="1"/>
    <col min="47" max="48" width="5.453125" style="51" hidden="1" customWidth="1"/>
    <col min="49" max="49" width="8.6328125" style="51" hidden="1" customWidth="1"/>
    <col min="50" max="50" width="7.453125" style="51" hidden="1" customWidth="1"/>
    <col min="51" max="55" width="5.453125" style="51" hidden="1" customWidth="1"/>
    <col min="56" max="60" width="5.453125" style="54" hidden="1" customWidth="1"/>
    <col min="61" max="81" width="5.453125" style="51" hidden="1" customWidth="1"/>
    <col min="82" max="16384" width="0.81640625" style="51" hidden="1"/>
  </cols>
  <sheetData>
    <row r="1" spans="1:42" ht="15.75" customHeight="1">
      <c r="A1" s="3259" t="s">
        <v>1570</v>
      </c>
      <c r="B1" s="3259"/>
      <c r="C1" s="3259"/>
      <c r="D1" s="3259"/>
      <c r="E1" s="3259"/>
      <c r="F1" s="3259"/>
      <c r="G1" s="3259"/>
      <c r="H1" s="3259"/>
      <c r="I1" s="3259"/>
      <c r="J1" s="3259"/>
      <c r="K1" s="3259"/>
      <c r="L1" s="3259"/>
      <c r="M1" s="3259"/>
      <c r="N1" s="3259"/>
      <c r="O1" s="3259"/>
      <c r="P1" s="3259"/>
      <c r="Q1" s="3259"/>
      <c r="R1" s="3259"/>
      <c r="S1" s="3259"/>
      <c r="T1" s="3259"/>
      <c r="U1" s="3259"/>
      <c r="V1" s="3259"/>
      <c r="W1" s="3259"/>
      <c r="X1" s="3259"/>
      <c r="Y1" s="3259"/>
      <c r="Z1" s="3259"/>
      <c r="AA1" s="3259"/>
      <c r="AB1" s="3259"/>
      <c r="AC1" s="3259"/>
      <c r="AD1" s="3259"/>
      <c r="AE1" s="3259"/>
      <c r="AF1" s="3259"/>
      <c r="AG1" s="3259"/>
      <c r="AH1" s="3259"/>
      <c r="AI1" s="3259"/>
      <c r="AJ1" s="3259"/>
      <c r="AK1" s="3259"/>
      <c r="AL1" s="3259"/>
      <c r="AM1" s="3259"/>
    </row>
    <row r="2" spans="1:42" s="929" customFormat="1" ht="12.75" customHeight="1" thickBot="1">
      <c r="A2" s="3260"/>
      <c r="B2" s="3260"/>
      <c r="C2" s="3260"/>
      <c r="D2" s="3260"/>
      <c r="E2" s="3260"/>
      <c r="F2" s="3260"/>
      <c r="G2" s="3260"/>
      <c r="H2" s="3260"/>
      <c r="I2" s="3260"/>
      <c r="J2" s="3260"/>
      <c r="K2" s="3260"/>
      <c r="L2" s="3260"/>
      <c r="M2" s="3260"/>
      <c r="N2" s="3260"/>
      <c r="O2" s="3260"/>
      <c r="P2" s="3260"/>
      <c r="Q2" s="3260"/>
      <c r="R2" s="3260"/>
      <c r="S2" s="3260"/>
      <c r="T2" s="3260"/>
      <c r="U2" s="3260"/>
      <c r="V2" s="3260"/>
      <c r="W2" s="3260"/>
      <c r="X2" s="3260"/>
      <c r="Y2" s="3260"/>
      <c r="Z2" s="3260"/>
      <c r="AA2" s="3260"/>
      <c r="AB2" s="3260"/>
      <c r="AC2" s="3260"/>
      <c r="AD2" s="3260"/>
      <c r="AE2" s="3260"/>
      <c r="AF2" s="3260"/>
      <c r="AG2" s="3260"/>
      <c r="AH2" s="3260"/>
      <c r="AI2" s="3260"/>
      <c r="AJ2" s="3260"/>
      <c r="AK2" s="3260"/>
      <c r="AL2" s="3260"/>
      <c r="AM2" s="3260"/>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1571</v>
      </c>
      <c r="B4" s="934" t="s">
        <v>1572</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1573</v>
      </c>
      <c r="B7" s="934" t="s">
        <v>1574</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235" t="s">
        <v>1575</v>
      </c>
      <c r="AF7" s="3235"/>
      <c r="AG7" s="3235"/>
      <c r="AH7" s="3235"/>
      <c r="AI7" s="3235"/>
      <c r="AJ7" s="3235"/>
      <c r="AK7" s="3235"/>
      <c r="AL7" s="935"/>
      <c r="AM7" s="935"/>
      <c r="AN7" s="931"/>
    </row>
    <row r="8" spans="1:42" s="932" customFormat="1" ht="12.75" customHeight="1">
      <c r="A8" s="933"/>
      <c r="B8" s="934" t="s">
        <v>2243</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1576</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244" t="s">
        <v>628</v>
      </c>
      <c r="C12" s="3244"/>
      <c r="D12" s="942"/>
      <c r="E12" s="943" t="s">
        <v>1577</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61"/>
      <c r="AH12" s="3261"/>
      <c r="AI12" s="3261"/>
      <c r="AJ12" s="3262"/>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244" t="s">
        <v>628</v>
      </c>
      <c r="C15" s="3244"/>
      <c r="D15" s="942"/>
      <c r="E15" s="3263" t="s">
        <v>1578</v>
      </c>
      <c r="F15" s="3264"/>
      <c r="G15" s="3264"/>
      <c r="H15" s="3264"/>
      <c r="I15" s="3264"/>
      <c r="J15" s="3264"/>
      <c r="K15" s="3264"/>
      <c r="L15" s="3264"/>
      <c r="M15" s="3264"/>
      <c r="N15" s="3264"/>
      <c r="O15" s="3264"/>
      <c r="P15" s="3264"/>
      <c r="Q15" s="3264"/>
      <c r="R15" s="3264"/>
      <c r="S15" s="3264"/>
      <c r="T15" s="3264"/>
      <c r="U15" s="3264"/>
      <c r="V15" s="3264"/>
      <c r="W15" s="3264"/>
      <c r="X15" s="3264"/>
      <c r="Y15" s="3264"/>
      <c r="Z15" s="3264"/>
      <c r="AA15" s="3264"/>
      <c r="AB15" s="3264"/>
      <c r="AC15" s="3264"/>
      <c r="AD15" s="3264"/>
      <c r="AE15" s="3264"/>
      <c r="AF15" s="3264"/>
      <c r="AG15" s="3264"/>
      <c r="AH15" s="3264"/>
      <c r="AI15" s="3264"/>
      <c r="AJ15" s="3265"/>
      <c r="AK15" s="935"/>
      <c r="AL15" s="935"/>
      <c r="AM15" s="935"/>
      <c r="AN15" s="931"/>
      <c r="AO15" s="945">
        <f>IF($B24="yes",20,0)</f>
        <v>0</v>
      </c>
      <c r="AP15" s="51"/>
    </row>
    <row r="16" spans="1:42" s="932" customFormat="1" ht="12.75" customHeight="1">
      <c r="A16" s="935"/>
      <c r="B16" s="935"/>
      <c r="C16" s="935"/>
      <c r="D16" s="946"/>
      <c r="E16" s="3266"/>
      <c r="F16" s="3267"/>
      <c r="G16" s="3267"/>
      <c r="H16" s="3267"/>
      <c r="I16" s="3267"/>
      <c r="J16" s="3267"/>
      <c r="K16" s="3267"/>
      <c r="L16" s="3267"/>
      <c r="M16" s="3267"/>
      <c r="N16" s="3267"/>
      <c r="O16" s="3267"/>
      <c r="P16" s="3267"/>
      <c r="Q16" s="3267"/>
      <c r="R16" s="3267"/>
      <c r="S16" s="3267"/>
      <c r="T16" s="3267"/>
      <c r="U16" s="3267"/>
      <c r="V16" s="3267"/>
      <c r="W16" s="3267"/>
      <c r="X16" s="3267"/>
      <c r="Y16" s="3267"/>
      <c r="Z16" s="3267"/>
      <c r="AA16" s="3267"/>
      <c r="AB16" s="3267"/>
      <c r="AC16" s="3267"/>
      <c r="AD16" s="3267"/>
      <c r="AE16" s="3267"/>
      <c r="AF16" s="3267"/>
      <c r="AG16" s="3267"/>
      <c r="AH16" s="3267"/>
      <c r="AI16" s="3267"/>
      <c r="AJ16" s="3268"/>
      <c r="AK16" s="935"/>
      <c r="AL16" s="935"/>
      <c r="AM16" s="935"/>
      <c r="AN16" s="931"/>
      <c r="AO16" s="932">
        <f>IF(SUM(AO12:AO15)&gt;20,20,(SUM(AO12:AO15)))</f>
        <v>0</v>
      </c>
      <c r="AP16" s="932" t="s">
        <v>1579</v>
      </c>
    </row>
    <row r="17" spans="1:42" s="932" customFormat="1" ht="12.75" customHeight="1">
      <c r="A17" s="935"/>
      <c r="B17" s="935"/>
      <c r="C17" s="935"/>
      <c r="D17" s="946"/>
      <c r="E17" s="3266"/>
      <c r="F17" s="3267"/>
      <c r="G17" s="3267"/>
      <c r="H17" s="3267"/>
      <c r="I17" s="3267"/>
      <c r="J17" s="3267"/>
      <c r="K17" s="3267"/>
      <c r="L17" s="3267"/>
      <c r="M17" s="3267"/>
      <c r="N17" s="3267"/>
      <c r="O17" s="3267"/>
      <c r="P17" s="3267"/>
      <c r="Q17" s="3267"/>
      <c r="R17" s="3267"/>
      <c r="S17" s="3267"/>
      <c r="T17" s="3267"/>
      <c r="U17" s="3267"/>
      <c r="V17" s="3267"/>
      <c r="W17" s="3267"/>
      <c r="X17" s="3267"/>
      <c r="Y17" s="3267"/>
      <c r="Z17" s="3267"/>
      <c r="AA17" s="3267"/>
      <c r="AB17" s="3267"/>
      <c r="AC17" s="3267"/>
      <c r="AD17" s="3267"/>
      <c r="AE17" s="3267"/>
      <c r="AF17" s="3267"/>
      <c r="AG17" s="3267"/>
      <c r="AH17" s="3267"/>
      <c r="AI17" s="3267"/>
      <c r="AJ17" s="3268"/>
      <c r="AK17" s="935"/>
      <c r="AL17" s="935"/>
      <c r="AM17" s="935"/>
      <c r="AN17" s="931"/>
    </row>
    <row r="18" spans="1:42" s="932" customFormat="1" ht="12.75" customHeight="1">
      <c r="A18" s="935"/>
      <c r="B18" s="935"/>
      <c r="C18" s="935"/>
      <c r="D18" s="946"/>
      <c r="E18" s="947" t="s">
        <v>1580</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270"/>
      <c r="F19" s="3271"/>
      <c r="G19" s="3271"/>
      <c r="H19" s="3271"/>
      <c r="I19" s="3271"/>
      <c r="J19" s="3271"/>
      <c r="K19" s="3271"/>
      <c r="L19" s="3271"/>
      <c r="M19" s="3271"/>
      <c r="N19" s="3271"/>
      <c r="O19" s="3271"/>
      <c r="P19" s="3271"/>
      <c r="Q19" s="3271"/>
      <c r="R19" s="3271"/>
      <c r="S19" s="3271"/>
      <c r="T19" s="3271"/>
      <c r="U19" s="3271"/>
      <c r="V19" s="3271"/>
      <c r="W19" s="3271"/>
      <c r="X19" s="3271"/>
      <c r="Y19" s="3271"/>
      <c r="Z19" s="3271"/>
      <c r="AA19" s="3271"/>
      <c r="AB19" s="3271"/>
      <c r="AC19" s="3271"/>
      <c r="AD19" s="3271"/>
      <c r="AE19" s="3271"/>
      <c r="AF19" s="3271"/>
      <c r="AG19" s="3271"/>
      <c r="AH19" s="3271"/>
      <c r="AI19" s="3271"/>
      <c r="AJ19" s="3272"/>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244" t="s">
        <v>628</v>
      </c>
      <c r="C21" s="3244"/>
      <c r="D21" s="942"/>
      <c r="E21" s="3273" t="s">
        <v>1581</v>
      </c>
      <c r="F21" s="3274"/>
      <c r="G21" s="3274"/>
      <c r="H21" s="3274"/>
      <c r="I21" s="3274"/>
      <c r="J21" s="3274"/>
      <c r="K21" s="3274"/>
      <c r="L21" s="3274"/>
      <c r="M21" s="3274"/>
      <c r="N21" s="3274"/>
      <c r="O21" s="3274"/>
      <c r="P21" s="3274"/>
      <c r="Q21" s="3274"/>
      <c r="R21" s="3274"/>
      <c r="S21" s="3274"/>
      <c r="T21" s="3274"/>
      <c r="U21" s="3274"/>
      <c r="V21" s="3274"/>
      <c r="W21" s="3274"/>
      <c r="X21" s="3274"/>
      <c r="Y21" s="3274"/>
      <c r="Z21" s="3274"/>
      <c r="AA21" s="3274"/>
      <c r="AB21" s="3274"/>
      <c r="AC21" s="3274"/>
      <c r="AD21" s="3274"/>
      <c r="AE21" s="3274"/>
      <c r="AF21" s="3274"/>
      <c r="AG21" s="3274"/>
      <c r="AH21" s="3274"/>
      <c r="AI21" s="3274"/>
      <c r="AJ21" s="3275"/>
      <c r="AK21" s="935"/>
      <c r="AL21" s="935"/>
      <c r="AM21" s="935"/>
      <c r="AN21" s="931"/>
      <c r="AO21" s="932">
        <f>SUM(AO20)</f>
        <v>0</v>
      </c>
      <c r="AP21" s="932" t="s">
        <v>1579</v>
      </c>
    </row>
    <row r="22" spans="1:42" s="932" customFormat="1" ht="12.75" customHeight="1">
      <c r="A22" s="935"/>
      <c r="B22" s="935"/>
      <c r="C22" s="935"/>
      <c r="D22" s="945"/>
      <c r="E22" s="3276"/>
      <c r="F22" s="3277"/>
      <c r="G22" s="3277"/>
      <c r="H22" s="3277"/>
      <c r="I22" s="3277"/>
      <c r="J22" s="3277"/>
      <c r="K22" s="3277"/>
      <c r="L22" s="3277"/>
      <c r="M22" s="3277"/>
      <c r="N22" s="3277"/>
      <c r="O22" s="3277"/>
      <c r="P22" s="3277"/>
      <c r="Q22" s="3277"/>
      <c r="R22" s="3277"/>
      <c r="S22" s="3277"/>
      <c r="T22" s="3277"/>
      <c r="U22" s="3277"/>
      <c r="V22" s="3277"/>
      <c r="W22" s="3277"/>
      <c r="X22" s="3277"/>
      <c r="Y22" s="3277"/>
      <c r="Z22" s="3277"/>
      <c r="AA22" s="3277"/>
      <c r="AB22" s="3277"/>
      <c r="AC22" s="3277"/>
      <c r="AD22" s="3277"/>
      <c r="AE22" s="3277"/>
      <c r="AF22" s="3277"/>
      <c r="AG22" s="3277"/>
      <c r="AH22" s="3277"/>
      <c r="AI22" s="3277"/>
      <c r="AJ22" s="3278"/>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244" t="s">
        <v>628</v>
      </c>
      <c r="C24" s="3244"/>
      <c r="D24" s="942"/>
      <c r="E24" s="3170" t="s">
        <v>1582</v>
      </c>
      <c r="F24" s="3171"/>
      <c r="G24" s="3171"/>
      <c r="H24" s="3171"/>
      <c r="I24" s="3171"/>
      <c r="J24" s="3171"/>
      <c r="K24" s="3171"/>
      <c r="L24" s="3171"/>
      <c r="M24" s="3171"/>
      <c r="N24" s="3171"/>
      <c r="O24" s="3171"/>
      <c r="P24" s="3171"/>
      <c r="Q24" s="3171"/>
      <c r="R24" s="3171"/>
      <c r="S24" s="3171"/>
      <c r="T24" s="3171"/>
      <c r="U24" s="3171"/>
      <c r="V24" s="3171"/>
      <c r="W24" s="3171"/>
      <c r="X24" s="3171"/>
      <c r="Y24" s="3171"/>
      <c r="Z24" s="3171"/>
      <c r="AA24" s="3171"/>
      <c r="AB24" s="3171"/>
      <c r="AC24" s="3171"/>
      <c r="AD24" s="3171"/>
      <c r="AE24" s="3171"/>
      <c r="AF24" s="3171"/>
      <c r="AG24" s="3171"/>
      <c r="AH24" s="3171"/>
      <c r="AI24" s="3171"/>
      <c r="AJ24" s="3172"/>
      <c r="AK24" s="935"/>
      <c r="AL24" s="935"/>
      <c r="AM24" s="935"/>
      <c r="AN24" s="931"/>
      <c r="AO24" s="945">
        <f>IF($B39="yes",6,0)</f>
        <v>0</v>
      </c>
    </row>
    <row r="25" spans="1:42" s="932" customFormat="1" ht="12.75" customHeight="1">
      <c r="A25" s="935"/>
      <c r="B25" s="935"/>
      <c r="C25" s="935"/>
      <c r="D25" s="945"/>
      <c r="E25" s="3245"/>
      <c r="F25" s="3246"/>
      <c r="G25" s="3246"/>
      <c r="H25" s="3246"/>
      <c r="I25" s="3246"/>
      <c r="J25" s="3246"/>
      <c r="K25" s="3246"/>
      <c r="L25" s="3246"/>
      <c r="M25" s="3246"/>
      <c r="N25" s="3246"/>
      <c r="O25" s="3246"/>
      <c r="P25" s="3246"/>
      <c r="Q25" s="3246"/>
      <c r="R25" s="3246"/>
      <c r="S25" s="3246"/>
      <c r="T25" s="3246"/>
      <c r="U25" s="3246"/>
      <c r="V25" s="3246"/>
      <c r="W25" s="3246"/>
      <c r="X25" s="3246"/>
      <c r="Y25" s="3246"/>
      <c r="Z25" s="3246"/>
      <c r="AA25" s="3246"/>
      <c r="AB25" s="3246"/>
      <c r="AC25" s="3246"/>
      <c r="AD25" s="3246"/>
      <c r="AE25" s="3246"/>
      <c r="AF25" s="3246"/>
      <c r="AG25" s="3246"/>
      <c r="AH25" s="3246"/>
      <c r="AI25" s="3246"/>
      <c r="AJ25" s="3247"/>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1583</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244" t="s">
        <v>628</v>
      </c>
      <c r="C29" s="3244"/>
      <c r="D29" s="942"/>
      <c r="E29" s="3170" t="s">
        <v>1584</v>
      </c>
      <c r="F29" s="3171"/>
      <c r="G29" s="3171"/>
      <c r="H29" s="3171"/>
      <c r="I29" s="3171"/>
      <c r="J29" s="3171"/>
      <c r="K29" s="3171"/>
      <c r="L29" s="3171"/>
      <c r="M29" s="3171"/>
      <c r="N29" s="3171"/>
      <c r="O29" s="3171"/>
      <c r="P29" s="3171"/>
      <c r="Q29" s="3171"/>
      <c r="R29" s="3171"/>
      <c r="S29" s="3171"/>
      <c r="T29" s="3171"/>
      <c r="U29" s="3171"/>
      <c r="V29" s="3171"/>
      <c r="W29" s="3171"/>
      <c r="X29" s="3171"/>
      <c r="Y29" s="3171"/>
      <c r="Z29" s="3171"/>
      <c r="AA29" s="3171"/>
      <c r="AB29" s="3171"/>
      <c r="AC29" s="3171"/>
      <c r="AD29" s="3171"/>
      <c r="AE29" s="3171"/>
      <c r="AF29" s="3171"/>
      <c r="AG29" s="3171"/>
      <c r="AH29" s="3171"/>
      <c r="AI29" s="3171"/>
      <c r="AJ29" s="3172"/>
      <c r="AK29" s="935"/>
      <c r="AL29" s="935"/>
      <c r="AM29" s="935"/>
      <c r="AN29" s="931"/>
      <c r="AO29" s="945">
        <f>IF($B49="yes",6,0)</f>
        <v>0</v>
      </c>
    </row>
    <row r="30" spans="1:42" s="932" customFormat="1" ht="12.75" customHeight="1">
      <c r="A30" s="935"/>
      <c r="B30" s="935"/>
      <c r="C30" s="935"/>
      <c r="E30" s="3173"/>
      <c r="F30" s="3174"/>
      <c r="G30" s="3174"/>
      <c r="H30" s="3174"/>
      <c r="I30" s="3174"/>
      <c r="J30" s="3174"/>
      <c r="K30" s="3174"/>
      <c r="L30" s="3174"/>
      <c r="M30" s="3174"/>
      <c r="N30" s="3174"/>
      <c r="O30" s="3174"/>
      <c r="P30" s="3174"/>
      <c r="Q30" s="3174"/>
      <c r="R30" s="3174"/>
      <c r="S30" s="3174"/>
      <c r="T30" s="3174"/>
      <c r="U30" s="3174"/>
      <c r="V30" s="3174"/>
      <c r="W30" s="3174"/>
      <c r="X30" s="3174"/>
      <c r="Y30" s="3174"/>
      <c r="Z30" s="3174"/>
      <c r="AA30" s="3174"/>
      <c r="AB30" s="3174"/>
      <c r="AC30" s="3174"/>
      <c r="AD30" s="3174"/>
      <c r="AE30" s="3174"/>
      <c r="AF30" s="3174"/>
      <c r="AG30" s="3174"/>
      <c r="AH30" s="3174"/>
      <c r="AI30" s="3174"/>
      <c r="AJ30" s="3175"/>
      <c r="AK30" s="935"/>
      <c r="AL30" s="935"/>
      <c r="AM30" s="935"/>
      <c r="AN30" s="931"/>
      <c r="AO30" s="932">
        <f>IF(SUM(AO23:AO29)&gt;6,6,(SUM(AO23:AO29)))</f>
        <v>0</v>
      </c>
      <c r="AP30" s="932" t="s">
        <v>1579</v>
      </c>
    </row>
    <row r="31" spans="1:42" s="932" customFormat="1" ht="12.75" customHeight="1">
      <c r="A31" s="935"/>
      <c r="B31" s="935"/>
      <c r="C31" s="935"/>
      <c r="E31" s="3245"/>
      <c r="F31" s="3246"/>
      <c r="G31" s="3246"/>
      <c r="H31" s="3246"/>
      <c r="I31" s="3246"/>
      <c r="J31" s="3246"/>
      <c r="K31" s="3246"/>
      <c r="L31" s="3246"/>
      <c r="M31" s="3246"/>
      <c r="N31" s="3246"/>
      <c r="O31" s="3246"/>
      <c r="P31" s="3246"/>
      <c r="Q31" s="3246"/>
      <c r="R31" s="3246"/>
      <c r="S31" s="3246"/>
      <c r="T31" s="3246"/>
      <c r="U31" s="3246"/>
      <c r="V31" s="3246"/>
      <c r="W31" s="3246"/>
      <c r="X31" s="3246"/>
      <c r="Y31" s="3246"/>
      <c r="Z31" s="3246"/>
      <c r="AA31" s="3246"/>
      <c r="AB31" s="3246"/>
      <c r="AC31" s="3246"/>
      <c r="AD31" s="3246"/>
      <c r="AE31" s="3246"/>
      <c r="AF31" s="3246"/>
      <c r="AG31" s="3246"/>
      <c r="AH31" s="3246"/>
      <c r="AI31" s="3246"/>
      <c r="AJ31" s="3247"/>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1585</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269" t="s">
        <v>1586</v>
      </c>
      <c r="C34" s="3269"/>
      <c r="D34" s="3269"/>
      <c r="E34" s="3269"/>
      <c r="F34" s="3269"/>
      <c r="G34" s="3269"/>
      <c r="H34" s="3269"/>
      <c r="I34" s="3269"/>
      <c r="J34" s="3269"/>
      <c r="K34" s="3269"/>
      <c r="L34" s="3269"/>
      <c r="M34" s="3269"/>
      <c r="N34" s="3269"/>
      <c r="O34" s="3269"/>
      <c r="P34" s="3269"/>
      <c r="Q34" s="3269"/>
      <c r="R34" s="3269"/>
      <c r="S34" s="3269"/>
      <c r="T34" s="3269"/>
      <c r="U34" s="3269"/>
      <c r="V34" s="3269"/>
      <c r="W34" s="3269"/>
      <c r="X34" s="3269"/>
      <c r="Y34" s="3269"/>
      <c r="Z34" s="3269"/>
      <c r="AA34" s="3269"/>
      <c r="AB34" s="3269"/>
      <c r="AC34" s="3269"/>
      <c r="AD34" s="3269"/>
      <c r="AE34" s="3269"/>
      <c r="AF34" s="3269"/>
      <c r="AG34" s="3269"/>
      <c r="AH34" s="3269"/>
      <c r="AI34" s="3269"/>
      <c r="AJ34" s="3269"/>
      <c r="AK34" s="3269"/>
      <c r="AL34" s="935"/>
      <c r="AM34" s="935"/>
      <c r="AN34" s="931"/>
    </row>
    <row r="35" spans="1:41" s="932" customFormat="1" ht="12.75" customHeight="1">
      <c r="A35" s="935"/>
      <c r="B35" s="3269"/>
      <c r="C35" s="3269"/>
      <c r="D35" s="3269"/>
      <c r="E35" s="3269"/>
      <c r="F35" s="3269"/>
      <c r="G35" s="3269"/>
      <c r="H35" s="3269"/>
      <c r="I35" s="3269"/>
      <c r="J35" s="3269"/>
      <c r="K35" s="3269"/>
      <c r="L35" s="3269"/>
      <c r="M35" s="3269"/>
      <c r="N35" s="3269"/>
      <c r="O35" s="3269"/>
      <c r="P35" s="3269"/>
      <c r="Q35" s="3269"/>
      <c r="R35" s="3269"/>
      <c r="S35" s="3269"/>
      <c r="T35" s="3269"/>
      <c r="U35" s="3269"/>
      <c r="V35" s="3269"/>
      <c r="W35" s="3269"/>
      <c r="X35" s="3269"/>
      <c r="Y35" s="3269"/>
      <c r="Z35" s="3269"/>
      <c r="AA35" s="3269"/>
      <c r="AB35" s="3269"/>
      <c r="AC35" s="3269"/>
      <c r="AD35" s="3269"/>
      <c r="AE35" s="3269"/>
      <c r="AF35" s="3269"/>
      <c r="AG35" s="3269"/>
      <c r="AH35" s="3269"/>
      <c r="AI35" s="3269"/>
      <c r="AJ35" s="3269"/>
      <c r="AK35" s="3269"/>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244" t="s">
        <v>628</v>
      </c>
      <c r="C37" s="3244"/>
      <c r="D37" s="942"/>
      <c r="E37" s="950" t="s">
        <v>1587</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244" t="s">
        <v>628</v>
      </c>
      <c r="C39" s="3244"/>
      <c r="D39" s="942"/>
      <c r="E39" s="952" t="s">
        <v>1588</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244" t="s">
        <v>628</v>
      </c>
      <c r="C41" s="3244"/>
      <c r="D41" s="942"/>
      <c r="E41" s="953" t="s">
        <v>1589</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244" t="s">
        <v>628</v>
      </c>
      <c r="C43" s="3244"/>
      <c r="D43" s="942"/>
      <c r="E43" s="953" t="s">
        <v>1590</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244" t="s">
        <v>628</v>
      </c>
      <c r="C45" s="3244"/>
      <c r="D45" s="942"/>
      <c r="E45" s="953" t="s">
        <v>1591</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244" t="s">
        <v>628</v>
      </c>
      <c r="C47" s="3244"/>
      <c r="D47" s="942"/>
      <c r="E47" s="955" t="s">
        <v>1592</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244" t="s">
        <v>628</v>
      </c>
      <c r="C49" s="3244"/>
      <c r="D49" s="942"/>
      <c r="E49" s="955" t="s">
        <v>1593</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1594</v>
      </c>
      <c r="AK51" s="3219">
        <f>AO32</f>
        <v>0</v>
      </c>
      <c r="AL51" s="3220"/>
      <c r="AM51" s="3221"/>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1595</v>
      </c>
      <c r="B54" s="934" t="s">
        <v>1596</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235" t="s">
        <v>1597</v>
      </c>
      <c r="AF54" s="3235"/>
      <c r="AG54" s="3235"/>
      <c r="AH54" s="3235"/>
      <c r="AI54" s="3235"/>
      <c r="AJ54" s="3235"/>
      <c r="AK54" s="3235"/>
      <c r="AL54" s="935"/>
      <c r="AM54" s="935"/>
      <c r="AN54" s="931"/>
    </row>
    <row r="55" spans="1:50" s="932" customFormat="1" ht="12.75" customHeight="1">
      <c r="A55" s="933"/>
      <c r="B55" s="934" t="s">
        <v>2242</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244" t="s">
        <v>580</v>
      </c>
      <c r="C57" s="3244"/>
      <c r="D57" s="942" t="s">
        <v>1598</v>
      </c>
      <c r="E57" s="3263" t="s">
        <v>2254</v>
      </c>
      <c r="F57" s="3264"/>
      <c r="G57" s="3264"/>
      <c r="H57" s="3264"/>
      <c r="I57" s="3264"/>
      <c r="J57" s="3264"/>
      <c r="K57" s="3264"/>
      <c r="L57" s="3264"/>
      <c r="M57" s="3264"/>
      <c r="N57" s="3264"/>
      <c r="O57" s="3264"/>
      <c r="P57" s="3264"/>
      <c r="Q57" s="3264"/>
      <c r="R57" s="3264"/>
      <c r="S57" s="3264"/>
      <c r="T57" s="3264"/>
      <c r="U57" s="3264"/>
      <c r="V57" s="3264"/>
      <c r="W57" s="3264"/>
      <c r="X57" s="3264"/>
      <c r="Y57" s="3264"/>
      <c r="Z57" s="3264"/>
      <c r="AA57" s="3264"/>
      <c r="AB57" s="3264"/>
      <c r="AC57" s="3264"/>
      <c r="AD57" s="3264"/>
      <c r="AE57" s="3264"/>
      <c r="AF57" s="3264"/>
      <c r="AG57" s="3264"/>
      <c r="AH57" s="3264"/>
      <c r="AI57" s="3264"/>
      <c r="AJ57" s="3265"/>
      <c r="AK57" s="938"/>
      <c r="AL57" s="935"/>
      <c r="AM57" s="935"/>
      <c r="AN57" s="931"/>
      <c r="AO57" s="945">
        <f>IF($B57="yes",10,0)</f>
        <v>10</v>
      </c>
    </row>
    <row r="58" spans="1:50" s="932" customFormat="1" ht="12.75" customHeight="1">
      <c r="A58" s="933"/>
      <c r="B58" s="935"/>
      <c r="C58" s="935"/>
      <c r="D58" s="946"/>
      <c r="E58" s="3266"/>
      <c r="F58" s="3267"/>
      <c r="G58" s="3267"/>
      <c r="H58" s="3267"/>
      <c r="I58" s="3267"/>
      <c r="J58" s="3267"/>
      <c r="K58" s="3267"/>
      <c r="L58" s="3267"/>
      <c r="M58" s="3267"/>
      <c r="N58" s="3267"/>
      <c r="O58" s="3267"/>
      <c r="P58" s="3267"/>
      <c r="Q58" s="3267"/>
      <c r="R58" s="3267"/>
      <c r="S58" s="3267"/>
      <c r="T58" s="3267"/>
      <c r="U58" s="3267"/>
      <c r="V58" s="3267"/>
      <c r="W58" s="3267"/>
      <c r="X58" s="3267"/>
      <c r="Y58" s="3267"/>
      <c r="Z58" s="3267"/>
      <c r="AA58" s="3267"/>
      <c r="AB58" s="3267"/>
      <c r="AC58" s="3267"/>
      <c r="AD58" s="3267"/>
      <c r="AE58" s="3267"/>
      <c r="AF58" s="3267"/>
      <c r="AG58" s="3267"/>
      <c r="AH58" s="3267"/>
      <c r="AI58" s="3267"/>
      <c r="AJ58" s="3268"/>
      <c r="AK58" s="938"/>
      <c r="AL58" s="935"/>
      <c r="AM58" s="935"/>
      <c r="AN58" s="931"/>
      <c r="AO58" s="945">
        <f>IF($B62="yes",10,0)</f>
        <v>0</v>
      </c>
    </row>
    <row r="59" spans="1:50" s="932" customFormat="1" ht="12.75" customHeight="1">
      <c r="A59" s="933"/>
      <c r="B59" s="935"/>
      <c r="C59" s="935"/>
      <c r="D59" s="946"/>
      <c r="E59" s="3266"/>
      <c r="F59" s="3267"/>
      <c r="G59" s="3267"/>
      <c r="H59" s="3267"/>
      <c r="I59" s="3267"/>
      <c r="J59" s="3267"/>
      <c r="K59" s="3267"/>
      <c r="L59" s="3267"/>
      <c r="M59" s="3267"/>
      <c r="N59" s="3267"/>
      <c r="O59" s="3267"/>
      <c r="P59" s="3267"/>
      <c r="Q59" s="3267"/>
      <c r="R59" s="3267"/>
      <c r="S59" s="3267"/>
      <c r="T59" s="3267"/>
      <c r="U59" s="3267"/>
      <c r="V59" s="3267"/>
      <c r="W59" s="3267"/>
      <c r="X59" s="3267"/>
      <c r="Y59" s="3267"/>
      <c r="Z59" s="3267"/>
      <c r="AA59" s="3267"/>
      <c r="AB59" s="3267"/>
      <c r="AC59" s="3267"/>
      <c r="AD59" s="3267"/>
      <c r="AE59" s="3267"/>
      <c r="AF59" s="3267"/>
      <c r="AG59" s="3267"/>
      <c r="AH59" s="3267"/>
      <c r="AI59" s="3267"/>
      <c r="AJ59" s="3268"/>
      <c r="AK59" s="938"/>
      <c r="AL59" s="935"/>
      <c r="AM59" s="935"/>
      <c r="AN59" s="931"/>
      <c r="AO59" s="945">
        <f>IF($B69="yes",10,0)</f>
        <v>0</v>
      </c>
    </row>
    <row r="60" spans="1:50" s="932" customFormat="1" ht="12.75" customHeight="1">
      <c r="A60" s="933"/>
      <c r="B60" s="935"/>
      <c r="C60" s="935"/>
      <c r="D60" s="946"/>
      <c r="E60" s="3279"/>
      <c r="F60" s="3280"/>
      <c r="G60" s="3280"/>
      <c r="H60" s="3280"/>
      <c r="I60" s="3280"/>
      <c r="J60" s="3280"/>
      <c r="K60" s="3280"/>
      <c r="L60" s="3280"/>
      <c r="M60" s="3280"/>
      <c r="N60" s="3280"/>
      <c r="O60" s="3280"/>
      <c r="P60" s="3280"/>
      <c r="Q60" s="3280"/>
      <c r="R60" s="3280"/>
      <c r="S60" s="3280"/>
      <c r="T60" s="3280"/>
      <c r="U60" s="3280"/>
      <c r="V60" s="3280"/>
      <c r="W60" s="3280"/>
      <c r="X60" s="3280"/>
      <c r="Y60" s="3280"/>
      <c r="Z60" s="3280"/>
      <c r="AA60" s="3280"/>
      <c r="AB60" s="3280"/>
      <c r="AC60" s="3280"/>
      <c r="AD60" s="3280"/>
      <c r="AE60" s="3280"/>
      <c r="AF60" s="3280"/>
      <c r="AG60" s="3280"/>
      <c r="AH60" s="3280"/>
      <c r="AI60" s="3280"/>
      <c r="AJ60" s="3281"/>
      <c r="AK60" s="938"/>
      <c r="AL60" s="935"/>
      <c r="AM60" s="935"/>
      <c r="AN60" s="931"/>
      <c r="AO60" s="932">
        <f>IF(SUM(AO57:AO59)&gt;10,10,(SUM(AO57:AO59)))</f>
        <v>10</v>
      </c>
      <c r="AP60" s="970" t="s">
        <v>1599</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244" t="s">
        <v>628</v>
      </c>
      <c r="C62" s="3244"/>
      <c r="D62" s="942" t="s">
        <v>1600</v>
      </c>
      <c r="E62" s="1693" t="s">
        <v>2238</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248" t="s">
        <v>580</v>
      </c>
      <c r="F63" s="3244"/>
      <c r="G63" s="971"/>
      <c r="H63" s="1692" t="s">
        <v>1601</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242" t="s">
        <v>628</v>
      </c>
      <c r="F64" s="3243"/>
      <c r="G64" s="971"/>
      <c r="H64" s="1692" t="s">
        <v>1602</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242" t="s">
        <v>628</v>
      </c>
      <c r="F65" s="3243"/>
      <c r="G65" s="971"/>
      <c r="H65" s="1692" t="s">
        <v>2253</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248" t="s">
        <v>628</v>
      </c>
      <c r="F67" s="3244"/>
      <c r="G67" s="1593"/>
      <c r="H67" s="1701" t="s">
        <v>2252</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244" t="s">
        <v>628</v>
      </c>
      <c r="C69" s="3244"/>
      <c r="D69" s="942" t="s">
        <v>1603</v>
      </c>
      <c r="E69" s="3170" t="s">
        <v>2255</v>
      </c>
      <c r="F69" s="3171"/>
      <c r="G69" s="3171"/>
      <c r="H69" s="3171"/>
      <c r="I69" s="3171"/>
      <c r="J69" s="3171"/>
      <c r="K69" s="3171"/>
      <c r="L69" s="3171"/>
      <c r="M69" s="3171"/>
      <c r="N69" s="3171"/>
      <c r="O69" s="3171"/>
      <c r="P69" s="3171"/>
      <c r="Q69" s="3171"/>
      <c r="R69" s="3171"/>
      <c r="S69" s="3171"/>
      <c r="T69" s="3171"/>
      <c r="U69" s="3171"/>
      <c r="V69" s="3171"/>
      <c r="W69" s="3171"/>
      <c r="X69" s="3171"/>
      <c r="Y69" s="3171"/>
      <c r="Z69" s="3171"/>
      <c r="AA69" s="3171"/>
      <c r="AB69" s="3171"/>
      <c r="AC69" s="3171"/>
      <c r="AD69" s="3171"/>
      <c r="AE69" s="3171"/>
      <c r="AF69" s="3171"/>
      <c r="AG69" s="3171"/>
      <c r="AH69" s="3171"/>
      <c r="AI69" s="3171"/>
      <c r="AJ69" s="3172"/>
      <c r="AK69" s="938"/>
      <c r="AL69" s="935"/>
      <c r="AM69" s="935"/>
      <c r="AN69" s="931"/>
    </row>
    <row r="70" spans="1:40" s="932" customFormat="1" ht="12.75" customHeight="1">
      <c r="A70" s="933"/>
      <c r="B70" s="935"/>
      <c r="C70" s="935"/>
      <c r="D70" s="945"/>
      <c r="E70" s="3245"/>
      <c r="F70" s="3246"/>
      <c r="G70" s="3246"/>
      <c r="H70" s="3246"/>
      <c r="I70" s="3246"/>
      <c r="J70" s="3246"/>
      <c r="K70" s="3246"/>
      <c r="L70" s="3246"/>
      <c r="M70" s="3246"/>
      <c r="N70" s="3246"/>
      <c r="O70" s="3246"/>
      <c r="P70" s="3246"/>
      <c r="Q70" s="3246"/>
      <c r="R70" s="3246"/>
      <c r="S70" s="3246"/>
      <c r="T70" s="3246"/>
      <c r="U70" s="3246"/>
      <c r="V70" s="3246"/>
      <c r="W70" s="3246"/>
      <c r="X70" s="3246"/>
      <c r="Y70" s="3246"/>
      <c r="Z70" s="3246"/>
      <c r="AA70" s="3246"/>
      <c r="AB70" s="3246"/>
      <c r="AC70" s="3246"/>
      <c r="AD70" s="3246"/>
      <c r="AE70" s="3246"/>
      <c r="AF70" s="3246"/>
      <c r="AG70" s="3246"/>
      <c r="AH70" s="3246"/>
      <c r="AI70" s="3246"/>
      <c r="AJ70" s="3247"/>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1604</v>
      </c>
      <c r="AK72" s="3219">
        <f>IF(AK51&gt;0,0,AO60)</f>
        <v>10</v>
      </c>
      <c r="AL72" s="3220"/>
      <c r="AM72" s="3221"/>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1605</v>
      </c>
      <c r="B75" s="934" t="s">
        <v>1606</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235" t="s">
        <v>1575</v>
      </c>
      <c r="AF75" s="3235"/>
      <c r="AG75" s="3235"/>
      <c r="AH75" s="3235"/>
      <c r="AI75" s="3235"/>
      <c r="AJ75" s="3235"/>
      <c r="AK75" s="3235"/>
      <c r="AL75" s="935"/>
      <c r="AM75" s="935"/>
      <c r="AN75" s="931"/>
    </row>
    <row r="76" spans="1:40" s="932" customFormat="1" ht="12.75" customHeight="1">
      <c r="A76" s="933"/>
      <c r="B76" s="934" t="s">
        <v>1607</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244" t="s">
        <v>580</v>
      </c>
      <c r="C78" s="3244"/>
      <c r="D78" s="942" t="s">
        <v>1598</v>
      </c>
      <c r="E78" s="3251" t="s">
        <v>1608</v>
      </c>
      <c r="F78" s="3252"/>
      <c r="G78" s="3252"/>
      <c r="H78" s="3252"/>
      <c r="I78" s="3252"/>
      <c r="J78" s="3252"/>
      <c r="K78" s="3252"/>
      <c r="L78" s="3252"/>
      <c r="M78" s="3252"/>
      <c r="N78" s="3252"/>
      <c r="O78" s="3252"/>
      <c r="P78" s="3252"/>
      <c r="Q78" s="3252"/>
      <c r="R78" s="3252"/>
      <c r="S78" s="3252"/>
      <c r="T78" s="3252"/>
      <c r="U78" s="3252"/>
      <c r="V78" s="3252"/>
      <c r="W78" s="3252"/>
      <c r="X78" s="3252"/>
      <c r="Y78" s="3252"/>
      <c r="Z78" s="3252"/>
      <c r="AA78" s="3252"/>
      <c r="AB78" s="3252"/>
      <c r="AC78" s="3252"/>
      <c r="AD78" s="3252"/>
      <c r="AE78" s="3252"/>
      <c r="AF78" s="3252"/>
      <c r="AG78" s="3252"/>
      <c r="AH78" s="3252"/>
      <c r="AI78" s="3252"/>
      <c r="AJ78" s="3253"/>
      <c r="AK78" s="938"/>
      <c r="AL78" s="935"/>
      <c r="AM78" s="935"/>
      <c r="AN78" s="931"/>
    </row>
    <row r="79" spans="1:40" s="932" customFormat="1" ht="12.75" customHeight="1">
      <c r="A79" s="933"/>
      <c r="B79" s="934"/>
      <c r="C79" s="934"/>
      <c r="D79" s="934"/>
      <c r="E79" s="3254"/>
      <c r="F79" s="3255"/>
      <c r="G79" s="3255"/>
      <c r="H79" s="3255"/>
      <c r="I79" s="3255"/>
      <c r="J79" s="3255"/>
      <c r="K79" s="3255"/>
      <c r="L79" s="3255"/>
      <c r="M79" s="3255"/>
      <c r="N79" s="3255"/>
      <c r="O79" s="3255"/>
      <c r="P79" s="3255"/>
      <c r="Q79" s="3255"/>
      <c r="R79" s="3255"/>
      <c r="S79" s="3255"/>
      <c r="T79" s="3255"/>
      <c r="U79" s="3255"/>
      <c r="V79" s="3255"/>
      <c r="W79" s="3255"/>
      <c r="X79" s="3255"/>
      <c r="Y79" s="3255"/>
      <c r="Z79" s="3255"/>
      <c r="AA79" s="3255"/>
      <c r="AB79" s="3255"/>
      <c r="AC79" s="3255"/>
      <c r="AD79" s="3255"/>
      <c r="AE79" s="3255"/>
      <c r="AF79" s="3255"/>
      <c r="AG79" s="3255"/>
      <c r="AH79" s="3255"/>
      <c r="AI79" s="3255"/>
      <c r="AJ79" s="3256"/>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232">
        <f>Application!AH753</f>
        <v>0.37341772151898739</v>
      </c>
      <c r="F81" s="3233"/>
      <c r="G81" s="3233"/>
      <c r="H81" s="3233"/>
      <c r="I81" s="973"/>
      <c r="J81" s="976" t="s">
        <v>1609</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257">
        <f>0.6-ROUNDUP(E81,2)</f>
        <v>0.21999999999999997</v>
      </c>
      <c r="F82" s="3258"/>
      <c r="G82" s="3258"/>
      <c r="H82" s="3258"/>
      <c r="I82" s="973"/>
      <c r="J82" s="976" t="s">
        <v>1610</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249">
        <f>IF(E82*200&gt;20,20,E82*200)</f>
        <v>20</v>
      </c>
      <c r="F83" s="3250"/>
      <c r="G83" s="3250"/>
      <c r="H83" s="3250"/>
      <c r="I83" s="973"/>
      <c r="J83" s="976" t="s">
        <v>1611</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1579</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244" t="s">
        <v>628</v>
      </c>
      <c r="C86" s="3244"/>
      <c r="D86" s="942" t="s">
        <v>1600</v>
      </c>
      <c r="E86" s="3251" t="s">
        <v>2239</v>
      </c>
      <c r="F86" s="3252"/>
      <c r="G86" s="3252"/>
      <c r="H86" s="3252"/>
      <c r="I86" s="3252"/>
      <c r="J86" s="3252"/>
      <c r="K86" s="3252"/>
      <c r="L86" s="3252"/>
      <c r="M86" s="3252"/>
      <c r="N86" s="3252"/>
      <c r="O86" s="3252"/>
      <c r="P86" s="3252"/>
      <c r="Q86" s="3252"/>
      <c r="R86" s="3252"/>
      <c r="S86" s="3252"/>
      <c r="T86" s="3252"/>
      <c r="U86" s="3252"/>
      <c r="V86" s="3252"/>
      <c r="W86" s="3252"/>
      <c r="X86" s="3252"/>
      <c r="Y86" s="3252"/>
      <c r="Z86" s="3252"/>
      <c r="AA86" s="3252"/>
      <c r="AB86" s="3252"/>
      <c r="AC86" s="3252"/>
      <c r="AD86" s="3252"/>
      <c r="AE86" s="3252"/>
      <c r="AF86" s="3252"/>
      <c r="AG86" s="3252"/>
      <c r="AH86" s="3252"/>
      <c r="AI86" s="3252"/>
      <c r="AJ86" s="3253"/>
      <c r="AK86" s="938"/>
      <c r="AL86" s="935"/>
      <c r="AM86" s="935"/>
      <c r="AN86" s="931"/>
    </row>
    <row r="87" spans="1:47" s="932" customFormat="1" ht="12.75" customHeight="1">
      <c r="A87" s="933"/>
      <c r="B87" s="934"/>
      <c r="C87" s="934"/>
      <c r="D87" s="934"/>
      <c r="E87" s="3254"/>
      <c r="F87" s="3255"/>
      <c r="G87" s="3255"/>
      <c r="H87" s="3255"/>
      <c r="I87" s="3255"/>
      <c r="J87" s="3255"/>
      <c r="K87" s="3255"/>
      <c r="L87" s="3255"/>
      <c r="M87" s="3255"/>
      <c r="N87" s="3255"/>
      <c r="O87" s="3255"/>
      <c r="P87" s="3255"/>
      <c r="Q87" s="3255"/>
      <c r="R87" s="3255"/>
      <c r="S87" s="3255"/>
      <c r="T87" s="3255"/>
      <c r="U87" s="3255"/>
      <c r="V87" s="3255"/>
      <c r="W87" s="3255"/>
      <c r="X87" s="3255"/>
      <c r="Y87" s="3255"/>
      <c r="Z87" s="3255"/>
      <c r="AA87" s="3255"/>
      <c r="AB87" s="3255"/>
      <c r="AC87" s="3255"/>
      <c r="AD87" s="3255"/>
      <c r="AE87" s="3255"/>
      <c r="AF87" s="3255"/>
      <c r="AG87" s="3255"/>
      <c r="AH87" s="3255"/>
      <c r="AI87" s="3255"/>
      <c r="AJ87" s="3256"/>
      <c r="AK87" s="938"/>
      <c r="AL87" s="935"/>
      <c r="AM87" s="935"/>
      <c r="AN87" s="931"/>
    </row>
    <row r="88" spans="1:47" s="932" customFormat="1" ht="12.75" customHeight="1">
      <c r="A88" s="933"/>
      <c r="B88" s="934"/>
      <c r="C88" s="934"/>
      <c r="D88" s="934"/>
      <c r="E88" s="3254"/>
      <c r="F88" s="3255"/>
      <c r="G88" s="3255"/>
      <c r="H88" s="3255"/>
      <c r="I88" s="3255"/>
      <c r="J88" s="3255"/>
      <c r="K88" s="3255"/>
      <c r="L88" s="3255"/>
      <c r="M88" s="3255"/>
      <c r="N88" s="3255"/>
      <c r="O88" s="3255"/>
      <c r="P88" s="3255"/>
      <c r="Q88" s="3255"/>
      <c r="R88" s="3255"/>
      <c r="S88" s="3255"/>
      <c r="T88" s="3255"/>
      <c r="U88" s="3255"/>
      <c r="V88" s="3255"/>
      <c r="W88" s="3255"/>
      <c r="X88" s="3255"/>
      <c r="Y88" s="3255"/>
      <c r="Z88" s="3255"/>
      <c r="AA88" s="3255"/>
      <c r="AB88" s="3255"/>
      <c r="AC88" s="3255"/>
      <c r="AD88" s="3255"/>
      <c r="AE88" s="3255"/>
      <c r="AF88" s="3255"/>
      <c r="AG88" s="3255"/>
      <c r="AH88" s="3255"/>
      <c r="AI88" s="3255"/>
      <c r="AJ88" s="3256"/>
      <c r="AK88" s="938"/>
      <c r="AL88" s="935"/>
      <c r="AM88" s="935"/>
      <c r="AN88" s="931"/>
    </row>
    <row r="89" spans="1:47" s="932" customFormat="1" ht="12.75" customHeight="1">
      <c r="A89" s="933"/>
      <c r="B89" s="934"/>
      <c r="C89" s="934"/>
      <c r="D89" s="934"/>
      <c r="E89" s="3254"/>
      <c r="F89" s="3255"/>
      <c r="G89" s="3255"/>
      <c r="H89" s="3255"/>
      <c r="I89" s="3255"/>
      <c r="J89" s="3255"/>
      <c r="K89" s="3255"/>
      <c r="L89" s="3255"/>
      <c r="M89" s="3255"/>
      <c r="N89" s="3255"/>
      <c r="O89" s="3255"/>
      <c r="P89" s="3255"/>
      <c r="Q89" s="3255"/>
      <c r="R89" s="3255"/>
      <c r="S89" s="3255"/>
      <c r="T89" s="3255"/>
      <c r="U89" s="3255"/>
      <c r="V89" s="3255"/>
      <c r="W89" s="3255"/>
      <c r="X89" s="3255"/>
      <c r="Y89" s="3255"/>
      <c r="Z89" s="3255"/>
      <c r="AA89" s="3255"/>
      <c r="AB89" s="3255"/>
      <c r="AC89" s="3255"/>
      <c r="AD89" s="3255"/>
      <c r="AE89" s="3255"/>
      <c r="AF89" s="3255"/>
      <c r="AG89" s="3255"/>
      <c r="AH89" s="3255"/>
      <c r="AI89" s="3255"/>
      <c r="AJ89" s="3256"/>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232">
        <f>Application!AH753</f>
        <v>0.37341772151898739</v>
      </c>
      <c r="F91" s="3233"/>
      <c r="G91" s="3233"/>
      <c r="H91" s="3233"/>
      <c r="I91" s="973"/>
      <c r="J91" s="1482" t="s">
        <v>1609</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232">
        <f ca="1">SUMIF(Application!AH728:AL752,0.2,Application!G728:J752)/Application!G753+SUMIF(Application!AH728:AL752,0.25,Application!G728:J752)/Application!G753+SUMIF(Application!AH728:AL752,0.3,Application!G728:J752)/Application!G753</f>
        <v>0.63291139240506333</v>
      </c>
      <c r="F92" s="3233"/>
      <c r="G92" s="3233"/>
      <c r="H92" s="3233"/>
      <c r="I92" s="973"/>
      <c r="J92" s="976" t="s">
        <v>1612</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232">
        <f ca="1">SUMIF(Application!AH728:AL752,0.35,Application!G728:J752)/Application!G753+SUMIF(Application!AH728:AL752,0.4,Application!G728:J752)/Application!G753+SUMIF(Application!AH728:AL752,0.45,Application!G728:J752)/Application!G753+SUMIF(Application!AH728:AL752,0.5,Application!G728:J752)/Application!G753</f>
        <v>0.36708860759493672</v>
      </c>
      <c r="F93" s="3233"/>
      <c r="G93" s="3233"/>
      <c r="H93" s="3233"/>
      <c r="I93" s="973"/>
      <c r="J93" s="976" t="s">
        <v>1613</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236">
        <f ca="1">IF(AND(E91&lt;=0.6,E92&gt;=0.1,OR(E93&gt;=0.1,E92=1)),20,0)</f>
        <v>20</v>
      </c>
      <c r="F94" s="3237"/>
      <c r="G94" s="3237"/>
      <c r="H94" s="3237"/>
      <c r="I94" s="948"/>
      <c r="J94" s="983" t="s">
        <v>1611</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1579</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1614</v>
      </c>
      <c r="AK97" s="3219">
        <f>MAX(AP83,AP94)</f>
        <v>20</v>
      </c>
      <c r="AL97" s="3220"/>
      <c r="AM97" s="3221"/>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1615</v>
      </c>
      <c r="B100" s="934" t="s">
        <v>1616</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235" t="s">
        <v>1597</v>
      </c>
      <c r="AF100" s="3235"/>
      <c r="AG100" s="3235"/>
      <c r="AH100" s="3235"/>
      <c r="AI100" s="3235"/>
      <c r="AJ100" s="3235"/>
      <c r="AK100" s="3235"/>
      <c r="AL100" s="935"/>
      <c r="AM100" s="935"/>
      <c r="AN100" s="931"/>
      <c r="AO100" s="932" t="str">
        <f>Application!B728</f>
        <v>SRO/Studio</v>
      </c>
      <c r="AQ100" s="932">
        <f>Application!O728</f>
        <v>708</v>
      </c>
    </row>
    <row r="101" spans="1:49" s="932" customFormat="1" ht="12.75" customHeight="1">
      <c r="A101" s="935"/>
      <c r="B101" s="934" t="s">
        <v>1607</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808</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2 Bedrooms</v>
      </c>
      <c r="AQ102" s="932">
        <f>Application!O730</f>
        <v>899</v>
      </c>
    </row>
    <row r="103" spans="1:49" s="932" customFormat="1" ht="12.75" customHeight="1">
      <c r="A103" s="935"/>
      <c r="B103" s="3244" t="s">
        <v>628</v>
      </c>
      <c r="C103" s="3244"/>
      <c r="D103" s="942" t="s">
        <v>1598</v>
      </c>
      <c r="E103" s="3251" t="s">
        <v>2451</v>
      </c>
      <c r="F103" s="3252"/>
      <c r="G103" s="3252"/>
      <c r="H103" s="3252"/>
      <c r="I103" s="3252"/>
      <c r="J103" s="3252"/>
      <c r="K103" s="3252"/>
      <c r="L103" s="3252"/>
      <c r="M103" s="3252"/>
      <c r="N103" s="3252"/>
      <c r="O103" s="3252"/>
      <c r="P103" s="3252"/>
      <c r="Q103" s="3252"/>
      <c r="R103" s="3252"/>
      <c r="S103" s="3252"/>
      <c r="T103" s="3252"/>
      <c r="U103" s="3252"/>
      <c r="V103" s="3252"/>
      <c r="W103" s="3252"/>
      <c r="X103" s="3252"/>
      <c r="Y103" s="3252"/>
      <c r="Z103" s="3252"/>
      <c r="AA103" s="3252"/>
      <c r="AB103" s="3252"/>
      <c r="AC103" s="3252"/>
      <c r="AD103" s="3252"/>
      <c r="AE103" s="3252"/>
      <c r="AF103" s="3252"/>
      <c r="AG103" s="3252"/>
      <c r="AH103" s="3252"/>
      <c r="AI103" s="3252"/>
      <c r="AJ103" s="3253"/>
      <c r="AK103" s="935"/>
      <c r="AL103" s="935"/>
      <c r="AM103" s="935"/>
      <c r="AN103" s="931"/>
      <c r="AO103" s="932" t="str">
        <f>Application!B731</f>
        <v>3 Bedrooms</v>
      </c>
      <c r="AQ103" s="932">
        <f>Application!O731</f>
        <v>990</v>
      </c>
      <c r="AU103" s="932" t="s">
        <v>2428</v>
      </c>
      <c r="AV103" s="1783" t="s">
        <v>2429</v>
      </c>
      <c r="AW103" s="932" t="s">
        <v>2430</v>
      </c>
    </row>
    <row r="104" spans="1:49" s="932" customFormat="1" ht="12.75" customHeight="1">
      <c r="A104" s="935"/>
      <c r="B104" s="934"/>
      <c r="C104" s="934"/>
      <c r="D104" s="934"/>
      <c r="E104" s="3254"/>
      <c r="F104" s="3255"/>
      <c r="G104" s="3255"/>
      <c r="H104" s="3255"/>
      <c r="I104" s="3255"/>
      <c r="J104" s="3255"/>
      <c r="K104" s="3255"/>
      <c r="L104" s="3255"/>
      <c r="M104" s="3255"/>
      <c r="N104" s="3255"/>
      <c r="O104" s="3255"/>
      <c r="P104" s="3255"/>
      <c r="Q104" s="3255"/>
      <c r="R104" s="3255"/>
      <c r="S104" s="3255"/>
      <c r="T104" s="3255"/>
      <c r="U104" s="3255"/>
      <c r="V104" s="3255"/>
      <c r="W104" s="3255"/>
      <c r="X104" s="3255"/>
      <c r="Y104" s="3255"/>
      <c r="Z104" s="3255"/>
      <c r="AA104" s="3255"/>
      <c r="AB104" s="3255"/>
      <c r="AC104" s="3255"/>
      <c r="AD104" s="3255"/>
      <c r="AE104" s="3255"/>
      <c r="AF104" s="3255"/>
      <c r="AG104" s="3255"/>
      <c r="AH104" s="3255"/>
      <c r="AI104" s="3255"/>
      <c r="AJ104" s="3256"/>
      <c r="AK104" s="935"/>
      <c r="AL104" s="935"/>
      <c r="AM104" s="935"/>
      <c r="AN104" s="931"/>
      <c r="AO104" s="932" t="str">
        <f>Application!B732</f>
        <v>2 Bedrooms</v>
      </c>
      <c r="AQ104" s="932">
        <f>Application!O732</f>
        <v>899</v>
      </c>
      <c r="AU104" s="1786" t="str">
        <f>E112</f>
        <v>Studio/SRO</v>
      </c>
      <c r="AV104" s="932">
        <f t="array" ref="AV104">SUM(IF(Application!B728:F752="SRO/Studio",Application!G728:J752))</f>
        <v>28</v>
      </c>
      <c r="AW104" s="1821">
        <f>AV104/AV110</f>
        <v>0.35443037974683544</v>
      </c>
    </row>
    <row r="105" spans="1:49" s="932" customFormat="1" ht="12.75" customHeight="1">
      <c r="A105" s="935"/>
      <c r="B105" s="934"/>
      <c r="C105" s="934"/>
      <c r="D105" s="934"/>
      <c r="E105" s="3254"/>
      <c r="F105" s="3255"/>
      <c r="G105" s="3255"/>
      <c r="H105" s="3255"/>
      <c r="I105" s="3255"/>
      <c r="J105" s="3255"/>
      <c r="K105" s="3255"/>
      <c r="L105" s="3255"/>
      <c r="M105" s="3255"/>
      <c r="N105" s="3255"/>
      <c r="O105" s="3255"/>
      <c r="P105" s="3255"/>
      <c r="Q105" s="3255"/>
      <c r="R105" s="3255"/>
      <c r="S105" s="3255"/>
      <c r="T105" s="3255"/>
      <c r="U105" s="3255"/>
      <c r="V105" s="3255"/>
      <c r="W105" s="3255"/>
      <c r="X105" s="3255"/>
      <c r="Y105" s="3255"/>
      <c r="Z105" s="3255"/>
      <c r="AA105" s="3255"/>
      <c r="AB105" s="3255"/>
      <c r="AC105" s="3255"/>
      <c r="AD105" s="3255"/>
      <c r="AE105" s="3255"/>
      <c r="AF105" s="3255"/>
      <c r="AG105" s="3255"/>
      <c r="AH105" s="3255"/>
      <c r="AI105" s="3255"/>
      <c r="AJ105" s="3256"/>
      <c r="AK105" s="935"/>
      <c r="AL105" s="935"/>
      <c r="AM105" s="935"/>
      <c r="AN105" s="931"/>
      <c r="AO105" s="932" t="str">
        <f>Application!B733</f>
        <v>3 Bedrooms</v>
      </c>
      <c r="AQ105" s="932">
        <f>Application!O733</f>
        <v>990</v>
      </c>
      <c r="AU105" s="1786" t="str">
        <f>J112</f>
        <v>1-bedroom</v>
      </c>
      <c r="AV105" s="932">
        <f t="array" ref="AV105">SUM(IF(Application!B728:F752="1 Bedroom",Application!G728:J752))</f>
        <v>11</v>
      </c>
      <c r="AW105" s="1821">
        <f>AV105/AV110</f>
        <v>0.13924050632911392</v>
      </c>
    </row>
    <row r="106" spans="1:49" s="932" customFormat="1" ht="12.75" customHeight="1">
      <c r="A106" s="935"/>
      <c r="B106" s="934"/>
      <c r="C106" s="934"/>
      <c r="D106" s="934"/>
      <c r="E106" s="3254"/>
      <c r="F106" s="3255"/>
      <c r="G106" s="3255"/>
      <c r="H106" s="3255"/>
      <c r="I106" s="3255"/>
      <c r="J106" s="3255"/>
      <c r="K106" s="3255"/>
      <c r="L106" s="3255"/>
      <c r="M106" s="3255"/>
      <c r="N106" s="3255"/>
      <c r="O106" s="3255"/>
      <c r="P106" s="3255"/>
      <c r="Q106" s="3255"/>
      <c r="R106" s="3255"/>
      <c r="S106" s="3255"/>
      <c r="T106" s="3255"/>
      <c r="U106" s="3255"/>
      <c r="V106" s="3255"/>
      <c r="W106" s="3255"/>
      <c r="X106" s="3255"/>
      <c r="Y106" s="3255"/>
      <c r="Z106" s="3255"/>
      <c r="AA106" s="3255"/>
      <c r="AB106" s="3255"/>
      <c r="AC106" s="3255"/>
      <c r="AD106" s="3255"/>
      <c r="AE106" s="3255"/>
      <c r="AF106" s="3255"/>
      <c r="AG106" s="3255"/>
      <c r="AH106" s="3255"/>
      <c r="AI106" s="3255"/>
      <c r="AJ106" s="3256"/>
      <c r="AK106" s="935"/>
      <c r="AL106" s="935"/>
      <c r="AM106" s="935"/>
      <c r="AN106" s="931"/>
      <c r="AO106" s="932" t="str">
        <f>Application!B734</f>
        <v>2 Bedrooms</v>
      </c>
      <c r="AQ106" s="932">
        <f>Application!O734</f>
        <v>1536</v>
      </c>
      <c r="AU106" s="1786" t="str">
        <f>O112</f>
        <v>2-bedroom</v>
      </c>
      <c r="AV106" s="932">
        <f t="array" ref="AV106">SUM(IF(Application!B728:F752="2 Bedrooms",Application!G728:J752))</f>
        <v>26</v>
      </c>
      <c r="AW106" s="1821">
        <f>AV106/AV110</f>
        <v>0.32911392405063289</v>
      </c>
    </row>
    <row r="107" spans="1:49" s="932" customFormat="1" ht="12.75" customHeight="1">
      <c r="A107" s="935"/>
      <c r="B107" s="934"/>
      <c r="C107" s="934"/>
      <c r="D107" s="934"/>
      <c r="E107" s="3254"/>
      <c r="F107" s="3255"/>
      <c r="G107" s="3255"/>
      <c r="H107" s="3255"/>
      <c r="I107" s="3255"/>
      <c r="J107" s="3255"/>
      <c r="K107" s="3255"/>
      <c r="L107" s="3255"/>
      <c r="M107" s="3255"/>
      <c r="N107" s="3255"/>
      <c r="O107" s="3255"/>
      <c r="P107" s="3255"/>
      <c r="Q107" s="3255"/>
      <c r="R107" s="3255"/>
      <c r="S107" s="3255"/>
      <c r="T107" s="3255"/>
      <c r="U107" s="3255"/>
      <c r="V107" s="3255"/>
      <c r="W107" s="3255"/>
      <c r="X107" s="3255"/>
      <c r="Y107" s="3255"/>
      <c r="Z107" s="3255"/>
      <c r="AA107" s="3255"/>
      <c r="AB107" s="3255"/>
      <c r="AC107" s="3255"/>
      <c r="AD107" s="3255"/>
      <c r="AE107" s="3255"/>
      <c r="AF107" s="3255"/>
      <c r="AG107" s="3255"/>
      <c r="AH107" s="3255"/>
      <c r="AI107" s="3255"/>
      <c r="AJ107" s="3256"/>
      <c r="AK107" s="935"/>
      <c r="AL107" s="935"/>
      <c r="AM107" s="935"/>
      <c r="AN107" s="931"/>
      <c r="AO107" s="932" t="str">
        <f>Application!B735</f>
        <v>3 Bedrooms</v>
      </c>
      <c r="AQ107" s="932">
        <f>Application!O735</f>
        <v>1698</v>
      </c>
      <c r="AU107" s="1786" t="str">
        <f>T112</f>
        <v>3-bedroom</v>
      </c>
      <c r="AV107" s="932">
        <f t="array" ref="AV107">SUM(IF(Application!B728:F752="3 Bedrooms",Application!G728:J752))</f>
        <v>14</v>
      </c>
      <c r="AW107" s="1821">
        <f>AV107/AV110</f>
        <v>0.17721518987341772</v>
      </c>
    </row>
    <row r="108" spans="1:49" s="932" customFormat="1" ht="12.75" customHeight="1">
      <c r="A108" s="935"/>
      <c r="B108" s="934"/>
      <c r="C108" s="934"/>
      <c r="D108" s="934"/>
      <c r="E108" s="3254"/>
      <c r="F108" s="3255"/>
      <c r="G108" s="3255"/>
      <c r="H108" s="3255"/>
      <c r="I108" s="3255"/>
      <c r="J108" s="3255"/>
      <c r="K108" s="3255"/>
      <c r="L108" s="3255"/>
      <c r="M108" s="3255"/>
      <c r="N108" s="3255"/>
      <c r="O108" s="3255"/>
      <c r="P108" s="3255"/>
      <c r="Q108" s="3255"/>
      <c r="R108" s="3255"/>
      <c r="S108" s="3255"/>
      <c r="T108" s="3255"/>
      <c r="U108" s="3255"/>
      <c r="V108" s="3255"/>
      <c r="W108" s="3255"/>
      <c r="X108" s="3255"/>
      <c r="Y108" s="3255"/>
      <c r="Z108" s="3255"/>
      <c r="AA108" s="3255"/>
      <c r="AB108" s="3255"/>
      <c r="AC108" s="3255"/>
      <c r="AD108" s="3255"/>
      <c r="AE108" s="3255"/>
      <c r="AF108" s="3255"/>
      <c r="AG108" s="3255"/>
      <c r="AH108" s="3255"/>
      <c r="AI108" s="3255"/>
      <c r="AJ108" s="3256"/>
      <c r="AK108" s="935"/>
      <c r="AL108" s="935"/>
      <c r="AM108" s="935"/>
      <c r="AN108" s="931"/>
      <c r="AO108" s="932" t="str">
        <f>Application!B736</f>
        <v>SRO/Studio</v>
      </c>
      <c r="AQ108" s="932">
        <f>Application!O736</f>
        <v>1347</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3254"/>
      <c r="F109" s="3255"/>
      <c r="G109" s="3255"/>
      <c r="H109" s="3255"/>
      <c r="I109" s="3255"/>
      <c r="J109" s="3255"/>
      <c r="K109" s="3255"/>
      <c r="L109" s="3255"/>
      <c r="M109" s="3255"/>
      <c r="N109" s="3255"/>
      <c r="O109" s="3255"/>
      <c r="P109" s="3255"/>
      <c r="Q109" s="3255"/>
      <c r="R109" s="3255"/>
      <c r="S109" s="3255"/>
      <c r="T109" s="3255"/>
      <c r="U109" s="3255"/>
      <c r="V109" s="3255"/>
      <c r="W109" s="3255"/>
      <c r="X109" s="3255"/>
      <c r="Y109" s="3255"/>
      <c r="Z109" s="3255"/>
      <c r="AA109" s="3255"/>
      <c r="AB109" s="3255"/>
      <c r="AC109" s="3255"/>
      <c r="AD109" s="3255"/>
      <c r="AE109" s="3255"/>
      <c r="AF109" s="3255"/>
      <c r="AG109" s="3255"/>
      <c r="AH109" s="3255"/>
      <c r="AI109" s="3255"/>
      <c r="AJ109" s="3256"/>
      <c r="AK109" s="935"/>
      <c r="AL109" s="935"/>
      <c r="AM109" s="935"/>
      <c r="AN109" s="931"/>
      <c r="AO109" s="932" t="str">
        <f>Application!B737</f>
        <v>1 Bedroom</v>
      </c>
      <c r="AQ109" s="932">
        <f>Application!O737</f>
        <v>1439</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3254"/>
      <c r="F110" s="3255"/>
      <c r="G110" s="3255"/>
      <c r="H110" s="3255"/>
      <c r="I110" s="3255"/>
      <c r="J110" s="3255"/>
      <c r="K110" s="3255"/>
      <c r="L110" s="3255"/>
      <c r="M110" s="3255"/>
      <c r="N110" s="3255"/>
      <c r="O110" s="3255"/>
      <c r="P110" s="3255"/>
      <c r="Q110" s="3255"/>
      <c r="R110" s="3255"/>
      <c r="S110" s="3255"/>
      <c r="T110" s="3255"/>
      <c r="U110" s="3255"/>
      <c r="V110" s="3255"/>
      <c r="W110" s="3255"/>
      <c r="X110" s="3255"/>
      <c r="Y110" s="3255"/>
      <c r="Z110" s="3255"/>
      <c r="AA110" s="3255"/>
      <c r="AB110" s="3255"/>
      <c r="AC110" s="3255"/>
      <c r="AD110" s="3255"/>
      <c r="AE110" s="3255"/>
      <c r="AF110" s="3255"/>
      <c r="AG110" s="3255"/>
      <c r="AH110" s="3255"/>
      <c r="AI110" s="3255"/>
      <c r="AJ110" s="3256"/>
      <c r="AK110" s="935"/>
      <c r="AL110" s="935"/>
      <c r="AM110" s="935"/>
      <c r="AN110" s="931"/>
      <c r="AO110" s="932" t="str">
        <f>Application!B738</f>
        <v>2 Bedrooms</v>
      </c>
      <c r="AQ110" s="932">
        <f>Application!O738</f>
        <v>1720</v>
      </c>
      <c r="AV110" s="932">
        <f>SUM(AV104:AV109)</f>
        <v>79</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232" t="s">
        <v>1899</v>
      </c>
      <c r="F112" s="3233"/>
      <c r="G112" s="3233"/>
      <c r="H112" s="3233"/>
      <c r="I112" s="1475"/>
      <c r="J112" s="3233" t="s">
        <v>1993</v>
      </c>
      <c r="K112" s="3233"/>
      <c r="L112" s="3233"/>
      <c r="M112" s="3233"/>
      <c r="N112" s="1475"/>
      <c r="O112" s="3233" t="s">
        <v>1994</v>
      </c>
      <c r="P112" s="3233"/>
      <c r="Q112" s="3233"/>
      <c r="R112" s="3233"/>
      <c r="S112" s="1475"/>
      <c r="T112" s="3233" t="s">
        <v>1617</v>
      </c>
      <c r="U112" s="3233"/>
      <c r="V112" s="3233"/>
      <c r="W112" s="3233"/>
      <c r="X112" s="1475"/>
      <c r="Y112" s="3233" t="s">
        <v>1995</v>
      </c>
      <c r="Z112" s="3233"/>
      <c r="AA112" s="3233"/>
      <c r="AB112" s="3233"/>
      <c r="AC112" s="1475"/>
      <c r="AD112" s="3233" t="s">
        <v>1996</v>
      </c>
      <c r="AE112" s="3233"/>
      <c r="AF112" s="3233"/>
      <c r="AG112" s="3233"/>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1997</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238">
        <v>1736</v>
      </c>
      <c r="F115" s="3239"/>
      <c r="G115" s="3239"/>
      <c r="H115" s="3239"/>
      <c r="I115" s="1477"/>
      <c r="J115" s="3239">
        <v>1943</v>
      </c>
      <c r="K115" s="3239"/>
      <c r="L115" s="3239"/>
      <c r="M115" s="3239"/>
      <c r="N115" s="1477"/>
      <c r="O115" s="3239">
        <v>2599</v>
      </c>
      <c r="P115" s="3239"/>
      <c r="Q115" s="3239"/>
      <c r="R115" s="3239"/>
      <c r="S115" s="1477"/>
      <c r="T115" s="3239">
        <v>2898</v>
      </c>
      <c r="U115" s="3239"/>
      <c r="V115" s="3239"/>
      <c r="W115" s="3239"/>
      <c r="X115" s="1477"/>
      <c r="Y115" s="3239"/>
      <c r="Z115" s="3239"/>
      <c r="AA115" s="3239"/>
      <c r="AB115" s="3239"/>
      <c r="AC115" s="1477"/>
      <c r="AD115" s="3239"/>
      <c r="AE115" s="3239"/>
      <c r="AF115" s="3239"/>
      <c r="AG115" s="3239"/>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2432</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240">
        <f>Application!DX663</f>
        <v>1027.5</v>
      </c>
      <c r="F118" s="3241"/>
      <c r="G118" s="3241"/>
      <c r="H118" s="3241"/>
      <c r="I118" s="1477"/>
      <c r="J118" s="3241">
        <f>Application!EC663</f>
        <v>1037.4545454545455</v>
      </c>
      <c r="K118" s="3241"/>
      <c r="L118" s="3241"/>
      <c r="M118" s="3241"/>
      <c r="N118" s="1477"/>
      <c r="O118" s="3241">
        <f>Application!EH663</f>
        <v>1028.5769230769231</v>
      </c>
      <c r="P118" s="3241"/>
      <c r="Q118" s="3241"/>
      <c r="R118" s="3241"/>
      <c r="S118" s="1481"/>
      <c r="T118" s="3241">
        <f>Application!EM663</f>
        <v>1293.4285714285713</v>
      </c>
      <c r="U118" s="3241"/>
      <c r="V118" s="3241"/>
      <c r="W118" s="3241"/>
      <c r="X118" s="1481"/>
      <c r="Y118" s="3241">
        <f>Application!ER663</f>
        <v>0</v>
      </c>
      <c r="Z118" s="3241"/>
      <c r="AA118" s="3241"/>
      <c r="AB118" s="3241"/>
      <c r="AC118" s="1481"/>
      <c r="AD118" s="3241">
        <f>Application!EW663</f>
        <v>0</v>
      </c>
      <c r="AE118" s="3241"/>
      <c r="AF118" s="3241"/>
      <c r="AG118" s="3241"/>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2433</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020">
        <f>(E115-E118)/E115</f>
        <v>0.40812211981566821</v>
      </c>
      <c r="F121" s="3021"/>
      <c r="G121" s="3021"/>
      <c r="H121" s="3022"/>
      <c r="I121" s="973"/>
      <c r="J121" s="3020">
        <f>(J115-J118)/J115</f>
        <v>0.46605530342020302</v>
      </c>
      <c r="K121" s="3021"/>
      <c r="L121" s="3021"/>
      <c r="M121" s="3022"/>
      <c r="N121" s="973"/>
      <c r="O121" s="3020">
        <f>(O115-O118)/O115</f>
        <v>0.60424127623050283</v>
      </c>
      <c r="P121" s="3021"/>
      <c r="Q121" s="3021"/>
      <c r="R121" s="3022"/>
      <c r="S121" s="973"/>
      <c r="T121" s="3020">
        <f>(T115-T118)/T115</f>
        <v>0.55368234250221826</v>
      </c>
      <c r="U121" s="3021"/>
      <c r="V121" s="3021"/>
      <c r="W121" s="3022"/>
      <c r="X121" s="973"/>
      <c r="Y121" s="3020" t="e">
        <f>(Y115-Y118)/Y115</f>
        <v>#DIV/0!</v>
      </c>
      <c r="Z121" s="3021"/>
      <c r="AA121" s="3021"/>
      <c r="AB121" s="3022"/>
      <c r="AC121" s="973"/>
      <c r="AD121" s="3020" t="e">
        <f>(AD115-AD118)/AD115</f>
        <v>#DIV/0!</v>
      </c>
      <c r="AE121" s="3021"/>
      <c r="AF121" s="3021"/>
      <c r="AG121" s="3022"/>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2434</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3282">
        <f>IF(((E121-0.1)*AW104)&gt;0,((E121-0.1)*AW104),0)</f>
        <v>0.10920783993466721</v>
      </c>
      <c r="F124" s="3283"/>
      <c r="G124" s="3283"/>
      <c r="H124" s="3284"/>
      <c r="I124" s="973"/>
      <c r="J124" s="3282">
        <f>IF(((J121-0.1)*AW105)&gt;0,((J121-0.1)*AW105),0)</f>
        <v>5.0969725792686486E-2</v>
      </c>
      <c r="K124" s="3283"/>
      <c r="L124" s="3283"/>
      <c r="M124" s="3284"/>
      <c r="N124" s="973"/>
      <c r="O124" s="3282">
        <f>IF(((O121-0.1)*AW106)&gt;0,((O121-0.1)*AW106),0)</f>
        <v>0.16595282508851991</v>
      </c>
      <c r="P124" s="3283"/>
      <c r="Q124" s="3283"/>
      <c r="R124" s="3284"/>
      <c r="S124" s="973"/>
      <c r="T124" s="3282">
        <f>IF(((T121-0.1)*AW107)&gt;0,((T121-0.1)*AW107),0)</f>
        <v>8.0399402468747549E-2</v>
      </c>
      <c r="U124" s="3283"/>
      <c r="V124" s="3283"/>
      <c r="W124" s="3284"/>
      <c r="X124" s="973"/>
      <c r="Y124" s="3282" t="e">
        <f>IF(((Y121-0.1)*AW108)&gt;0,((Y121-0.1)*AW108),0)</f>
        <v>#DIV/0!</v>
      </c>
      <c r="Z124" s="3283"/>
      <c r="AA124" s="3283"/>
      <c r="AB124" s="3284"/>
      <c r="AC124" s="973"/>
      <c r="AD124" s="3282" t="e">
        <f>IF(((AD121-0.1)*AW109)&gt;0,((AD121-0.1)*AW109),0)</f>
        <v>#DIV/0!</v>
      </c>
      <c r="AE124" s="3283"/>
      <c r="AF124" s="3283"/>
      <c r="AG124" s="3284"/>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020">
        <f>ROUNDDOWN(SUMIF(E124:AG124,"&gt;0"),2)</f>
        <v>0.4</v>
      </c>
      <c r="F126" s="3021"/>
      <c r="G126" s="3021"/>
      <c r="H126" s="3022"/>
      <c r="I126" s="1475"/>
      <c r="J126" s="1482" t="s">
        <v>2435</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219">
        <f>IF((E126*100)&gt;10,10,E126*100)</f>
        <v>10</v>
      </c>
      <c r="F127" s="3220"/>
      <c r="G127" s="3220"/>
      <c r="H127" s="3221"/>
      <c r="I127" s="973"/>
      <c r="J127" s="976" t="s">
        <v>1611</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1618</v>
      </c>
      <c r="AK131" s="3219">
        <f>E127</f>
        <v>10</v>
      </c>
      <c r="AL131" s="3220"/>
      <c r="AM131" s="3221"/>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1619</v>
      </c>
      <c r="AE134" s="3235" t="s">
        <v>1597</v>
      </c>
      <c r="AF134" s="3235"/>
      <c r="AG134" s="3235"/>
      <c r="AH134" s="3235"/>
      <c r="AI134" s="3235"/>
      <c r="AJ134" s="3235"/>
      <c r="AK134" s="3235"/>
      <c r="AL134" s="987"/>
      <c r="AM134" s="988"/>
      <c r="AN134" s="989"/>
      <c r="AO134" s="932"/>
    </row>
    <row r="135" spans="1:52" s="934" customFormat="1" ht="13" customHeight="1">
      <c r="A135" s="933"/>
      <c r="AE135" s="987"/>
      <c r="AF135" s="987"/>
      <c r="AG135" s="987"/>
      <c r="AH135" s="987"/>
      <c r="AI135" s="987"/>
      <c r="AJ135" s="987"/>
      <c r="AK135" s="987"/>
      <c r="AL135" s="987"/>
      <c r="AM135" s="988"/>
      <c r="AN135" s="989"/>
    </row>
    <row r="136" spans="1:52" s="929" customFormat="1" ht="12.75" customHeight="1">
      <c r="A136" s="933"/>
      <c r="B136" s="933" t="s">
        <v>1620</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60" t="s">
        <v>1621</v>
      </c>
      <c r="AG136" s="3160"/>
      <c r="AH136" s="3160"/>
      <c r="AI136" s="3160"/>
      <c r="AJ136" s="3160"/>
      <c r="AK136" s="3160"/>
      <c r="AL136" s="3160"/>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224" t="s">
        <v>2625</v>
      </c>
      <c r="C138" s="3224"/>
      <c r="D138" s="3224"/>
      <c r="E138" s="3224"/>
      <c r="F138" s="3224"/>
      <c r="G138" s="3224"/>
      <c r="H138" s="3224"/>
      <c r="I138" s="3224"/>
      <c r="J138" s="3224"/>
      <c r="K138" s="3224"/>
      <c r="L138" s="3224"/>
      <c r="M138" s="3224"/>
      <c r="N138" s="3224"/>
      <c r="O138" s="3224"/>
      <c r="P138" s="3224"/>
      <c r="Q138" s="3224"/>
      <c r="R138" s="3224"/>
      <c r="S138" s="3224"/>
      <c r="T138" s="3224"/>
      <c r="U138" s="3224"/>
      <c r="V138" s="3224"/>
      <c r="W138" s="3224"/>
      <c r="X138" s="3224"/>
      <c r="Y138" s="3224"/>
      <c r="Z138" s="3224"/>
      <c r="AA138" s="3224"/>
      <c r="AB138" s="3224"/>
      <c r="AC138" s="3224"/>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1622</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1623</v>
      </c>
      <c r="AP140" s="997">
        <v>5</v>
      </c>
    </row>
    <row r="141" spans="1:52" s="929" customFormat="1" ht="12.75" customHeight="1">
      <c r="A141" s="933"/>
      <c r="B141" s="3225" t="s">
        <v>1624</v>
      </c>
      <c r="C141" s="3225"/>
      <c r="D141" s="3225"/>
      <c r="E141" s="3225"/>
      <c r="F141" s="3225"/>
      <c r="G141" s="3225"/>
      <c r="H141" s="3225"/>
      <c r="I141" s="3225"/>
      <c r="J141" s="3225"/>
      <c r="K141" s="3225"/>
      <c r="L141" s="3225"/>
      <c r="M141" s="3225"/>
      <c r="N141" s="3225"/>
      <c r="O141" s="3225"/>
      <c r="P141" s="3225"/>
      <c r="Q141" s="3225"/>
      <c r="R141" s="3225"/>
      <c r="S141" s="3225"/>
      <c r="T141" s="3225"/>
      <c r="U141" s="3225"/>
      <c r="V141" s="3225"/>
      <c r="W141" s="3225"/>
      <c r="X141" s="3225"/>
      <c r="Y141" s="3225"/>
      <c r="Z141" s="3225"/>
      <c r="AA141" s="3225"/>
      <c r="AB141" s="3225"/>
      <c r="AC141" s="3225"/>
      <c r="AD141" s="3225"/>
      <c r="AE141" s="3225"/>
      <c r="AF141" s="3225"/>
      <c r="AG141" s="3225"/>
      <c r="AH141" s="3225"/>
      <c r="AI141" s="3225"/>
      <c r="AM141" s="988"/>
      <c r="AN141" s="928"/>
      <c r="AO141" s="996" t="s">
        <v>1624</v>
      </c>
      <c r="AP141" s="997">
        <v>7</v>
      </c>
    </row>
    <row r="142" spans="1:52" s="929" customFormat="1" ht="13"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2001</v>
      </c>
      <c r="AP142" s="997">
        <v>7</v>
      </c>
    </row>
    <row r="143" spans="1:52" s="929" customFormat="1" ht="12.75" customHeight="1">
      <c r="A143" s="998"/>
      <c r="B143" s="934" t="s">
        <v>1625</v>
      </c>
      <c r="AB143" s="3165" t="s">
        <v>628</v>
      </c>
      <c r="AC143" s="3165"/>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1626</v>
      </c>
      <c r="AP144" s="997"/>
    </row>
    <row r="145" spans="1:42" s="929" customFormat="1" ht="12.75" customHeight="1">
      <c r="A145" s="933"/>
      <c r="B145" s="990" t="s">
        <v>1627</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1628</v>
      </c>
      <c r="AP145" s="997">
        <v>5</v>
      </c>
    </row>
    <row r="146" spans="1:42" s="929" customFormat="1" ht="12.75" customHeight="1">
      <c r="A146" s="933"/>
      <c r="B146" s="3225" t="s">
        <v>1626</v>
      </c>
      <c r="C146" s="3225"/>
      <c r="D146" s="3225"/>
      <c r="E146" s="3225"/>
      <c r="F146" s="3225"/>
      <c r="G146" s="3225"/>
      <c r="H146" s="3225"/>
      <c r="I146" s="3225"/>
      <c r="J146" s="3225"/>
      <c r="K146" s="3225"/>
      <c r="L146" s="3225"/>
      <c r="M146" s="3225"/>
      <c r="N146" s="3225"/>
      <c r="O146" s="3225"/>
      <c r="P146" s="3225"/>
      <c r="Q146" s="3225"/>
      <c r="R146" s="3225"/>
      <c r="S146" s="3225"/>
      <c r="T146" s="3225"/>
      <c r="U146" s="3225"/>
      <c r="V146" s="3225"/>
      <c r="W146" s="3225"/>
      <c r="X146" s="3225"/>
      <c r="Y146" s="3225"/>
      <c r="Z146" s="3225"/>
      <c r="AA146" s="3225"/>
      <c r="AB146" s="3225"/>
      <c r="AC146" s="3225"/>
      <c r="AD146" s="3225"/>
      <c r="AE146" s="3225"/>
      <c r="AF146" s="3225"/>
      <c r="AG146" s="3225"/>
      <c r="AH146" s="3225"/>
      <c r="AI146" s="3225"/>
      <c r="AJ146" s="3225"/>
      <c r="AK146" s="1025"/>
      <c r="AL146" s="1025"/>
      <c r="AM146" s="1025"/>
      <c r="AN146" s="928"/>
      <c r="AO146" s="996" t="s">
        <v>1629</v>
      </c>
      <c r="AP146" s="997">
        <v>7</v>
      </c>
    </row>
    <row r="147" spans="1:42" s="929" customFormat="1" ht="12.75" customHeight="1">
      <c r="B147" s="1014" t="s">
        <v>1630</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1632</v>
      </c>
      <c r="AJ149" s="3234">
        <f>IF($AB$143="N/A",VLOOKUP($B$141,$AO$139:$AP$142,2,FALSE),VLOOKUP($B$146,$AO$144:$AP$147,2,FALSE))</f>
        <v>7</v>
      </c>
      <c r="AK149" s="3234"/>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1634</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160" t="s">
        <v>1635</v>
      </c>
      <c r="AG151" s="3160"/>
      <c r="AH151" s="3160"/>
      <c r="AI151" s="3160"/>
      <c r="AJ151" s="3160"/>
      <c r="AK151" s="3160"/>
      <c r="AL151" s="3160"/>
      <c r="AM151" s="1015"/>
      <c r="AN151" s="1005"/>
    </row>
    <row r="152" spans="1:42" s="945" customFormat="1" ht="12.75" customHeight="1">
      <c r="A152" s="929"/>
      <c r="B152" s="934" t="s">
        <v>1636</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225" t="s">
        <v>1633</v>
      </c>
      <c r="D153" s="3225"/>
      <c r="E153" s="3225"/>
      <c r="F153" s="3225"/>
      <c r="G153" s="3225"/>
      <c r="H153" s="3225"/>
      <c r="I153" s="3225"/>
      <c r="J153" s="3225"/>
      <c r="K153" s="3225"/>
      <c r="L153" s="3225"/>
      <c r="M153" s="3225"/>
      <c r="N153" s="3225"/>
      <c r="O153" s="3225"/>
      <c r="P153" s="3225"/>
      <c r="Q153" s="3225"/>
      <c r="R153" s="3225"/>
      <c r="S153" s="3225"/>
      <c r="T153" s="3225"/>
      <c r="U153" s="3225"/>
      <c r="V153" s="3225"/>
      <c r="W153" s="3225"/>
      <c r="X153" s="3225"/>
      <c r="Y153" s="3225"/>
      <c r="Z153" s="3225"/>
      <c r="AA153" s="3225"/>
      <c r="AB153" s="3225"/>
      <c r="AC153" s="3225"/>
      <c r="AD153" s="3225"/>
      <c r="AE153" s="3225"/>
      <c r="AF153" s="3225"/>
      <c r="AG153" s="3225"/>
      <c r="AH153" s="3225"/>
      <c r="AI153" s="3225"/>
      <c r="AJ153" s="932"/>
      <c r="AK153" s="932"/>
      <c r="AL153" s="932"/>
      <c r="AM153" s="1015"/>
      <c r="AN153" s="1002"/>
      <c r="AO153" s="1006" t="s">
        <v>318</v>
      </c>
      <c r="AP153" s="1000"/>
    </row>
    <row r="154" spans="1:42" s="945" customFormat="1" ht="13"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1631</v>
      </c>
      <c r="AP154" s="1009">
        <v>2</v>
      </c>
    </row>
    <row r="155" spans="1:42" s="945" customFormat="1" ht="12.75" customHeight="1">
      <c r="A155" s="932"/>
      <c r="B155" s="932"/>
      <c r="C155" s="934" t="s">
        <v>1638</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65" t="s">
        <v>628</v>
      </c>
      <c r="AD155" s="3165"/>
      <c r="AE155" s="932"/>
      <c r="AF155" s="932"/>
      <c r="AG155" s="932"/>
      <c r="AH155" s="932"/>
      <c r="AI155" s="932"/>
      <c r="AJ155" s="932"/>
      <c r="AK155" s="932"/>
      <c r="AL155" s="932"/>
      <c r="AM155" s="1017"/>
      <c r="AN155" s="1002"/>
      <c r="AO155" s="1000" t="s">
        <v>1633</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2002</v>
      </c>
      <c r="AP156" s="1009">
        <v>3</v>
      </c>
    </row>
    <row r="157" spans="1:42" s="945" customFormat="1" ht="12.75" customHeight="1">
      <c r="A157" s="932"/>
      <c r="B157" s="932"/>
      <c r="C157" s="3225" t="s">
        <v>1626</v>
      </c>
      <c r="D157" s="3225"/>
      <c r="E157" s="3225"/>
      <c r="F157" s="3225"/>
      <c r="G157" s="3225"/>
      <c r="H157" s="3225"/>
      <c r="I157" s="3225"/>
      <c r="J157" s="3225"/>
      <c r="K157" s="3225"/>
      <c r="L157" s="3225"/>
      <c r="M157" s="3225"/>
      <c r="N157" s="3225"/>
      <c r="O157" s="3225"/>
      <c r="P157" s="3225"/>
      <c r="Q157" s="3225"/>
      <c r="R157" s="3225"/>
      <c r="S157" s="3225"/>
      <c r="T157" s="3225"/>
      <c r="U157" s="3225"/>
      <c r="V157" s="3225"/>
      <c r="W157" s="3225"/>
      <c r="X157" s="3225"/>
      <c r="Y157" s="3225"/>
      <c r="Z157" s="3225"/>
      <c r="AA157" s="3225"/>
      <c r="AB157" s="3225"/>
      <c r="AC157" s="3225"/>
      <c r="AD157" s="3225"/>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1630</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1640</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1626</v>
      </c>
      <c r="AP160" s="1000"/>
    </row>
    <row r="161" spans="1:81" s="1004" customFormat="1" ht="12.75" customHeight="1">
      <c r="A161" s="929"/>
      <c r="B161" s="929"/>
      <c r="C161" s="3224"/>
      <c r="D161" s="3224"/>
      <c r="E161" s="3224"/>
      <c r="F161" s="3224"/>
      <c r="G161" s="3224"/>
      <c r="H161" s="3224"/>
      <c r="I161" s="3224"/>
      <c r="J161" s="3224"/>
      <c r="K161" s="3224"/>
      <c r="L161" s="3224"/>
      <c r="M161" s="3224"/>
      <c r="N161" s="3224"/>
      <c r="O161" s="3224"/>
      <c r="P161" s="3224"/>
      <c r="Q161" s="3224"/>
      <c r="R161" s="3224"/>
      <c r="S161" s="3224"/>
      <c r="T161" s="3224"/>
      <c r="U161" s="3224"/>
      <c r="V161" s="3224"/>
      <c r="W161" s="3224"/>
      <c r="X161" s="3224"/>
      <c r="Y161" s="3224"/>
      <c r="Z161" s="3224"/>
      <c r="AA161" s="3224"/>
      <c r="AB161" s="3224"/>
      <c r="AC161" s="3224"/>
      <c r="AD161" s="3224"/>
      <c r="AE161" s="932"/>
      <c r="AF161" s="932"/>
      <c r="AG161" s="932"/>
      <c r="AH161" s="932"/>
      <c r="AI161" s="932"/>
      <c r="AJ161" s="932"/>
      <c r="AK161" s="932"/>
      <c r="AL161" s="932"/>
      <c r="AM161" s="1015"/>
      <c r="AN161" s="1003"/>
      <c r="AO161" s="1000" t="s">
        <v>1637</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1639</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1641</v>
      </c>
      <c r="AJ163" s="3067">
        <f>IF($AC$155="N/A",VLOOKUP($C$153,$AO$153:$AP$156,2,FALSE),VLOOKUP($C$157,$AO$160:$AP$162,2,FALSE))</f>
        <v>3</v>
      </c>
      <c r="AK163" s="3067"/>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1642</v>
      </c>
      <c r="AK166" s="3219">
        <f>$AJ$149+$AJ$163</f>
        <v>10</v>
      </c>
      <c r="AL166" s="3220"/>
      <c r="AM166" s="3221"/>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1643</v>
      </c>
      <c r="AQ168" s="1032">
        <v>0</v>
      </c>
    </row>
    <row r="169" spans="1:81" s="945" customFormat="1" ht="12.75" customHeight="1">
      <c r="A169" s="990" t="s">
        <v>1644</v>
      </c>
      <c r="B169" s="990" t="s">
        <v>2241</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124" t="s">
        <v>1597</v>
      </c>
      <c r="AF169" s="3124"/>
      <c r="AG169" s="3124"/>
      <c r="AH169" s="3124"/>
      <c r="AI169" s="3124"/>
      <c r="AJ169" s="3124"/>
      <c r="AK169" s="3124"/>
      <c r="AL169" s="1603"/>
      <c r="AM169" s="1028"/>
      <c r="AN169" s="1002"/>
      <c r="AP169" s="1004" t="s">
        <v>1158</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1645</v>
      </c>
      <c r="AQ170" s="945">
        <v>10</v>
      </c>
    </row>
    <row r="171" spans="1:81" s="945" customFormat="1" ht="12.75" customHeight="1">
      <c r="A171" s="929"/>
      <c r="B171" s="3222" t="s">
        <v>1160</v>
      </c>
      <c r="C171" s="3222"/>
      <c r="D171" s="3222"/>
      <c r="E171" s="3222"/>
      <c r="F171" s="3222"/>
      <c r="G171" s="3222"/>
      <c r="H171" s="3222"/>
      <c r="I171" s="3222"/>
      <c r="J171" s="3222"/>
      <c r="K171" s="3222"/>
      <c r="L171" s="3222"/>
      <c r="M171" s="3222"/>
      <c r="N171" s="3222"/>
      <c r="O171" s="3222"/>
      <c r="P171" s="3222"/>
      <c r="Q171" s="3222"/>
      <c r="R171" s="3222"/>
      <c r="S171" s="3222"/>
      <c r="T171" s="3222"/>
      <c r="U171" s="3222"/>
      <c r="V171" s="3222"/>
      <c r="W171" s="3222"/>
      <c r="X171" s="3222"/>
      <c r="Y171" s="3222"/>
      <c r="Z171" s="3222"/>
      <c r="AA171" s="3222"/>
      <c r="AB171" s="3222"/>
      <c r="AC171" s="3222"/>
      <c r="AD171" s="1025"/>
      <c r="AE171" s="1025"/>
      <c r="AF171" s="3160" t="s">
        <v>1646</v>
      </c>
      <c r="AG171" s="3160"/>
      <c r="AH171" s="3160"/>
      <c r="AI171" s="3160"/>
      <c r="AJ171" s="3160"/>
      <c r="AK171" s="3160"/>
      <c r="AL171" s="3160"/>
      <c r="AN171" s="1002"/>
      <c r="AP171" s="945" t="s">
        <v>1160</v>
      </c>
      <c r="AQ171" s="945">
        <v>10</v>
      </c>
    </row>
    <row r="172" spans="1:81" s="945" customFormat="1" ht="12.75" customHeight="1">
      <c r="A172" s="929"/>
      <c r="B172" s="3223" t="s">
        <v>2240</v>
      </c>
      <c r="C172" s="3223"/>
      <c r="D172" s="3223"/>
      <c r="E172" s="3223"/>
      <c r="F172" s="3223"/>
      <c r="G172" s="3223"/>
      <c r="H172" s="3223"/>
      <c r="I172" s="3223"/>
      <c r="J172" s="3223"/>
      <c r="K172" s="3223"/>
      <c r="L172" s="3223"/>
      <c r="M172" s="3223"/>
      <c r="N172" s="3223"/>
      <c r="O172" s="3223"/>
      <c r="P172" s="3223"/>
      <c r="Q172" s="3223"/>
      <c r="R172" s="3223"/>
      <c r="S172" s="3223"/>
      <c r="T172" s="3224" t="s">
        <v>628</v>
      </c>
      <c r="U172" s="3224"/>
      <c r="V172" s="3224"/>
      <c r="W172" s="3224"/>
      <c r="X172" s="3224"/>
      <c r="Y172" s="3224"/>
      <c r="Z172" s="3224"/>
      <c r="AA172" s="3224"/>
      <c r="AB172" s="3224"/>
      <c r="AC172" s="3224"/>
      <c r="AD172" s="1008"/>
      <c r="AE172" s="1008"/>
      <c r="AF172" s="1008"/>
      <c r="AG172" s="1008"/>
      <c r="AH172" s="1008"/>
      <c r="AI172" s="1008"/>
      <c r="AJ172" s="1818"/>
      <c r="AK172" s="1007"/>
      <c r="AL172" s="1007"/>
      <c r="AM172" s="1007"/>
      <c r="AN172" s="1002"/>
      <c r="AP172" s="945" t="s">
        <v>1159</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1647</v>
      </c>
      <c r="AQ173" s="945">
        <v>10</v>
      </c>
      <c r="AS173" s="945" t="s">
        <v>1648</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1649</v>
      </c>
      <c r="AK174" s="3048">
        <f>IF(AK72&gt;0,VLOOKUP($B$171,AP168:AQ175,2,FALSE),0)</f>
        <v>10</v>
      </c>
      <c r="AL174" s="3070"/>
      <c r="AM174" s="3049"/>
      <c r="AN174" s="1041"/>
      <c r="AP174" s="945" t="s">
        <v>1650</v>
      </c>
      <c r="AQ174" s="945">
        <v>10</v>
      </c>
      <c r="AS174" s="945" t="s">
        <v>1651</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1652</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ht="13">
      <c r="A177" s="990" t="s">
        <v>1653</v>
      </c>
      <c r="B177" s="990" t="s">
        <v>1654</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124" t="s">
        <v>1655</v>
      </c>
      <c r="AF177" s="3124"/>
      <c r="AG177" s="3124"/>
      <c r="AH177" s="3124"/>
      <c r="AI177" s="3124"/>
      <c r="AJ177" s="3124"/>
      <c r="AK177" s="3124"/>
    </row>
    <row r="178" spans="1:37" ht="13">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ht="13">
      <c r="A179" s="990"/>
      <c r="B179" s="1397" t="s">
        <v>1905</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1941</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51" t="str">
        <f>Application!C642</f>
        <v>CA HCD AHSC</v>
      </c>
      <c r="C182" s="3051"/>
      <c r="D182" s="3051"/>
      <c r="E182" s="3051"/>
      <c r="F182" s="3051"/>
      <c r="G182" s="3051"/>
      <c r="H182" s="3051"/>
      <c r="I182" s="3051"/>
      <c r="J182" s="3051"/>
      <c r="K182" s="3051"/>
      <c r="L182" s="3051"/>
      <c r="M182" s="3051"/>
      <c r="N182" s="3051"/>
      <c r="O182" s="3051"/>
      <c r="P182" s="3051"/>
      <c r="Q182" s="3051"/>
      <c r="R182" s="3051"/>
      <c r="S182" s="3051"/>
      <c r="T182" s="3051"/>
      <c r="U182" s="3051"/>
      <c r="V182" s="3051"/>
      <c r="W182" s="3051"/>
      <c r="X182" s="3051"/>
      <c r="Y182" s="3051"/>
      <c r="Z182" s="3051"/>
      <c r="AA182" s="3051"/>
      <c r="AB182" s="3051"/>
      <c r="AC182" s="1399"/>
      <c r="AD182" s="3206">
        <f>Application!AO642</f>
        <v>8623532</v>
      </c>
      <c r="AE182" s="3206"/>
      <c r="AF182" s="3206"/>
      <c r="AG182" s="3206"/>
      <c r="AH182" s="3206"/>
      <c r="AI182" s="3206"/>
      <c r="AJ182" s="3206"/>
      <c r="AK182" s="1026"/>
    </row>
    <row r="183" spans="1:37">
      <c r="A183" s="1018"/>
      <c r="B183" s="3051" t="s">
        <v>2471</v>
      </c>
      <c r="C183" s="3051"/>
      <c r="D183" s="3051"/>
      <c r="E183" s="3051"/>
      <c r="F183" s="3051"/>
      <c r="G183" s="3051"/>
      <c r="H183" s="3051"/>
      <c r="I183" s="3051"/>
      <c r="J183" s="3051"/>
      <c r="K183" s="3051"/>
      <c r="L183" s="3051"/>
      <c r="M183" s="3051"/>
      <c r="N183" s="3051"/>
      <c r="O183" s="3051"/>
      <c r="P183" s="3051"/>
      <c r="Q183" s="3051"/>
      <c r="R183" s="3051"/>
      <c r="S183" s="3051"/>
      <c r="T183" s="3051"/>
      <c r="U183" s="3051"/>
      <c r="V183" s="3051"/>
      <c r="W183" s="3051"/>
      <c r="X183" s="3051"/>
      <c r="Y183" s="3051"/>
      <c r="Z183" s="3051"/>
      <c r="AA183" s="3051"/>
      <c r="AB183" s="3051"/>
      <c r="AC183" s="1399"/>
      <c r="AD183" s="3206">
        <f>Application!AO638</f>
        <v>11295000</v>
      </c>
      <c r="AE183" s="3206"/>
      <c r="AF183" s="3206"/>
      <c r="AG183" s="3206"/>
      <c r="AH183" s="3206"/>
      <c r="AI183" s="3206"/>
      <c r="AJ183" s="3206"/>
      <c r="AK183" s="1026"/>
    </row>
    <row r="184" spans="1:37">
      <c r="A184" s="1018"/>
      <c r="B184" s="3051" t="s">
        <v>2626</v>
      </c>
      <c r="C184" s="3051"/>
      <c r="D184" s="3051"/>
      <c r="E184" s="3051"/>
      <c r="F184" s="3051"/>
      <c r="G184" s="3051"/>
      <c r="H184" s="3051"/>
      <c r="I184" s="3051"/>
      <c r="J184" s="3051"/>
      <c r="K184" s="3051"/>
      <c r="L184" s="3051"/>
      <c r="M184" s="3051"/>
      <c r="N184" s="3051"/>
      <c r="O184" s="3051"/>
      <c r="P184" s="3051"/>
      <c r="Q184" s="3051"/>
      <c r="R184" s="3051"/>
      <c r="S184" s="3051"/>
      <c r="T184" s="3051"/>
      <c r="U184" s="3051"/>
      <c r="V184" s="3051"/>
      <c r="W184" s="3051"/>
      <c r="X184" s="3051"/>
      <c r="Y184" s="3051"/>
      <c r="Z184" s="3051"/>
      <c r="AA184" s="3051"/>
      <c r="AB184" s="3051"/>
      <c r="AC184" s="1399"/>
      <c r="AD184" s="3206">
        <f>Application!AO639</f>
        <v>10400000</v>
      </c>
      <c r="AE184" s="3206"/>
      <c r="AF184" s="3206"/>
      <c r="AG184" s="3206"/>
      <c r="AH184" s="3206"/>
      <c r="AI184" s="3206"/>
      <c r="AJ184" s="3206"/>
      <c r="AK184" s="1026"/>
    </row>
    <row r="185" spans="1:37">
      <c r="A185" s="1018"/>
      <c r="B185" s="3051" t="s">
        <v>2636</v>
      </c>
      <c r="C185" s="3051"/>
      <c r="D185" s="3051"/>
      <c r="E185" s="3051"/>
      <c r="F185" s="3051"/>
      <c r="G185" s="3051"/>
      <c r="H185" s="3051"/>
      <c r="I185" s="3051"/>
      <c r="J185" s="3051"/>
      <c r="K185" s="3051"/>
      <c r="L185" s="3051"/>
      <c r="M185" s="3051"/>
      <c r="N185" s="3051"/>
      <c r="O185" s="3051"/>
      <c r="P185" s="3051"/>
      <c r="Q185" s="3051"/>
      <c r="R185" s="3051"/>
      <c r="S185" s="3051"/>
      <c r="T185" s="3051"/>
      <c r="U185" s="3051"/>
      <c r="V185" s="3051"/>
      <c r="W185" s="3051"/>
      <c r="X185" s="3051"/>
      <c r="Y185" s="3051"/>
      <c r="Z185" s="3051"/>
      <c r="AA185" s="3051"/>
      <c r="AB185" s="3051"/>
      <c r="AC185" s="1399"/>
      <c r="AD185" s="3206">
        <f>Application!AO641</f>
        <v>1000000</v>
      </c>
      <c r="AE185" s="3206"/>
      <c r="AF185" s="3206"/>
      <c r="AG185" s="3206"/>
      <c r="AH185" s="3206"/>
      <c r="AI185" s="3206"/>
      <c r="AJ185" s="3206"/>
      <c r="AK185" s="1026"/>
    </row>
    <row r="186" spans="1:37">
      <c r="A186" s="1018"/>
      <c r="B186" s="3051"/>
      <c r="C186" s="3051"/>
      <c r="D186" s="3051"/>
      <c r="E186" s="3051"/>
      <c r="F186" s="3051"/>
      <c r="G186" s="3051"/>
      <c r="H186" s="3051"/>
      <c r="I186" s="3051"/>
      <c r="J186" s="3051"/>
      <c r="K186" s="3051"/>
      <c r="L186" s="3051"/>
      <c r="M186" s="3051"/>
      <c r="N186" s="3051"/>
      <c r="O186" s="3051"/>
      <c r="P186" s="3051"/>
      <c r="Q186" s="3051"/>
      <c r="R186" s="3051"/>
      <c r="S186" s="3051"/>
      <c r="T186" s="3051"/>
      <c r="U186" s="3051"/>
      <c r="V186" s="3051"/>
      <c r="W186" s="3051"/>
      <c r="X186" s="3051"/>
      <c r="Y186" s="3051"/>
      <c r="Z186" s="3051"/>
      <c r="AA186" s="3051"/>
      <c r="AB186" s="3051"/>
      <c r="AC186" s="1399"/>
      <c r="AD186" s="3206"/>
      <c r="AE186" s="3206"/>
      <c r="AF186" s="3206"/>
      <c r="AG186" s="3206"/>
      <c r="AH186" s="3206"/>
      <c r="AI186" s="3206"/>
      <c r="AJ186" s="3206"/>
      <c r="AK186" s="1026"/>
    </row>
    <row r="187" spans="1:37">
      <c r="A187" s="1018"/>
      <c r="B187" s="3051"/>
      <c r="C187" s="3051"/>
      <c r="D187" s="3051"/>
      <c r="E187" s="3051"/>
      <c r="F187" s="3051"/>
      <c r="G187" s="3051"/>
      <c r="H187" s="3051"/>
      <c r="I187" s="3051"/>
      <c r="J187" s="3051"/>
      <c r="K187" s="3051"/>
      <c r="L187" s="3051"/>
      <c r="M187" s="3051"/>
      <c r="N187" s="3051"/>
      <c r="O187" s="3051"/>
      <c r="P187" s="3051"/>
      <c r="Q187" s="3051"/>
      <c r="R187" s="3051"/>
      <c r="S187" s="3051"/>
      <c r="T187" s="3051"/>
      <c r="U187" s="3051"/>
      <c r="V187" s="3051"/>
      <c r="W187" s="3051"/>
      <c r="X187" s="3051"/>
      <c r="Y187" s="3051"/>
      <c r="Z187" s="3051"/>
      <c r="AA187" s="3051"/>
      <c r="AB187" s="3051"/>
      <c r="AC187" s="1399"/>
      <c r="AD187" s="3206"/>
      <c r="AE187" s="3206"/>
      <c r="AF187" s="3206"/>
      <c r="AG187" s="3206"/>
      <c r="AH187" s="3206"/>
      <c r="AI187" s="3206"/>
      <c r="AJ187" s="3206"/>
      <c r="AK187" s="1026"/>
    </row>
    <row r="188" spans="1:37">
      <c r="A188" s="1018"/>
      <c r="B188" s="3051"/>
      <c r="C188" s="3051"/>
      <c r="D188" s="3051"/>
      <c r="E188" s="3051"/>
      <c r="F188" s="3051"/>
      <c r="G188" s="3051"/>
      <c r="H188" s="3051"/>
      <c r="I188" s="3051"/>
      <c r="J188" s="3051"/>
      <c r="K188" s="3051"/>
      <c r="L188" s="3051"/>
      <c r="M188" s="3051"/>
      <c r="N188" s="3051"/>
      <c r="O188" s="3051"/>
      <c r="P188" s="3051"/>
      <c r="Q188" s="3051"/>
      <c r="R188" s="3051"/>
      <c r="S188" s="3051"/>
      <c r="T188" s="3051"/>
      <c r="U188" s="3051"/>
      <c r="V188" s="3051"/>
      <c r="W188" s="3051"/>
      <c r="X188" s="3051"/>
      <c r="Y188" s="3051"/>
      <c r="Z188" s="3051"/>
      <c r="AA188" s="3051"/>
      <c r="AB188" s="3051"/>
      <c r="AC188" s="1399"/>
      <c r="AD188" s="3206"/>
      <c r="AE188" s="3206"/>
      <c r="AF188" s="3206"/>
      <c r="AG188" s="3206"/>
      <c r="AH188" s="3206"/>
      <c r="AI188" s="3206"/>
      <c r="AJ188" s="3206"/>
      <c r="AK188" s="1026"/>
    </row>
    <row r="189" spans="1:37">
      <c r="A189" s="1018"/>
      <c r="B189" s="3051"/>
      <c r="C189" s="3051"/>
      <c r="D189" s="3051"/>
      <c r="E189" s="3051"/>
      <c r="F189" s="3051"/>
      <c r="G189" s="3051"/>
      <c r="H189" s="3051"/>
      <c r="I189" s="3051"/>
      <c r="J189" s="3051"/>
      <c r="K189" s="3051"/>
      <c r="L189" s="3051"/>
      <c r="M189" s="3051"/>
      <c r="N189" s="3051"/>
      <c r="O189" s="3051"/>
      <c r="P189" s="3051"/>
      <c r="Q189" s="3051"/>
      <c r="R189" s="3051"/>
      <c r="S189" s="3051"/>
      <c r="T189" s="3051"/>
      <c r="U189" s="3051"/>
      <c r="V189" s="3051"/>
      <c r="W189" s="3051"/>
      <c r="X189" s="3051"/>
      <c r="Y189" s="3051"/>
      <c r="Z189" s="3051"/>
      <c r="AA189" s="3051"/>
      <c r="AB189" s="3051"/>
      <c r="AC189" s="1399"/>
      <c r="AD189" s="3206"/>
      <c r="AE189" s="3206"/>
      <c r="AF189" s="3206"/>
      <c r="AG189" s="3206"/>
      <c r="AH189" s="3206"/>
      <c r="AI189" s="3206"/>
      <c r="AJ189" s="3206"/>
      <c r="AK189" s="1026"/>
    </row>
    <row r="190" spans="1:37">
      <c r="A190" s="1018"/>
      <c r="B190" s="3051"/>
      <c r="C190" s="3051"/>
      <c r="D190" s="3051"/>
      <c r="E190" s="3051"/>
      <c r="F190" s="3051"/>
      <c r="G190" s="3051"/>
      <c r="H190" s="3051"/>
      <c r="I190" s="3051"/>
      <c r="J190" s="3051"/>
      <c r="K190" s="3051"/>
      <c r="L190" s="3051"/>
      <c r="M190" s="3051"/>
      <c r="N190" s="3051"/>
      <c r="O190" s="3051"/>
      <c r="P190" s="3051"/>
      <c r="Q190" s="3051"/>
      <c r="R190" s="3051"/>
      <c r="S190" s="3051"/>
      <c r="T190" s="3051"/>
      <c r="U190" s="3051"/>
      <c r="V190" s="3051"/>
      <c r="W190" s="3051"/>
      <c r="X190" s="3051"/>
      <c r="Y190" s="3051"/>
      <c r="Z190" s="3051"/>
      <c r="AA190" s="3051"/>
      <c r="AB190" s="3051"/>
      <c r="AC190" s="1399"/>
      <c r="AD190" s="3206"/>
      <c r="AE190" s="3206"/>
      <c r="AF190" s="3206"/>
      <c r="AG190" s="3206"/>
      <c r="AH190" s="3206"/>
      <c r="AI190" s="3206"/>
      <c r="AJ190" s="3206"/>
      <c r="AK190" s="1026"/>
    </row>
    <row r="191" spans="1:37">
      <c r="A191" s="1018"/>
      <c r="B191" s="3051"/>
      <c r="C191" s="3051"/>
      <c r="D191" s="3051"/>
      <c r="E191" s="3051"/>
      <c r="F191" s="3051"/>
      <c r="G191" s="3051"/>
      <c r="H191" s="3051"/>
      <c r="I191" s="3051"/>
      <c r="J191" s="3051"/>
      <c r="K191" s="3051"/>
      <c r="L191" s="3051"/>
      <c r="M191" s="3051"/>
      <c r="N191" s="3051"/>
      <c r="O191" s="3051"/>
      <c r="P191" s="3051"/>
      <c r="Q191" s="3051"/>
      <c r="R191" s="3051"/>
      <c r="S191" s="3051"/>
      <c r="T191" s="3051"/>
      <c r="U191" s="3051"/>
      <c r="V191" s="3051"/>
      <c r="W191" s="3051"/>
      <c r="X191" s="3051"/>
      <c r="Y191" s="3051"/>
      <c r="Z191" s="3051"/>
      <c r="AA191" s="3051"/>
      <c r="AB191" s="3051"/>
      <c r="AC191" s="1399"/>
      <c r="AD191" s="3206"/>
      <c r="AE191" s="3206"/>
      <c r="AF191" s="3206"/>
      <c r="AG191" s="3206"/>
      <c r="AH191" s="3206"/>
      <c r="AI191" s="3206"/>
      <c r="AJ191" s="3206"/>
      <c r="AK191" s="1026"/>
    </row>
    <row r="192" spans="1:37">
      <c r="A192" s="1018"/>
      <c r="B192" s="3055" t="s">
        <v>1943</v>
      </c>
      <c r="C192" s="3055"/>
      <c r="D192" s="3055"/>
      <c r="E192" s="3055"/>
      <c r="F192" s="3055"/>
      <c r="G192" s="3055"/>
      <c r="H192" s="3055"/>
      <c r="I192" s="3055"/>
      <c r="J192" s="3055"/>
      <c r="K192" s="3055"/>
      <c r="L192" s="3055"/>
      <c r="M192" s="3055"/>
      <c r="N192" s="3055"/>
      <c r="O192" s="3055"/>
      <c r="P192" s="3055"/>
      <c r="Q192" s="3055"/>
      <c r="R192" s="3055"/>
      <c r="S192" s="3055"/>
      <c r="T192" s="3055"/>
      <c r="U192" s="3055"/>
      <c r="V192" s="3055"/>
      <c r="W192" s="3055"/>
      <c r="X192" s="3055"/>
      <c r="Y192" s="3055"/>
      <c r="Z192" s="3055"/>
      <c r="AA192" s="3055"/>
      <c r="AB192" s="3055"/>
      <c r="AC192" s="929"/>
      <c r="AD192" s="3204">
        <f>AB243</f>
        <v>9027355.8020520005</v>
      </c>
      <c r="AE192" s="3204"/>
      <c r="AF192" s="3204"/>
      <c r="AG192" s="3204"/>
      <c r="AH192" s="3204"/>
      <c r="AI192" s="3204"/>
      <c r="AJ192" s="3204"/>
      <c r="AK192" s="1026"/>
    </row>
    <row r="193" spans="1:37">
      <c r="A193" s="1018"/>
      <c r="B193" s="3053" t="s">
        <v>1906</v>
      </c>
      <c r="C193" s="3053"/>
      <c r="D193" s="3053"/>
      <c r="E193" s="3053"/>
      <c r="F193" s="3053"/>
      <c r="G193" s="3053"/>
      <c r="H193" s="3053"/>
      <c r="I193" s="3053"/>
      <c r="J193" s="3053"/>
      <c r="K193" s="3053"/>
      <c r="L193" s="3053"/>
      <c r="M193" s="3053"/>
      <c r="N193" s="3053"/>
      <c r="O193" s="3053"/>
      <c r="P193" s="3053"/>
      <c r="Q193" s="3053"/>
      <c r="R193" s="3053"/>
      <c r="S193" s="3053"/>
      <c r="T193" s="3053"/>
      <c r="U193" s="3053"/>
      <c r="V193" s="3053"/>
      <c r="W193" s="3053"/>
      <c r="X193" s="3053"/>
      <c r="Y193" s="3053"/>
      <c r="Z193" s="3053"/>
      <c r="AA193" s="3053"/>
      <c r="AB193" s="3053"/>
      <c r="AC193" s="1399"/>
      <c r="AD193" s="3205">
        <f>'Sources and Uses Budget'!B15</f>
        <v>0</v>
      </c>
      <c r="AE193" s="3205"/>
      <c r="AF193" s="3205"/>
      <c r="AG193" s="3205"/>
      <c r="AH193" s="3205"/>
      <c r="AI193" s="3205"/>
      <c r="AJ193" s="3205"/>
      <c r="AK193" s="1026"/>
    </row>
    <row r="194" spans="1:37" ht="13">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210">
        <f>SUM(AD182:AJ192)-AD193</f>
        <v>40345887.802051999</v>
      </c>
      <c r="AE194" s="3210"/>
      <c r="AF194" s="3210"/>
      <c r="AG194" s="3210"/>
      <c r="AH194" s="3210"/>
      <c r="AI194" s="3210"/>
      <c r="AJ194" s="3210"/>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ht="13">
      <c r="A196" s="1018"/>
      <c r="B196" s="1382" t="s">
        <v>1911</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1942</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1913</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1914</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1998</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1915</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1916</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ht="13">
      <c r="A203" s="1409"/>
      <c r="B203" s="1508" t="s">
        <v>2000</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230" t="s">
        <v>1923</v>
      </c>
      <c r="J205" s="3230"/>
      <c r="K205" s="3230"/>
      <c r="L205" s="993"/>
      <c r="M205" s="993"/>
      <c r="N205" s="993"/>
      <c r="O205" s="993"/>
      <c r="P205" s="993"/>
      <c r="Q205" s="993"/>
      <c r="R205" s="993"/>
      <c r="S205" s="993"/>
      <c r="T205" s="3025" t="s">
        <v>1917</v>
      </c>
      <c r="U205" s="3025"/>
      <c r="V205" s="3025"/>
      <c r="W205" s="3025"/>
      <c r="X205" s="3025"/>
      <c r="Y205" s="3025"/>
      <c r="Z205" s="1403"/>
      <c r="AA205" s="1404"/>
      <c r="AB205" s="3226" t="s">
        <v>1918</v>
      </c>
      <c r="AC205" s="3226"/>
      <c r="AD205" s="3226"/>
      <c r="AE205" s="3226"/>
      <c r="AF205" s="3226"/>
      <c r="AG205" s="3226"/>
      <c r="AH205" s="1373"/>
      <c r="AI205" s="1373"/>
      <c r="AJ205" s="1373"/>
      <c r="AK205" s="1026"/>
    </row>
    <row r="206" spans="1:37">
      <c r="A206" s="1018"/>
      <c r="B206" s="3228" t="s">
        <v>1896</v>
      </c>
      <c r="C206" s="3228"/>
      <c r="D206" s="3228"/>
      <c r="E206" s="3228"/>
      <c r="F206" s="3228"/>
      <c r="G206" s="3228"/>
      <c r="I206" s="3229" t="s">
        <v>1924</v>
      </c>
      <c r="J206" s="3229"/>
      <c r="K206" s="3229"/>
      <c r="L206" s="1817"/>
      <c r="N206" s="3054" t="s">
        <v>1919</v>
      </c>
      <c r="O206" s="3054"/>
      <c r="P206" s="3054"/>
      <c r="Q206" s="3054"/>
      <c r="R206" s="3054"/>
      <c r="T206" s="3054" t="s">
        <v>1920</v>
      </c>
      <c r="U206" s="3054"/>
      <c r="V206" s="3054"/>
      <c r="W206" s="3054"/>
      <c r="X206" s="3054"/>
      <c r="Y206" s="3054"/>
      <c r="Z206" s="1405"/>
      <c r="AA206" s="1404"/>
      <c r="AB206" s="3057" t="s">
        <v>1921</v>
      </c>
      <c r="AC206" s="3057"/>
      <c r="AD206" s="3057"/>
      <c r="AE206" s="3057"/>
      <c r="AF206" s="3057"/>
      <c r="AG206" s="3057"/>
      <c r="AH206" s="1373"/>
      <c r="AI206" s="1373"/>
      <c r="AJ206" s="1373"/>
      <c r="AK206" s="1026"/>
    </row>
    <row r="207" spans="1:37">
      <c r="A207" s="1018"/>
      <c r="B207" s="3056" t="s">
        <v>2627</v>
      </c>
      <c r="C207" s="3056"/>
      <c r="D207" s="3056"/>
      <c r="E207" s="3056"/>
      <c r="F207" s="3056"/>
      <c r="G207" s="3056"/>
      <c r="H207" s="1407"/>
      <c r="I207" s="3030">
        <f>Application!G732</f>
        <v>4</v>
      </c>
      <c r="J207" s="3030"/>
      <c r="K207" s="3030"/>
      <c r="L207" s="1817"/>
      <c r="N207" s="3027">
        <f>Application!O732</f>
        <v>899</v>
      </c>
      <c r="O207" s="3027"/>
      <c r="P207" s="3027"/>
      <c r="Q207" s="3027"/>
      <c r="R207" s="3027"/>
      <c r="T207" s="3026">
        <f>'Subsidy Contract Calculation'!E8</f>
        <v>2653</v>
      </c>
      <c r="U207" s="3026"/>
      <c r="V207" s="3026"/>
      <c r="W207" s="3026"/>
      <c r="X207" s="3026"/>
      <c r="Y207" s="3026"/>
      <c r="Z207" s="1406"/>
      <c r="AA207" s="1406"/>
      <c r="AB207" s="3024">
        <f t="shared" ref="AB207:AB216" si="0">MAX(($T207-$N207)*$I207*12,0)</f>
        <v>84192</v>
      </c>
      <c r="AC207" s="3024"/>
      <c r="AD207" s="3024"/>
      <c r="AE207" s="3024"/>
      <c r="AF207" s="3024"/>
      <c r="AG207" s="3024"/>
      <c r="AH207" s="1373"/>
      <c r="AI207" s="1373"/>
      <c r="AJ207" s="1373"/>
      <c r="AK207" s="1026"/>
    </row>
    <row r="208" spans="1:37">
      <c r="A208" s="1018"/>
      <c r="B208" s="3056" t="s">
        <v>2628</v>
      </c>
      <c r="C208" s="3056"/>
      <c r="D208" s="3056"/>
      <c r="E208" s="3056"/>
      <c r="F208" s="3056"/>
      <c r="G208" s="3056"/>
      <c r="I208" s="3030">
        <f>Application!G733</f>
        <v>6</v>
      </c>
      <c r="J208" s="3030"/>
      <c r="K208" s="3030"/>
      <c r="L208" s="1817"/>
      <c r="N208" s="3027">
        <f>Application!O733</f>
        <v>990</v>
      </c>
      <c r="O208" s="3027"/>
      <c r="P208" s="3027"/>
      <c r="Q208" s="3027"/>
      <c r="R208" s="3027"/>
      <c r="T208" s="3026">
        <f>'Subsidy Contract Calculation'!E9</f>
        <v>3755</v>
      </c>
      <c r="U208" s="3026"/>
      <c r="V208" s="3026"/>
      <c r="W208" s="3026"/>
      <c r="X208" s="3026"/>
      <c r="Y208" s="3026"/>
      <c r="Z208" s="1406"/>
      <c r="AA208" s="1406"/>
      <c r="AB208" s="3024">
        <f t="shared" si="0"/>
        <v>199080</v>
      </c>
      <c r="AC208" s="3024"/>
      <c r="AD208" s="3024"/>
      <c r="AE208" s="3024"/>
      <c r="AF208" s="3024"/>
      <c r="AG208" s="3024"/>
      <c r="AH208" s="1373"/>
      <c r="AI208" s="1373"/>
      <c r="AJ208" s="1373"/>
      <c r="AK208" s="1026"/>
    </row>
    <row r="209" spans="1:37">
      <c r="A209" s="1018"/>
      <c r="B209" s="3056" t="s">
        <v>2627</v>
      </c>
      <c r="C209" s="3056"/>
      <c r="D209" s="3056"/>
      <c r="E209" s="3056"/>
      <c r="F209" s="3056"/>
      <c r="G209" s="3056"/>
      <c r="I209" s="3030">
        <f>Application!G734</f>
        <v>4</v>
      </c>
      <c r="J209" s="3030"/>
      <c r="K209" s="3030"/>
      <c r="L209" s="1817"/>
      <c r="N209" s="3027">
        <f>Application!O734</f>
        <v>1536</v>
      </c>
      <c r="O209" s="3027"/>
      <c r="P209" s="3027"/>
      <c r="Q209" s="3027"/>
      <c r="R209" s="3027"/>
      <c r="T209" s="3026">
        <f>'Subsidy Contract Calculation'!E10</f>
        <v>2653</v>
      </c>
      <c r="U209" s="3026"/>
      <c r="V209" s="3026"/>
      <c r="W209" s="3026"/>
      <c r="X209" s="3026"/>
      <c r="Y209" s="3026"/>
      <c r="Z209" s="1406"/>
      <c r="AA209" s="1406"/>
      <c r="AB209" s="3024">
        <f t="shared" si="0"/>
        <v>53616</v>
      </c>
      <c r="AC209" s="3024"/>
      <c r="AD209" s="3024"/>
      <c r="AE209" s="3024"/>
      <c r="AF209" s="3024"/>
      <c r="AG209" s="3024"/>
      <c r="AH209" s="1373"/>
      <c r="AI209" s="1373"/>
      <c r="AJ209" s="1373"/>
      <c r="AK209" s="1026"/>
    </row>
    <row r="210" spans="1:37">
      <c r="A210" s="1018"/>
      <c r="B210" s="3056" t="s">
        <v>2628</v>
      </c>
      <c r="C210" s="3056"/>
      <c r="D210" s="3056"/>
      <c r="E210" s="3056"/>
      <c r="F210" s="3056"/>
      <c r="G210" s="3056"/>
      <c r="I210" s="3030">
        <f>Application!G735</f>
        <v>6</v>
      </c>
      <c r="J210" s="3030"/>
      <c r="K210" s="3030"/>
      <c r="L210" s="1817"/>
      <c r="N210" s="3027">
        <f>Application!O735</f>
        <v>1698</v>
      </c>
      <c r="O210" s="3027"/>
      <c r="P210" s="3027"/>
      <c r="Q210" s="3027"/>
      <c r="R210" s="3027"/>
      <c r="T210" s="3026">
        <f>'Subsidy Contract Calculation'!E11</f>
        <v>3755</v>
      </c>
      <c r="U210" s="3026"/>
      <c r="V210" s="3026"/>
      <c r="W210" s="3026"/>
      <c r="X210" s="3026"/>
      <c r="Y210" s="3026"/>
      <c r="Z210" s="1406"/>
      <c r="AA210" s="1406"/>
      <c r="AB210" s="3024">
        <f t="shared" si="0"/>
        <v>148104</v>
      </c>
      <c r="AC210" s="3024"/>
      <c r="AD210" s="3024"/>
      <c r="AE210" s="3024"/>
      <c r="AF210" s="3024"/>
      <c r="AG210" s="3024"/>
      <c r="AH210" s="1373"/>
      <c r="AI210" s="1373"/>
      <c r="AJ210" s="1373"/>
      <c r="AK210" s="1026"/>
    </row>
    <row r="211" spans="1:37">
      <c r="A211" s="1018"/>
      <c r="B211" s="3056" t="s">
        <v>1387</v>
      </c>
      <c r="C211" s="3056"/>
      <c r="D211" s="3056"/>
      <c r="E211" s="3056"/>
      <c r="F211" s="3056"/>
      <c r="G211" s="3056"/>
      <c r="I211" s="3030"/>
      <c r="J211" s="3030"/>
      <c r="K211" s="3030"/>
      <c r="L211" s="1829"/>
      <c r="N211" s="3027"/>
      <c r="O211" s="3027"/>
      <c r="P211" s="3027"/>
      <c r="Q211" s="3027"/>
      <c r="R211" s="3027"/>
      <c r="T211" s="3026"/>
      <c r="U211" s="3026"/>
      <c r="V211" s="3026"/>
      <c r="W211" s="3026"/>
      <c r="X211" s="3026"/>
      <c r="Y211" s="3026"/>
      <c r="Z211" s="1406"/>
      <c r="AA211" s="1406"/>
      <c r="AB211" s="3024">
        <f t="shared" si="0"/>
        <v>0</v>
      </c>
      <c r="AC211" s="3024"/>
      <c r="AD211" s="3024"/>
      <c r="AE211" s="3024"/>
      <c r="AF211" s="3024"/>
      <c r="AG211" s="3024"/>
      <c r="AH211" s="1373"/>
      <c r="AI211" s="1373"/>
      <c r="AJ211" s="1373"/>
      <c r="AK211" s="1026"/>
    </row>
    <row r="212" spans="1:37">
      <c r="A212" s="1018"/>
      <c r="B212" s="3056" t="s">
        <v>1387</v>
      </c>
      <c r="C212" s="3056"/>
      <c r="D212" s="3056"/>
      <c r="E212" s="3056"/>
      <c r="F212" s="3056"/>
      <c r="G212" s="3056"/>
      <c r="I212" s="3030"/>
      <c r="J212" s="3030"/>
      <c r="K212" s="3030"/>
      <c r="L212" s="1829"/>
      <c r="N212" s="3027"/>
      <c r="O212" s="3027"/>
      <c r="P212" s="3027"/>
      <c r="Q212" s="3027"/>
      <c r="R212" s="3027"/>
      <c r="T212" s="3026"/>
      <c r="U212" s="3026"/>
      <c r="V212" s="3026"/>
      <c r="W212" s="3026"/>
      <c r="X212" s="3026"/>
      <c r="Y212" s="3026"/>
      <c r="Z212" s="1406"/>
      <c r="AA212" s="1406"/>
      <c r="AB212" s="3024">
        <f t="shared" si="0"/>
        <v>0</v>
      </c>
      <c r="AC212" s="3024"/>
      <c r="AD212" s="3024"/>
      <c r="AE212" s="3024"/>
      <c r="AF212" s="3024"/>
      <c r="AG212" s="3024"/>
      <c r="AH212" s="1373"/>
      <c r="AI212" s="1373"/>
      <c r="AJ212" s="1373"/>
      <c r="AK212" s="1026"/>
    </row>
    <row r="213" spans="1:37">
      <c r="A213" s="1018"/>
      <c r="B213" s="3056" t="s">
        <v>1387</v>
      </c>
      <c r="C213" s="3056"/>
      <c r="D213" s="3056"/>
      <c r="E213" s="3056"/>
      <c r="F213" s="3056"/>
      <c r="G213" s="3056"/>
      <c r="I213" s="3030"/>
      <c r="J213" s="3030"/>
      <c r="K213" s="3030"/>
      <c r="L213" s="1829"/>
      <c r="N213" s="3027"/>
      <c r="O213" s="3027"/>
      <c r="P213" s="3027"/>
      <c r="Q213" s="3027"/>
      <c r="R213" s="3027"/>
      <c r="T213" s="3026"/>
      <c r="U213" s="3026"/>
      <c r="V213" s="3026"/>
      <c r="W213" s="3026"/>
      <c r="X213" s="3026"/>
      <c r="Y213" s="3026"/>
      <c r="Z213" s="1406"/>
      <c r="AA213" s="1406"/>
      <c r="AB213" s="3024">
        <f t="shared" si="0"/>
        <v>0</v>
      </c>
      <c r="AC213" s="3024"/>
      <c r="AD213" s="3024"/>
      <c r="AE213" s="3024"/>
      <c r="AF213" s="3024"/>
      <c r="AG213" s="3024"/>
      <c r="AH213" s="1373"/>
      <c r="AI213" s="1373"/>
      <c r="AJ213" s="1373"/>
      <c r="AK213" s="1026"/>
    </row>
    <row r="214" spans="1:37">
      <c r="A214" s="1018"/>
      <c r="B214" s="3056" t="s">
        <v>1387</v>
      </c>
      <c r="C214" s="3056"/>
      <c r="D214" s="3056"/>
      <c r="E214" s="3056"/>
      <c r="F214" s="3056"/>
      <c r="G214" s="3056"/>
      <c r="I214" s="3030"/>
      <c r="J214" s="3030"/>
      <c r="K214" s="3030"/>
      <c r="L214" s="1829"/>
      <c r="N214" s="3027"/>
      <c r="O214" s="3027"/>
      <c r="P214" s="3027"/>
      <c r="Q214" s="3027"/>
      <c r="R214" s="3027"/>
      <c r="T214" s="3026"/>
      <c r="U214" s="3026"/>
      <c r="V214" s="3026"/>
      <c r="W214" s="3026"/>
      <c r="X214" s="3026"/>
      <c r="Y214" s="3026"/>
      <c r="Z214" s="1406"/>
      <c r="AA214" s="1406"/>
      <c r="AB214" s="3024">
        <f t="shared" si="0"/>
        <v>0</v>
      </c>
      <c r="AC214" s="3024"/>
      <c r="AD214" s="3024"/>
      <c r="AE214" s="3024"/>
      <c r="AF214" s="3024"/>
      <c r="AG214" s="3024"/>
      <c r="AH214" s="1373"/>
      <c r="AI214" s="1373"/>
      <c r="AJ214" s="1373"/>
      <c r="AK214" s="1026"/>
    </row>
    <row r="215" spans="1:37">
      <c r="A215" s="1018"/>
      <c r="B215" s="3056" t="s">
        <v>1387</v>
      </c>
      <c r="C215" s="3056"/>
      <c r="D215" s="3056"/>
      <c r="E215" s="3056"/>
      <c r="F215" s="3056"/>
      <c r="G215" s="3056"/>
      <c r="I215" s="3030"/>
      <c r="J215" s="3030"/>
      <c r="K215" s="3030"/>
      <c r="L215" s="1829"/>
      <c r="N215" s="3027"/>
      <c r="O215" s="3027"/>
      <c r="P215" s="3027"/>
      <c r="Q215" s="3027"/>
      <c r="R215" s="3027"/>
      <c r="T215" s="3026"/>
      <c r="U215" s="3026"/>
      <c r="V215" s="3026"/>
      <c r="W215" s="3026"/>
      <c r="X215" s="3026"/>
      <c r="Y215" s="3026"/>
      <c r="Z215" s="1406"/>
      <c r="AA215" s="1406"/>
      <c r="AB215" s="3024">
        <f t="shared" si="0"/>
        <v>0</v>
      </c>
      <c r="AC215" s="3024"/>
      <c r="AD215" s="3024"/>
      <c r="AE215" s="3024"/>
      <c r="AF215" s="3024"/>
      <c r="AG215" s="3024"/>
      <c r="AH215" s="1373"/>
      <c r="AI215" s="1373"/>
      <c r="AJ215" s="1373"/>
      <c r="AK215" s="1026"/>
    </row>
    <row r="216" spans="1:37">
      <c r="A216" s="1018"/>
      <c r="B216" s="3056" t="s">
        <v>1387</v>
      </c>
      <c r="C216" s="3056"/>
      <c r="D216" s="3056"/>
      <c r="E216" s="3056"/>
      <c r="F216" s="3056"/>
      <c r="G216" s="3056"/>
      <c r="I216" s="3231"/>
      <c r="J216" s="3231"/>
      <c r="K216" s="3231"/>
      <c r="L216" s="1829"/>
      <c r="N216" s="3027"/>
      <c r="O216" s="3027"/>
      <c r="P216" s="3027"/>
      <c r="Q216" s="3027"/>
      <c r="R216" s="3027"/>
      <c r="T216" s="3026"/>
      <c r="U216" s="3026"/>
      <c r="V216" s="3026"/>
      <c r="W216" s="3026"/>
      <c r="X216" s="3026"/>
      <c r="Y216" s="3026"/>
      <c r="Z216" s="1406"/>
      <c r="AA216" s="1406"/>
      <c r="AB216" s="3032">
        <f t="shared" si="0"/>
        <v>0</v>
      </c>
      <c r="AC216" s="3032"/>
      <c r="AD216" s="3032"/>
      <c r="AE216" s="3032"/>
      <c r="AF216" s="3032"/>
      <c r="AG216" s="3032"/>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1922</v>
      </c>
      <c r="AA217" s="1816"/>
      <c r="AB217" s="3024">
        <f>SUM(AB207:AB216)</f>
        <v>484992</v>
      </c>
      <c r="AC217" s="3024"/>
      <c r="AD217" s="3024"/>
      <c r="AE217" s="3024"/>
      <c r="AF217" s="3024"/>
      <c r="AG217" s="3024"/>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ht="13">
      <c r="A219" s="1018"/>
      <c r="B219" s="1382" t="s">
        <v>1912</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1940</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1938</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1932</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218"/>
      <c r="AC223" s="3218"/>
      <c r="AD223" s="3218"/>
      <c r="AE223" s="3218"/>
      <c r="AF223" s="3218"/>
      <c r="AG223" s="3218"/>
      <c r="AH223" s="1026"/>
      <c r="AI223" s="1026"/>
      <c r="AJ223" s="1026"/>
      <c r="AK223" s="1026"/>
    </row>
    <row r="224" spans="1:37" ht="13">
      <c r="A224" s="1018"/>
      <c r="B224" s="1385" t="s">
        <v>1937</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1939</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1933</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218">
        <f>AB217*20</f>
        <v>9699840</v>
      </c>
      <c r="AC226" s="3218"/>
      <c r="AD226" s="3218"/>
      <c r="AE226" s="3218"/>
      <c r="AF226" s="3218"/>
      <c r="AG226" s="3218"/>
      <c r="AH226" s="1026"/>
      <c r="AI226" s="1026"/>
      <c r="AJ226" s="1026"/>
      <c r="AK226" s="1026"/>
    </row>
    <row r="227" spans="1:37">
      <c r="A227" s="1018"/>
      <c r="B227" s="1386" t="s">
        <v>1934</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023">
        <v>20</v>
      </c>
      <c r="AC227" s="3023"/>
      <c r="AD227" s="3023"/>
      <c r="AE227" s="3023"/>
      <c r="AF227" s="3023"/>
      <c r="AG227" s="3023"/>
      <c r="AH227" s="1026"/>
      <c r="AI227" s="1026"/>
      <c r="AJ227" s="1026"/>
      <c r="AK227" s="1026"/>
    </row>
    <row r="228" spans="1:37">
      <c r="A228" s="1018"/>
      <c r="B228" s="1386" t="s">
        <v>1935</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033">
        <f>IFERROR(AB226/AB227,0)</f>
        <v>484992</v>
      </c>
      <c r="AC228" s="3033"/>
      <c r="AD228" s="3033"/>
      <c r="AE228" s="3033"/>
      <c r="AF228" s="3033"/>
      <c r="AG228" s="3033"/>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1936</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52">
        <f>MAX(AB223,AB228)</f>
        <v>484992</v>
      </c>
      <c r="AC230" s="3052"/>
      <c r="AD230" s="3052"/>
      <c r="AE230" s="3052"/>
      <c r="AF230" s="3052"/>
      <c r="AG230" s="3052"/>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1925</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31">
        <f>AB217+AB230</f>
        <v>969984</v>
      </c>
      <c r="AC233" s="3031"/>
      <c r="AD233" s="3031"/>
      <c r="AE233" s="3031"/>
      <c r="AF233" s="3031"/>
      <c r="AG233" s="3031"/>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214">
        <v>0.05</v>
      </c>
      <c r="AC234" s="3214"/>
      <c r="AD234" s="3214"/>
      <c r="AE234" s="3214"/>
      <c r="AF234" s="3214"/>
      <c r="AG234" s="3214"/>
      <c r="AH234" s="1026"/>
      <c r="AI234" s="1026"/>
      <c r="AJ234" s="1026"/>
      <c r="AK234" s="1026"/>
    </row>
    <row r="235" spans="1:37">
      <c r="A235" s="1018"/>
      <c r="B235" s="1000" t="s">
        <v>1926</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215">
        <f>AB233-(AB233*AB234)</f>
        <v>921484.80000000005</v>
      </c>
      <c r="AC235" s="3215"/>
      <c r="AD235" s="3215"/>
      <c r="AE235" s="3215"/>
      <c r="AF235" s="3215"/>
      <c r="AG235" s="3215"/>
      <c r="AH235" s="1026"/>
      <c r="AI235" s="1026"/>
      <c r="AJ235" s="1026"/>
      <c r="AK235" s="1026"/>
    </row>
    <row r="236" spans="1:37">
      <c r="A236" s="1018"/>
      <c r="B236" s="1000" t="s">
        <v>1927</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1928</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31">
        <f>AB235/AB241</f>
        <v>801291.13043478271</v>
      </c>
      <c r="AC237" s="3031"/>
      <c r="AD237" s="3031"/>
      <c r="AE237" s="3031"/>
      <c r="AF237" s="3031"/>
      <c r="AG237" s="3031"/>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1929</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227">
        <v>15</v>
      </c>
      <c r="AC239" s="3227"/>
      <c r="AD239" s="3227"/>
      <c r="AE239" s="3227"/>
      <c r="AF239" s="3227"/>
      <c r="AG239" s="3227"/>
      <c r="AH239" s="1026"/>
      <c r="AI239" s="1026"/>
      <c r="AJ239" s="1026"/>
      <c r="AK239" s="1026"/>
    </row>
    <row r="240" spans="1:37">
      <c r="A240" s="1018"/>
      <c r="B240" s="1000" t="s">
        <v>1930</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216">
        <v>0.04</v>
      </c>
      <c r="AC240" s="3216"/>
      <c r="AD240" s="3216"/>
      <c r="AE240" s="3216"/>
      <c r="AF240" s="3216"/>
      <c r="AG240" s="3216"/>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217">
        <v>1.1499999999999999</v>
      </c>
      <c r="AC241" s="3217"/>
      <c r="AD241" s="3217"/>
      <c r="AE241" s="3217"/>
      <c r="AF241" s="3217"/>
      <c r="AG241" s="3217"/>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ht="13">
      <c r="A243" s="1018"/>
      <c r="B243" s="1410" t="s">
        <v>1931</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207">
        <f>PV(AB240/12,AB239*12,-AB237/12, ,0)</f>
        <v>9027355.8020520005</v>
      </c>
      <c r="AC243" s="3208"/>
      <c r="AD243" s="3208"/>
      <c r="AE243" s="3208"/>
      <c r="AF243" s="3208"/>
      <c r="AG243" s="3209"/>
      <c r="AH243" s="1026"/>
      <c r="AI243" s="1026"/>
      <c r="AJ243" s="1026"/>
      <c r="AK243" s="1026"/>
    </row>
    <row r="244" spans="1:39" ht="13">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ht="13">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ht="13">
      <c r="A246" s="1018"/>
      <c r="B246" s="1400" t="s">
        <v>1907</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1910</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1909</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1908</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211">
        <f>IFERROR(('Sources and Uses Budget'!D105/'Sources and Uses Budget'!B105),0)</f>
        <v>9.2803857519721089E-2</v>
      </c>
      <c r="AC249" s="3212"/>
      <c r="AD249" s="3212"/>
      <c r="AE249" s="3212"/>
      <c r="AF249" s="3212"/>
      <c r="AG249" s="3213"/>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ht="13">
      <c r="A251" s="1047"/>
      <c r="B251" s="926" t="s">
        <v>1656</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117">
        <f>AD194*(1-AB249)</f>
        <v>36601633.778963715</v>
      </c>
      <c r="AH251" s="3117"/>
      <c r="AI251" s="3117"/>
      <c r="AJ251" s="3117"/>
      <c r="AK251" s="3117"/>
    </row>
    <row r="252" spans="1:39">
      <c r="A252" s="1047"/>
      <c r="B252" s="1051" t="s">
        <v>1657</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117">
        <f>'Sources and Uses Budget'!C105</f>
        <v>66692157</v>
      </c>
      <c r="AH252" s="3117"/>
      <c r="AI252" s="3117"/>
      <c r="AJ252" s="3117"/>
      <c r="AK252" s="3117"/>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201">
        <f>ROUNDDOWN(IF(AND(C274="Yes",AK72=10),((AG251*2)/AG252),AG251/AG252),2)</f>
        <v>0.54</v>
      </c>
      <c r="AH253" s="3201"/>
      <c r="AI253" s="3201"/>
      <c r="AJ253" s="3201"/>
      <c r="AK253" s="3201"/>
    </row>
    <row r="254" spans="1:39" ht="13">
      <c r="A254" s="1047"/>
      <c r="B254" s="1703" t="s">
        <v>2256</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ht="13">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1658</v>
      </c>
      <c r="AK256" s="3202">
        <f>IF(AG253=0,0,IF((AG253*100)&gt;8,8,(AG253*100)))</f>
        <v>8</v>
      </c>
      <c r="AL256" s="3202"/>
      <c r="AM256" s="3203"/>
    </row>
    <row r="257" spans="1:81" ht="13"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ht="13">
      <c r="A259" s="990" t="s">
        <v>1659</v>
      </c>
      <c r="B259" s="990" t="s">
        <v>1660</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1597</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5" customHeight="1">
      <c r="A261" s="1062"/>
      <c r="B261" s="1067"/>
      <c r="C261" s="3044" t="s">
        <v>580</v>
      </c>
      <c r="D261" s="3044"/>
      <c r="E261" s="942"/>
      <c r="F261" s="3194" t="s">
        <v>1999</v>
      </c>
      <c r="G261" s="3195"/>
      <c r="H261" s="3195"/>
      <c r="I261" s="3195"/>
      <c r="J261" s="3195"/>
      <c r="K261" s="3195"/>
      <c r="L261" s="3195"/>
      <c r="M261" s="3195"/>
      <c r="N261" s="3195"/>
      <c r="O261" s="3195"/>
      <c r="P261" s="3195"/>
      <c r="Q261" s="3195"/>
      <c r="R261" s="3195"/>
      <c r="S261" s="3195"/>
      <c r="T261" s="3195"/>
      <c r="U261" s="3195"/>
      <c r="V261" s="3195"/>
      <c r="W261" s="3195"/>
      <c r="X261" s="3195"/>
      <c r="Y261" s="3195"/>
      <c r="Z261" s="3195"/>
      <c r="AA261" s="3195"/>
      <c r="AB261" s="3195"/>
      <c r="AC261" s="3195"/>
      <c r="AD261" s="3196"/>
      <c r="AE261" s="945"/>
      <c r="AF261" s="1068"/>
      <c r="AG261" s="3200" t="s">
        <v>1661</v>
      </c>
      <c r="AH261" s="3200"/>
      <c r="AI261" s="3200"/>
      <c r="AJ261" s="3200"/>
      <c r="AK261" s="1028"/>
      <c r="AL261" s="1028"/>
      <c r="AM261" s="1028"/>
      <c r="AN261" s="1063"/>
      <c r="AO261" s="945">
        <f>IF($C$261="yes",5,0)</f>
        <v>5</v>
      </c>
      <c r="AS261" s="21"/>
      <c r="AT261" s="21"/>
    </row>
    <row r="262" spans="1:81" ht="13.75" customHeight="1">
      <c r="A262" s="1062"/>
      <c r="B262" s="1067"/>
      <c r="C262" s="1069"/>
      <c r="D262" s="945"/>
      <c r="E262" s="942"/>
      <c r="F262" s="3197"/>
      <c r="G262" s="3198"/>
      <c r="H262" s="3198"/>
      <c r="I262" s="3198"/>
      <c r="J262" s="3198"/>
      <c r="K262" s="3198"/>
      <c r="L262" s="3198"/>
      <c r="M262" s="3198"/>
      <c r="N262" s="3198"/>
      <c r="O262" s="3198"/>
      <c r="P262" s="3198"/>
      <c r="Q262" s="3198"/>
      <c r="R262" s="3198"/>
      <c r="S262" s="3198"/>
      <c r="T262" s="3198"/>
      <c r="U262" s="3198"/>
      <c r="V262" s="3198"/>
      <c r="W262" s="3198"/>
      <c r="X262" s="3198"/>
      <c r="Y262" s="3198"/>
      <c r="Z262" s="3198"/>
      <c r="AA262" s="3198"/>
      <c r="AB262" s="3198"/>
      <c r="AC262" s="3198"/>
      <c r="AD262" s="3199"/>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1599</v>
      </c>
      <c r="AS263" s="21"/>
      <c r="AT263" s="21"/>
    </row>
    <row r="264" spans="1:81" ht="13.75" customHeight="1">
      <c r="A264" s="1062"/>
      <c r="B264" s="1067"/>
      <c r="C264" s="3044" t="s">
        <v>580</v>
      </c>
      <c r="D264" s="3044"/>
      <c r="E264" s="942"/>
      <c r="F264" s="3194" t="s">
        <v>2206</v>
      </c>
      <c r="G264" s="3195"/>
      <c r="H264" s="3195"/>
      <c r="I264" s="3195"/>
      <c r="J264" s="3195"/>
      <c r="K264" s="3195"/>
      <c r="L264" s="3195"/>
      <c r="M264" s="3195"/>
      <c r="N264" s="3195"/>
      <c r="O264" s="3195"/>
      <c r="P264" s="3195"/>
      <c r="Q264" s="3195"/>
      <c r="R264" s="3195"/>
      <c r="S264" s="3195"/>
      <c r="T264" s="3195"/>
      <c r="U264" s="3195"/>
      <c r="V264" s="3195"/>
      <c r="W264" s="3195"/>
      <c r="X264" s="3195"/>
      <c r="Y264" s="3195"/>
      <c r="Z264" s="3195"/>
      <c r="AA264" s="3195"/>
      <c r="AB264" s="3195"/>
      <c r="AC264" s="3195"/>
      <c r="AD264" s="3196"/>
      <c r="AE264" s="945"/>
      <c r="AF264" s="1068"/>
      <c r="AG264" s="3200" t="s">
        <v>1661</v>
      </c>
      <c r="AH264" s="3200"/>
      <c r="AI264" s="3200"/>
      <c r="AJ264" s="3200"/>
      <c r="AK264" s="1028"/>
      <c r="AL264" s="1028"/>
      <c r="AM264" s="1028"/>
      <c r="AN264" s="1063"/>
      <c r="AS264" s="21"/>
      <c r="AT264" s="21"/>
    </row>
    <row r="265" spans="1:81" ht="13.75" customHeight="1">
      <c r="A265" s="1062"/>
      <c r="C265" s="1071"/>
      <c r="D265" s="1071"/>
      <c r="E265" s="1071"/>
      <c r="F265" s="3197"/>
      <c r="G265" s="3198"/>
      <c r="H265" s="3198"/>
      <c r="I265" s="3198"/>
      <c r="J265" s="3198"/>
      <c r="K265" s="3198"/>
      <c r="L265" s="3198"/>
      <c r="M265" s="3198"/>
      <c r="N265" s="3198"/>
      <c r="O265" s="3198"/>
      <c r="P265" s="3198"/>
      <c r="Q265" s="3198"/>
      <c r="R265" s="3198"/>
      <c r="S265" s="3198"/>
      <c r="T265" s="3198"/>
      <c r="U265" s="3198"/>
      <c r="V265" s="3198"/>
      <c r="W265" s="3198"/>
      <c r="X265" s="3198"/>
      <c r="Y265" s="3198"/>
      <c r="Z265" s="3198"/>
      <c r="AA265" s="3198"/>
      <c r="AB265" s="3198"/>
      <c r="AC265" s="3198"/>
      <c r="AD265" s="3199"/>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ht="13">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1662</v>
      </c>
      <c r="AK267" s="3048">
        <f>$AO$263</f>
        <v>10</v>
      </c>
      <c r="AL267" s="3070"/>
      <c r="AM267" s="3049"/>
      <c r="AN267" s="110"/>
      <c r="AR267" s="21"/>
    </row>
    <row r="268" spans="1:81" ht="13" thickBot="1"/>
    <row r="269" spans="1:81" ht="13"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ht="13">
      <c r="A270" s="990" t="s">
        <v>1663</v>
      </c>
      <c r="B270" s="990" t="s">
        <v>2446</v>
      </c>
      <c r="AH270" s="1036" t="s">
        <v>1575</v>
      </c>
    </row>
    <row r="271" spans="1:81" ht="15" customHeight="1">
      <c r="B271" s="934" t="s">
        <v>2445</v>
      </c>
    </row>
    <row r="272" spans="1:81" ht="15" customHeight="1">
      <c r="B272" s="934" t="s">
        <v>2447</v>
      </c>
    </row>
    <row r="273" spans="1:53" ht="1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69" t="s">
        <v>1665</v>
      </c>
      <c r="B274" s="3169"/>
      <c r="C274" s="3044" t="s">
        <v>628</v>
      </c>
      <c r="D274" s="3044"/>
      <c r="E274" s="942"/>
      <c r="F274" s="3191" t="s">
        <v>1666</v>
      </c>
      <c r="G274" s="3192"/>
      <c r="H274" s="3192"/>
      <c r="I274" s="3192"/>
      <c r="J274" s="3192"/>
      <c r="K274" s="3192"/>
      <c r="L274" s="3192"/>
      <c r="M274" s="3192"/>
      <c r="N274" s="3192"/>
      <c r="O274" s="3192"/>
      <c r="P274" s="3192"/>
      <c r="Q274" s="3192"/>
      <c r="R274" s="3192"/>
      <c r="S274" s="3192"/>
      <c r="T274" s="3192"/>
      <c r="U274" s="3192"/>
      <c r="V274" s="3192"/>
      <c r="W274" s="3192"/>
      <c r="X274" s="3192"/>
      <c r="Y274" s="3192"/>
      <c r="Z274" s="3192"/>
      <c r="AA274" s="3192"/>
      <c r="AB274" s="3192"/>
      <c r="AC274" s="3192"/>
      <c r="AD274" s="3193"/>
      <c r="AE274" s="1080"/>
      <c r="AF274" s="945"/>
      <c r="AG274" s="988" t="s">
        <v>1667</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ht="13">
      <c r="A275" s="1076"/>
      <c r="B275" s="1067"/>
      <c r="F275" s="3186"/>
      <c r="G275" s="3050"/>
      <c r="H275" s="3050"/>
      <c r="I275" s="3050"/>
      <c r="J275" s="3050"/>
      <c r="K275" s="3050"/>
      <c r="L275" s="3050"/>
      <c r="M275" s="3050"/>
      <c r="N275" s="3050"/>
      <c r="O275" s="3050"/>
      <c r="P275" s="3050"/>
      <c r="Q275" s="3050"/>
      <c r="R275" s="3050"/>
      <c r="S275" s="3050"/>
      <c r="T275" s="3050"/>
      <c r="U275" s="3050"/>
      <c r="V275" s="3050"/>
      <c r="W275" s="3050"/>
      <c r="X275" s="3050"/>
      <c r="Y275" s="3050"/>
      <c r="Z275" s="3050"/>
      <c r="AA275" s="3050"/>
      <c r="AB275" s="3050"/>
      <c r="AC275" s="3050"/>
      <c r="AD275" s="3187"/>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86"/>
      <c r="G276" s="3050"/>
      <c r="H276" s="3050"/>
      <c r="I276" s="3050"/>
      <c r="J276" s="3050"/>
      <c r="K276" s="3050"/>
      <c r="L276" s="3050"/>
      <c r="M276" s="3050"/>
      <c r="N276" s="3050"/>
      <c r="O276" s="3050"/>
      <c r="P276" s="3050"/>
      <c r="Q276" s="3050"/>
      <c r="R276" s="3050"/>
      <c r="S276" s="3050"/>
      <c r="T276" s="3050"/>
      <c r="U276" s="3050"/>
      <c r="V276" s="3050"/>
      <c r="W276" s="3050"/>
      <c r="X276" s="3050"/>
      <c r="Y276" s="3050"/>
      <c r="Z276" s="3050"/>
      <c r="AA276" s="3050"/>
      <c r="AB276" s="3050"/>
      <c r="AC276" s="3050"/>
      <c r="AD276" s="3187"/>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86" t="s">
        <v>1668</v>
      </c>
      <c r="G277" s="3050"/>
      <c r="H277" s="3050"/>
      <c r="I277" s="3050"/>
      <c r="J277" s="3050"/>
      <c r="K277" s="3050"/>
      <c r="L277" s="3050"/>
      <c r="M277" s="3050"/>
      <c r="N277" s="3050"/>
      <c r="O277" s="3050"/>
      <c r="P277" s="3050"/>
      <c r="Q277" s="3050"/>
      <c r="R277" s="3050"/>
      <c r="S277" s="3050"/>
      <c r="T277" s="3050"/>
      <c r="U277" s="3050"/>
      <c r="V277" s="3050"/>
      <c r="W277" s="3050"/>
      <c r="X277" s="3050"/>
      <c r="Y277" s="3050"/>
      <c r="Z277" s="3050"/>
      <c r="AA277" s="3050"/>
      <c r="AB277" s="3050"/>
      <c r="AC277" s="3050"/>
      <c r="AD277" s="3187"/>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ht="13">
      <c r="A278" s="1076"/>
      <c r="B278" s="1067"/>
      <c r="F278" s="3186"/>
      <c r="G278" s="3050"/>
      <c r="H278" s="3050"/>
      <c r="I278" s="3050"/>
      <c r="J278" s="3050"/>
      <c r="K278" s="3050"/>
      <c r="L278" s="3050"/>
      <c r="M278" s="3050"/>
      <c r="N278" s="3050"/>
      <c r="O278" s="3050"/>
      <c r="P278" s="3050"/>
      <c r="Q278" s="3050"/>
      <c r="R278" s="3050"/>
      <c r="S278" s="3050"/>
      <c r="T278" s="3050"/>
      <c r="U278" s="3050"/>
      <c r="V278" s="3050"/>
      <c r="W278" s="3050"/>
      <c r="X278" s="3050"/>
      <c r="Y278" s="3050"/>
      <c r="Z278" s="3050"/>
      <c r="AA278" s="3050"/>
      <c r="AB278" s="3050"/>
      <c r="AC278" s="3050"/>
      <c r="AD278" s="3187"/>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86" t="s">
        <v>1669</v>
      </c>
      <c r="G279" s="3050"/>
      <c r="H279" s="3050"/>
      <c r="I279" s="3050"/>
      <c r="J279" s="3050"/>
      <c r="K279" s="3050"/>
      <c r="L279" s="3050"/>
      <c r="M279" s="3050"/>
      <c r="N279" s="3050"/>
      <c r="O279" s="3050"/>
      <c r="P279" s="3050"/>
      <c r="Q279" s="3050"/>
      <c r="R279" s="3050"/>
      <c r="S279" s="3050"/>
      <c r="T279" s="3050"/>
      <c r="U279" s="3050"/>
      <c r="V279" s="3050"/>
      <c r="W279" s="3050"/>
      <c r="X279" s="3050"/>
      <c r="Y279" s="3050"/>
      <c r="Z279" s="3050"/>
      <c r="AA279" s="3050"/>
      <c r="AB279" s="3050"/>
      <c r="AC279" s="3050"/>
      <c r="AD279" s="3187"/>
      <c r="AE279" s="1080"/>
      <c r="AF279" s="946"/>
      <c r="AG279" s="946"/>
      <c r="AH279" s="946"/>
      <c r="AI279" s="946"/>
      <c r="AJ279" s="945"/>
      <c r="AK279" s="1028"/>
      <c r="AL279" s="1028"/>
      <c r="AM279" s="1028"/>
      <c r="AN279" s="110"/>
      <c r="AO279" s="51"/>
      <c r="AP279" s="1081">
        <f>MAX(AP275,AP276,AP277,AP278)</f>
        <v>9</v>
      </c>
      <c r="AQ279" s="970" t="s">
        <v>1599</v>
      </c>
      <c r="AR279" s="21"/>
      <c r="AS279" s="1077"/>
      <c r="AT279" s="1077"/>
      <c r="AU279" s="1077"/>
      <c r="AV279" s="1079"/>
      <c r="AW279" s="1079"/>
      <c r="AX279" s="112"/>
      <c r="AY279" s="112"/>
      <c r="AZ279" s="112"/>
      <c r="BA279" s="112"/>
    </row>
    <row r="280" spans="1:53" ht="15" customHeight="1">
      <c r="A280" s="1062"/>
      <c r="B280" s="946"/>
      <c r="C280" s="946"/>
      <c r="D280" s="946"/>
      <c r="E280" s="946"/>
      <c r="F280" s="3186"/>
      <c r="G280" s="3050"/>
      <c r="H280" s="3050"/>
      <c r="I280" s="3050"/>
      <c r="J280" s="3050"/>
      <c r="K280" s="3050"/>
      <c r="L280" s="3050"/>
      <c r="M280" s="3050"/>
      <c r="N280" s="3050"/>
      <c r="O280" s="3050"/>
      <c r="P280" s="3050"/>
      <c r="Q280" s="3050"/>
      <c r="R280" s="3050"/>
      <c r="S280" s="3050"/>
      <c r="T280" s="3050"/>
      <c r="U280" s="3050"/>
      <c r="V280" s="3050"/>
      <c r="W280" s="3050"/>
      <c r="X280" s="3050"/>
      <c r="Y280" s="3050"/>
      <c r="Z280" s="3050"/>
      <c r="AA280" s="3050"/>
      <c r="AB280" s="3050"/>
      <c r="AC280" s="3050"/>
      <c r="AD280" s="3187"/>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86" t="s">
        <v>1670</v>
      </c>
      <c r="G281" s="3050"/>
      <c r="H281" s="3050"/>
      <c r="I281" s="3050"/>
      <c r="J281" s="3050"/>
      <c r="K281" s="3050"/>
      <c r="L281" s="3050"/>
      <c r="M281" s="3050"/>
      <c r="N281" s="3050"/>
      <c r="O281" s="3050"/>
      <c r="P281" s="3050"/>
      <c r="Q281" s="3050"/>
      <c r="R281" s="3050"/>
      <c r="S281" s="3050"/>
      <c r="T281" s="3050"/>
      <c r="U281" s="3050"/>
      <c r="V281" s="3050"/>
      <c r="W281" s="3050"/>
      <c r="X281" s="3050"/>
      <c r="Y281" s="3050"/>
      <c r="Z281" s="3050"/>
      <c r="AA281" s="3050"/>
      <c r="AB281" s="3050"/>
      <c r="AC281" s="3050"/>
      <c r="AD281" s="3187"/>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88"/>
      <c r="G282" s="3189"/>
      <c r="H282" s="3189"/>
      <c r="I282" s="3189"/>
      <c r="J282" s="3189"/>
      <c r="K282" s="3189"/>
      <c r="L282" s="3189"/>
      <c r="M282" s="3189"/>
      <c r="N282" s="3189"/>
      <c r="O282" s="3189"/>
      <c r="P282" s="3189"/>
      <c r="Q282" s="3189"/>
      <c r="R282" s="3189"/>
      <c r="S282" s="3189"/>
      <c r="T282" s="3189"/>
      <c r="U282" s="3189"/>
      <c r="V282" s="3189"/>
      <c r="W282" s="3189"/>
      <c r="X282" s="3189"/>
      <c r="Y282" s="3189"/>
      <c r="Z282" s="3189"/>
      <c r="AA282" s="3189"/>
      <c r="AB282" s="3189"/>
      <c r="AC282" s="3189"/>
      <c r="AD282" s="3190"/>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69" t="s">
        <v>1671</v>
      </c>
      <c r="B284" s="3169"/>
      <c r="C284" s="3044" t="s">
        <v>628</v>
      </c>
      <c r="D284" s="3044"/>
      <c r="E284" s="942"/>
      <c r="F284" s="1084" t="s">
        <v>1672</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1673</v>
      </c>
      <c r="AH284" s="946"/>
      <c r="AI284" s="946"/>
      <c r="AJ284" s="945"/>
      <c r="AK284" s="1028"/>
      <c r="AL284" s="1028"/>
      <c r="AM284" s="1028"/>
      <c r="AN284" s="1087"/>
      <c r="AO284" s="51"/>
      <c r="AR284" s="21"/>
    </row>
    <row r="285" spans="1:53">
      <c r="A285" s="1062"/>
      <c r="B285" s="946"/>
      <c r="C285" s="945"/>
      <c r="D285" s="946"/>
      <c r="E285" s="945"/>
      <c r="F285" s="3186" t="s">
        <v>1674</v>
      </c>
      <c r="G285" s="3050"/>
      <c r="H285" s="3050"/>
      <c r="I285" s="3050"/>
      <c r="J285" s="3050"/>
      <c r="K285" s="3050"/>
      <c r="L285" s="3050"/>
      <c r="M285" s="3050"/>
      <c r="N285" s="3050"/>
      <c r="O285" s="3050"/>
      <c r="P285" s="3050"/>
      <c r="Q285" s="3050"/>
      <c r="R285" s="3050"/>
      <c r="S285" s="3050"/>
      <c r="T285" s="3050"/>
      <c r="U285" s="3050"/>
      <c r="V285" s="3050"/>
      <c r="W285" s="3050"/>
      <c r="X285" s="3050"/>
      <c r="Y285" s="3050"/>
      <c r="Z285" s="3050"/>
      <c r="AA285" s="3050"/>
      <c r="AB285" s="3050"/>
      <c r="AC285" s="3050"/>
      <c r="AD285" s="3187"/>
      <c r="AE285" s="946"/>
      <c r="AF285" s="946"/>
      <c r="AG285" s="946"/>
      <c r="AH285" s="946"/>
      <c r="AI285" s="946"/>
      <c r="AJ285" s="945"/>
      <c r="AK285" s="1028"/>
      <c r="AL285" s="1028"/>
      <c r="AM285" s="1028"/>
      <c r="AR285" s="1088"/>
    </row>
    <row r="286" spans="1:53" ht="15" customHeight="1">
      <c r="A286" s="1062"/>
      <c r="B286" s="946"/>
      <c r="C286" s="945"/>
      <c r="D286" s="946"/>
      <c r="E286" s="945"/>
      <c r="F286" s="3186"/>
      <c r="G286" s="3050"/>
      <c r="H286" s="3050"/>
      <c r="I286" s="3050"/>
      <c r="J286" s="3050"/>
      <c r="K286" s="3050"/>
      <c r="L286" s="3050"/>
      <c r="M286" s="3050"/>
      <c r="N286" s="3050"/>
      <c r="O286" s="3050"/>
      <c r="P286" s="3050"/>
      <c r="Q286" s="3050"/>
      <c r="R286" s="3050"/>
      <c r="S286" s="3050"/>
      <c r="T286" s="3050"/>
      <c r="U286" s="3050"/>
      <c r="V286" s="3050"/>
      <c r="W286" s="3050"/>
      <c r="X286" s="3050"/>
      <c r="Y286" s="3050"/>
      <c r="Z286" s="3050"/>
      <c r="AA286" s="3050"/>
      <c r="AB286" s="3050"/>
      <c r="AC286" s="3050"/>
      <c r="AD286" s="3187"/>
      <c r="AE286" s="946"/>
      <c r="AF286" s="946"/>
      <c r="AG286" s="946"/>
      <c r="AH286" s="946"/>
      <c r="AI286" s="946"/>
      <c r="AJ286" s="945"/>
      <c r="AK286" s="1028"/>
      <c r="AL286" s="1028"/>
      <c r="AM286" s="1028"/>
      <c r="AR286" s="1088"/>
    </row>
    <row r="287" spans="1:53">
      <c r="A287" s="1062"/>
      <c r="B287" s="946"/>
      <c r="C287" s="945"/>
      <c r="D287" s="946"/>
      <c r="E287" s="945"/>
      <c r="F287" s="3186" t="s">
        <v>1669</v>
      </c>
      <c r="G287" s="3050"/>
      <c r="H287" s="3050"/>
      <c r="I287" s="3050"/>
      <c r="J287" s="3050"/>
      <c r="K287" s="3050"/>
      <c r="L287" s="3050"/>
      <c r="M287" s="3050"/>
      <c r="N287" s="3050"/>
      <c r="O287" s="3050"/>
      <c r="P287" s="3050"/>
      <c r="Q287" s="3050"/>
      <c r="R287" s="3050"/>
      <c r="S287" s="3050"/>
      <c r="T287" s="3050"/>
      <c r="U287" s="3050"/>
      <c r="V287" s="3050"/>
      <c r="W287" s="3050"/>
      <c r="X287" s="3050"/>
      <c r="Y287" s="3050"/>
      <c r="Z287" s="3050"/>
      <c r="AA287" s="3050"/>
      <c r="AB287" s="3050"/>
      <c r="AC287" s="3050"/>
      <c r="AD287" s="3187"/>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86"/>
      <c r="G288" s="3050"/>
      <c r="H288" s="3050"/>
      <c r="I288" s="3050"/>
      <c r="J288" s="3050"/>
      <c r="K288" s="3050"/>
      <c r="L288" s="3050"/>
      <c r="M288" s="3050"/>
      <c r="N288" s="3050"/>
      <c r="O288" s="3050"/>
      <c r="P288" s="3050"/>
      <c r="Q288" s="3050"/>
      <c r="R288" s="3050"/>
      <c r="S288" s="3050"/>
      <c r="T288" s="3050"/>
      <c r="U288" s="3050"/>
      <c r="V288" s="3050"/>
      <c r="W288" s="3050"/>
      <c r="X288" s="3050"/>
      <c r="Y288" s="3050"/>
      <c r="Z288" s="3050"/>
      <c r="AA288" s="3050"/>
      <c r="AB288" s="3050"/>
      <c r="AC288" s="3050"/>
      <c r="AD288" s="3187"/>
      <c r="AE288" s="946"/>
      <c r="AF288" s="946"/>
      <c r="AG288" s="946"/>
      <c r="AH288" s="946"/>
      <c r="AI288" s="946"/>
      <c r="AJ288" s="945"/>
      <c r="AK288" s="1028"/>
      <c r="AL288" s="1028"/>
      <c r="AM288" s="1028"/>
      <c r="AP288" s="1081"/>
      <c r="AQ288" s="970"/>
      <c r="AR288" s="1088"/>
    </row>
    <row r="289" spans="1:60">
      <c r="A289" s="1062"/>
      <c r="B289" s="946"/>
      <c r="C289" s="945"/>
      <c r="D289" s="946"/>
      <c r="E289" s="945"/>
      <c r="F289" s="3186" t="s">
        <v>1675</v>
      </c>
      <c r="G289" s="3050"/>
      <c r="H289" s="3050"/>
      <c r="I289" s="3050"/>
      <c r="J289" s="3050"/>
      <c r="K289" s="3050"/>
      <c r="L289" s="3050"/>
      <c r="M289" s="3050"/>
      <c r="N289" s="3050"/>
      <c r="O289" s="3050"/>
      <c r="P289" s="3050"/>
      <c r="Q289" s="3050"/>
      <c r="R289" s="3050"/>
      <c r="S289" s="3050"/>
      <c r="T289" s="3050"/>
      <c r="U289" s="3050"/>
      <c r="V289" s="3050"/>
      <c r="W289" s="3050"/>
      <c r="X289" s="3050"/>
      <c r="Y289" s="3050"/>
      <c r="Z289" s="3050"/>
      <c r="AA289" s="3050"/>
      <c r="AB289" s="3050"/>
      <c r="AC289" s="3050"/>
      <c r="AD289" s="3187"/>
      <c r="AE289" s="946"/>
      <c r="AF289" s="946"/>
      <c r="AG289" s="946"/>
      <c r="AH289" s="946"/>
      <c r="AI289" s="946"/>
      <c r="AJ289" s="945"/>
      <c r="AK289" s="1028"/>
      <c r="AL289" s="1028"/>
      <c r="AM289" s="1028"/>
      <c r="AP289" s="1081"/>
      <c r="AQ289" s="970"/>
      <c r="AR289" s="1088"/>
    </row>
    <row r="290" spans="1:60">
      <c r="A290" s="1062"/>
      <c r="B290" s="946"/>
      <c r="C290" s="945"/>
      <c r="D290" s="946"/>
      <c r="E290" s="945"/>
      <c r="F290" s="3188"/>
      <c r="G290" s="3189"/>
      <c r="H290" s="3189"/>
      <c r="I290" s="3189"/>
      <c r="J290" s="3189"/>
      <c r="K290" s="3189"/>
      <c r="L290" s="3189"/>
      <c r="M290" s="3189"/>
      <c r="N290" s="3189"/>
      <c r="O290" s="3189"/>
      <c r="P290" s="3189"/>
      <c r="Q290" s="3189"/>
      <c r="R290" s="3189"/>
      <c r="S290" s="3189"/>
      <c r="T290" s="3189"/>
      <c r="U290" s="3189"/>
      <c r="V290" s="3189"/>
      <c r="W290" s="3189"/>
      <c r="X290" s="3189"/>
      <c r="Y290" s="3189"/>
      <c r="Z290" s="3189"/>
      <c r="AA290" s="3189"/>
      <c r="AB290" s="3189"/>
      <c r="AC290" s="3189"/>
      <c r="AD290" s="3190"/>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ht="13">
      <c r="A292" s="3169" t="s">
        <v>1676</v>
      </c>
      <c r="B292" s="3169"/>
      <c r="C292" s="3044" t="s">
        <v>628</v>
      </c>
      <c r="D292" s="3044"/>
      <c r="E292" s="942"/>
      <c r="F292" s="1084" t="s">
        <v>1672</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1673</v>
      </c>
      <c r="AH292" s="946"/>
      <c r="AI292" s="946"/>
      <c r="AJ292" s="945"/>
      <c r="AK292" s="1028"/>
      <c r="AL292" s="1028"/>
      <c r="AM292" s="1028"/>
      <c r="AN292" s="110"/>
      <c r="AO292" s="51"/>
      <c r="AR292" s="21"/>
    </row>
    <row r="293" spans="1:60" ht="13">
      <c r="A293" s="1814"/>
      <c r="B293" s="1814"/>
      <c r="C293" s="1810"/>
      <c r="D293" s="1810"/>
      <c r="E293" s="942"/>
      <c r="F293" s="3186" t="s">
        <v>1677</v>
      </c>
      <c r="G293" s="3050"/>
      <c r="H293" s="3050"/>
      <c r="I293" s="3050"/>
      <c r="J293" s="3050"/>
      <c r="K293" s="3050"/>
      <c r="L293" s="3050"/>
      <c r="M293" s="3050"/>
      <c r="N293" s="3050"/>
      <c r="O293" s="3050"/>
      <c r="P293" s="3050"/>
      <c r="Q293" s="3050"/>
      <c r="R293" s="3050"/>
      <c r="S293" s="3050"/>
      <c r="T293" s="3050"/>
      <c r="U293" s="3050"/>
      <c r="V293" s="3050"/>
      <c r="W293" s="3050"/>
      <c r="X293" s="3050"/>
      <c r="Y293" s="3050"/>
      <c r="Z293" s="3050"/>
      <c r="AA293" s="3050"/>
      <c r="AB293" s="3050"/>
      <c r="AC293" s="3050"/>
      <c r="AD293" s="3187"/>
      <c r="AE293" s="946"/>
      <c r="AF293" s="946"/>
      <c r="AG293" s="1014"/>
      <c r="AH293" s="946"/>
      <c r="AI293" s="946"/>
      <c r="AJ293" s="945"/>
      <c r="AK293" s="1028"/>
      <c r="AL293" s="1028"/>
      <c r="AM293" s="1028"/>
      <c r="AN293" s="110"/>
      <c r="AO293" s="51"/>
      <c r="AP293" s="952" t="s">
        <v>1387</v>
      </c>
      <c r="AR293" s="21"/>
    </row>
    <row r="294" spans="1:60" s="21" customFormat="1">
      <c r="F294" s="3186"/>
      <c r="G294" s="3050"/>
      <c r="H294" s="3050"/>
      <c r="I294" s="3050"/>
      <c r="J294" s="3050"/>
      <c r="K294" s="3050"/>
      <c r="L294" s="3050"/>
      <c r="M294" s="3050"/>
      <c r="N294" s="3050"/>
      <c r="O294" s="3050"/>
      <c r="P294" s="3050"/>
      <c r="Q294" s="3050"/>
      <c r="R294" s="3050"/>
      <c r="S294" s="3050"/>
      <c r="T294" s="3050"/>
      <c r="U294" s="3050"/>
      <c r="V294" s="3050"/>
      <c r="W294" s="3050"/>
      <c r="X294" s="3050"/>
      <c r="Y294" s="3050"/>
      <c r="Z294" s="3050"/>
      <c r="AA294" s="3050"/>
      <c r="AB294" s="3050"/>
      <c r="AC294" s="3050"/>
      <c r="AD294" s="3187"/>
      <c r="AE294" s="946"/>
      <c r="AF294" s="946"/>
      <c r="AH294" s="946"/>
      <c r="AI294" s="946"/>
      <c r="AJ294" s="1091"/>
      <c r="AK294" s="1062"/>
      <c r="AL294" s="1062"/>
      <c r="AM294" s="1062"/>
      <c r="AN294" s="1092"/>
      <c r="AP294" s="1093" t="s">
        <v>2244</v>
      </c>
      <c r="BD294" s="1094"/>
      <c r="BE294" s="1094"/>
      <c r="BF294" s="1094"/>
      <c r="BG294" s="1094"/>
      <c r="BH294" s="1094"/>
    </row>
    <row r="295" spans="1:60" ht="13">
      <c r="A295" s="1062"/>
      <c r="B295" s="946"/>
      <c r="C295" s="1810"/>
      <c r="D295" s="1810"/>
      <c r="E295" s="942"/>
      <c r="F295" s="1096" t="s">
        <v>1678</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2246</v>
      </c>
      <c r="AR295" s="21"/>
    </row>
    <row r="296" spans="1:60" ht="13">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2449</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76" t="s">
        <v>1387</v>
      </c>
      <c r="G298" s="3177"/>
      <c r="H298" s="3177"/>
      <c r="I298" s="3177"/>
      <c r="J298" s="3177"/>
      <c r="K298" s="3177"/>
      <c r="L298" s="3177"/>
      <c r="M298" s="3177"/>
      <c r="N298" s="3177"/>
      <c r="O298" s="3177"/>
      <c r="P298" s="3177"/>
      <c r="Q298" s="3177"/>
      <c r="R298" s="3177"/>
      <c r="S298" s="3177"/>
      <c r="T298" s="3177"/>
      <c r="U298" s="3177"/>
      <c r="V298" s="3177"/>
      <c r="W298" s="3177"/>
      <c r="X298" s="3177"/>
      <c r="Y298" s="3177"/>
      <c r="Z298" s="3177"/>
      <c r="AA298" s="3177"/>
      <c r="AB298" s="3177"/>
      <c r="AC298" s="3177"/>
      <c r="AD298" s="3178"/>
      <c r="AE298" s="1080"/>
      <c r="AF298" s="1080"/>
      <c r="AG298" s="1080"/>
      <c r="AH298" s="1080"/>
      <c r="AI298" s="1080"/>
      <c r="AJ298" s="1080"/>
      <c r="AK298" s="1080"/>
      <c r="AL298" s="1028"/>
      <c r="AM298" s="1028"/>
      <c r="AN298" s="110"/>
      <c r="AO298" s="51"/>
      <c r="AP298" s="126"/>
      <c r="AR298" s="21"/>
    </row>
    <row r="299" spans="1:60" ht="13">
      <c r="A299" s="1062"/>
      <c r="B299" s="946"/>
      <c r="C299" s="1810"/>
      <c r="D299" s="1810"/>
      <c r="E299" s="942"/>
      <c r="F299" s="3176"/>
      <c r="G299" s="3177"/>
      <c r="H299" s="3177"/>
      <c r="I299" s="3177"/>
      <c r="J299" s="3177"/>
      <c r="K299" s="3177"/>
      <c r="L299" s="3177"/>
      <c r="M299" s="3177"/>
      <c r="N299" s="3177"/>
      <c r="O299" s="3177"/>
      <c r="P299" s="3177"/>
      <c r="Q299" s="3177"/>
      <c r="R299" s="3177"/>
      <c r="S299" s="3177"/>
      <c r="T299" s="3177"/>
      <c r="U299" s="3177"/>
      <c r="V299" s="3177"/>
      <c r="W299" s="3177"/>
      <c r="X299" s="3177"/>
      <c r="Y299" s="3177"/>
      <c r="Z299" s="3177"/>
      <c r="AA299" s="3177"/>
      <c r="AB299" s="3177"/>
      <c r="AC299" s="3177"/>
      <c r="AD299" s="3178"/>
      <c r="AE299" s="946"/>
      <c r="AF299" s="946"/>
      <c r="AG299" s="988"/>
      <c r="AH299" s="946"/>
      <c r="AI299" s="946"/>
      <c r="AJ299" s="1028"/>
      <c r="AK299" s="1028"/>
      <c r="AL299" s="1028"/>
      <c r="AM299" s="1028"/>
      <c r="AN299" s="110"/>
      <c r="AO299" s="51"/>
      <c r="AP299" s="126"/>
      <c r="AR299" s="21"/>
    </row>
    <row r="300" spans="1:60" ht="13">
      <c r="A300" s="1062"/>
      <c r="B300" s="946"/>
      <c r="C300" s="1810"/>
      <c r="D300" s="1810"/>
      <c r="E300" s="942"/>
      <c r="F300" s="3176"/>
      <c r="G300" s="3177"/>
      <c r="H300" s="3177"/>
      <c r="I300" s="3177"/>
      <c r="J300" s="3177"/>
      <c r="K300" s="3177"/>
      <c r="L300" s="3177"/>
      <c r="M300" s="3177"/>
      <c r="N300" s="3177"/>
      <c r="O300" s="3177"/>
      <c r="P300" s="3177"/>
      <c r="Q300" s="3177"/>
      <c r="R300" s="3177"/>
      <c r="S300" s="3177"/>
      <c r="T300" s="3177"/>
      <c r="U300" s="3177"/>
      <c r="V300" s="3177"/>
      <c r="W300" s="3177"/>
      <c r="X300" s="3177"/>
      <c r="Y300" s="3177"/>
      <c r="Z300" s="3177"/>
      <c r="AA300" s="3177"/>
      <c r="AB300" s="3177"/>
      <c r="AC300" s="3177"/>
      <c r="AD300" s="3178"/>
      <c r="AE300" s="946"/>
      <c r="AF300" s="946"/>
      <c r="AG300" s="988"/>
      <c r="AH300" s="946"/>
      <c r="AI300" s="946"/>
      <c r="AJ300" s="1028"/>
      <c r="AK300" s="1028"/>
      <c r="AL300" s="1028"/>
      <c r="AM300" s="1028"/>
      <c r="AN300" s="110"/>
      <c r="AO300" s="51"/>
      <c r="AP300" s="126"/>
      <c r="AR300" s="21"/>
    </row>
    <row r="301" spans="1:60" ht="13">
      <c r="A301" s="1062"/>
      <c r="B301" s="946"/>
      <c r="C301" s="1810"/>
      <c r="D301" s="1810"/>
      <c r="E301" s="942"/>
      <c r="F301" s="3176"/>
      <c r="G301" s="3177"/>
      <c r="H301" s="3177"/>
      <c r="I301" s="3177"/>
      <c r="J301" s="3177"/>
      <c r="K301" s="3177"/>
      <c r="L301" s="3177"/>
      <c r="M301" s="3177"/>
      <c r="N301" s="3177"/>
      <c r="O301" s="3177"/>
      <c r="P301" s="3177"/>
      <c r="Q301" s="3177"/>
      <c r="R301" s="3177"/>
      <c r="S301" s="3177"/>
      <c r="T301" s="3177"/>
      <c r="U301" s="3177"/>
      <c r="V301" s="3177"/>
      <c r="W301" s="3177"/>
      <c r="X301" s="3177"/>
      <c r="Y301" s="3177"/>
      <c r="Z301" s="3177"/>
      <c r="AA301" s="3177"/>
      <c r="AB301" s="3177"/>
      <c r="AC301" s="3177"/>
      <c r="AD301" s="3178"/>
      <c r="AE301" s="946"/>
      <c r="AF301" s="946"/>
      <c r="AG301" s="988"/>
      <c r="AH301" s="946"/>
      <c r="AI301" s="946"/>
      <c r="AJ301" s="1028"/>
      <c r="AK301" s="1028"/>
      <c r="AL301" s="1028"/>
      <c r="AM301" s="1028"/>
      <c r="AN301" s="110"/>
      <c r="AO301" s="51"/>
      <c r="AP301" s="126"/>
      <c r="AR301" s="21"/>
    </row>
    <row r="302" spans="1:60" ht="13">
      <c r="A302" s="1062"/>
      <c r="B302" s="946"/>
      <c r="C302" s="1810"/>
      <c r="D302" s="1810"/>
      <c r="E302" s="942"/>
      <c r="F302" s="3179"/>
      <c r="G302" s="3180"/>
      <c r="H302" s="3180"/>
      <c r="I302" s="3180"/>
      <c r="J302" s="3180"/>
      <c r="K302" s="3180"/>
      <c r="L302" s="3180"/>
      <c r="M302" s="3180"/>
      <c r="N302" s="3180"/>
      <c r="O302" s="3180"/>
      <c r="P302" s="3180"/>
      <c r="Q302" s="3180"/>
      <c r="R302" s="3180"/>
      <c r="S302" s="3180"/>
      <c r="T302" s="3180"/>
      <c r="U302" s="3180"/>
      <c r="V302" s="3180"/>
      <c r="W302" s="3180"/>
      <c r="X302" s="3180"/>
      <c r="Y302" s="3180"/>
      <c r="Z302" s="3180"/>
      <c r="AA302" s="3180"/>
      <c r="AB302" s="3180"/>
      <c r="AC302" s="3180"/>
      <c r="AD302" s="3181"/>
      <c r="AE302" s="946"/>
      <c r="AF302" s="946"/>
      <c r="AG302" s="988"/>
      <c r="AH302" s="946"/>
      <c r="AI302" s="946"/>
      <c r="AJ302" s="1027"/>
      <c r="AK302" s="1028"/>
      <c r="AL302" s="1028"/>
      <c r="AM302" s="1028"/>
      <c r="AN302" s="110"/>
      <c r="AO302" s="51"/>
      <c r="AP302" s="126"/>
      <c r="AR302" s="21"/>
    </row>
    <row r="303" spans="1:60" s="56" customFormat="1" ht="13">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ht="13">
      <c r="A304" s="1062"/>
      <c r="B304" s="946"/>
      <c r="C304" s="1810"/>
      <c r="D304" s="1810"/>
      <c r="E304" s="942"/>
      <c r="F304" s="1098" t="s">
        <v>2245</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ht="13">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75" customHeight="1">
      <c r="A306" s="1062"/>
      <c r="B306" s="946"/>
      <c r="C306" s="1810"/>
      <c r="D306" s="1810"/>
      <c r="E306" s="942"/>
      <c r="F306" s="1100"/>
      <c r="G306" s="971" t="s">
        <v>727</v>
      </c>
      <c r="H306" s="971"/>
      <c r="I306" s="3182" t="s">
        <v>1387</v>
      </c>
      <c r="J306" s="3182"/>
      <c r="K306" s="3182"/>
      <c r="L306" s="3182"/>
      <c r="M306" s="3182"/>
      <c r="N306" s="3182"/>
      <c r="O306" s="3182"/>
      <c r="P306" s="3182"/>
      <c r="Q306" s="3182"/>
      <c r="R306" s="3182"/>
      <c r="S306" s="3182"/>
      <c r="T306" s="3182"/>
      <c r="U306" s="3182"/>
      <c r="V306" s="3182"/>
      <c r="W306" s="3182"/>
      <c r="X306" s="3182"/>
      <c r="Y306" s="3182"/>
      <c r="Z306" s="3182"/>
      <c r="AA306" s="3182"/>
      <c r="AB306" s="3182"/>
      <c r="AC306" s="3182"/>
      <c r="AD306" s="3183"/>
      <c r="AE306" s="946"/>
      <c r="AF306" s="946"/>
      <c r="AG306" s="988"/>
      <c r="AH306" s="946"/>
      <c r="AI306" s="946"/>
      <c r="AJ306" s="945"/>
      <c r="AK306" s="1028"/>
      <c r="AL306" s="1028"/>
      <c r="AM306" s="1028"/>
      <c r="AN306" s="110"/>
      <c r="AO306" s="51"/>
      <c r="AP306" s="952" t="s">
        <v>2003</v>
      </c>
      <c r="AR306" s="21"/>
    </row>
    <row r="307" spans="1:60" ht="13">
      <c r="A307" s="1062"/>
      <c r="B307" s="946"/>
      <c r="C307" s="1810"/>
      <c r="D307" s="1810"/>
      <c r="E307" s="942"/>
      <c r="F307" s="1100"/>
      <c r="G307" s="971"/>
      <c r="H307" s="971"/>
      <c r="I307" s="3182"/>
      <c r="J307" s="3182"/>
      <c r="K307" s="3182"/>
      <c r="L307" s="3182"/>
      <c r="M307" s="3182"/>
      <c r="N307" s="3182"/>
      <c r="O307" s="3182"/>
      <c r="P307" s="3182"/>
      <c r="Q307" s="3182"/>
      <c r="R307" s="3182"/>
      <c r="S307" s="3182"/>
      <c r="T307" s="3182"/>
      <c r="U307" s="3182"/>
      <c r="V307" s="3182"/>
      <c r="W307" s="3182"/>
      <c r="X307" s="3182"/>
      <c r="Y307" s="3182"/>
      <c r="Z307" s="3182"/>
      <c r="AA307" s="3182"/>
      <c r="AB307" s="3182"/>
      <c r="AC307" s="3182"/>
      <c r="AD307" s="3183"/>
      <c r="AE307" s="946"/>
      <c r="AF307" s="946"/>
      <c r="AG307" s="988"/>
      <c r="AH307" s="946"/>
      <c r="AI307" s="946"/>
      <c r="AJ307" s="945"/>
      <c r="AK307" s="1028"/>
      <c r="AL307" s="1028"/>
      <c r="AM307" s="1028"/>
      <c r="AN307" s="110"/>
      <c r="AO307" s="51"/>
      <c r="AP307" s="952" t="s">
        <v>2247</v>
      </c>
      <c r="AR307" s="21"/>
    </row>
    <row r="308" spans="1:60" ht="13">
      <c r="A308" s="1062"/>
      <c r="B308" s="946"/>
      <c r="C308" s="1095"/>
      <c r="D308" s="1095"/>
      <c r="E308" s="942"/>
      <c r="F308" s="1100"/>
      <c r="G308" s="971"/>
      <c r="H308" s="971"/>
      <c r="I308" s="3182"/>
      <c r="J308" s="3182"/>
      <c r="K308" s="3182"/>
      <c r="L308" s="3182"/>
      <c r="M308" s="3182"/>
      <c r="N308" s="3182"/>
      <c r="O308" s="3182"/>
      <c r="P308" s="3182"/>
      <c r="Q308" s="3182"/>
      <c r="R308" s="3182"/>
      <c r="S308" s="3182"/>
      <c r="T308" s="3182"/>
      <c r="U308" s="3182"/>
      <c r="V308" s="3182"/>
      <c r="W308" s="3182"/>
      <c r="X308" s="3182"/>
      <c r="Y308" s="3182"/>
      <c r="Z308" s="3182"/>
      <c r="AA308" s="3182"/>
      <c r="AB308" s="3182"/>
      <c r="AC308" s="3182"/>
      <c r="AD308" s="3183"/>
      <c r="AE308" s="946"/>
      <c r="AF308" s="946"/>
      <c r="AG308" s="988"/>
      <c r="AH308" s="946"/>
      <c r="AI308" s="946"/>
      <c r="AJ308" s="945"/>
      <c r="AK308" s="1028"/>
      <c r="AL308" s="1028"/>
      <c r="AM308" s="1028"/>
      <c r="AN308" s="110"/>
      <c r="AO308" s="51"/>
      <c r="AP308" s="952" t="s">
        <v>2249</v>
      </c>
      <c r="AR308" s="21"/>
    </row>
    <row r="309" spans="1:60" ht="13">
      <c r="A309" s="1062"/>
      <c r="B309" s="946"/>
      <c r="C309" s="1095"/>
      <c r="D309" s="1095"/>
      <c r="E309" s="942"/>
      <c r="F309" s="1098"/>
      <c r="G309" s="946"/>
      <c r="H309" s="946"/>
      <c r="I309" s="3184"/>
      <c r="J309" s="3184"/>
      <c r="K309" s="3184"/>
      <c r="L309" s="3184"/>
      <c r="M309" s="3184"/>
      <c r="N309" s="3184"/>
      <c r="O309" s="3184"/>
      <c r="P309" s="3184"/>
      <c r="Q309" s="3184"/>
      <c r="R309" s="3184"/>
      <c r="S309" s="3184"/>
      <c r="T309" s="3184"/>
      <c r="U309" s="3184"/>
      <c r="V309" s="3184"/>
      <c r="W309" s="3184"/>
      <c r="X309" s="3184"/>
      <c r="Y309" s="3184"/>
      <c r="Z309" s="3184"/>
      <c r="AA309" s="3184"/>
      <c r="AB309" s="3184"/>
      <c r="AC309" s="3184"/>
      <c r="AD309" s="3185"/>
      <c r="AE309" s="946"/>
      <c r="AF309" s="946"/>
      <c r="AG309" s="988"/>
      <c r="AH309" s="946"/>
      <c r="AI309" s="946"/>
      <c r="AJ309" s="945"/>
      <c r="AK309" s="1028"/>
      <c r="AL309" s="1028"/>
      <c r="AM309" s="1028"/>
      <c r="AN309" s="110"/>
      <c r="AO309" s="51"/>
      <c r="AP309" s="952" t="s">
        <v>2248</v>
      </c>
      <c r="AR309" s="21"/>
    </row>
    <row r="310" spans="1:60" ht="13">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ht="13">
      <c r="A311" s="1062"/>
      <c r="B311" s="946"/>
      <c r="C311" s="1095"/>
      <c r="D311" s="1095"/>
      <c r="E311" s="942"/>
      <c r="F311" s="1098"/>
      <c r="G311" s="946" t="s">
        <v>544</v>
      </c>
      <c r="H311" s="946"/>
      <c r="I311" s="3182" t="s">
        <v>1387</v>
      </c>
      <c r="J311" s="3182"/>
      <c r="K311" s="3182"/>
      <c r="L311" s="3182"/>
      <c r="M311" s="3182"/>
      <c r="N311" s="3182"/>
      <c r="O311" s="3182"/>
      <c r="P311" s="3182"/>
      <c r="Q311" s="3182"/>
      <c r="R311" s="3182"/>
      <c r="S311" s="3182"/>
      <c r="T311" s="3182"/>
      <c r="U311" s="3182"/>
      <c r="V311" s="3182"/>
      <c r="W311" s="3182"/>
      <c r="X311" s="3182"/>
      <c r="Y311" s="3182"/>
      <c r="Z311" s="3182"/>
      <c r="AA311" s="3182"/>
      <c r="AB311" s="3182"/>
      <c r="AC311" s="3182"/>
      <c r="AD311" s="3183"/>
      <c r="AE311" s="946"/>
      <c r="AF311" s="946"/>
      <c r="AG311" s="988"/>
      <c r="AH311" s="946"/>
      <c r="AI311" s="946"/>
      <c r="AJ311" s="945"/>
      <c r="AK311" s="1028"/>
      <c r="AL311" s="1028"/>
      <c r="AM311" s="1028"/>
      <c r="AN311" s="110"/>
      <c r="AO311" s="51"/>
      <c r="AR311" s="21"/>
    </row>
    <row r="312" spans="1:60" ht="13">
      <c r="A312" s="1062"/>
      <c r="B312" s="946"/>
      <c r="C312" s="1095"/>
      <c r="D312" s="1095"/>
      <c r="E312" s="942"/>
      <c r="F312" s="1098"/>
      <c r="G312" s="946"/>
      <c r="H312" s="946"/>
      <c r="I312" s="3182"/>
      <c r="J312" s="3182"/>
      <c r="K312" s="3182"/>
      <c r="L312" s="3182"/>
      <c r="M312" s="3182"/>
      <c r="N312" s="3182"/>
      <c r="O312" s="3182"/>
      <c r="P312" s="3182"/>
      <c r="Q312" s="3182"/>
      <c r="R312" s="3182"/>
      <c r="S312" s="3182"/>
      <c r="T312" s="3182"/>
      <c r="U312" s="3182"/>
      <c r="V312" s="3182"/>
      <c r="W312" s="3182"/>
      <c r="X312" s="3182"/>
      <c r="Y312" s="3182"/>
      <c r="Z312" s="3182"/>
      <c r="AA312" s="3182"/>
      <c r="AB312" s="3182"/>
      <c r="AC312" s="3182"/>
      <c r="AD312" s="3183"/>
      <c r="AE312" s="946"/>
      <c r="AF312" s="946"/>
      <c r="AG312" s="988"/>
      <c r="AH312" s="946"/>
      <c r="AI312" s="946"/>
      <c r="AJ312" s="945"/>
      <c r="AK312" s="1028"/>
      <c r="AL312" s="1028"/>
      <c r="AM312" s="1028"/>
      <c r="AN312" s="110"/>
      <c r="AO312" s="51"/>
      <c r="AP312" s="952" t="s">
        <v>1387</v>
      </c>
      <c r="AR312" s="21"/>
    </row>
    <row r="313" spans="1:60" ht="13">
      <c r="A313" s="1062"/>
      <c r="B313" s="946"/>
      <c r="C313" s="1095"/>
      <c r="D313" s="1095"/>
      <c r="E313" s="942"/>
      <c r="F313" s="1101"/>
      <c r="G313" s="1102"/>
      <c r="H313" s="1102"/>
      <c r="I313" s="3184"/>
      <c r="J313" s="3184"/>
      <c r="K313" s="3184"/>
      <c r="L313" s="3184"/>
      <c r="M313" s="3184"/>
      <c r="N313" s="3184"/>
      <c r="O313" s="3184"/>
      <c r="P313" s="3184"/>
      <c r="Q313" s="3184"/>
      <c r="R313" s="3184"/>
      <c r="S313" s="3184"/>
      <c r="T313" s="3184"/>
      <c r="U313" s="3184"/>
      <c r="V313" s="3184"/>
      <c r="W313" s="3184"/>
      <c r="X313" s="3184"/>
      <c r="Y313" s="3184"/>
      <c r="Z313" s="3184"/>
      <c r="AA313" s="3184"/>
      <c r="AB313" s="3184"/>
      <c r="AC313" s="3184"/>
      <c r="AD313" s="3185"/>
      <c r="AE313" s="946"/>
      <c r="AF313" s="946"/>
      <c r="AG313" s="988"/>
      <c r="AH313" s="946"/>
      <c r="AI313" s="946"/>
      <c r="AJ313" s="945"/>
      <c r="AK313" s="1028"/>
      <c r="AL313" s="1028"/>
      <c r="AM313" s="1028"/>
      <c r="AN313" s="110"/>
      <c r="AO313" s="51"/>
      <c r="AP313" s="952" t="s">
        <v>1679</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2004</v>
      </c>
    </row>
    <row r="315" spans="1:60" ht="12.75" customHeight="1">
      <c r="A315" s="3169" t="s">
        <v>1680</v>
      </c>
      <c r="B315" s="3169"/>
      <c r="C315" s="3044" t="s">
        <v>580</v>
      </c>
      <c r="D315" s="3044"/>
      <c r="E315" s="942"/>
      <c r="F315" s="3170" t="s">
        <v>1681</v>
      </c>
      <c r="G315" s="3171"/>
      <c r="H315" s="3171"/>
      <c r="I315" s="3171"/>
      <c r="J315" s="3171"/>
      <c r="K315" s="3171"/>
      <c r="L315" s="3171"/>
      <c r="M315" s="3171"/>
      <c r="N315" s="3171"/>
      <c r="O315" s="3171"/>
      <c r="P315" s="3171"/>
      <c r="Q315" s="3171"/>
      <c r="R315" s="3171"/>
      <c r="S315" s="3171"/>
      <c r="T315" s="3171"/>
      <c r="U315" s="3171"/>
      <c r="V315" s="3171"/>
      <c r="W315" s="3171"/>
      <c r="X315" s="3171"/>
      <c r="Y315" s="3171"/>
      <c r="Z315" s="3171"/>
      <c r="AA315" s="3171"/>
      <c r="AB315" s="3171"/>
      <c r="AC315" s="3171"/>
      <c r="AD315" s="3172"/>
      <c r="AE315" s="946"/>
      <c r="AF315" s="946"/>
      <c r="AG315" s="988" t="s">
        <v>1673</v>
      </c>
      <c r="AH315" s="946"/>
      <c r="AI315" s="946"/>
      <c r="AJ315" s="945"/>
      <c r="AK315" s="1028"/>
      <c r="AL315" s="1028"/>
      <c r="AM315" s="1028"/>
      <c r="AN315" s="110"/>
      <c r="AO315" s="51"/>
    </row>
    <row r="316" spans="1:60" ht="15" customHeight="1">
      <c r="A316" s="1062"/>
      <c r="B316" s="946"/>
      <c r="C316" s="946"/>
      <c r="D316" s="946"/>
      <c r="E316" s="946"/>
      <c r="F316" s="3173"/>
      <c r="G316" s="3174"/>
      <c r="H316" s="3174"/>
      <c r="I316" s="3174"/>
      <c r="J316" s="3174"/>
      <c r="K316" s="3174"/>
      <c r="L316" s="3174"/>
      <c r="M316" s="3174"/>
      <c r="N316" s="3174"/>
      <c r="O316" s="3174"/>
      <c r="P316" s="3174"/>
      <c r="Q316" s="3174"/>
      <c r="R316" s="3174"/>
      <c r="S316" s="3174"/>
      <c r="T316" s="3174"/>
      <c r="U316" s="3174"/>
      <c r="V316" s="3174"/>
      <c r="W316" s="3174"/>
      <c r="X316" s="3174"/>
      <c r="Y316" s="3174"/>
      <c r="Z316" s="3174"/>
      <c r="AA316" s="3174"/>
      <c r="AB316" s="3174"/>
      <c r="AC316" s="3174"/>
      <c r="AD316" s="3175"/>
      <c r="AE316" s="946"/>
      <c r="AF316" s="946"/>
      <c r="AG316" s="946"/>
      <c r="AH316" s="946"/>
      <c r="AI316" s="946"/>
      <c r="AJ316" s="945"/>
      <c r="AK316" s="1028"/>
      <c r="AL316" s="1028"/>
      <c r="AM316" s="1028"/>
      <c r="AN316" s="110"/>
      <c r="AO316" s="51"/>
    </row>
    <row r="317" spans="1:60" ht="15" customHeight="1">
      <c r="A317" s="1062"/>
      <c r="B317" s="946"/>
      <c r="C317" s="946"/>
      <c r="D317" s="946"/>
      <c r="E317" s="946"/>
      <c r="F317" s="3173"/>
      <c r="G317" s="3174"/>
      <c r="H317" s="3174"/>
      <c r="I317" s="3174"/>
      <c r="J317" s="3174"/>
      <c r="K317" s="3174"/>
      <c r="L317" s="3174"/>
      <c r="M317" s="3174"/>
      <c r="N317" s="3174"/>
      <c r="O317" s="3174"/>
      <c r="P317" s="3174"/>
      <c r="Q317" s="3174"/>
      <c r="R317" s="3174"/>
      <c r="S317" s="3174"/>
      <c r="T317" s="3174"/>
      <c r="U317" s="3174"/>
      <c r="V317" s="3174"/>
      <c r="W317" s="3174"/>
      <c r="X317" s="3174"/>
      <c r="Y317" s="3174"/>
      <c r="Z317" s="3174"/>
      <c r="AA317" s="3174"/>
      <c r="AB317" s="3174"/>
      <c r="AC317" s="3174"/>
      <c r="AD317" s="3175"/>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1682</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ht="13">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1683</v>
      </c>
      <c r="AK320" s="3048">
        <f>AP279</f>
        <v>9</v>
      </c>
      <c r="AL320" s="3070"/>
      <c r="AM320" s="3049"/>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1684</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124" t="s">
        <v>1597</v>
      </c>
      <c r="AF323" s="3124"/>
      <c r="AG323" s="3124"/>
      <c r="AH323" s="3124"/>
      <c r="AI323" s="3124"/>
      <c r="AJ323" s="3124"/>
      <c r="AK323" s="3124"/>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50" t="s">
        <v>2207</v>
      </c>
      <c r="C325" s="3050"/>
      <c r="D325" s="3050"/>
      <c r="E325" s="3050"/>
      <c r="F325" s="3050"/>
      <c r="G325" s="3050"/>
      <c r="H325" s="3050"/>
      <c r="I325" s="3050"/>
      <c r="J325" s="3050"/>
      <c r="K325" s="3050"/>
      <c r="L325" s="3050"/>
      <c r="M325" s="3050"/>
      <c r="N325" s="3050"/>
      <c r="O325" s="3050"/>
      <c r="P325" s="3050"/>
      <c r="Q325" s="3050"/>
      <c r="R325" s="3050"/>
      <c r="S325" s="3050"/>
      <c r="T325" s="3050"/>
      <c r="U325" s="3050"/>
      <c r="V325" s="3050"/>
      <c r="W325" s="3050"/>
      <c r="X325" s="3050"/>
      <c r="Y325" s="3050"/>
      <c r="Z325" s="3050"/>
      <c r="AA325" s="3050"/>
      <c r="AB325" s="3050"/>
      <c r="AC325" s="3050"/>
      <c r="AD325" s="3050"/>
      <c r="AE325" s="3050"/>
      <c r="AF325" s="3050"/>
      <c r="AG325" s="3050"/>
      <c r="AH325" s="3050"/>
      <c r="AI325" s="3050"/>
      <c r="AJ325" s="3050"/>
      <c r="AK325" s="1080"/>
      <c r="AL325" s="969"/>
      <c r="AM325" s="1029"/>
      <c r="AN325" s="1002"/>
    </row>
    <row r="326" spans="1:42" s="945" customFormat="1" ht="12.75" customHeight="1">
      <c r="A326" s="1029"/>
      <c r="B326" s="3050"/>
      <c r="C326" s="3050"/>
      <c r="D326" s="3050"/>
      <c r="E326" s="3050"/>
      <c r="F326" s="3050"/>
      <c r="G326" s="3050"/>
      <c r="H326" s="3050"/>
      <c r="I326" s="3050"/>
      <c r="J326" s="3050"/>
      <c r="K326" s="3050"/>
      <c r="L326" s="3050"/>
      <c r="M326" s="3050"/>
      <c r="N326" s="3050"/>
      <c r="O326" s="3050"/>
      <c r="P326" s="3050"/>
      <c r="Q326" s="3050"/>
      <c r="R326" s="3050"/>
      <c r="S326" s="3050"/>
      <c r="T326" s="3050"/>
      <c r="U326" s="3050"/>
      <c r="V326" s="3050"/>
      <c r="W326" s="3050"/>
      <c r="X326" s="3050"/>
      <c r="Y326" s="3050"/>
      <c r="Z326" s="3050"/>
      <c r="AA326" s="3050"/>
      <c r="AB326" s="3050"/>
      <c r="AC326" s="3050"/>
      <c r="AD326" s="3050"/>
      <c r="AE326" s="3050"/>
      <c r="AF326" s="3050"/>
      <c r="AG326" s="3050"/>
      <c r="AH326" s="3050"/>
      <c r="AI326" s="3050"/>
      <c r="AJ326" s="3050"/>
      <c r="AK326" s="1080"/>
      <c r="AL326" s="969"/>
      <c r="AM326" s="1029"/>
      <c r="AN326" s="1002"/>
    </row>
    <row r="327" spans="1:42" s="945" customFormat="1" ht="12.75" customHeight="1">
      <c r="A327" s="1029"/>
      <c r="B327" s="3050"/>
      <c r="C327" s="3050"/>
      <c r="D327" s="3050"/>
      <c r="E327" s="3050"/>
      <c r="F327" s="3050"/>
      <c r="G327" s="3050"/>
      <c r="H327" s="3050"/>
      <c r="I327" s="3050"/>
      <c r="J327" s="3050"/>
      <c r="K327" s="3050"/>
      <c r="L327" s="3050"/>
      <c r="M327" s="3050"/>
      <c r="N327" s="3050"/>
      <c r="O327" s="3050"/>
      <c r="P327" s="3050"/>
      <c r="Q327" s="3050"/>
      <c r="R327" s="3050"/>
      <c r="S327" s="3050"/>
      <c r="T327" s="3050"/>
      <c r="U327" s="3050"/>
      <c r="V327" s="3050"/>
      <c r="W327" s="3050"/>
      <c r="X327" s="3050"/>
      <c r="Y327" s="3050"/>
      <c r="Z327" s="3050"/>
      <c r="AA327" s="3050"/>
      <c r="AB327" s="3050"/>
      <c r="AC327" s="3050"/>
      <c r="AD327" s="3050"/>
      <c r="AE327" s="3050"/>
      <c r="AF327" s="3050"/>
      <c r="AG327" s="3050"/>
      <c r="AH327" s="3050"/>
      <c r="AI327" s="3050"/>
      <c r="AJ327" s="3050"/>
      <c r="AK327" s="1080"/>
      <c r="AL327" s="969"/>
      <c r="AM327" s="1029"/>
      <c r="AN327" s="1002"/>
    </row>
    <row r="328" spans="1:42" s="945" customFormat="1" ht="12.75" customHeight="1">
      <c r="A328" s="1029"/>
      <c r="B328" s="3050"/>
      <c r="C328" s="3050"/>
      <c r="D328" s="3050"/>
      <c r="E328" s="3050"/>
      <c r="F328" s="3050"/>
      <c r="G328" s="3050"/>
      <c r="H328" s="3050"/>
      <c r="I328" s="3050"/>
      <c r="J328" s="3050"/>
      <c r="K328" s="3050"/>
      <c r="L328" s="3050"/>
      <c r="M328" s="3050"/>
      <c r="N328" s="3050"/>
      <c r="O328" s="3050"/>
      <c r="P328" s="3050"/>
      <c r="Q328" s="3050"/>
      <c r="R328" s="3050"/>
      <c r="S328" s="3050"/>
      <c r="T328" s="3050"/>
      <c r="U328" s="3050"/>
      <c r="V328" s="3050"/>
      <c r="W328" s="3050"/>
      <c r="X328" s="3050"/>
      <c r="Y328" s="3050"/>
      <c r="Z328" s="3050"/>
      <c r="AA328" s="3050"/>
      <c r="AB328" s="3050"/>
      <c r="AC328" s="3050"/>
      <c r="AD328" s="3050"/>
      <c r="AE328" s="3050"/>
      <c r="AF328" s="3050"/>
      <c r="AG328" s="3050"/>
      <c r="AH328" s="3050"/>
      <c r="AI328" s="3050"/>
      <c r="AJ328" s="3050"/>
      <c r="AK328" s="1080"/>
      <c r="AL328" s="969"/>
      <c r="AM328" s="1029"/>
      <c r="AN328" s="1002"/>
    </row>
    <row r="329" spans="1:42" s="945" customFormat="1" ht="12.75" customHeight="1">
      <c r="A329" s="1029"/>
      <c r="B329" s="3050"/>
      <c r="C329" s="3050"/>
      <c r="D329" s="3050"/>
      <c r="E329" s="3050"/>
      <c r="F329" s="3050"/>
      <c r="G329" s="3050"/>
      <c r="H329" s="3050"/>
      <c r="I329" s="3050"/>
      <c r="J329" s="3050"/>
      <c r="K329" s="3050"/>
      <c r="L329" s="3050"/>
      <c r="M329" s="3050"/>
      <c r="N329" s="3050"/>
      <c r="O329" s="3050"/>
      <c r="P329" s="3050"/>
      <c r="Q329" s="3050"/>
      <c r="R329" s="3050"/>
      <c r="S329" s="3050"/>
      <c r="T329" s="3050"/>
      <c r="U329" s="3050"/>
      <c r="V329" s="3050"/>
      <c r="W329" s="3050"/>
      <c r="X329" s="3050"/>
      <c r="Y329" s="3050"/>
      <c r="Z329" s="3050"/>
      <c r="AA329" s="3050"/>
      <c r="AB329" s="3050"/>
      <c r="AC329" s="3050"/>
      <c r="AD329" s="3050"/>
      <c r="AE329" s="3050"/>
      <c r="AF329" s="3050"/>
      <c r="AG329" s="3050"/>
      <c r="AH329" s="3050"/>
      <c r="AI329" s="3050"/>
      <c r="AJ329" s="3050"/>
      <c r="AK329" s="1080"/>
      <c r="AL329" s="969"/>
      <c r="AM329" s="1029"/>
      <c r="AN329" s="1002"/>
    </row>
    <row r="330" spans="1:42" s="945" customFormat="1" ht="12.75" customHeight="1">
      <c r="A330" s="1029"/>
      <c r="B330" s="3050"/>
      <c r="C330" s="3050"/>
      <c r="D330" s="3050"/>
      <c r="E330" s="3050"/>
      <c r="F330" s="3050"/>
      <c r="G330" s="3050"/>
      <c r="H330" s="3050"/>
      <c r="I330" s="3050"/>
      <c r="J330" s="3050"/>
      <c r="K330" s="3050"/>
      <c r="L330" s="3050"/>
      <c r="M330" s="3050"/>
      <c r="N330" s="3050"/>
      <c r="O330" s="3050"/>
      <c r="P330" s="3050"/>
      <c r="Q330" s="3050"/>
      <c r="R330" s="3050"/>
      <c r="S330" s="3050"/>
      <c r="T330" s="3050"/>
      <c r="U330" s="3050"/>
      <c r="V330" s="3050"/>
      <c r="W330" s="3050"/>
      <c r="X330" s="3050"/>
      <c r="Y330" s="3050"/>
      <c r="Z330" s="3050"/>
      <c r="AA330" s="3050"/>
      <c r="AB330" s="3050"/>
      <c r="AC330" s="3050"/>
      <c r="AD330" s="3050"/>
      <c r="AE330" s="3050"/>
      <c r="AF330" s="3050"/>
      <c r="AG330" s="3050"/>
      <c r="AH330" s="3050"/>
      <c r="AI330" s="3050"/>
      <c r="AJ330" s="3050"/>
      <c r="AK330" s="1080"/>
      <c r="AL330" s="969"/>
      <c r="AM330" s="1029"/>
      <c r="AN330" s="1002"/>
    </row>
    <row r="331" spans="1:42" s="945" customFormat="1" ht="12.75" customHeight="1">
      <c r="A331" s="1029"/>
      <c r="B331" s="3050"/>
      <c r="C331" s="3050"/>
      <c r="D331" s="3050"/>
      <c r="E331" s="3050"/>
      <c r="F331" s="3050"/>
      <c r="G331" s="3050"/>
      <c r="H331" s="3050"/>
      <c r="I331" s="3050"/>
      <c r="J331" s="3050"/>
      <c r="K331" s="3050"/>
      <c r="L331" s="3050"/>
      <c r="M331" s="3050"/>
      <c r="N331" s="3050"/>
      <c r="O331" s="3050"/>
      <c r="P331" s="3050"/>
      <c r="Q331" s="3050"/>
      <c r="R331" s="3050"/>
      <c r="S331" s="3050"/>
      <c r="T331" s="3050"/>
      <c r="U331" s="3050"/>
      <c r="V331" s="3050"/>
      <c r="W331" s="3050"/>
      <c r="X331" s="3050"/>
      <c r="Y331" s="3050"/>
      <c r="Z331" s="3050"/>
      <c r="AA331" s="3050"/>
      <c r="AB331" s="3050"/>
      <c r="AC331" s="3050"/>
      <c r="AD331" s="3050"/>
      <c r="AE331" s="3050"/>
      <c r="AF331" s="3050"/>
      <c r="AG331" s="3050"/>
      <c r="AH331" s="3050"/>
      <c r="AI331" s="3050"/>
      <c r="AJ331" s="3050"/>
      <c r="AK331" s="1080"/>
      <c r="AL331" s="969"/>
      <c r="AM331" s="1029"/>
      <c r="AN331" s="1002"/>
    </row>
    <row r="332" spans="1:42" ht="12.75" customHeight="1">
      <c r="A332" s="1029"/>
      <c r="B332" s="3050"/>
      <c r="C332" s="3050"/>
      <c r="D332" s="3050"/>
      <c r="E332" s="3050"/>
      <c r="F332" s="3050"/>
      <c r="G332" s="3050"/>
      <c r="H332" s="3050"/>
      <c r="I332" s="3050"/>
      <c r="J332" s="3050"/>
      <c r="K332" s="3050"/>
      <c r="L332" s="3050"/>
      <c r="M332" s="3050"/>
      <c r="N332" s="3050"/>
      <c r="O332" s="3050"/>
      <c r="P332" s="3050"/>
      <c r="Q332" s="3050"/>
      <c r="R332" s="3050"/>
      <c r="S332" s="3050"/>
      <c r="T332" s="3050"/>
      <c r="U332" s="3050"/>
      <c r="V332" s="3050"/>
      <c r="W332" s="3050"/>
      <c r="X332" s="3050"/>
      <c r="Y332" s="3050"/>
      <c r="Z332" s="3050"/>
      <c r="AA332" s="3050"/>
      <c r="AB332" s="3050"/>
      <c r="AC332" s="3050"/>
      <c r="AD332" s="3050"/>
      <c r="AE332" s="3050"/>
      <c r="AF332" s="3050"/>
      <c r="AG332" s="3050"/>
      <c r="AH332" s="3050"/>
      <c r="AI332" s="3050"/>
      <c r="AJ332" s="3050"/>
      <c r="AK332" s="1080"/>
      <c r="AL332" s="969"/>
      <c r="AM332" s="1029"/>
    </row>
    <row r="333" spans="1:42" s="945" customFormat="1" ht="12.75" customHeight="1">
      <c r="A333" s="1062"/>
      <c r="B333" s="3050"/>
      <c r="C333" s="3050"/>
      <c r="D333" s="3050"/>
      <c r="E333" s="3050"/>
      <c r="F333" s="3050"/>
      <c r="G333" s="3050"/>
      <c r="H333" s="3050"/>
      <c r="I333" s="3050"/>
      <c r="J333" s="3050"/>
      <c r="K333" s="3050"/>
      <c r="L333" s="3050"/>
      <c r="M333" s="3050"/>
      <c r="N333" s="3050"/>
      <c r="O333" s="3050"/>
      <c r="P333" s="3050"/>
      <c r="Q333" s="3050"/>
      <c r="R333" s="3050"/>
      <c r="S333" s="3050"/>
      <c r="T333" s="3050"/>
      <c r="U333" s="3050"/>
      <c r="V333" s="3050"/>
      <c r="W333" s="3050"/>
      <c r="X333" s="3050"/>
      <c r="Y333" s="3050"/>
      <c r="Z333" s="3050"/>
      <c r="AA333" s="3050"/>
      <c r="AB333" s="3050"/>
      <c r="AC333" s="3050"/>
      <c r="AD333" s="3050"/>
      <c r="AE333" s="3050"/>
      <c r="AF333" s="3050"/>
      <c r="AG333" s="3050"/>
      <c r="AH333" s="3050"/>
      <c r="AI333" s="3050"/>
      <c r="AJ333" s="3050"/>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1685</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1686</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2212</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60" t="s">
        <v>1621</v>
      </c>
      <c r="AG339" s="3160"/>
      <c r="AH339" s="3160"/>
      <c r="AI339" s="3160"/>
      <c r="AJ339" s="3160"/>
      <c r="AK339" s="3160"/>
      <c r="AL339" s="3160"/>
      <c r="AM339" s="1028"/>
      <c r="AN339" s="1002"/>
    </row>
    <row r="340" spans="1:42" s="945" customFormat="1" ht="12.75" customHeight="1">
      <c r="A340" s="1028"/>
      <c r="B340" s="1008"/>
      <c r="C340" s="1037"/>
      <c r="D340" s="1108"/>
      <c r="E340" s="1640" t="s">
        <v>2213</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2214</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2215</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2216</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2217</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2218</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160" t="s">
        <v>1687</v>
      </c>
      <c r="AG346" s="3160"/>
      <c r="AH346" s="3160"/>
      <c r="AI346" s="3160"/>
      <c r="AJ346" s="3160"/>
      <c r="AK346" s="3160"/>
      <c r="AL346" s="3160"/>
      <c r="AM346" s="1028"/>
      <c r="AN346" s="1002"/>
    </row>
    <row r="347" spans="1:42" s="945" customFormat="1" ht="12.75" customHeight="1">
      <c r="A347" s="1062"/>
      <c r="B347" s="1025"/>
      <c r="C347" s="1643"/>
      <c r="D347" s="1108"/>
      <c r="E347" s="1640" t="s">
        <v>2219</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2220</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2222</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2221</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1688</v>
      </c>
      <c r="AP351" s="945">
        <v>4</v>
      </c>
    </row>
    <row r="352" spans="1:42" s="945" customFormat="1" ht="12.75" customHeight="1">
      <c r="A352" s="1062"/>
      <c r="B352" s="1008"/>
      <c r="C352" s="1641"/>
      <c r="D352" s="1108" t="s">
        <v>286</v>
      </c>
      <c r="E352" s="1640" t="s">
        <v>2223</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160" t="s">
        <v>1661</v>
      </c>
      <c r="AG352" s="3160"/>
      <c r="AH352" s="3160"/>
      <c r="AI352" s="3160"/>
      <c r="AJ352" s="3160"/>
      <c r="AK352" s="3160"/>
      <c r="AL352" s="3160"/>
      <c r="AM352" s="1028"/>
      <c r="AN352" s="1002"/>
      <c r="AO352" s="1120" t="s">
        <v>1689</v>
      </c>
      <c r="AP352" s="945">
        <v>3</v>
      </c>
    </row>
    <row r="353" spans="1:53" s="945" customFormat="1" ht="12.75" customHeight="1">
      <c r="A353" s="1062"/>
      <c r="B353" s="1025"/>
      <c r="C353" s="1643"/>
      <c r="D353" s="1108"/>
      <c r="E353" s="1640" t="s">
        <v>2219</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2220</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2222</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2221</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1688</v>
      </c>
      <c r="E358" s="1640" t="s">
        <v>2224</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160" t="s">
        <v>1690</v>
      </c>
      <c r="AG358" s="3160"/>
      <c r="AH358" s="3160"/>
      <c r="AI358" s="3160"/>
      <c r="AJ358" s="3160"/>
      <c r="AK358" s="3160"/>
      <c r="AL358" s="3160"/>
      <c r="AM358" s="1028"/>
      <c r="AN358" s="1002"/>
      <c r="AO358" s="945" t="str">
        <f>X395</f>
        <v>N/A</v>
      </c>
    </row>
    <row r="359" spans="1:53" s="945" customFormat="1" ht="12.75" customHeight="1">
      <c r="A359" s="1062"/>
      <c r="B359" s="1025"/>
      <c r="C359" s="1643"/>
      <c r="D359" s="1108"/>
      <c r="E359" s="1640" t="s">
        <v>2225</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2226</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2461</v>
      </c>
      <c r="O362" s="3168" t="s">
        <v>1387</v>
      </c>
      <c r="P362" s="3168"/>
      <c r="Q362" s="3168"/>
      <c r="R362" s="3168"/>
      <c r="S362" s="3168"/>
      <c r="T362" s="3168"/>
      <c r="U362" s="3168"/>
      <c r="V362" s="3168"/>
      <c r="W362" s="3168"/>
      <c r="X362" s="3168"/>
      <c r="Y362" s="3168"/>
      <c r="Z362" s="3168"/>
      <c r="AA362" s="3168"/>
      <c r="AB362" s="3168"/>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1689</v>
      </c>
      <c r="E364" s="1640" t="s">
        <v>2228</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160" t="s">
        <v>1635</v>
      </c>
      <c r="AG364" s="3160"/>
      <c r="AH364" s="3160"/>
      <c r="AI364" s="3160"/>
      <c r="AJ364" s="3160"/>
      <c r="AK364" s="3160"/>
      <c r="AL364" s="3160"/>
      <c r="AM364" s="1028"/>
      <c r="AN364" s="1003"/>
    </row>
    <row r="365" spans="1:53" s="945" customFormat="1" ht="12.75" customHeight="1">
      <c r="A365" s="1062"/>
      <c r="B365" s="1008"/>
      <c r="C365" s="1641"/>
      <c r="D365" s="1108"/>
      <c r="E365" s="1640" t="s">
        <v>2227</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1691</v>
      </c>
      <c r="E367" s="1647"/>
      <c r="F367" s="1647"/>
      <c r="G367" s="1647"/>
      <c r="H367" s="3047" t="s">
        <v>727</v>
      </c>
      <c r="I367" s="3047"/>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2229</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2230</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2231</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2232</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1691</v>
      </c>
      <c r="F375" s="1647"/>
      <c r="G375" s="1647"/>
      <c r="I375" s="3167" t="s">
        <v>628</v>
      </c>
      <c r="J375" s="3167"/>
      <c r="K375" s="3167"/>
      <c r="L375" s="3167"/>
      <c r="M375" s="3167"/>
      <c r="N375" s="3167"/>
      <c r="O375" s="3167"/>
      <c r="P375" s="3167"/>
      <c r="Q375" s="3167"/>
      <c r="R375" s="3167"/>
      <c r="S375" s="3167"/>
      <c r="T375" s="3167"/>
      <c r="U375" s="3167"/>
      <c r="V375" s="3167"/>
      <c r="W375" s="3167"/>
      <c r="X375" s="3167"/>
      <c r="Y375" s="3167"/>
      <c r="Z375" s="3167"/>
      <c r="AA375" s="3167"/>
      <c r="AB375" s="3167"/>
      <c r="AC375" s="3167"/>
      <c r="AD375" s="3167"/>
      <c r="AE375" s="3167"/>
      <c r="AF375" s="929"/>
      <c r="AG375" s="929"/>
      <c r="AH375" s="929"/>
      <c r="AI375" s="929"/>
      <c r="AJ375" s="929"/>
      <c r="AK375" s="929"/>
      <c r="AL375" s="929"/>
      <c r="AN375" s="1002"/>
      <c r="AO375" s="945" t="s">
        <v>1692</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1693</v>
      </c>
      <c r="AP376" s="945">
        <v>2</v>
      </c>
    </row>
    <row r="377" spans="1:46" s="945" customFormat="1" ht="12.75" customHeight="1">
      <c r="A377" s="1062"/>
      <c r="B377" s="3165" t="s">
        <v>628</v>
      </c>
      <c r="C377" s="3165"/>
      <c r="D377" s="1648"/>
      <c r="E377" s="3050" t="s">
        <v>1694</v>
      </c>
      <c r="F377" s="3050"/>
      <c r="G377" s="3050"/>
      <c r="H377" s="3050"/>
      <c r="I377" s="3050"/>
      <c r="J377" s="3050"/>
      <c r="K377" s="3050"/>
      <c r="L377" s="3050"/>
      <c r="M377" s="3050"/>
      <c r="N377" s="3050"/>
      <c r="O377" s="3050"/>
      <c r="P377" s="3050"/>
      <c r="Q377" s="3050"/>
      <c r="R377" s="3050"/>
      <c r="S377" s="3050"/>
      <c r="T377" s="3050"/>
      <c r="U377" s="3050"/>
      <c r="V377" s="3050"/>
      <c r="W377" s="3050"/>
      <c r="X377" s="3050"/>
      <c r="Y377" s="3050"/>
      <c r="Z377" s="3050"/>
      <c r="AA377" s="3050"/>
      <c r="AB377" s="3050"/>
      <c r="AC377" s="3050"/>
      <c r="AD377" s="3050"/>
      <c r="AE377" s="3050"/>
      <c r="AF377" s="3050"/>
      <c r="AG377" s="3050"/>
      <c r="AH377" s="1648"/>
      <c r="AI377" s="1648"/>
      <c r="AJ377" s="1648"/>
      <c r="AK377" s="1648"/>
      <c r="AL377" s="1648"/>
      <c r="AN377" s="1002"/>
    </row>
    <row r="378" spans="1:46" s="945" customFormat="1" ht="12.75" customHeight="1">
      <c r="A378" s="1062"/>
      <c r="B378" s="1025"/>
      <c r="C378" s="1643"/>
      <c r="D378" s="1648"/>
      <c r="E378" s="3050"/>
      <c r="F378" s="3050"/>
      <c r="G378" s="3050"/>
      <c r="H378" s="3050"/>
      <c r="I378" s="3050"/>
      <c r="J378" s="3050"/>
      <c r="K378" s="3050"/>
      <c r="L378" s="3050"/>
      <c r="M378" s="3050"/>
      <c r="N378" s="3050"/>
      <c r="O378" s="3050"/>
      <c r="P378" s="3050"/>
      <c r="Q378" s="3050"/>
      <c r="R378" s="3050"/>
      <c r="S378" s="3050"/>
      <c r="T378" s="3050"/>
      <c r="U378" s="3050"/>
      <c r="V378" s="3050"/>
      <c r="W378" s="3050"/>
      <c r="X378" s="3050"/>
      <c r="Y378" s="3050"/>
      <c r="Z378" s="3050"/>
      <c r="AA378" s="3050"/>
      <c r="AB378" s="3050"/>
      <c r="AC378" s="3050"/>
      <c r="AD378" s="3050"/>
      <c r="AE378" s="3050"/>
      <c r="AF378" s="3050"/>
      <c r="AG378" s="3050"/>
      <c r="AH378" s="1648"/>
      <c r="AI378" s="1648"/>
      <c r="AJ378" s="1648"/>
      <c r="AK378" s="1648"/>
      <c r="AL378" s="1648"/>
      <c r="AN378" s="1002"/>
    </row>
    <row r="379" spans="1:46" s="945" customFormat="1" ht="12.75" customHeight="1">
      <c r="A379" s="1062"/>
      <c r="B379" s="1025"/>
      <c r="C379" s="1643"/>
      <c r="D379" s="1648"/>
      <c r="E379" s="3050"/>
      <c r="F379" s="3050"/>
      <c r="G379" s="3050"/>
      <c r="H379" s="3050"/>
      <c r="I379" s="3050"/>
      <c r="J379" s="3050"/>
      <c r="K379" s="3050"/>
      <c r="L379" s="3050"/>
      <c r="M379" s="3050"/>
      <c r="N379" s="3050"/>
      <c r="O379" s="3050"/>
      <c r="P379" s="3050"/>
      <c r="Q379" s="3050"/>
      <c r="R379" s="3050"/>
      <c r="S379" s="3050"/>
      <c r="T379" s="3050"/>
      <c r="U379" s="3050"/>
      <c r="V379" s="3050"/>
      <c r="W379" s="3050"/>
      <c r="X379" s="3050"/>
      <c r="Y379" s="3050"/>
      <c r="Z379" s="3050"/>
      <c r="AA379" s="3050"/>
      <c r="AB379" s="3050"/>
      <c r="AC379" s="3050"/>
      <c r="AD379" s="3050"/>
      <c r="AE379" s="3050"/>
      <c r="AF379" s="3050"/>
      <c r="AG379" s="3050"/>
      <c r="AH379" s="1648"/>
      <c r="AI379" s="1648"/>
      <c r="AJ379" s="1648"/>
      <c r="AK379" s="1648"/>
      <c r="AL379" s="1648"/>
      <c r="AN379" s="1002"/>
    </row>
    <row r="380" spans="1:46" s="945" customFormat="1" ht="12.75" customHeight="1">
      <c r="A380" s="1062"/>
      <c r="B380" s="1025"/>
      <c r="C380" s="1643"/>
      <c r="D380" s="1650"/>
      <c r="E380" s="3050"/>
      <c r="F380" s="3050"/>
      <c r="G380" s="3050"/>
      <c r="H380" s="3050"/>
      <c r="I380" s="3050"/>
      <c r="J380" s="3050"/>
      <c r="K380" s="3050"/>
      <c r="L380" s="3050"/>
      <c r="M380" s="3050"/>
      <c r="N380" s="3050"/>
      <c r="O380" s="3050"/>
      <c r="P380" s="3050"/>
      <c r="Q380" s="3050"/>
      <c r="R380" s="3050"/>
      <c r="S380" s="3050"/>
      <c r="T380" s="3050"/>
      <c r="U380" s="3050"/>
      <c r="V380" s="3050"/>
      <c r="W380" s="3050"/>
      <c r="X380" s="3050"/>
      <c r="Y380" s="3050"/>
      <c r="Z380" s="3050"/>
      <c r="AA380" s="3050"/>
      <c r="AB380" s="3050"/>
      <c r="AC380" s="3050"/>
      <c r="AD380" s="3050"/>
      <c r="AE380" s="3050"/>
      <c r="AF380" s="3050"/>
      <c r="AG380" s="3050"/>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1695</v>
      </c>
      <c r="AJ382" s="3048">
        <f>VLOOKUP($H$367,$AO$347:$AP$352,2,FALSE)+VLOOKUP($I$375,$AO$374:$AP$376,2,FALSE)</f>
        <v>7</v>
      </c>
      <c r="AK382" s="3049"/>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1696</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66" t="s">
        <v>2208</v>
      </c>
      <c r="F386" s="3166"/>
      <c r="G386" s="3166"/>
      <c r="H386" s="3166"/>
      <c r="I386" s="3166"/>
      <c r="J386" s="3166"/>
      <c r="K386" s="3166"/>
      <c r="L386" s="3166"/>
      <c r="M386" s="3166"/>
      <c r="N386" s="3166"/>
      <c r="O386" s="3166"/>
      <c r="P386" s="3166"/>
      <c r="Q386" s="3166"/>
      <c r="R386" s="3166"/>
      <c r="S386" s="3166"/>
      <c r="T386" s="3166"/>
      <c r="U386" s="3166"/>
      <c r="V386" s="3166"/>
      <c r="W386" s="3166"/>
      <c r="X386" s="3166"/>
      <c r="Y386" s="3166"/>
      <c r="Z386" s="3166"/>
      <c r="AA386" s="3166"/>
      <c r="AB386" s="3166"/>
      <c r="AC386" s="3166"/>
      <c r="AD386" s="3166"/>
      <c r="AE386" s="934"/>
      <c r="AF386" s="3160" t="s">
        <v>1635</v>
      </c>
      <c r="AG386" s="3160"/>
      <c r="AH386" s="3160"/>
      <c r="AI386" s="3160"/>
      <c r="AJ386" s="3160"/>
      <c r="AK386" s="3160"/>
      <c r="AL386" s="3160"/>
      <c r="AM386" s="1028"/>
      <c r="AN386" s="1127"/>
    </row>
    <row r="387" spans="1:42" s="945" customFormat="1" ht="12.75" customHeight="1">
      <c r="A387" s="1128"/>
      <c r="B387" s="1025"/>
      <c r="C387" s="1643"/>
      <c r="D387" s="1108"/>
      <c r="E387" s="3166"/>
      <c r="F387" s="3166"/>
      <c r="G387" s="3166"/>
      <c r="H387" s="3166"/>
      <c r="I387" s="3166"/>
      <c r="J387" s="3166"/>
      <c r="K387" s="3166"/>
      <c r="L387" s="3166"/>
      <c r="M387" s="3166"/>
      <c r="N387" s="3166"/>
      <c r="O387" s="3166"/>
      <c r="P387" s="3166"/>
      <c r="Q387" s="3166"/>
      <c r="R387" s="3166"/>
      <c r="S387" s="3166"/>
      <c r="T387" s="3166"/>
      <c r="U387" s="3166"/>
      <c r="V387" s="3166"/>
      <c r="W387" s="3166"/>
      <c r="X387" s="3166"/>
      <c r="Y387" s="3166"/>
      <c r="Z387" s="3166"/>
      <c r="AA387" s="3166"/>
      <c r="AB387" s="3166"/>
      <c r="AC387" s="3166"/>
      <c r="AD387" s="3166"/>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66"/>
      <c r="F388" s="3166"/>
      <c r="G388" s="3166"/>
      <c r="H388" s="3166"/>
      <c r="I388" s="3166"/>
      <c r="J388" s="3166"/>
      <c r="K388" s="3166"/>
      <c r="L388" s="3166"/>
      <c r="M388" s="3166"/>
      <c r="N388" s="3166"/>
      <c r="O388" s="3166"/>
      <c r="P388" s="3166"/>
      <c r="Q388" s="3166"/>
      <c r="R388" s="3166"/>
      <c r="S388" s="3166"/>
      <c r="T388" s="3166"/>
      <c r="U388" s="3166"/>
      <c r="V388" s="3166"/>
      <c r="W388" s="3166"/>
      <c r="X388" s="3166"/>
      <c r="Y388" s="3166"/>
      <c r="Z388" s="3166"/>
      <c r="AA388" s="3166"/>
      <c r="AB388" s="3166"/>
      <c r="AC388" s="3166"/>
      <c r="AD388" s="3166"/>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66"/>
      <c r="F389" s="3166"/>
      <c r="G389" s="3166"/>
      <c r="H389" s="3166"/>
      <c r="I389" s="3166"/>
      <c r="J389" s="3166"/>
      <c r="K389" s="3166"/>
      <c r="L389" s="3166"/>
      <c r="M389" s="3166"/>
      <c r="N389" s="3166"/>
      <c r="O389" s="3166"/>
      <c r="P389" s="3166"/>
      <c r="Q389" s="3166"/>
      <c r="R389" s="3166"/>
      <c r="S389" s="3166"/>
      <c r="T389" s="3166"/>
      <c r="U389" s="3166"/>
      <c r="V389" s="3166"/>
      <c r="W389" s="3166"/>
      <c r="X389" s="3166"/>
      <c r="Y389" s="3166"/>
      <c r="Z389" s="3166"/>
      <c r="AA389" s="3166"/>
      <c r="AB389" s="3166"/>
      <c r="AC389" s="3166"/>
      <c r="AD389" s="3166"/>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66"/>
      <c r="F390" s="3166"/>
      <c r="G390" s="3166"/>
      <c r="H390" s="3166"/>
      <c r="I390" s="3166"/>
      <c r="J390" s="3166"/>
      <c r="K390" s="3166"/>
      <c r="L390" s="3166"/>
      <c r="M390" s="3166"/>
      <c r="N390" s="3166"/>
      <c r="O390" s="3166"/>
      <c r="P390" s="3166"/>
      <c r="Q390" s="3166"/>
      <c r="R390" s="3166"/>
      <c r="S390" s="3166"/>
      <c r="T390" s="3166"/>
      <c r="U390" s="3166"/>
      <c r="V390" s="3166"/>
      <c r="W390" s="3166"/>
      <c r="X390" s="3166"/>
      <c r="Y390" s="3166"/>
      <c r="Z390" s="3166"/>
      <c r="AA390" s="3166"/>
      <c r="AB390" s="3166"/>
      <c r="AC390" s="3166"/>
      <c r="AD390" s="3166"/>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66"/>
      <c r="F391" s="3166"/>
      <c r="G391" s="3166"/>
      <c r="H391" s="3166"/>
      <c r="I391" s="3166"/>
      <c r="J391" s="3166"/>
      <c r="K391" s="3166"/>
      <c r="L391" s="3166"/>
      <c r="M391" s="3166"/>
      <c r="N391" s="3166"/>
      <c r="O391" s="3166"/>
      <c r="P391" s="3166"/>
      <c r="Q391" s="3166"/>
      <c r="R391" s="3166"/>
      <c r="S391" s="3166"/>
      <c r="T391" s="3166"/>
      <c r="U391" s="3166"/>
      <c r="V391" s="3166"/>
      <c r="W391" s="3166"/>
      <c r="X391" s="3166"/>
      <c r="Y391" s="3166"/>
      <c r="Z391" s="3166"/>
      <c r="AA391" s="3166"/>
      <c r="AB391" s="3166"/>
      <c r="AC391" s="3166"/>
      <c r="AD391" s="3166"/>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66"/>
      <c r="F392" s="3166"/>
      <c r="G392" s="3166"/>
      <c r="H392" s="3166"/>
      <c r="I392" s="3166"/>
      <c r="J392" s="3166"/>
      <c r="K392" s="3166"/>
      <c r="L392" s="3166"/>
      <c r="M392" s="3166"/>
      <c r="N392" s="3166"/>
      <c r="O392" s="3166"/>
      <c r="P392" s="3166"/>
      <c r="Q392" s="3166"/>
      <c r="R392" s="3166"/>
      <c r="S392" s="3166"/>
      <c r="T392" s="3166"/>
      <c r="U392" s="3166"/>
      <c r="V392" s="3166"/>
      <c r="W392" s="3166"/>
      <c r="X392" s="3166"/>
      <c r="Y392" s="3166"/>
      <c r="Z392" s="3166"/>
      <c r="AA392" s="3166"/>
      <c r="AB392" s="3166"/>
      <c r="AC392" s="3166"/>
      <c r="AD392" s="3166"/>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66"/>
      <c r="F393" s="3166"/>
      <c r="G393" s="3166"/>
      <c r="H393" s="3166"/>
      <c r="I393" s="3166"/>
      <c r="J393" s="3166"/>
      <c r="K393" s="3166"/>
      <c r="L393" s="3166"/>
      <c r="M393" s="3166"/>
      <c r="N393" s="3166"/>
      <c r="O393" s="3166"/>
      <c r="P393" s="3166"/>
      <c r="Q393" s="3166"/>
      <c r="R393" s="3166"/>
      <c r="S393" s="3166"/>
      <c r="T393" s="3166"/>
      <c r="U393" s="3166"/>
      <c r="V393" s="3166"/>
      <c r="W393" s="3166"/>
      <c r="X393" s="3166"/>
      <c r="Y393" s="3166"/>
      <c r="Z393" s="3166"/>
      <c r="AA393" s="3166"/>
      <c r="AB393" s="3166"/>
      <c r="AC393" s="3166"/>
      <c r="AD393" s="3166"/>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1697</v>
      </c>
      <c r="F395" s="1654"/>
      <c r="G395" s="1654"/>
      <c r="H395" s="1654"/>
      <c r="I395" s="1654"/>
      <c r="J395" s="1654"/>
      <c r="K395" s="1654"/>
      <c r="L395" s="1654"/>
      <c r="M395" s="1654"/>
      <c r="N395" s="1654"/>
      <c r="O395" s="1654"/>
      <c r="P395" s="1654"/>
      <c r="Q395" s="1654"/>
      <c r="R395" s="1654"/>
      <c r="U395" s="1654"/>
      <c r="V395" s="1654"/>
      <c r="W395" s="1654"/>
      <c r="X395" s="3165" t="s">
        <v>628</v>
      </c>
      <c r="Y395" s="3165"/>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1698</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160" t="s">
        <v>1699</v>
      </c>
      <c r="AG397" s="3160"/>
      <c r="AH397" s="3160"/>
      <c r="AI397" s="3160"/>
      <c r="AJ397" s="3160"/>
      <c r="AK397" s="3160"/>
      <c r="AL397" s="3160"/>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1688</v>
      </c>
      <c r="AP398" s="1130">
        <v>4</v>
      </c>
    </row>
    <row r="399" spans="1:42" s="945" customFormat="1" ht="12.75" customHeight="1">
      <c r="A399" s="1062"/>
      <c r="B399" s="1008"/>
      <c r="C399" s="1641"/>
      <c r="D399" s="1025" t="s">
        <v>1691</v>
      </c>
      <c r="E399" s="1647"/>
      <c r="F399" s="1647"/>
      <c r="G399" s="1647"/>
      <c r="H399" s="3047" t="s">
        <v>727</v>
      </c>
      <c r="I399" s="3047"/>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1689</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1700</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1701</v>
      </c>
      <c r="AJ401" s="3048">
        <f>VLOOKUP($H$399,$AO$366:$AP$368,2,FALSE)</f>
        <v>3</v>
      </c>
      <c r="AK401" s="3049"/>
      <c r="AL401" s="1007"/>
      <c r="AM401" s="1004"/>
      <c r="AN401" s="1002"/>
      <c r="AO401" s="1120" t="s">
        <v>1702</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1703</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1704</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160" t="s">
        <v>1635</v>
      </c>
      <c r="AG405" s="3160"/>
      <c r="AH405" s="3160"/>
      <c r="AI405" s="3160"/>
      <c r="AJ405" s="3160"/>
      <c r="AK405" s="3160"/>
      <c r="AL405" s="3160"/>
      <c r="AM405" s="1028"/>
      <c r="AN405" s="1002"/>
    </row>
    <row r="406" spans="1:42" s="945" customFormat="1" ht="12.75" customHeight="1">
      <c r="A406" s="1062"/>
      <c r="B406" s="929"/>
      <c r="C406" s="929"/>
      <c r="D406" s="1108"/>
      <c r="E406" s="1037" t="s">
        <v>1705</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1706</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60" t="s">
        <v>1699</v>
      </c>
      <c r="AG408" s="3160"/>
      <c r="AH408" s="3160"/>
      <c r="AI408" s="3160"/>
      <c r="AJ408" s="3160"/>
      <c r="AK408" s="3160"/>
      <c r="AL408" s="3160"/>
      <c r="AM408" s="1028"/>
      <c r="AN408" s="1002"/>
    </row>
    <row r="409" spans="1:42" s="945" customFormat="1" ht="12.75" customHeight="1">
      <c r="A409" s="1062"/>
      <c r="B409" s="1008"/>
      <c r="C409" s="1641"/>
      <c r="D409" s="1108"/>
      <c r="E409" s="1037" t="s">
        <v>1707</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1691</v>
      </c>
      <c r="E411" s="1647"/>
      <c r="F411" s="1647"/>
      <c r="G411" s="1647"/>
      <c r="H411" s="3047" t="s">
        <v>727</v>
      </c>
      <c r="I411" s="3047"/>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1708</v>
      </c>
      <c r="AJ413" s="3048">
        <f>VLOOKUP(H411,AT366:AU368,2,FALSE)</f>
        <v>3</v>
      </c>
      <c r="AK413" s="3049"/>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1709</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1710</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050" t="s">
        <v>1711</v>
      </c>
      <c r="F418" s="3050"/>
      <c r="G418" s="3050"/>
      <c r="H418" s="3050"/>
      <c r="I418" s="3050"/>
      <c r="J418" s="3050"/>
      <c r="K418" s="3050"/>
      <c r="L418" s="3050"/>
      <c r="M418" s="3050"/>
      <c r="N418" s="3050"/>
      <c r="O418" s="3050"/>
      <c r="P418" s="3050"/>
      <c r="Q418" s="3050"/>
      <c r="R418" s="3050"/>
      <c r="S418" s="3050"/>
      <c r="T418" s="3050"/>
      <c r="U418" s="3050"/>
      <c r="V418" s="3050"/>
      <c r="W418" s="3050"/>
      <c r="X418" s="3050"/>
      <c r="Y418" s="3050"/>
      <c r="Z418" s="3050"/>
      <c r="AA418" s="3050"/>
      <c r="AB418" s="3050"/>
      <c r="AC418" s="3050"/>
      <c r="AD418" s="929"/>
      <c r="AE418" s="929"/>
      <c r="AF418" s="3160" t="s">
        <v>1661</v>
      </c>
      <c r="AG418" s="3160"/>
      <c r="AH418" s="3160"/>
      <c r="AI418" s="3160"/>
      <c r="AJ418" s="3160"/>
      <c r="AK418" s="3160"/>
      <c r="AL418" s="3160"/>
      <c r="AN418" s="1002"/>
    </row>
    <row r="419" spans="1:42" s="945" customFormat="1" ht="12.75" customHeight="1">
      <c r="B419" s="929"/>
      <c r="C419" s="988"/>
      <c r="D419" s="929"/>
      <c r="E419" s="3050"/>
      <c r="F419" s="3050"/>
      <c r="G419" s="3050"/>
      <c r="H419" s="3050"/>
      <c r="I419" s="3050"/>
      <c r="J419" s="3050"/>
      <c r="K419" s="3050"/>
      <c r="L419" s="3050"/>
      <c r="M419" s="3050"/>
      <c r="N419" s="3050"/>
      <c r="O419" s="3050"/>
      <c r="P419" s="3050"/>
      <c r="Q419" s="3050"/>
      <c r="R419" s="3050"/>
      <c r="S419" s="3050"/>
      <c r="T419" s="3050"/>
      <c r="U419" s="3050"/>
      <c r="V419" s="3050"/>
      <c r="W419" s="3050"/>
      <c r="X419" s="3050"/>
      <c r="Y419" s="3050"/>
      <c r="Z419" s="3050"/>
      <c r="AA419" s="3050"/>
      <c r="AB419" s="3050"/>
      <c r="AC419" s="3050"/>
      <c r="AD419" s="929"/>
      <c r="AE419" s="929"/>
      <c r="AF419" s="929"/>
      <c r="AG419" s="929"/>
      <c r="AH419" s="929"/>
      <c r="AI419" s="929"/>
      <c r="AJ419" s="929"/>
      <c r="AK419" s="929"/>
      <c r="AL419" s="929"/>
      <c r="AN419" s="1002"/>
    </row>
    <row r="420" spans="1:42" s="945" customFormat="1" ht="12.75" customHeight="1">
      <c r="B420" s="929"/>
      <c r="C420" s="988"/>
      <c r="D420" s="1108"/>
      <c r="E420" s="3050"/>
      <c r="F420" s="3050"/>
      <c r="G420" s="3050"/>
      <c r="H420" s="3050"/>
      <c r="I420" s="3050"/>
      <c r="J420" s="3050"/>
      <c r="K420" s="3050"/>
      <c r="L420" s="3050"/>
      <c r="M420" s="3050"/>
      <c r="N420" s="3050"/>
      <c r="O420" s="3050"/>
      <c r="P420" s="3050"/>
      <c r="Q420" s="3050"/>
      <c r="R420" s="3050"/>
      <c r="S420" s="3050"/>
      <c r="T420" s="3050"/>
      <c r="U420" s="3050"/>
      <c r="V420" s="3050"/>
      <c r="W420" s="3050"/>
      <c r="X420" s="3050"/>
      <c r="Y420" s="3050"/>
      <c r="Z420" s="3050"/>
      <c r="AA420" s="3050"/>
      <c r="AB420" s="3050"/>
      <c r="AC420" s="3050"/>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050" t="s">
        <v>1712</v>
      </c>
      <c r="F422" s="3050"/>
      <c r="G422" s="3050"/>
      <c r="H422" s="3050"/>
      <c r="I422" s="3050"/>
      <c r="J422" s="3050"/>
      <c r="K422" s="3050"/>
      <c r="L422" s="3050"/>
      <c r="M422" s="3050"/>
      <c r="N422" s="3050"/>
      <c r="O422" s="3050"/>
      <c r="P422" s="3050"/>
      <c r="Q422" s="3050"/>
      <c r="R422" s="3050"/>
      <c r="S422" s="3050"/>
      <c r="T422" s="3050"/>
      <c r="U422" s="3050"/>
      <c r="V422" s="3050"/>
      <c r="W422" s="3050"/>
      <c r="X422" s="3050"/>
      <c r="Y422" s="3050"/>
      <c r="Z422" s="3050"/>
      <c r="AA422" s="3050"/>
      <c r="AB422" s="3050"/>
      <c r="AC422" s="3050"/>
      <c r="AD422" s="929"/>
      <c r="AE422" s="929"/>
      <c r="AF422" s="3160" t="s">
        <v>1690</v>
      </c>
      <c r="AG422" s="3160"/>
      <c r="AH422" s="3160"/>
      <c r="AI422" s="3160"/>
      <c r="AJ422" s="3160"/>
      <c r="AK422" s="3160"/>
      <c r="AL422" s="3160"/>
      <c r="AN422" s="1002"/>
    </row>
    <row r="423" spans="1:42" s="945" customFormat="1" ht="12.75" customHeight="1">
      <c r="B423" s="929"/>
      <c r="C423" s="988"/>
      <c r="D423" s="929"/>
      <c r="E423" s="3050"/>
      <c r="F423" s="3050"/>
      <c r="G423" s="3050"/>
      <c r="H423" s="3050"/>
      <c r="I423" s="3050"/>
      <c r="J423" s="3050"/>
      <c r="K423" s="3050"/>
      <c r="L423" s="3050"/>
      <c r="M423" s="3050"/>
      <c r="N423" s="3050"/>
      <c r="O423" s="3050"/>
      <c r="P423" s="3050"/>
      <c r="Q423" s="3050"/>
      <c r="R423" s="3050"/>
      <c r="S423" s="3050"/>
      <c r="T423" s="3050"/>
      <c r="U423" s="3050"/>
      <c r="V423" s="3050"/>
      <c r="W423" s="3050"/>
      <c r="X423" s="3050"/>
      <c r="Y423" s="3050"/>
      <c r="Z423" s="3050"/>
      <c r="AA423" s="3050"/>
      <c r="AB423" s="3050"/>
      <c r="AC423" s="3050"/>
      <c r="AD423" s="929"/>
      <c r="AE423" s="929"/>
      <c r="AF423" s="929"/>
      <c r="AG423" s="929"/>
      <c r="AH423" s="929"/>
      <c r="AI423" s="929"/>
      <c r="AJ423" s="929"/>
      <c r="AK423" s="929"/>
      <c r="AL423" s="929"/>
      <c r="AN423" s="1002"/>
    </row>
    <row r="424" spans="1:42" s="945" customFormat="1" ht="15" customHeight="1">
      <c r="B424" s="929"/>
      <c r="C424" s="988"/>
      <c r="D424" s="1108"/>
      <c r="E424" s="3050"/>
      <c r="F424" s="3050"/>
      <c r="G424" s="3050"/>
      <c r="H424" s="3050"/>
      <c r="I424" s="3050"/>
      <c r="J424" s="3050"/>
      <c r="K424" s="3050"/>
      <c r="L424" s="3050"/>
      <c r="M424" s="3050"/>
      <c r="N424" s="3050"/>
      <c r="O424" s="3050"/>
      <c r="P424" s="3050"/>
      <c r="Q424" s="3050"/>
      <c r="R424" s="3050"/>
      <c r="S424" s="3050"/>
      <c r="T424" s="3050"/>
      <c r="U424" s="3050"/>
      <c r="V424" s="3050"/>
      <c r="W424" s="3050"/>
      <c r="X424" s="3050"/>
      <c r="Y424" s="3050"/>
      <c r="Z424" s="3050"/>
      <c r="AA424" s="3050"/>
      <c r="AB424" s="3050"/>
      <c r="AC424" s="3050"/>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50" t="s">
        <v>1713</v>
      </c>
      <c r="F426" s="3050"/>
      <c r="G426" s="3050"/>
      <c r="H426" s="3050"/>
      <c r="I426" s="3050"/>
      <c r="J426" s="3050"/>
      <c r="K426" s="3050"/>
      <c r="L426" s="3050"/>
      <c r="M426" s="3050"/>
      <c r="N426" s="3050"/>
      <c r="O426" s="3050"/>
      <c r="P426" s="3050"/>
      <c r="Q426" s="3050"/>
      <c r="R426" s="3050"/>
      <c r="S426" s="3050"/>
      <c r="T426" s="3050"/>
      <c r="U426" s="3050"/>
      <c r="V426" s="3050"/>
      <c r="W426" s="3050"/>
      <c r="X426" s="3050"/>
      <c r="Y426" s="3050"/>
      <c r="Z426" s="3050"/>
      <c r="AA426" s="3050"/>
      <c r="AB426" s="3050"/>
      <c r="AC426" s="3050"/>
      <c r="AD426" s="929"/>
      <c r="AE426" s="929"/>
      <c r="AF426" s="3160" t="s">
        <v>1635</v>
      </c>
      <c r="AG426" s="3160"/>
      <c r="AH426" s="3160"/>
      <c r="AI426" s="3160"/>
      <c r="AJ426" s="3160"/>
      <c r="AK426" s="3160"/>
      <c r="AL426" s="3160"/>
      <c r="AN426" s="1002"/>
    </row>
    <row r="427" spans="1:42" s="945" customFormat="1" ht="12.75" customHeight="1">
      <c r="A427" s="1062"/>
      <c r="B427" s="1025"/>
      <c r="C427" s="1644"/>
      <c r="D427" s="929"/>
      <c r="E427" s="3050"/>
      <c r="F427" s="3050"/>
      <c r="G427" s="3050"/>
      <c r="H427" s="3050"/>
      <c r="I427" s="3050"/>
      <c r="J427" s="3050"/>
      <c r="K427" s="3050"/>
      <c r="L427" s="3050"/>
      <c r="M427" s="3050"/>
      <c r="N427" s="3050"/>
      <c r="O427" s="3050"/>
      <c r="P427" s="3050"/>
      <c r="Q427" s="3050"/>
      <c r="R427" s="3050"/>
      <c r="S427" s="3050"/>
      <c r="T427" s="3050"/>
      <c r="U427" s="3050"/>
      <c r="V427" s="3050"/>
      <c r="W427" s="3050"/>
      <c r="X427" s="3050"/>
      <c r="Y427" s="3050"/>
      <c r="Z427" s="3050"/>
      <c r="AA427" s="3050"/>
      <c r="AB427" s="3050"/>
      <c r="AC427" s="3050"/>
      <c r="AD427" s="929"/>
      <c r="AE427" s="3160"/>
      <c r="AF427" s="3160"/>
      <c r="AG427" s="3160"/>
      <c r="AH427" s="3160"/>
      <c r="AI427" s="3160"/>
      <c r="AJ427" s="3160"/>
      <c r="AK427" s="3160"/>
      <c r="AL427" s="1598"/>
      <c r="AM427" s="1028"/>
      <c r="AN427" s="1002"/>
      <c r="AO427" s="945" t="s">
        <v>628</v>
      </c>
      <c r="AP427" s="1122">
        <v>0</v>
      </c>
    </row>
    <row r="428" spans="1:42" s="945" customFormat="1" ht="12.75" customHeight="1">
      <c r="A428" s="1128"/>
      <c r="B428" s="929"/>
      <c r="C428" s="929"/>
      <c r="D428" s="1108"/>
      <c r="E428" s="3050"/>
      <c r="F428" s="3050"/>
      <c r="G428" s="3050"/>
      <c r="H428" s="3050"/>
      <c r="I428" s="3050"/>
      <c r="J428" s="3050"/>
      <c r="K428" s="3050"/>
      <c r="L428" s="3050"/>
      <c r="M428" s="3050"/>
      <c r="N428" s="3050"/>
      <c r="O428" s="3050"/>
      <c r="P428" s="3050"/>
      <c r="Q428" s="3050"/>
      <c r="R428" s="3050"/>
      <c r="S428" s="3050"/>
      <c r="T428" s="3050"/>
      <c r="U428" s="3050"/>
      <c r="V428" s="3050"/>
      <c r="W428" s="3050"/>
      <c r="X428" s="3050"/>
      <c r="Y428" s="3050"/>
      <c r="Z428" s="3050"/>
      <c r="AA428" s="3050"/>
      <c r="AB428" s="3050"/>
      <c r="AC428" s="3050"/>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1688</v>
      </c>
      <c r="E430" s="3050" t="s">
        <v>1714</v>
      </c>
      <c r="F430" s="3050"/>
      <c r="G430" s="3050"/>
      <c r="H430" s="3050"/>
      <c r="I430" s="3050"/>
      <c r="J430" s="3050"/>
      <c r="K430" s="3050"/>
      <c r="L430" s="3050"/>
      <c r="M430" s="3050"/>
      <c r="N430" s="3050"/>
      <c r="O430" s="3050"/>
      <c r="P430" s="3050"/>
      <c r="Q430" s="3050"/>
      <c r="R430" s="3050"/>
      <c r="S430" s="3050"/>
      <c r="T430" s="3050"/>
      <c r="U430" s="3050"/>
      <c r="V430" s="3050"/>
      <c r="W430" s="3050"/>
      <c r="X430" s="3050"/>
      <c r="Y430" s="3050"/>
      <c r="Z430" s="3050"/>
      <c r="AA430" s="3050"/>
      <c r="AB430" s="3050"/>
      <c r="AC430" s="3050"/>
      <c r="AD430" s="929"/>
      <c r="AE430" s="929"/>
      <c r="AF430" s="3160" t="s">
        <v>1690</v>
      </c>
      <c r="AG430" s="3160"/>
      <c r="AH430" s="3160"/>
      <c r="AI430" s="3160"/>
      <c r="AJ430" s="3160"/>
      <c r="AK430" s="3160"/>
      <c r="AL430" s="3160"/>
      <c r="AN430" s="1002"/>
    </row>
    <row r="431" spans="1:42" s="945" customFormat="1" ht="12.75" customHeight="1">
      <c r="A431" s="1117"/>
      <c r="B431" s="1025"/>
      <c r="C431" s="1660"/>
      <c r="D431" s="1108"/>
      <c r="E431" s="3050"/>
      <c r="F431" s="3050"/>
      <c r="G431" s="3050"/>
      <c r="H431" s="3050"/>
      <c r="I431" s="3050"/>
      <c r="J431" s="3050"/>
      <c r="K431" s="3050"/>
      <c r="L431" s="3050"/>
      <c r="M431" s="3050"/>
      <c r="N431" s="3050"/>
      <c r="O431" s="3050"/>
      <c r="P431" s="3050"/>
      <c r="Q431" s="3050"/>
      <c r="R431" s="3050"/>
      <c r="S431" s="3050"/>
      <c r="T431" s="3050"/>
      <c r="U431" s="3050"/>
      <c r="V431" s="3050"/>
      <c r="W431" s="3050"/>
      <c r="X431" s="3050"/>
      <c r="Y431" s="3050"/>
      <c r="Z431" s="3050"/>
      <c r="AA431" s="3050"/>
      <c r="AB431" s="3050"/>
      <c r="AC431" s="3050"/>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50"/>
      <c r="F432" s="3050"/>
      <c r="G432" s="3050"/>
      <c r="H432" s="3050"/>
      <c r="I432" s="3050"/>
      <c r="J432" s="3050"/>
      <c r="K432" s="3050"/>
      <c r="L432" s="3050"/>
      <c r="M432" s="3050"/>
      <c r="N432" s="3050"/>
      <c r="O432" s="3050"/>
      <c r="P432" s="3050"/>
      <c r="Q432" s="3050"/>
      <c r="R432" s="3050"/>
      <c r="S432" s="3050"/>
      <c r="T432" s="3050"/>
      <c r="U432" s="3050"/>
      <c r="V432" s="3050"/>
      <c r="W432" s="3050"/>
      <c r="X432" s="3050"/>
      <c r="Y432" s="3050"/>
      <c r="Z432" s="3050"/>
      <c r="AA432" s="3050"/>
      <c r="AB432" s="3050"/>
      <c r="AC432" s="3050"/>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1689</v>
      </c>
      <c r="E434" s="3050" t="s">
        <v>1715</v>
      </c>
      <c r="F434" s="3050"/>
      <c r="G434" s="3050"/>
      <c r="H434" s="3050"/>
      <c r="I434" s="3050"/>
      <c r="J434" s="3050"/>
      <c r="K434" s="3050"/>
      <c r="L434" s="3050"/>
      <c r="M434" s="3050"/>
      <c r="N434" s="3050"/>
      <c r="O434" s="3050"/>
      <c r="P434" s="3050"/>
      <c r="Q434" s="3050"/>
      <c r="R434" s="3050"/>
      <c r="S434" s="3050"/>
      <c r="T434" s="3050"/>
      <c r="U434" s="3050"/>
      <c r="V434" s="3050"/>
      <c r="W434" s="3050"/>
      <c r="X434" s="3050"/>
      <c r="Y434" s="3050"/>
      <c r="Z434" s="3050"/>
      <c r="AA434" s="3050"/>
      <c r="AB434" s="3050"/>
      <c r="AC434" s="3050"/>
      <c r="AD434" s="929"/>
      <c r="AE434" s="929"/>
      <c r="AF434" s="3160" t="s">
        <v>1635</v>
      </c>
      <c r="AG434" s="3160"/>
      <c r="AH434" s="3160"/>
      <c r="AI434" s="3160"/>
      <c r="AJ434" s="3160"/>
      <c r="AK434" s="3160"/>
      <c r="AL434" s="3160"/>
      <c r="AM434" s="1067"/>
      <c r="AN434" s="1002"/>
    </row>
    <row r="435" spans="1:42" s="945" customFormat="1" ht="12.75" customHeight="1">
      <c r="A435" s="1062"/>
      <c r="B435" s="1025"/>
      <c r="C435" s="1644"/>
      <c r="D435" s="1108"/>
      <c r="E435" s="3050"/>
      <c r="F435" s="3050"/>
      <c r="G435" s="3050"/>
      <c r="H435" s="3050"/>
      <c r="I435" s="3050"/>
      <c r="J435" s="3050"/>
      <c r="K435" s="3050"/>
      <c r="L435" s="3050"/>
      <c r="M435" s="3050"/>
      <c r="N435" s="3050"/>
      <c r="O435" s="3050"/>
      <c r="P435" s="3050"/>
      <c r="Q435" s="3050"/>
      <c r="R435" s="3050"/>
      <c r="S435" s="3050"/>
      <c r="T435" s="3050"/>
      <c r="U435" s="3050"/>
      <c r="V435" s="3050"/>
      <c r="W435" s="3050"/>
      <c r="X435" s="3050"/>
      <c r="Y435" s="3050"/>
      <c r="Z435" s="3050"/>
      <c r="AA435" s="3050"/>
      <c r="AB435" s="3050"/>
      <c r="AC435" s="3050"/>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50"/>
      <c r="F436" s="3050"/>
      <c r="G436" s="3050"/>
      <c r="H436" s="3050"/>
      <c r="I436" s="3050"/>
      <c r="J436" s="3050"/>
      <c r="K436" s="3050"/>
      <c r="L436" s="3050"/>
      <c r="M436" s="3050"/>
      <c r="N436" s="3050"/>
      <c r="O436" s="3050"/>
      <c r="P436" s="3050"/>
      <c r="Q436" s="3050"/>
      <c r="R436" s="3050"/>
      <c r="S436" s="3050"/>
      <c r="T436" s="3050"/>
      <c r="U436" s="3050"/>
      <c r="V436" s="3050"/>
      <c r="W436" s="3050"/>
      <c r="X436" s="3050"/>
      <c r="Y436" s="3050"/>
      <c r="Z436" s="3050"/>
      <c r="AA436" s="3050"/>
      <c r="AB436" s="3050"/>
      <c r="AC436" s="3050"/>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1700</v>
      </c>
      <c r="E438" s="3050" t="s">
        <v>1716</v>
      </c>
      <c r="F438" s="3050"/>
      <c r="G438" s="3050"/>
      <c r="H438" s="3050"/>
      <c r="I438" s="3050"/>
      <c r="J438" s="3050"/>
      <c r="K438" s="3050"/>
      <c r="L438" s="3050"/>
      <c r="M438" s="3050"/>
      <c r="N438" s="3050"/>
      <c r="O438" s="3050"/>
      <c r="P438" s="3050"/>
      <c r="Q438" s="3050"/>
      <c r="R438" s="3050"/>
      <c r="S438" s="3050"/>
      <c r="T438" s="3050"/>
      <c r="U438" s="3050"/>
      <c r="V438" s="3050"/>
      <c r="W438" s="3050"/>
      <c r="X438" s="3050"/>
      <c r="Y438" s="3050"/>
      <c r="Z438" s="3050"/>
      <c r="AA438" s="3050"/>
      <c r="AB438" s="3050"/>
      <c r="AC438" s="3050"/>
      <c r="AD438" s="929"/>
      <c r="AE438" s="929"/>
      <c r="AF438" s="3160" t="s">
        <v>1699</v>
      </c>
      <c r="AG438" s="3160"/>
      <c r="AH438" s="3160"/>
      <c r="AI438" s="3160"/>
      <c r="AJ438" s="3160"/>
      <c r="AK438" s="3160"/>
      <c r="AL438" s="3160"/>
      <c r="AM438" s="1067"/>
      <c r="AN438" s="1002"/>
    </row>
    <row r="439" spans="1:42" s="945" customFormat="1" ht="12.75" customHeight="1">
      <c r="A439" s="1601"/>
      <c r="B439" s="1008"/>
      <c r="C439" s="1641"/>
      <c r="D439" s="1108"/>
      <c r="E439" s="3050"/>
      <c r="F439" s="3050"/>
      <c r="G439" s="3050"/>
      <c r="H439" s="3050"/>
      <c r="I439" s="3050"/>
      <c r="J439" s="3050"/>
      <c r="K439" s="3050"/>
      <c r="L439" s="3050"/>
      <c r="M439" s="3050"/>
      <c r="N439" s="3050"/>
      <c r="O439" s="3050"/>
      <c r="P439" s="3050"/>
      <c r="Q439" s="3050"/>
      <c r="R439" s="3050"/>
      <c r="S439" s="3050"/>
      <c r="T439" s="3050"/>
      <c r="U439" s="3050"/>
      <c r="V439" s="3050"/>
      <c r="W439" s="3050"/>
      <c r="X439" s="3050"/>
      <c r="Y439" s="3050"/>
      <c r="Z439" s="3050"/>
      <c r="AA439" s="3050"/>
      <c r="AB439" s="3050"/>
      <c r="AC439" s="3050"/>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50"/>
      <c r="F440" s="3050"/>
      <c r="G440" s="3050"/>
      <c r="H440" s="3050"/>
      <c r="I440" s="3050"/>
      <c r="J440" s="3050"/>
      <c r="K440" s="3050"/>
      <c r="L440" s="3050"/>
      <c r="M440" s="3050"/>
      <c r="N440" s="3050"/>
      <c r="O440" s="3050"/>
      <c r="P440" s="3050"/>
      <c r="Q440" s="3050"/>
      <c r="R440" s="3050"/>
      <c r="S440" s="3050"/>
      <c r="T440" s="3050"/>
      <c r="U440" s="3050"/>
      <c r="V440" s="3050"/>
      <c r="W440" s="3050"/>
      <c r="X440" s="3050"/>
      <c r="Y440" s="3050"/>
      <c r="Z440" s="3050"/>
      <c r="AA440" s="3050"/>
      <c r="AB440" s="3050"/>
      <c r="AC440" s="3050"/>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1702</v>
      </c>
      <c r="E442" s="3050" t="s">
        <v>1717</v>
      </c>
      <c r="F442" s="3050"/>
      <c r="G442" s="3050"/>
      <c r="H442" s="3050"/>
      <c r="I442" s="3050"/>
      <c r="J442" s="3050"/>
      <c r="K442" s="3050"/>
      <c r="L442" s="3050"/>
      <c r="M442" s="3050"/>
      <c r="N442" s="3050"/>
      <c r="O442" s="3050"/>
      <c r="P442" s="3050"/>
      <c r="Q442" s="3050"/>
      <c r="R442" s="3050"/>
      <c r="S442" s="3050"/>
      <c r="T442" s="3050"/>
      <c r="U442" s="3050"/>
      <c r="V442" s="3050"/>
      <c r="W442" s="3050"/>
      <c r="X442" s="3050"/>
      <c r="Y442" s="3050"/>
      <c r="Z442" s="3050"/>
      <c r="AA442" s="3050"/>
      <c r="AB442" s="3050"/>
      <c r="AC442" s="3050"/>
      <c r="AD442" s="929"/>
      <c r="AE442" s="929"/>
      <c r="AF442" s="3160" t="s">
        <v>1718</v>
      </c>
      <c r="AG442" s="3160"/>
      <c r="AH442" s="3160"/>
      <c r="AI442" s="3160"/>
      <c r="AJ442" s="3160"/>
      <c r="AK442" s="3160"/>
      <c r="AL442" s="3160"/>
      <c r="AM442" s="1067"/>
      <c r="AN442" s="1002"/>
      <c r="AO442" s="1120" t="s">
        <v>727</v>
      </c>
      <c r="AP442" s="945">
        <v>3</v>
      </c>
    </row>
    <row r="443" spans="1:42" s="945" customFormat="1" ht="12.75" customHeight="1">
      <c r="A443" s="1601"/>
      <c r="B443" s="1008"/>
      <c r="C443" s="1641"/>
      <c r="D443" s="1108"/>
      <c r="E443" s="3050"/>
      <c r="F443" s="3050"/>
      <c r="G443" s="3050"/>
      <c r="H443" s="3050"/>
      <c r="I443" s="3050"/>
      <c r="J443" s="3050"/>
      <c r="K443" s="3050"/>
      <c r="L443" s="3050"/>
      <c r="M443" s="3050"/>
      <c r="N443" s="3050"/>
      <c r="O443" s="3050"/>
      <c r="P443" s="3050"/>
      <c r="Q443" s="3050"/>
      <c r="R443" s="3050"/>
      <c r="S443" s="3050"/>
      <c r="T443" s="3050"/>
      <c r="U443" s="3050"/>
      <c r="V443" s="3050"/>
      <c r="W443" s="3050"/>
      <c r="X443" s="3050"/>
      <c r="Y443" s="3050"/>
      <c r="Z443" s="3050"/>
      <c r="AA443" s="3050"/>
      <c r="AB443" s="3050"/>
      <c r="AC443" s="3050"/>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050"/>
      <c r="F444" s="3050"/>
      <c r="G444" s="3050"/>
      <c r="H444" s="3050"/>
      <c r="I444" s="3050"/>
      <c r="J444" s="3050"/>
      <c r="K444" s="3050"/>
      <c r="L444" s="3050"/>
      <c r="M444" s="3050"/>
      <c r="N444" s="3050"/>
      <c r="O444" s="3050"/>
      <c r="P444" s="3050"/>
      <c r="Q444" s="3050"/>
      <c r="R444" s="3050"/>
      <c r="S444" s="3050"/>
      <c r="T444" s="3050"/>
      <c r="U444" s="3050"/>
      <c r="V444" s="3050"/>
      <c r="W444" s="3050"/>
      <c r="X444" s="3050"/>
      <c r="Y444" s="3050"/>
      <c r="Z444" s="3050"/>
      <c r="AA444" s="3050"/>
      <c r="AB444" s="3050"/>
      <c r="AC444" s="3050"/>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1691</v>
      </c>
      <c r="E446" s="1647"/>
      <c r="F446" s="1647"/>
      <c r="G446" s="1647"/>
      <c r="H446" s="3047" t="s">
        <v>628</v>
      </c>
      <c r="I446" s="3047"/>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1719</v>
      </c>
      <c r="AJ448" s="3048">
        <f>VLOOKUP($H$446,$AO$394:$AP$401,2,FALSE)</f>
        <v>0</v>
      </c>
      <c r="AK448" s="3049"/>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1720</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050" t="s">
        <v>2203</v>
      </c>
      <c r="F452" s="3050"/>
      <c r="G452" s="3050"/>
      <c r="H452" s="3050"/>
      <c r="I452" s="3050"/>
      <c r="J452" s="3050"/>
      <c r="K452" s="3050"/>
      <c r="L452" s="3050"/>
      <c r="M452" s="3050"/>
      <c r="N452" s="3050"/>
      <c r="O452" s="3050"/>
      <c r="P452" s="3050"/>
      <c r="Q452" s="3050"/>
      <c r="R452" s="3050"/>
      <c r="S452" s="3050"/>
      <c r="T452" s="3050"/>
      <c r="U452" s="3050"/>
      <c r="V452" s="3050"/>
      <c r="W452" s="3050"/>
      <c r="X452" s="3050"/>
      <c r="Y452" s="3050"/>
      <c r="Z452" s="3050"/>
      <c r="AA452" s="3050"/>
      <c r="AB452" s="3050"/>
      <c r="AC452" s="929"/>
      <c r="AD452" s="929"/>
      <c r="AE452" s="932"/>
      <c r="AF452" s="3160" t="s">
        <v>1635</v>
      </c>
      <c r="AG452" s="3160"/>
      <c r="AH452" s="3160"/>
      <c r="AI452" s="3160"/>
      <c r="AJ452" s="3160"/>
      <c r="AK452" s="3160"/>
      <c r="AL452" s="3160"/>
      <c r="AM452" s="1028"/>
      <c r="AN452" s="1003"/>
    </row>
    <row r="453" spans="1:42" s="1004" customFormat="1" ht="12.75" customHeight="1">
      <c r="A453" s="1062"/>
      <c r="B453" s="1025"/>
      <c r="C453" s="1653"/>
      <c r="D453" s="1108"/>
      <c r="E453" s="3050"/>
      <c r="F453" s="3050"/>
      <c r="G453" s="3050"/>
      <c r="H453" s="3050"/>
      <c r="I453" s="3050"/>
      <c r="J453" s="3050"/>
      <c r="K453" s="3050"/>
      <c r="L453" s="3050"/>
      <c r="M453" s="3050"/>
      <c r="N453" s="3050"/>
      <c r="O453" s="3050"/>
      <c r="P453" s="3050"/>
      <c r="Q453" s="3050"/>
      <c r="R453" s="3050"/>
      <c r="S453" s="3050"/>
      <c r="T453" s="3050"/>
      <c r="U453" s="3050"/>
      <c r="V453" s="3050"/>
      <c r="W453" s="3050"/>
      <c r="X453" s="3050"/>
      <c r="Y453" s="3050"/>
      <c r="Z453" s="3050"/>
      <c r="AA453" s="3050"/>
      <c r="AB453" s="3050"/>
      <c r="AC453" s="929"/>
      <c r="AD453" s="929"/>
      <c r="AE453" s="1037"/>
      <c r="AF453" s="932"/>
      <c r="AG453" s="932"/>
      <c r="AH453" s="932"/>
      <c r="AI453" s="932"/>
      <c r="AJ453" s="932"/>
      <c r="AK453" s="932"/>
      <c r="AL453" s="932"/>
      <c r="AM453" s="1028"/>
      <c r="AN453" s="1003"/>
      <c r="AO453" s="3164"/>
      <c r="AP453" s="3164"/>
    </row>
    <row r="454" spans="1:42" s="1004" customFormat="1" ht="12.75" customHeight="1">
      <c r="A454" s="1062"/>
      <c r="B454" s="1025"/>
      <c r="C454" s="1653"/>
      <c r="D454" s="1108"/>
      <c r="E454" s="3050"/>
      <c r="F454" s="3050"/>
      <c r="G454" s="3050"/>
      <c r="H454" s="3050"/>
      <c r="I454" s="3050"/>
      <c r="J454" s="3050"/>
      <c r="K454" s="3050"/>
      <c r="L454" s="3050"/>
      <c r="M454" s="3050"/>
      <c r="N454" s="3050"/>
      <c r="O454" s="3050"/>
      <c r="P454" s="3050"/>
      <c r="Q454" s="3050"/>
      <c r="R454" s="3050"/>
      <c r="S454" s="3050"/>
      <c r="T454" s="3050"/>
      <c r="U454" s="3050"/>
      <c r="V454" s="3050"/>
      <c r="W454" s="3050"/>
      <c r="X454" s="3050"/>
      <c r="Y454" s="3050"/>
      <c r="Z454" s="3050"/>
      <c r="AA454" s="3050"/>
      <c r="AB454" s="3050"/>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50"/>
      <c r="F455" s="3050"/>
      <c r="G455" s="3050"/>
      <c r="H455" s="3050"/>
      <c r="I455" s="3050"/>
      <c r="J455" s="3050"/>
      <c r="K455" s="3050"/>
      <c r="L455" s="3050"/>
      <c r="M455" s="3050"/>
      <c r="N455" s="3050"/>
      <c r="O455" s="3050"/>
      <c r="P455" s="3050"/>
      <c r="Q455" s="3050"/>
      <c r="R455" s="3050"/>
      <c r="S455" s="3050"/>
      <c r="T455" s="3050"/>
      <c r="U455" s="3050"/>
      <c r="V455" s="3050"/>
      <c r="W455" s="3050"/>
      <c r="X455" s="3050"/>
      <c r="Y455" s="3050"/>
      <c r="Z455" s="3050"/>
      <c r="AA455" s="3050"/>
      <c r="AB455" s="3050"/>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050" t="s">
        <v>2205</v>
      </c>
      <c r="F457" s="3050"/>
      <c r="G457" s="3050"/>
      <c r="H457" s="3050"/>
      <c r="I457" s="3050"/>
      <c r="J457" s="3050"/>
      <c r="K457" s="3050"/>
      <c r="L457" s="3050"/>
      <c r="M457" s="3050"/>
      <c r="N457" s="3050"/>
      <c r="O457" s="3050"/>
      <c r="P457" s="3050"/>
      <c r="Q457" s="3050"/>
      <c r="R457" s="3050"/>
      <c r="S457" s="3050"/>
      <c r="T457" s="3050"/>
      <c r="U457" s="3050"/>
      <c r="V457" s="3050"/>
      <c r="W457" s="3050"/>
      <c r="X457" s="3050"/>
      <c r="Y457" s="3050"/>
      <c r="Z457" s="3050"/>
      <c r="AA457" s="3050"/>
      <c r="AB457" s="3050"/>
      <c r="AC457" s="929"/>
      <c r="AD457" s="929"/>
      <c r="AE457" s="929"/>
      <c r="AF457" s="3160" t="s">
        <v>1699</v>
      </c>
      <c r="AG457" s="3160"/>
      <c r="AH457" s="3160"/>
      <c r="AI457" s="3160"/>
      <c r="AJ457" s="3160"/>
      <c r="AK457" s="3160"/>
      <c r="AL457" s="3160"/>
      <c r="AM457" s="1028"/>
      <c r="AN457" s="1002"/>
      <c r="AO457" s="1120" t="s">
        <v>544</v>
      </c>
      <c r="AP457" s="945">
        <v>1</v>
      </c>
    </row>
    <row r="458" spans="1:42" s="945" customFormat="1" ht="12" customHeight="1">
      <c r="A458" s="1028"/>
      <c r="B458" s="929"/>
      <c r="C458" s="1661"/>
      <c r="D458" s="929"/>
      <c r="E458" s="3050"/>
      <c r="F458" s="3050"/>
      <c r="G458" s="3050"/>
      <c r="H458" s="3050"/>
      <c r="I458" s="3050"/>
      <c r="J458" s="3050"/>
      <c r="K458" s="3050"/>
      <c r="L458" s="3050"/>
      <c r="M458" s="3050"/>
      <c r="N458" s="3050"/>
      <c r="O458" s="3050"/>
      <c r="P458" s="3050"/>
      <c r="Q458" s="3050"/>
      <c r="R458" s="3050"/>
      <c r="S458" s="3050"/>
      <c r="T458" s="3050"/>
      <c r="U458" s="3050"/>
      <c r="V458" s="3050"/>
      <c r="W458" s="3050"/>
      <c r="X458" s="3050"/>
      <c r="Y458" s="3050"/>
      <c r="Z458" s="3050"/>
      <c r="AA458" s="3050"/>
      <c r="AB458" s="3050"/>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50"/>
      <c r="F459" s="3050"/>
      <c r="G459" s="3050"/>
      <c r="H459" s="3050"/>
      <c r="I459" s="3050"/>
      <c r="J459" s="3050"/>
      <c r="K459" s="3050"/>
      <c r="L459" s="3050"/>
      <c r="M459" s="3050"/>
      <c r="N459" s="3050"/>
      <c r="O459" s="3050"/>
      <c r="P459" s="3050"/>
      <c r="Q459" s="3050"/>
      <c r="R459" s="3050"/>
      <c r="S459" s="3050"/>
      <c r="T459" s="3050"/>
      <c r="U459" s="3050"/>
      <c r="V459" s="3050"/>
      <c r="W459" s="3050"/>
      <c r="X459" s="3050"/>
      <c r="Y459" s="3050"/>
      <c r="Z459" s="3050"/>
      <c r="AA459" s="3050"/>
      <c r="AB459" s="3050"/>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50"/>
      <c r="F460" s="3050"/>
      <c r="G460" s="3050"/>
      <c r="H460" s="3050"/>
      <c r="I460" s="3050"/>
      <c r="J460" s="3050"/>
      <c r="K460" s="3050"/>
      <c r="L460" s="3050"/>
      <c r="M460" s="3050"/>
      <c r="N460" s="3050"/>
      <c r="O460" s="3050"/>
      <c r="P460" s="3050"/>
      <c r="Q460" s="3050"/>
      <c r="R460" s="3050"/>
      <c r="S460" s="3050"/>
      <c r="T460" s="3050"/>
      <c r="U460" s="3050"/>
      <c r="V460" s="3050"/>
      <c r="W460" s="3050"/>
      <c r="X460" s="3050"/>
      <c r="Y460" s="3050"/>
      <c r="Z460" s="3050"/>
      <c r="AA460" s="3050"/>
      <c r="AB460" s="3050"/>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50" t="s">
        <v>2204</v>
      </c>
      <c r="F462" s="3050"/>
      <c r="G462" s="3050"/>
      <c r="H462" s="3050"/>
      <c r="I462" s="3050"/>
      <c r="J462" s="3050"/>
      <c r="K462" s="3050"/>
      <c r="L462" s="3050"/>
      <c r="M462" s="3050"/>
      <c r="N462" s="3050"/>
      <c r="O462" s="3050"/>
      <c r="P462" s="3050"/>
      <c r="Q462" s="3050"/>
      <c r="R462" s="3050"/>
      <c r="S462" s="3050"/>
      <c r="T462" s="3050"/>
      <c r="U462" s="3050"/>
      <c r="V462" s="3050"/>
      <c r="W462" s="3050"/>
      <c r="X462" s="3050"/>
      <c r="Y462" s="3050"/>
      <c r="Z462" s="3050"/>
      <c r="AA462" s="3050"/>
      <c r="AB462" s="3050"/>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50"/>
      <c r="F463" s="3050"/>
      <c r="G463" s="3050"/>
      <c r="H463" s="3050"/>
      <c r="I463" s="3050"/>
      <c r="J463" s="3050"/>
      <c r="K463" s="3050"/>
      <c r="L463" s="3050"/>
      <c r="M463" s="3050"/>
      <c r="N463" s="3050"/>
      <c r="O463" s="3050"/>
      <c r="P463" s="3050"/>
      <c r="Q463" s="3050"/>
      <c r="R463" s="3050"/>
      <c r="S463" s="3050"/>
      <c r="T463" s="3050"/>
      <c r="U463" s="3050"/>
      <c r="V463" s="3050"/>
      <c r="W463" s="3050"/>
      <c r="X463" s="3050"/>
      <c r="Y463" s="3050"/>
      <c r="Z463" s="3050"/>
      <c r="AA463" s="3050"/>
      <c r="AB463" s="3050"/>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50"/>
      <c r="F464" s="3050"/>
      <c r="G464" s="3050"/>
      <c r="H464" s="3050"/>
      <c r="I464" s="3050"/>
      <c r="J464" s="3050"/>
      <c r="K464" s="3050"/>
      <c r="L464" s="3050"/>
      <c r="M464" s="3050"/>
      <c r="N464" s="3050"/>
      <c r="O464" s="3050"/>
      <c r="P464" s="3050"/>
      <c r="Q464" s="3050"/>
      <c r="R464" s="3050"/>
      <c r="S464" s="3050"/>
      <c r="T464" s="3050"/>
      <c r="U464" s="3050"/>
      <c r="V464" s="3050"/>
      <c r="W464" s="3050"/>
      <c r="X464" s="3050"/>
      <c r="Y464" s="3050"/>
      <c r="Z464" s="3050"/>
      <c r="AA464" s="3050"/>
      <c r="AB464" s="3050"/>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1691</v>
      </c>
      <c r="E466" s="1647"/>
      <c r="F466" s="1647"/>
      <c r="G466" s="1647"/>
      <c r="H466" s="3047" t="s">
        <v>628</v>
      </c>
      <c r="I466" s="3047"/>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1721</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1696</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1722</v>
      </c>
      <c r="AJ468" s="3048">
        <f>VLOOKUP($H$466,$AO$413:$AP$415,2,FALSE)</f>
        <v>0</v>
      </c>
      <c r="AK468" s="3049"/>
      <c r="AL468" s="1007"/>
      <c r="AM468" s="1004"/>
      <c r="AN468" s="1135"/>
      <c r="AP468" s="1136" t="s">
        <v>1703</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1723</v>
      </c>
    </row>
    <row r="470" spans="1:43" s="1136" customFormat="1" ht="12.75" customHeight="1">
      <c r="A470" s="1028"/>
      <c r="B470" s="929"/>
      <c r="C470" s="988" t="s">
        <v>1724</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1725</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1726</v>
      </c>
    </row>
    <row r="472" spans="1:43" s="1136" customFormat="1" ht="12.75" customHeight="1">
      <c r="A472" s="1121"/>
      <c r="B472" s="929"/>
      <c r="C472" s="1641"/>
      <c r="D472" s="1108" t="s">
        <v>727</v>
      </c>
      <c r="E472" s="3162" t="s">
        <v>2209</v>
      </c>
      <c r="F472" s="3162"/>
      <c r="G472" s="3162"/>
      <c r="H472" s="3162"/>
      <c r="I472" s="3162"/>
      <c r="J472" s="3162"/>
      <c r="K472" s="3162"/>
      <c r="L472" s="3162"/>
      <c r="M472" s="3162"/>
      <c r="N472" s="3162"/>
      <c r="O472" s="3162"/>
      <c r="P472" s="3162"/>
      <c r="Q472" s="3162"/>
      <c r="R472" s="3162"/>
      <c r="S472" s="3162"/>
      <c r="T472" s="3162"/>
      <c r="U472" s="3162"/>
      <c r="V472" s="3162"/>
      <c r="W472" s="3162"/>
      <c r="X472" s="3162"/>
      <c r="Y472" s="3162"/>
      <c r="Z472" s="3162"/>
      <c r="AA472" s="3162"/>
      <c r="AB472" s="3162"/>
      <c r="AC472" s="929"/>
      <c r="AD472" s="929"/>
      <c r="AE472" s="929"/>
      <c r="AF472" s="3160" t="s">
        <v>1635</v>
      </c>
      <c r="AG472" s="3160"/>
      <c r="AH472" s="3160"/>
      <c r="AI472" s="3160"/>
      <c r="AJ472" s="3160"/>
      <c r="AK472" s="3160"/>
      <c r="AL472" s="3160"/>
      <c r="AM472" s="1028"/>
      <c r="AN472" s="1135"/>
      <c r="AP472" s="1137" t="s">
        <v>1727</v>
      </c>
    </row>
    <row r="473" spans="1:43" s="1136" customFormat="1" ht="12" customHeight="1">
      <c r="A473" s="1062"/>
      <c r="B473" s="1025"/>
      <c r="C473" s="1643"/>
      <c r="D473" s="1108"/>
      <c r="E473" s="3162"/>
      <c r="F473" s="3162"/>
      <c r="G473" s="3162"/>
      <c r="H473" s="3162"/>
      <c r="I473" s="3162"/>
      <c r="J473" s="3162"/>
      <c r="K473" s="3162"/>
      <c r="L473" s="3162"/>
      <c r="M473" s="3162"/>
      <c r="N473" s="3162"/>
      <c r="O473" s="3162"/>
      <c r="P473" s="3162"/>
      <c r="Q473" s="3162"/>
      <c r="R473" s="3162"/>
      <c r="S473" s="3162"/>
      <c r="T473" s="3162"/>
      <c r="U473" s="3162"/>
      <c r="V473" s="3162"/>
      <c r="W473" s="3162"/>
      <c r="X473" s="3162"/>
      <c r="Y473" s="3162"/>
      <c r="Z473" s="3162"/>
      <c r="AA473" s="3162"/>
      <c r="AB473" s="3162"/>
      <c r="AC473" s="929"/>
      <c r="AD473" s="929"/>
      <c r="AE473" s="1025"/>
      <c r="AF473" s="929"/>
      <c r="AG473" s="929"/>
      <c r="AH473" s="929"/>
      <c r="AI473" s="929"/>
      <c r="AJ473" s="929"/>
      <c r="AK473" s="929"/>
      <c r="AL473" s="929"/>
      <c r="AM473" s="1028"/>
      <c r="AN473" s="1135"/>
      <c r="AP473" s="1137" t="s">
        <v>1728</v>
      </c>
    </row>
    <row r="474" spans="1:43" s="1136" customFormat="1" ht="14" customHeight="1">
      <c r="A474" s="1062"/>
      <c r="B474" s="1026"/>
      <c r="C474" s="1644"/>
      <c r="D474" s="1108"/>
      <c r="E474" s="3162"/>
      <c r="F474" s="3162"/>
      <c r="G474" s="3162"/>
      <c r="H474" s="3162"/>
      <c r="I474" s="3162"/>
      <c r="J474" s="3162"/>
      <c r="K474" s="3162"/>
      <c r="L474" s="3162"/>
      <c r="M474" s="3162"/>
      <c r="N474" s="3162"/>
      <c r="O474" s="3162"/>
      <c r="P474" s="3162"/>
      <c r="Q474" s="3162"/>
      <c r="R474" s="3162"/>
      <c r="S474" s="3162"/>
      <c r="T474" s="3162"/>
      <c r="U474" s="3162"/>
      <c r="V474" s="3162"/>
      <c r="W474" s="3162"/>
      <c r="X474" s="3162"/>
      <c r="Y474" s="3162"/>
      <c r="Z474" s="3162"/>
      <c r="AA474" s="3162"/>
      <c r="AB474" s="3162"/>
      <c r="AC474" s="929"/>
      <c r="AD474" s="929"/>
      <c r="AE474" s="1037"/>
      <c r="AF474" s="929"/>
      <c r="AG474" s="929"/>
      <c r="AH474" s="929"/>
      <c r="AI474" s="929"/>
      <c r="AJ474" s="929"/>
      <c r="AK474" s="929"/>
      <c r="AL474" s="929"/>
      <c r="AM474" s="1028"/>
      <c r="AN474" s="1135"/>
      <c r="AP474" s="1137" t="s">
        <v>1729</v>
      </c>
    </row>
    <row r="475" spans="1:43" s="1136" customFormat="1" ht="14"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1731</v>
      </c>
    </row>
    <row r="476" spans="1:43" s="1136" customFormat="1" ht="14" customHeight="1">
      <c r="A476" s="1062"/>
      <c r="B476" s="1008"/>
      <c r="C476" s="1641"/>
      <c r="D476" s="1108" t="s">
        <v>544</v>
      </c>
      <c r="E476" s="3163" t="s">
        <v>1730</v>
      </c>
      <c r="F476" s="3163"/>
      <c r="G476" s="3163"/>
      <c r="H476" s="3163"/>
      <c r="I476" s="3163"/>
      <c r="J476" s="3163"/>
      <c r="K476" s="3163"/>
      <c r="L476" s="3163"/>
      <c r="M476" s="3163"/>
      <c r="N476" s="3163"/>
      <c r="O476" s="3163"/>
      <c r="P476" s="3163"/>
      <c r="Q476" s="3163"/>
      <c r="R476" s="3163"/>
      <c r="S476" s="3163"/>
      <c r="T476" s="3163"/>
      <c r="U476" s="3163"/>
      <c r="V476" s="3163"/>
      <c r="W476" s="3163"/>
      <c r="X476" s="3163"/>
      <c r="Y476" s="3163"/>
      <c r="Z476" s="3163"/>
      <c r="AA476" s="3163"/>
      <c r="AB476" s="3163"/>
      <c r="AC476" s="929"/>
      <c r="AD476" s="929"/>
      <c r="AE476" s="929"/>
      <c r="AF476" s="3160" t="s">
        <v>1699</v>
      </c>
      <c r="AG476" s="3160"/>
      <c r="AH476" s="3160"/>
      <c r="AI476" s="3160"/>
      <c r="AJ476" s="3160"/>
      <c r="AK476" s="3160"/>
      <c r="AL476" s="3160"/>
      <c r="AM476" s="1028"/>
      <c r="AN476" s="1138"/>
    </row>
    <row r="477" spans="1:43" s="1136" customFormat="1" ht="12.75" customHeight="1">
      <c r="A477" s="1062"/>
      <c r="B477" s="1025"/>
      <c r="C477" s="1643"/>
      <c r="D477" s="1025"/>
      <c r="E477" s="3163"/>
      <c r="F477" s="3163"/>
      <c r="G477" s="3163"/>
      <c r="H477" s="3163"/>
      <c r="I477" s="3163"/>
      <c r="J477" s="3163"/>
      <c r="K477" s="3163"/>
      <c r="L477" s="3163"/>
      <c r="M477" s="3163"/>
      <c r="N477" s="3163"/>
      <c r="O477" s="3163"/>
      <c r="P477" s="3163"/>
      <c r="Q477" s="3163"/>
      <c r="R477" s="3163"/>
      <c r="S477" s="3163"/>
      <c r="T477" s="3163"/>
      <c r="U477" s="3163"/>
      <c r="V477" s="3163"/>
      <c r="W477" s="3163"/>
      <c r="X477" s="3163"/>
      <c r="Y477" s="3163"/>
      <c r="Z477" s="3163"/>
      <c r="AA477" s="3163"/>
      <c r="AB477" s="3163"/>
      <c r="AC477" s="1025"/>
      <c r="AD477" s="1025"/>
      <c r="AE477" s="1025"/>
      <c r="AF477" s="1025"/>
      <c r="AG477" s="1025"/>
      <c r="AH477" s="1025"/>
      <c r="AI477" s="1025"/>
      <c r="AJ477" s="929"/>
      <c r="AK477" s="1008"/>
      <c r="AL477" s="1008"/>
      <c r="AM477" s="1028"/>
      <c r="AN477" s="1135"/>
      <c r="AP477" s="945" t="s">
        <v>628</v>
      </c>
      <c r="AQ477" s="1122">
        <v>0</v>
      </c>
    </row>
    <row r="478" spans="1:43" s="1136" customFormat="1" ht="14" customHeight="1">
      <c r="A478" s="1062"/>
      <c r="B478" s="1025"/>
      <c r="C478" s="1643"/>
      <c r="D478" s="1025"/>
      <c r="E478" s="3163"/>
      <c r="F478" s="3163"/>
      <c r="G478" s="3163"/>
      <c r="H478" s="3163"/>
      <c r="I478" s="3163"/>
      <c r="J478" s="3163"/>
      <c r="K478" s="3163"/>
      <c r="L478" s="3163"/>
      <c r="M478" s="3163"/>
      <c r="N478" s="3163"/>
      <c r="O478" s="3163"/>
      <c r="P478" s="3163"/>
      <c r="Q478" s="3163"/>
      <c r="R478" s="3163"/>
      <c r="S478" s="3163"/>
      <c r="T478" s="3163"/>
      <c r="U478" s="3163"/>
      <c r="V478" s="3163"/>
      <c r="W478" s="3163"/>
      <c r="X478" s="3163"/>
      <c r="Y478" s="3163"/>
      <c r="Z478" s="3163"/>
      <c r="AA478" s="3163"/>
      <c r="AB478" s="3163"/>
      <c r="AC478" s="1025"/>
      <c r="AD478" s="1025"/>
      <c r="AE478" s="1025"/>
      <c r="AF478" s="1025"/>
      <c r="AG478" s="1025"/>
      <c r="AH478" s="1025"/>
      <c r="AI478" s="1025"/>
      <c r="AJ478" s="929"/>
      <c r="AK478" s="1008"/>
      <c r="AL478" s="1008"/>
      <c r="AM478" s="1028"/>
      <c r="AN478" s="1135"/>
      <c r="AP478" s="1120" t="s">
        <v>727</v>
      </c>
      <c r="AQ478" s="945">
        <v>2</v>
      </c>
    </row>
    <row r="479" spans="1:43" s="1136" customFormat="1" ht="14"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4" customHeight="1">
      <c r="A480" s="1062"/>
      <c r="B480" s="1025"/>
      <c r="C480" s="1643"/>
      <c r="D480" s="1025" t="s">
        <v>1691</v>
      </c>
      <c r="E480" s="1647"/>
      <c r="F480" s="1647"/>
      <c r="G480" s="1647"/>
      <c r="H480" s="3047" t="s">
        <v>628</v>
      </c>
      <c r="I480" s="3047"/>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1732</v>
      </c>
      <c r="AJ482" s="3048">
        <f>VLOOKUP($H$480,$AO$413:$AP$415,2,FALSE)</f>
        <v>0</v>
      </c>
      <c r="AK482" s="3049"/>
      <c r="AL482" s="1007"/>
      <c r="AM482" s="1004"/>
      <c r="AN482" s="1140"/>
      <c r="AP482" s="3048"/>
      <c r="AQ482" s="3049"/>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ht="13">
      <c r="A484" s="1062"/>
      <c r="B484" s="929"/>
      <c r="C484" s="988" t="s">
        <v>1733</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ht="13">
      <c r="A486" s="1062"/>
      <c r="B486" s="929"/>
      <c r="C486" s="1641"/>
      <c r="D486" s="1108" t="s">
        <v>727</v>
      </c>
      <c r="E486" s="3050" t="s">
        <v>2210</v>
      </c>
      <c r="F486" s="3050"/>
      <c r="G486" s="3050"/>
      <c r="H486" s="3050"/>
      <c r="I486" s="3050"/>
      <c r="J486" s="3050"/>
      <c r="K486" s="3050"/>
      <c r="L486" s="3050"/>
      <c r="M486" s="3050"/>
      <c r="N486" s="3050"/>
      <c r="O486" s="3050"/>
      <c r="P486" s="3050"/>
      <c r="Q486" s="3050"/>
      <c r="R486" s="3050"/>
      <c r="S486" s="3050"/>
      <c r="T486" s="3050"/>
      <c r="U486" s="3050"/>
      <c r="V486" s="3050"/>
      <c r="W486" s="3050"/>
      <c r="X486" s="3050"/>
      <c r="Y486" s="3050"/>
      <c r="Z486" s="3050"/>
      <c r="AA486" s="3050"/>
      <c r="AB486" s="3050"/>
      <c r="AC486" s="929"/>
      <c r="AD486" s="929"/>
      <c r="AE486" s="929"/>
      <c r="AF486" s="3160" t="s">
        <v>1635</v>
      </c>
      <c r="AG486" s="3160"/>
      <c r="AH486" s="3160"/>
      <c r="AI486" s="3160"/>
      <c r="AJ486" s="3160"/>
      <c r="AK486" s="3160"/>
      <c r="AL486" s="3160"/>
      <c r="AM486" s="1028"/>
      <c r="AN486" s="1135"/>
      <c r="AT486" s="51"/>
      <c r="AU486" s="51"/>
      <c r="AV486" s="51"/>
      <c r="AW486" s="51"/>
      <c r="AX486" s="51"/>
      <c r="AY486" s="51"/>
      <c r="AZ486" s="51"/>
    </row>
    <row r="487" spans="1:81" s="1136" customFormat="1" ht="13">
      <c r="A487" s="1062"/>
      <c r="B487" s="1025"/>
      <c r="C487" s="1643"/>
      <c r="D487" s="1108"/>
      <c r="E487" s="3050"/>
      <c r="F487" s="3050"/>
      <c r="G487" s="3050"/>
      <c r="H487" s="3050"/>
      <c r="I487" s="3050"/>
      <c r="J487" s="3050"/>
      <c r="K487" s="3050"/>
      <c r="L487" s="3050"/>
      <c r="M487" s="3050"/>
      <c r="N487" s="3050"/>
      <c r="O487" s="3050"/>
      <c r="P487" s="3050"/>
      <c r="Q487" s="3050"/>
      <c r="R487" s="3050"/>
      <c r="S487" s="3050"/>
      <c r="T487" s="3050"/>
      <c r="U487" s="3050"/>
      <c r="V487" s="3050"/>
      <c r="W487" s="3050"/>
      <c r="X487" s="3050"/>
      <c r="Y487" s="3050"/>
      <c r="Z487" s="3050"/>
      <c r="AA487" s="3050"/>
      <c r="AB487" s="3050"/>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050" t="s">
        <v>1734</v>
      </c>
      <c r="F489" s="3050"/>
      <c r="G489" s="3050"/>
      <c r="H489" s="3050"/>
      <c r="I489" s="3050"/>
      <c r="J489" s="3050"/>
      <c r="K489" s="3050"/>
      <c r="L489" s="3050"/>
      <c r="M489" s="3050"/>
      <c r="N489" s="3050"/>
      <c r="O489" s="3050"/>
      <c r="P489" s="3050"/>
      <c r="Q489" s="3050"/>
      <c r="R489" s="3050"/>
      <c r="S489" s="3050"/>
      <c r="T489" s="3050"/>
      <c r="U489" s="3050"/>
      <c r="V489" s="3050"/>
      <c r="W489" s="3050"/>
      <c r="X489" s="3050"/>
      <c r="Y489" s="3050"/>
      <c r="Z489" s="3050"/>
      <c r="AA489" s="3050"/>
      <c r="AB489" s="3050"/>
      <c r="AC489" s="929"/>
      <c r="AD489" s="929"/>
      <c r="AE489" s="929"/>
      <c r="AF489" s="3160" t="s">
        <v>1699</v>
      </c>
      <c r="AG489" s="3160"/>
      <c r="AH489" s="3160"/>
      <c r="AI489" s="3160"/>
      <c r="AJ489" s="3160"/>
      <c r="AK489" s="3160"/>
      <c r="AL489" s="3160"/>
      <c r="AM489" s="1028"/>
      <c r="AN489" s="1135"/>
      <c r="AT489" s="51"/>
      <c r="AU489" s="51"/>
      <c r="AV489" s="51"/>
      <c r="AW489" s="51"/>
      <c r="AX489" s="51"/>
      <c r="AY489" s="51"/>
      <c r="AZ489" s="51"/>
    </row>
    <row r="490" spans="1:81" s="1136" customFormat="1" ht="13">
      <c r="A490" s="1062"/>
      <c r="B490" s="1025"/>
      <c r="C490" s="1643"/>
      <c r="D490" s="1025"/>
      <c r="E490" s="3050"/>
      <c r="F490" s="3050"/>
      <c r="G490" s="3050"/>
      <c r="H490" s="3050"/>
      <c r="I490" s="3050"/>
      <c r="J490" s="3050"/>
      <c r="K490" s="3050"/>
      <c r="L490" s="3050"/>
      <c r="M490" s="3050"/>
      <c r="N490" s="3050"/>
      <c r="O490" s="3050"/>
      <c r="P490" s="3050"/>
      <c r="Q490" s="3050"/>
      <c r="R490" s="3050"/>
      <c r="S490" s="3050"/>
      <c r="T490" s="3050"/>
      <c r="U490" s="3050"/>
      <c r="V490" s="3050"/>
      <c r="W490" s="3050"/>
      <c r="X490" s="3050"/>
      <c r="Y490" s="3050"/>
      <c r="Z490" s="3050"/>
      <c r="AA490" s="3050"/>
      <c r="AB490" s="3050"/>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ht="13">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1691</v>
      </c>
      <c r="E492" s="1647"/>
      <c r="F492" s="1647"/>
      <c r="G492" s="1647"/>
      <c r="H492" s="3047" t="s">
        <v>628</v>
      </c>
      <c r="I492" s="3047"/>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ht="13">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ht="13">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1735</v>
      </c>
      <c r="AJ494" s="3048">
        <f>VLOOKUP($H$492,$AO$427:$AP$429,2,FALSE)</f>
        <v>0</v>
      </c>
      <c r="AK494" s="3049"/>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1736</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ht="13">
      <c r="A498" s="1062"/>
      <c r="B498" s="929"/>
      <c r="C498" s="1641"/>
      <c r="D498" s="1108" t="s">
        <v>727</v>
      </c>
      <c r="E498" s="3050" t="s">
        <v>1737</v>
      </c>
      <c r="F498" s="3050"/>
      <c r="G498" s="3050"/>
      <c r="H498" s="3050"/>
      <c r="I498" s="3050"/>
      <c r="J498" s="3050"/>
      <c r="K498" s="3050"/>
      <c r="L498" s="3050"/>
      <c r="M498" s="3050"/>
      <c r="N498" s="3050"/>
      <c r="O498" s="3050"/>
      <c r="P498" s="3050"/>
      <c r="Q498" s="3050"/>
      <c r="R498" s="3050"/>
      <c r="S498" s="3050"/>
      <c r="T498" s="3050"/>
      <c r="U498" s="3050"/>
      <c r="V498" s="3050"/>
      <c r="W498" s="3050"/>
      <c r="X498" s="3050"/>
      <c r="Y498" s="3050"/>
      <c r="Z498" s="3050"/>
      <c r="AA498" s="3050"/>
      <c r="AB498" s="3050"/>
      <c r="AC498" s="929"/>
      <c r="AD498" s="929"/>
      <c r="AE498" s="929"/>
      <c r="AF498" s="3160" t="s">
        <v>1635</v>
      </c>
      <c r="AG498" s="3160"/>
      <c r="AH498" s="3160"/>
      <c r="AI498" s="3160"/>
      <c r="AJ498" s="3160"/>
      <c r="AK498" s="3160"/>
      <c r="AL498" s="3160"/>
      <c r="AM498" s="1028"/>
      <c r="AN498" s="1135"/>
      <c r="AT498" s="51"/>
      <c r="AU498" s="51"/>
      <c r="AV498" s="51"/>
      <c r="AW498" s="51"/>
      <c r="AX498" s="51"/>
      <c r="AY498" s="51"/>
      <c r="AZ498" s="51"/>
    </row>
    <row r="499" spans="1:81" s="1136" customFormat="1" ht="13">
      <c r="A499" s="1062"/>
      <c r="B499" s="929"/>
      <c r="C499" s="1641"/>
      <c r="D499" s="1108"/>
      <c r="E499" s="3050"/>
      <c r="F499" s="3050"/>
      <c r="G499" s="3050"/>
      <c r="H499" s="3050"/>
      <c r="I499" s="3050"/>
      <c r="J499" s="3050"/>
      <c r="K499" s="3050"/>
      <c r="L499" s="3050"/>
      <c r="M499" s="3050"/>
      <c r="N499" s="3050"/>
      <c r="O499" s="3050"/>
      <c r="P499" s="3050"/>
      <c r="Q499" s="3050"/>
      <c r="R499" s="3050"/>
      <c r="S499" s="3050"/>
      <c r="T499" s="3050"/>
      <c r="U499" s="3050"/>
      <c r="V499" s="3050"/>
      <c r="W499" s="3050"/>
      <c r="X499" s="3050"/>
      <c r="Y499" s="3050"/>
      <c r="Z499" s="3050"/>
      <c r="AA499" s="3050"/>
      <c r="AB499" s="3050"/>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ht="13">
      <c r="A500" s="1062"/>
      <c r="B500" s="1025"/>
      <c r="C500" s="1643"/>
      <c r="D500" s="1108"/>
      <c r="E500" s="3050"/>
      <c r="F500" s="3050"/>
      <c r="G500" s="3050"/>
      <c r="H500" s="3050"/>
      <c r="I500" s="3050"/>
      <c r="J500" s="3050"/>
      <c r="K500" s="3050"/>
      <c r="L500" s="3050"/>
      <c r="M500" s="3050"/>
      <c r="N500" s="3050"/>
      <c r="O500" s="3050"/>
      <c r="P500" s="3050"/>
      <c r="Q500" s="3050"/>
      <c r="R500" s="3050"/>
      <c r="S500" s="3050"/>
      <c r="T500" s="3050"/>
      <c r="U500" s="3050"/>
      <c r="V500" s="3050"/>
      <c r="W500" s="3050"/>
      <c r="X500" s="3050"/>
      <c r="Y500" s="3050"/>
      <c r="Z500" s="3050"/>
      <c r="AA500" s="3050"/>
      <c r="AB500" s="3050"/>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50"/>
      <c r="F501" s="3050"/>
      <c r="G501" s="3050"/>
      <c r="H501" s="3050"/>
      <c r="I501" s="3050"/>
      <c r="J501" s="3050"/>
      <c r="K501" s="3050"/>
      <c r="L501" s="3050"/>
      <c r="M501" s="3050"/>
      <c r="N501" s="3050"/>
      <c r="O501" s="3050"/>
      <c r="P501" s="3050"/>
      <c r="Q501" s="3050"/>
      <c r="R501" s="3050"/>
      <c r="S501" s="3050"/>
      <c r="T501" s="3050"/>
      <c r="U501" s="3050"/>
      <c r="V501" s="3050"/>
      <c r="W501" s="3050"/>
      <c r="X501" s="3050"/>
      <c r="Y501" s="3050"/>
      <c r="Z501" s="3050"/>
      <c r="AA501" s="3050"/>
      <c r="AB501" s="3050"/>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ht="13">
      <c r="A503" s="1062"/>
      <c r="B503" s="1008"/>
      <c r="C503" s="1641"/>
      <c r="D503" s="1108" t="s">
        <v>544</v>
      </c>
      <c r="E503" s="3050" t="s">
        <v>1738</v>
      </c>
      <c r="F503" s="3050"/>
      <c r="G503" s="3050"/>
      <c r="H503" s="3050"/>
      <c r="I503" s="3050"/>
      <c r="J503" s="3050"/>
      <c r="K503" s="3050"/>
      <c r="L503" s="3050"/>
      <c r="M503" s="3050"/>
      <c r="N503" s="3050"/>
      <c r="O503" s="3050"/>
      <c r="P503" s="3050"/>
      <c r="Q503" s="3050"/>
      <c r="R503" s="3050"/>
      <c r="S503" s="3050"/>
      <c r="T503" s="3050"/>
      <c r="U503" s="3050"/>
      <c r="V503" s="3050"/>
      <c r="W503" s="3050"/>
      <c r="X503" s="3050"/>
      <c r="Y503" s="3050"/>
      <c r="Z503" s="3050"/>
      <c r="AA503" s="3050"/>
      <c r="AB503" s="971"/>
      <c r="AC503" s="929"/>
      <c r="AD503" s="929"/>
      <c r="AE503" s="929"/>
      <c r="AF503" s="3160" t="s">
        <v>1699</v>
      </c>
      <c r="AG503" s="3160"/>
      <c r="AH503" s="3160"/>
      <c r="AI503" s="3160"/>
      <c r="AJ503" s="3160"/>
      <c r="AK503" s="3160"/>
      <c r="AL503" s="3160"/>
      <c r="AM503" s="1028"/>
      <c r="AN503" s="1135"/>
      <c r="AO503" s="126"/>
      <c r="AP503" s="51"/>
    </row>
    <row r="504" spans="1:81" s="1136" customFormat="1" ht="13">
      <c r="A504" s="1062"/>
      <c r="B504" s="1008"/>
      <c r="C504" s="1641"/>
      <c r="D504" s="1108"/>
      <c r="E504" s="3050"/>
      <c r="F504" s="3050"/>
      <c r="G504" s="3050"/>
      <c r="H504" s="3050"/>
      <c r="I504" s="3050"/>
      <c r="J504" s="3050"/>
      <c r="K504" s="3050"/>
      <c r="L504" s="3050"/>
      <c r="M504" s="3050"/>
      <c r="N504" s="3050"/>
      <c r="O504" s="3050"/>
      <c r="P504" s="3050"/>
      <c r="Q504" s="3050"/>
      <c r="R504" s="3050"/>
      <c r="S504" s="3050"/>
      <c r="T504" s="3050"/>
      <c r="U504" s="3050"/>
      <c r="V504" s="3050"/>
      <c r="W504" s="3050"/>
      <c r="X504" s="3050"/>
      <c r="Y504" s="3050"/>
      <c r="Z504" s="3050"/>
      <c r="AA504" s="3050"/>
      <c r="AB504" s="971"/>
      <c r="AC504" s="929"/>
      <c r="AD504" s="929"/>
      <c r="AE504" s="929"/>
      <c r="AF504" s="1598"/>
      <c r="AG504" s="1598"/>
      <c r="AH504" s="1598"/>
      <c r="AI504" s="1598"/>
      <c r="AJ504" s="1598"/>
      <c r="AK504" s="1598"/>
      <c r="AL504" s="1598"/>
      <c r="AM504" s="1028"/>
      <c r="AN504" s="1135"/>
      <c r="AO504" s="126"/>
      <c r="AP504" s="51"/>
    </row>
    <row r="505" spans="1:81" s="1136" customFormat="1" ht="13">
      <c r="A505" s="1062"/>
      <c r="B505" s="1008"/>
      <c r="C505" s="1641"/>
      <c r="D505" s="1025"/>
      <c r="E505" s="3050"/>
      <c r="F505" s="3050"/>
      <c r="G505" s="3050"/>
      <c r="H505" s="3050"/>
      <c r="I505" s="3050"/>
      <c r="J505" s="3050"/>
      <c r="K505" s="3050"/>
      <c r="L505" s="3050"/>
      <c r="M505" s="3050"/>
      <c r="N505" s="3050"/>
      <c r="O505" s="3050"/>
      <c r="P505" s="3050"/>
      <c r="Q505" s="3050"/>
      <c r="R505" s="3050"/>
      <c r="S505" s="3050"/>
      <c r="T505" s="3050"/>
      <c r="U505" s="3050"/>
      <c r="V505" s="3050"/>
      <c r="W505" s="3050"/>
      <c r="X505" s="3050"/>
      <c r="Y505" s="3050"/>
      <c r="Z505" s="3050"/>
      <c r="AA505" s="3050"/>
      <c r="AB505" s="971"/>
      <c r="AC505" s="1598"/>
      <c r="AD505" s="1598"/>
      <c r="AE505" s="1598"/>
      <c r="AF505" s="1598"/>
      <c r="AG505" s="1598"/>
      <c r="AH505" s="1598"/>
      <c r="AI505" s="1598"/>
      <c r="AJ505" s="929"/>
      <c r="AK505" s="1008"/>
      <c r="AL505" s="1008"/>
      <c r="AM505" s="1028"/>
      <c r="AN505" s="1135"/>
      <c r="AO505" s="126"/>
      <c r="AP505" s="51"/>
    </row>
    <row r="506" spans="1:81" s="1136" customFormat="1" ht="13">
      <c r="A506" s="1062"/>
      <c r="B506" s="1008"/>
      <c r="C506" s="1641"/>
      <c r="D506" s="1025"/>
      <c r="E506" s="3050"/>
      <c r="F506" s="3050"/>
      <c r="G506" s="3050"/>
      <c r="H506" s="3050"/>
      <c r="I506" s="3050"/>
      <c r="J506" s="3050"/>
      <c r="K506" s="3050"/>
      <c r="L506" s="3050"/>
      <c r="M506" s="3050"/>
      <c r="N506" s="3050"/>
      <c r="O506" s="3050"/>
      <c r="P506" s="3050"/>
      <c r="Q506" s="3050"/>
      <c r="R506" s="3050"/>
      <c r="S506" s="3050"/>
      <c r="T506" s="3050"/>
      <c r="U506" s="3050"/>
      <c r="V506" s="3050"/>
      <c r="W506" s="3050"/>
      <c r="X506" s="3050"/>
      <c r="Y506" s="3050"/>
      <c r="Z506" s="3050"/>
      <c r="AA506" s="3050"/>
      <c r="AB506" s="971"/>
      <c r="AC506" s="1598"/>
      <c r="AD506" s="1598"/>
      <c r="AE506" s="1598"/>
      <c r="AF506" s="1598"/>
      <c r="AG506" s="1598"/>
      <c r="AH506" s="1598"/>
      <c r="AI506" s="1598"/>
      <c r="AJ506" s="929"/>
      <c r="AK506" s="1008"/>
      <c r="AL506" s="1008"/>
      <c r="AM506" s="1028"/>
      <c r="AN506" s="1135"/>
      <c r="AO506" s="126"/>
      <c r="AP506" s="51"/>
    </row>
    <row r="507" spans="1:81" s="1136" customFormat="1" ht="13">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1691</v>
      </c>
      <c r="E508" s="1647"/>
      <c r="F508" s="1647"/>
      <c r="G508" s="1647"/>
      <c r="H508" s="3047" t="s">
        <v>727</v>
      </c>
      <c r="I508" s="3047"/>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ht="13">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1739</v>
      </c>
      <c r="AJ510" s="3048">
        <f>VLOOKUP($H$508,$AO$441:$AP$443,2,FALSE)</f>
        <v>3</v>
      </c>
      <c r="AK510" s="3049"/>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ht="13">
      <c r="A512" s="945"/>
      <c r="B512" s="929"/>
      <c r="C512" s="988" t="s">
        <v>1729</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ht="13">
      <c r="A514" s="1062"/>
      <c r="B514" s="929"/>
      <c r="C514" s="1641"/>
      <c r="D514" s="1108" t="s">
        <v>727</v>
      </c>
      <c r="E514" s="3050" t="s">
        <v>1740</v>
      </c>
      <c r="F514" s="3050"/>
      <c r="G514" s="3050"/>
      <c r="H514" s="3050"/>
      <c r="I514" s="3050"/>
      <c r="J514" s="3050"/>
      <c r="K514" s="3050"/>
      <c r="L514" s="3050"/>
      <c r="M514" s="3050"/>
      <c r="N514" s="3050"/>
      <c r="O514" s="3050"/>
      <c r="P514" s="3050"/>
      <c r="Q514" s="3050"/>
      <c r="R514" s="3050"/>
      <c r="S514" s="3050"/>
      <c r="T514" s="3050"/>
      <c r="U514" s="3050"/>
      <c r="V514" s="3050"/>
      <c r="W514" s="3050"/>
      <c r="X514" s="3050"/>
      <c r="Y514" s="3050"/>
      <c r="Z514" s="3050"/>
      <c r="AA514" s="3050"/>
      <c r="AB514" s="3050"/>
      <c r="AC514" s="929"/>
      <c r="AD514" s="929"/>
      <c r="AE514" s="929"/>
      <c r="AF514" s="3160" t="s">
        <v>1699</v>
      </c>
      <c r="AG514" s="3160"/>
      <c r="AH514" s="3160"/>
      <c r="AI514" s="3160"/>
      <c r="AJ514" s="3160"/>
      <c r="AK514" s="3160"/>
      <c r="AL514" s="3160"/>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ht="13">
      <c r="A515" s="1062"/>
      <c r="B515" s="1025"/>
      <c r="C515" s="1643"/>
      <c r="D515" s="1108"/>
      <c r="E515" s="3050"/>
      <c r="F515" s="3050"/>
      <c r="G515" s="3050"/>
      <c r="H515" s="3050"/>
      <c r="I515" s="3050"/>
      <c r="J515" s="3050"/>
      <c r="K515" s="3050"/>
      <c r="L515" s="3050"/>
      <c r="M515" s="3050"/>
      <c r="N515" s="3050"/>
      <c r="O515" s="3050"/>
      <c r="P515" s="3050"/>
      <c r="Q515" s="3050"/>
      <c r="R515" s="3050"/>
      <c r="S515" s="3050"/>
      <c r="T515" s="3050"/>
      <c r="U515" s="3050"/>
      <c r="V515" s="3050"/>
      <c r="W515" s="3050"/>
      <c r="X515" s="3050"/>
      <c r="Y515" s="3050"/>
      <c r="Z515" s="3050"/>
      <c r="AA515" s="3050"/>
      <c r="AB515" s="3050"/>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ht="13">
      <c r="A517" s="1121"/>
      <c r="B517" s="1008"/>
      <c r="C517" s="1641"/>
      <c r="D517" s="1108" t="s">
        <v>544</v>
      </c>
      <c r="E517" s="3050" t="s">
        <v>1741</v>
      </c>
      <c r="F517" s="3050"/>
      <c r="G517" s="3050"/>
      <c r="H517" s="3050"/>
      <c r="I517" s="3050"/>
      <c r="J517" s="3050"/>
      <c r="K517" s="3050"/>
      <c r="L517" s="3050"/>
      <c r="M517" s="3050"/>
      <c r="N517" s="3050"/>
      <c r="O517" s="3050"/>
      <c r="P517" s="3050"/>
      <c r="Q517" s="3050"/>
      <c r="R517" s="3050"/>
      <c r="S517" s="3050"/>
      <c r="T517" s="3050"/>
      <c r="U517" s="3050"/>
      <c r="V517" s="3050"/>
      <c r="W517" s="3050"/>
      <c r="X517" s="3050"/>
      <c r="Y517" s="3050"/>
      <c r="Z517" s="3050"/>
      <c r="AA517" s="3050"/>
      <c r="AB517" s="3050"/>
      <c r="AC517" s="929"/>
      <c r="AD517" s="929"/>
      <c r="AE517" s="929"/>
      <c r="AF517" s="3160" t="s">
        <v>1718</v>
      </c>
      <c r="AG517" s="3160"/>
      <c r="AH517" s="3160"/>
      <c r="AI517" s="3160"/>
      <c r="AJ517" s="3160"/>
      <c r="AK517" s="3160"/>
      <c r="AL517" s="3160"/>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50"/>
      <c r="F518" s="3050"/>
      <c r="G518" s="3050"/>
      <c r="H518" s="3050"/>
      <c r="I518" s="3050"/>
      <c r="J518" s="3050"/>
      <c r="K518" s="3050"/>
      <c r="L518" s="3050"/>
      <c r="M518" s="3050"/>
      <c r="N518" s="3050"/>
      <c r="O518" s="3050"/>
      <c r="P518" s="3050"/>
      <c r="Q518" s="3050"/>
      <c r="R518" s="3050"/>
      <c r="S518" s="3050"/>
      <c r="T518" s="3050"/>
      <c r="U518" s="3050"/>
      <c r="V518" s="3050"/>
      <c r="W518" s="3050"/>
      <c r="X518" s="3050"/>
      <c r="Y518" s="3050"/>
      <c r="Z518" s="3050"/>
      <c r="AA518" s="3050"/>
      <c r="AB518" s="3050"/>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ht="13">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1691</v>
      </c>
      <c r="E520" s="1647"/>
      <c r="F520" s="1647"/>
      <c r="G520" s="1647"/>
      <c r="H520" s="3047" t="s">
        <v>727</v>
      </c>
      <c r="I520" s="3047"/>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1742</v>
      </c>
      <c r="AJ522" s="3048">
        <f>VLOOKUP($H$520,$AO$455:$AP$457,2,FALSE)</f>
        <v>2</v>
      </c>
      <c r="AK522" s="3049"/>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ht="13">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ht="13">
      <c r="A524" s="1062"/>
      <c r="B524" s="1037"/>
      <c r="C524" s="988" t="s">
        <v>1731</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ht="13">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5" customHeight="1">
      <c r="A526" s="1062"/>
      <c r="B526" s="1037"/>
      <c r="C526" s="1653"/>
      <c r="D526" s="1108" t="s">
        <v>727</v>
      </c>
      <c r="E526" s="3050" t="s">
        <v>2202</v>
      </c>
      <c r="F526" s="3050"/>
      <c r="G526" s="3050"/>
      <c r="H526" s="3050"/>
      <c r="I526" s="3050"/>
      <c r="J526" s="3050"/>
      <c r="K526" s="3050"/>
      <c r="L526" s="3050"/>
      <c r="M526" s="3050"/>
      <c r="N526" s="3050"/>
      <c r="O526" s="3050"/>
      <c r="P526" s="3050"/>
      <c r="Q526" s="3050"/>
      <c r="R526" s="3050"/>
      <c r="S526" s="3050"/>
      <c r="T526" s="3050"/>
      <c r="U526" s="3050"/>
      <c r="V526" s="3050"/>
      <c r="W526" s="3050"/>
      <c r="X526" s="3050"/>
      <c r="Y526" s="3050"/>
      <c r="Z526" s="3050"/>
      <c r="AA526" s="3050"/>
      <c r="AB526" s="3050"/>
      <c r="AC526" s="3050"/>
      <c r="AD526" s="3050"/>
      <c r="AE526" s="929"/>
      <c r="AF526" s="3160" t="s">
        <v>1699</v>
      </c>
      <c r="AG526" s="3160"/>
      <c r="AH526" s="3160"/>
      <c r="AI526" s="3160"/>
      <c r="AJ526" s="3160"/>
      <c r="AK526" s="3160"/>
      <c r="AL526" s="3160"/>
      <c r="AM526" s="1033"/>
      <c r="AN526" s="1135"/>
    </row>
    <row r="527" spans="1:74" s="1136" customFormat="1" ht="13.75" customHeight="1">
      <c r="A527" s="1062"/>
      <c r="B527" s="1037"/>
      <c r="C527" s="1653"/>
      <c r="D527" s="1108"/>
      <c r="E527" s="3050"/>
      <c r="F527" s="3050"/>
      <c r="G527" s="3050"/>
      <c r="H527" s="3050"/>
      <c r="I527" s="3050"/>
      <c r="J527" s="3050"/>
      <c r="K527" s="3050"/>
      <c r="L527" s="3050"/>
      <c r="M527" s="3050"/>
      <c r="N527" s="3050"/>
      <c r="O527" s="3050"/>
      <c r="P527" s="3050"/>
      <c r="Q527" s="3050"/>
      <c r="R527" s="3050"/>
      <c r="S527" s="3050"/>
      <c r="T527" s="3050"/>
      <c r="U527" s="3050"/>
      <c r="V527" s="3050"/>
      <c r="W527" s="3050"/>
      <c r="X527" s="3050"/>
      <c r="Y527" s="3050"/>
      <c r="Z527" s="3050"/>
      <c r="AA527" s="3050"/>
      <c r="AB527" s="3050"/>
      <c r="AC527" s="3050"/>
      <c r="AD527" s="3050"/>
      <c r="AE527" s="929"/>
      <c r="AF527" s="1598"/>
      <c r="AG527" s="1598"/>
      <c r="AH527" s="1598"/>
      <c r="AI527" s="1598"/>
      <c r="AJ527" s="1598"/>
      <c r="AK527" s="1598"/>
      <c r="AL527" s="1598"/>
      <c r="AM527" s="1033"/>
      <c r="AN527" s="1135"/>
    </row>
    <row r="528" spans="1:74" s="1136" customFormat="1" ht="13">
      <c r="A528" s="1062"/>
      <c r="B528" s="1037"/>
      <c r="C528" s="1653"/>
      <c r="D528" s="1108"/>
      <c r="E528" s="3050"/>
      <c r="F528" s="3050"/>
      <c r="G528" s="3050"/>
      <c r="H528" s="3050"/>
      <c r="I528" s="3050"/>
      <c r="J528" s="3050"/>
      <c r="K528" s="3050"/>
      <c r="L528" s="3050"/>
      <c r="M528" s="3050"/>
      <c r="N528" s="3050"/>
      <c r="O528" s="3050"/>
      <c r="P528" s="3050"/>
      <c r="Q528" s="3050"/>
      <c r="R528" s="3050"/>
      <c r="S528" s="3050"/>
      <c r="T528" s="3050"/>
      <c r="U528" s="3050"/>
      <c r="V528" s="3050"/>
      <c r="W528" s="3050"/>
      <c r="X528" s="3050"/>
      <c r="Y528" s="3050"/>
      <c r="Z528" s="3050"/>
      <c r="AA528" s="3050"/>
      <c r="AB528" s="3050"/>
      <c r="AC528" s="3050"/>
      <c r="AD528" s="3050"/>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75" customHeight="1">
      <c r="A529" s="1062"/>
      <c r="B529" s="1037"/>
      <c r="C529" s="1653"/>
      <c r="D529" s="1108"/>
      <c r="E529" s="3050"/>
      <c r="F529" s="3050"/>
      <c r="G529" s="3050"/>
      <c r="H529" s="3050"/>
      <c r="I529" s="3050"/>
      <c r="J529" s="3050"/>
      <c r="K529" s="3050"/>
      <c r="L529" s="3050"/>
      <c r="M529" s="3050"/>
      <c r="N529" s="3050"/>
      <c r="O529" s="3050"/>
      <c r="P529" s="3050"/>
      <c r="Q529" s="3050"/>
      <c r="R529" s="3050"/>
      <c r="S529" s="3050"/>
      <c r="T529" s="3050"/>
      <c r="U529" s="3050"/>
      <c r="V529" s="3050"/>
      <c r="W529" s="3050"/>
      <c r="X529" s="3050"/>
      <c r="Y529" s="3050"/>
      <c r="Z529" s="3050"/>
      <c r="AA529" s="3050"/>
      <c r="AB529" s="3050"/>
      <c r="AC529" s="3050"/>
      <c r="AD529" s="3050"/>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61" t="s">
        <v>2211</v>
      </c>
      <c r="F531" s="3161"/>
      <c r="G531" s="3161"/>
      <c r="H531" s="3161"/>
      <c r="I531" s="3161"/>
      <c r="J531" s="3161"/>
      <c r="K531" s="3161"/>
      <c r="L531" s="3161"/>
      <c r="M531" s="3161"/>
      <c r="N531" s="3161"/>
      <c r="O531" s="3161"/>
      <c r="P531" s="3161"/>
      <c r="Q531" s="3161"/>
      <c r="R531" s="3161"/>
      <c r="S531" s="3161"/>
      <c r="T531" s="3161"/>
      <c r="U531" s="3161"/>
      <c r="V531" s="3161"/>
      <c r="W531" s="3161"/>
      <c r="X531" s="3161"/>
      <c r="Y531" s="3161"/>
      <c r="Z531" s="3161"/>
      <c r="AA531" s="3161"/>
      <c r="AB531" s="3161"/>
      <c r="AC531" s="3161"/>
      <c r="AD531" s="3161"/>
      <c r="AE531" s="929"/>
      <c r="AF531" s="3160" t="s">
        <v>1635</v>
      </c>
      <c r="AG531" s="3160"/>
      <c r="AH531" s="3160"/>
      <c r="AI531" s="3160"/>
      <c r="AJ531" s="3160"/>
      <c r="AK531" s="3160"/>
      <c r="AL531" s="3160"/>
      <c r="AM531" s="1033"/>
      <c r="AN531" s="1002"/>
    </row>
    <row r="532" spans="1:81" s="945" customFormat="1" ht="12.75" customHeight="1">
      <c r="A532" s="1062"/>
      <c r="B532" s="1037"/>
      <c r="C532" s="1653"/>
      <c r="D532" s="1108"/>
      <c r="E532" s="3161"/>
      <c r="F532" s="3161"/>
      <c r="G532" s="3161"/>
      <c r="H532" s="3161"/>
      <c r="I532" s="3161"/>
      <c r="J532" s="3161"/>
      <c r="K532" s="3161"/>
      <c r="L532" s="3161"/>
      <c r="M532" s="3161"/>
      <c r="N532" s="3161"/>
      <c r="O532" s="3161"/>
      <c r="P532" s="3161"/>
      <c r="Q532" s="3161"/>
      <c r="R532" s="3161"/>
      <c r="S532" s="3161"/>
      <c r="T532" s="3161"/>
      <c r="U532" s="3161"/>
      <c r="V532" s="3161"/>
      <c r="W532" s="3161"/>
      <c r="X532" s="3161"/>
      <c r="Y532" s="3161"/>
      <c r="Z532" s="3161"/>
      <c r="AA532" s="3161"/>
      <c r="AB532" s="3161"/>
      <c r="AC532" s="3161"/>
      <c r="AD532" s="3161"/>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61"/>
      <c r="F533" s="3161"/>
      <c r="G533" s="3161"/>
      <c r="H533" s="3161"/>
      <c r="I533" s="3161"/>
      <c r="J533" s="3161"/>
      <c r="K533" s="3161"/>
      <c r="L533" s="3161"/>
      <c r="M533" s="3161"/>
      <c r="N533" s="3161"/>
      <c r="O533" s="3161"/>
      <c r="P533" s="3161"/>
      <c r="Q533" s="3161"/>
      <c r="R533" s="3161"/>
      <c r="S533" s="3161"/>
      <c r="T533" s="3161"/>
      <c r="U533" s="3161"/>
      <c r="V533" s="3161"/>
      <c r="W533" s="3161"/>
      <c r="X533" s="3161"/>
      <c r="Y533" s="3161"/>
      <c r="Z533" s="3161"/>
      <c r="AA533" s="3161"/>
      <c r="AB533" s="3161"/>
      <c r="AC533" s="3161"/>
      <c r="AD533" s="3161"/>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61"/>
      <c r="F534" s="3161"/>
      <c r="G534" s="3161"/>
      <c r="H534" s="3161"/>
      <c r="I534" s="3161"/>
      <c r="J534" s="3161"/>
      <c r="K534" s="3161"/>
      <c r="L534" s="3161"/>
      <c r="M534" s="3161"/>
      <c r="N534" s="3161"/>
      <c r="O534" s="3161"/>
      <c r="P534" s="3161"/>
      <c r="Q534" s="3161"/>
      <c r="R534" s="3161"/>
      <c r="S534" s="3161"/>
      <c r="T534" s="3161"/>
      <c r="U534" s="3161"/>
      <c r="V534" s="3161"/>
      <c r="W534" s="3161"/>
      <c r="X534" s="3161"/>
      <c r="Y534" s="3161"/>
      <c r="Z534" s="3161"/>
      <c r="AA534" s="3161"/>
      <c r="AB534" s="3161"/>
      <c r="AC534" s="3161"/>
      <c r="AD534" s="3161"/>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1691</v>
      </c>
      <c r="E536" s="1647"/>
      <c r="F536" s="1647"/>
      <c r="G536" s="1647"/>
      <c r="H536" s="3047" t="s">
        <v>628</v>
      </c>
      <c r="I536" s="3047"/>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1743</v>
      </c>
      <c r="AJ538" s="3048">
        <f>VLOOKUP($H$536,$AP$477:$AQ$479,2,FALSE)</f>
        <v>0</v>
      </c>
      <c r="AK538" s="3049"/>
      <c r="AL538" s="1007"/>
      <c r="AM538" s="1004"/>
      <c r="AN538" s="1002"/>
    </row>
    <row r="539" spans="1:81" s="1136" customFormat="1" ht="13">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ht="13">
      <c r="A540" s="1062"/>
      <c r="B540" s="1037"/>
      <c r="C540" s="988" t="s">
        <v>1744</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5" customHeight="1">
      <c r="A542" s="1062"/>
      <c r="B542" s="1037"/>
      <c r="C542" s="1653"/>
      <c r="D542" s="1108" t="s">
        <v>727</v>
      </c>
      <c r="E542" s="3050" t="s">
        <v>2201</v>
      </c>
      <c r="F542" s="3050"/>
      <c r="G542" s="3050"/>
      <c r="H542" s="3050"/>
      <c r="I542" s="3050"/>
      <c r="J542" s="3050"/>
      <c r="K542" s="3050"/>
      <c r="L542" s="3050"/>
      <c r="M542" s="3050"/>
      <c r="N542" s="3050"/>
      <c r="O542" s="3050"/>
      <c r="P542" s="3050"/>
      <c r="Q542" s="3050"/>
      <c r="R542" s="3050"/>
      <c r="S542" s="3050"/>
      <c r="T542" s="3050"/>
      <c r="U542" s="3050"/>
      <c r="V542" s="3050"/>
      <c r="W542" s="3050"/>
      <c r="X542" s="3050"/>
      <c r="Y542" s="3050"/>
      <c r="Z542" s="3050"/>
      <c r="AA542" s="3050"/>
      <c r="AB542" s="3050"/>
      <c r="AC542" s="3050"/>
      <c r="AD542" s="3050"/>
      <c r="AE542" s="929"/>
      <c r="AF542" s="3160" t="s">
        <v>1745</v>
      </c>
      <c r="AG542" s="3160"/>
      <c r="AH542" s="3160"/>
      <c r="AI542" s="3160"/>
      <c r="AJ542" s="3160"/>
      <c r="AK542" s="3160"/>
      <c r="AL542" s="3160"/>
      <c r="AM542" s="1033"/>
      <c r="AN542" s="1135"/>
      <c r="AO542" s="1120" t="s">
        <v>580</v>
      </c>
      <c r="AP542" s="945">
        <v>8</v>
      </c>
      <c r="AT542" s="1145"/>
      <c r="AU542" s="1145"/>
      <c r="AV542" s="1145"/>
      <c r="AW542" s="1145"/>
      <c r="AX542" s="1145"/>
      <c r="AY542" s="1145"/>
      <c r="AZ542" s="1145"/>
    </row>
    <row r="543" spans="1:81" s="1136" customFormat="1" ht="13.75" customHeight="1">
      <c r="A543" s="1062"/>
      <c r="B543" s="1037"/>
      <c r="C543" s="1653"/>
      <c r="D543" s="1108"/>
      <c r="E543" s="3050"/>
      <c r="F543" s="3050"/>
      <c r="G543" s="3050"/>
      <c r="H543" s="3050"/>
      <c r="I543" s="3050"/>
      <c r="J543" s="3050"/>
      <c r="K543" s="3050"/>
      <c r="L543" s="3050"/>
      <c r="M543" s="3050"/>
      <c r="N543" s="3050"/>
      <c r="O543" s="3050"/>
      <c r="P543" s="3050"/>
      <c r="Q543" s="3050"/>
      <c r="R543" s="3050"/>
      <c r="S543" s="3050"/>
      <c r="T543" s="3050"/>
      <c r="U543" s="3050"/>
      <c r="V543" s="3050"/>
      <c r="W543" s="3050"/>
      <c r="X543" s="3050"/>
      <c r="Y543" s="3050"/>
      <c r="Z543" s="3050"/>
      <c r="AA543" s="3050"/>
      <c r="AB543" s="3050"/>
      <c r="AC543" s="3050"/>
      <c r="AD543" s="3050"/>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ht="13">
      <c r="A544" s="1062"/>
      <c r="B544" s="1037"/>
      <c r="C544" s="1653"/>
      <c r="D544" s="1108"/>
      <c r="E544" s="3050"/>
      <c r="F544" s="3050"/>
      <c r="G544" s="3050"/>
      <c r="H544" s="3050"/>
      <c r="I544" s="3050"/>
      <c r="J544" s="3050"/>
      <c r="K544" s="3050"/>
      <c r="L544" s="3050"/>
      <c r="M544" s="3050"/>
      <c r="N544" s="3050"/>
      <c r="O544" s="3050"/>
      <c r="P544" s="3050"/>
      <c r="Q544" s="3050"/>
      <c r="R544" s="3050"/>
      <c r="S544" s="3050"/>
      <c r="T544" s="3050"/>
      <c r="U544" s="3050"/>
      <c r="V544" s="3050"/>
      <c r="W544" s="3050"/>
      <c r="X544" s="3050"/>
      <c r="Y544" s="3050"/>
      <c r="Z544" s="3050"/>
      <c r="AA544" s="3050"/>
      <c r="AB544" s="3050"/>
      <c r="AC544" s="3050"/>
      <c r="AD544" s="3050"/>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ht="13">
      <c r="A545" s="1062"/>
      <c r="B545" s="1037"/>
      <c r="C545" s="1653"/>
      <c r="D545" s="1108"/>
      <c r="E545" s="3050"/>
      <c r="F545" s="3050"/>
      <c r="G545" s="3050"/>
      <c r="H545" s="3050"/>
      <c r="I545" s="3050"/>
      <c r="J545" s="3050"/>
      <c r="K545" s="3050"/>
      <c r="L545" s="3050"/>
      <c r="M545" s="3050"/>
      <c r="N545" s="3050"/>
      <c r="O545" s="3050"/>
      <c r="P545" s="3050"/>
      <c r="Q545" s="3050"/>
      <c r="R545" s="3050"/>
      <c r="S545" s="3050"/>
      <c r="T545" s="3050"/>
      <c r="U545" s="3050"/>
      <c r="V545" s="3050"/>
      <c r="W545" s="3050"/>
      <c r="X545" s="3050"/>
      <c r="Y545" s="3050"/>
      <c r="Z545" s="3050"/>
      <c r="AA545" s="3050"/>
      <c r="AB545" s="3050"/>
      <c r="AC545" s="3050"/>
      <c r="AD545" s="3050"/>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ht="13">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ht="13">
      <c r="A547" s="1062"/>
      <c r="B547" s="1037"/>
      <c r="C547" s="1653"/>
      <c r="D547" s="1025" t="s">
        <v>1691</v>
      </c>
      <c r="E547" s="1647"/>
      <c r="F547" s="1647"/>
      <c r="G547" s="1647"/>
      <c r="H547" s="3047" t="s">
        <v>628</v>
      </c>
      <c r="I547" s="3047"/>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ht="13">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1746</v>
      </c>
      <c r="AJ549" s="3048">
        <f>VLOOKUP($H$547,$AO$541:$AP$542,2,FALSE)</f>
        <v>0</v>
      </c>
      <c r="AK549" s="3049"/>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1747</v>
      </c>
      <c r="AK551" s="3048">
        <f>IF(($AJ$382+$AJ$401+$AJ$413+$AJ$448+$AJ$468+$AJ$482+$AJ$494+$AJ$510+$AJ$522+$AJ$538+AJ549)&gt;10,10,($AJ$382+$AJ$401+$AJ$413+$AJ$448+$AJ$468+$AJ$482+$AJ$494+$AJ$510+$AJ$522+$AJ$538+AJ549))</f>
        <v>10</v>
      </c>
      <c r="AL551" s="3070"/>
      <c r="AM551" s="3049"/>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1748</v>
      </c>
      <c r="AK553" s="3048">
        <f>IF((AK320+AK551)&gt;20,20,(AK320+AK551))</f>
        <v>19</v>
      </c>
      <c r="AL553" s="3070"/>
      <c r="AM553" s="3049"/>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1749</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124" t="s">
        <v>1597</v>
      </c>
      <c r="AF556" s="3124"/>
      <c r="AG556" s="3124"/>
      <c r="AH556" s="3124"/>
      <c r="AI556" s="3124"/>
      <c r="AJ556" s="3124"/>
      <c r="AK556" s="3124"/>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037" t="s">
        <v>1750</v>
      </c>
      <c r="D558" s="3037"/>
      <c r="E558" s="3037"/>
      <c r="F558" s="3037"/>
      <c r="G558" s="3037"/>
      <c r="H558" s="3037"/>
      <c r="I558" s="3037"/>
      <c r="J558" s="3037"/>
      <c r="K558" s="3037"/>
      <c r="L558" s="3037"/>
      <c r="M558" s="3037"/>
      <c r="N558" s="3037"/>
      <c r="O558" s="3037"/>
      <c r="P558" s="3037"/>
      <c r="Q558" s="3037"/>
      <c r="R558" s="3037"/>
      <c r="S558" s="3037"/>
      <c r="T558" s="3037"/>
      <c r="U558" s="3037"/>
      <c r="V558" s="3037"/>
      <c r="W558" s="3037"/>
      <c r="X558" s="3037"/>
      <c r="Y558" s="3037"/>
      <c r="Z558" s="3037"/>
      <c r="AA558" s="3037"/>
      <c r="AB558" s="3037"/>
      <c r="AC558" s="3037"/>
      <c r="AD558" s="3037"/>
      <c r="AE558" s="3037"/>
      <c r="AF558" s="3037"/>
      <c r="AG558" s="3037"/>
      <c r="AH558" s="3037"/>
      <c r="AI558" s="3037"/>
      <c r="AJ558" s="3037"/>
      <c r="AK558" s="1029"/>
      <c r="AL558" s="1029"/>
      <c r="AM558" s="1029"/>
      <c r="AN558" s="1002"/>
    </row>
    <row r="559" spans="1:81" s="945" customFormat="1" ht="12.75" customHeight="1">
      <c r="A559" s="1029"/>
      <c r="B559" s="1030"/>
      <c r="C559" s="3037"/>
      <c r="D559" s="3037"/>
      <c r="E559" s="3037"/>
      <c r="F559" s="3037"/>
      <c r="G559" s="3037"/>
      <c r="H559" s="3037"/>
      <c r="I559" s="3037"/>
      <c r="J559" s="3037"/>
      <c r="K559" s="3037"/>
      <c r="L559" s="3037"/>
      <c r="M559" s="3037"/>
      <c r="N559" s="3037"/>
      <c r="O559" s="3037"/>
      <c r="P559" s="3037"/>
      <c r="Q559" s="3037"/>
      <c r="R559" s="3037"/>
      <c r="S559" s="3037"/>
      <c r="T559" s="3037"/>
      <c r="U559" s="3037"/>
      <c r="V559" s="3037"/>
      <c r="W559" s="3037"/>
      <c r="X559" s="3037"/>
      <c r="Y559" s="3037"/>
      <c r="Z559" s="3037"/>
      <c r="AA559" s="3037"/>
      <c r="AB559" s="3037"/>
      <c r="AC559" s="3037"/>
      <c r="AD559" s="3037"/>
      <c r="AE559" s="3037"/>
      <c r="AF559" s="3037"/>
      <c r="AG559" s="3037"/>
      <c r="AH559" s="3037"/>
      <c r="AI559" s="3037"/>
      <c r="AJ559" s="3037"/>
      <c r="AK559" s="1029"/>
      <c r="AL559" s="1029"/>
      <c r="AM559" s="1029"/>
      <c r="AN559" s="1002"/>
    </row>
    <row r="560" spans="1:81" s="945" customFormat="1" ht="12.75" customHeight="1">
      <c r="A560" s="1029"/>
      <c r="B560" s="1030"/>
      <c r="C560" s="3037"/>
      <c r="D560" s="3037"/>
      <c r="E560" s="3037"/>
      <c r="F560" s="3037"/>
      <c r="G560" s="3037"/>
      <c r="H560" s="3037"/>
      <c r="I560" s="3037"/>
      <c r="J560" s="3037"/>
      <c r="K560" s="3037"/>
      <c r="L560" s="3037"/>
      <c r="M560" s="3037"/>
      <c r="N560" s="3037"/>
      <c r="O560" s="3037"/>
      <c r="P560" s="3037"/>
      <c r="Q560" s="3037"/>
      <c r="R560" s="3037"/>
      <c r="S560" s="3037"/>
      <c r="T560" s="3037"/>
      <c r="U560" s="3037"/>
      <c r="V560" s="3037"/>
      <c r="W560" s="3037"/>
      <c r="X560" s="3037"/>
      <c r="Y560" s="3037"/>
      <c r="Z560" s="3037"/>
      <c r="AA560" s="3037"/>
      <c r="AB560" s="3037"/>
      <c r="AC560" s="3037"/>
      <c r="AD560" s="3037"/>
      <c r="AE560" s="3037"/>
      <c r="AF560" s="3037"/>
      <c r="AG560" s="3037"/>
      <c r="AH560" s="3037"/>
      <c r="AI560" s="3037"/>
      <c r="AJ560" s="3037"/>
      <c r="AK560" s="1029"/>
      <c r="AL560" s="1029"/>
      <c r="AM560" s="1029"/>
      <c r="AN560" s="1002"/>
      <c r="AQ560" s="1137"/>
      <c r="AR560" s="1004"/>
    </row>
    <row r="561" spans="1:46" s="945" customFormat="1" ht="12.75" customHeight="1">
      <c r="A561" s="1029"/>
      <c r="B561" s="1120"/>
      <c r="C561" s="3037"/>
      <c r="D561" s="3037"/>
      <c r="E561" s="3037"/>
      <c r="F561" s="3037"/>
      <c r="G561" s="3037"/>
      <c r="H561" s="3037"/>
      <c r="I561" s="3037"/>
      <c r="J561" s="3037"/>
      <c r="K561" s="3037"/>
      <c r="L561" s="3037"/>
      <c r="M561" s="3037"/>
      <c r="N561" s="3037"/>
      <c r="O561" s="3037"/>
      <c r="P561" s="3037"/>
      <c r="Q561" s="3037"/>
      <c r="R561" s="3037"/>
      <c r="S561" s="3037"/>
      <c r="T561" s="3037"/>
      <c r="U561" s="3037"/>
      <c r="V561" s="3037"/>
      <c r="W561" s="3037"/>
      <c r="X561" s="3037"/>
      <c r="Y561" s="3037"/>
      <c r="Z561" s="3037"/>
      <c r="AA561" s="3037"/>
      <c r="AB561" s="3037"/>
      <c r="AC561" s="3037"/>
      <c r="AD561" s="3037"/>
      <c r="AE561" s="3037"/>
      <c r="AF561" s="3037"/>
      <c r="AG561" s="3037"/>
      <c r="AH561" s="3037"/>
      <c r="AI561" s="3037"/>
      <c r="AJ561" s="3037"/>
      <c r="AK561" s="1029"/>
      <c r="AL561" s="1029"/>
      <c r="AM561" s="1029"/>
      <c r="AN561" s="1002"/>
      <c r="AQ561" s="1137"/>
      <c r="AR561" s="1004"/>
    </row>
    <row r="562" spans="1:46" s="945" customFormat="1" ht="12.5" customHeight="1">
      <c r="A562" s="1029"/>
      <c r="B562" s="1120"/>
      <c r="C562" s="3037"/>
      <c r="D562" s="3037"/>
      <c r="E562" s="3037"/>
      <c r="F562" s="3037"/>
      <c r="G562" s="3037"/>
      <c r="H562" s="3037"/>
      <c r="I562" s="3037"/>
      <c r="J562" s="3037"/>
      <c r="K562" s="3037"/>
      <c r="L562" s="3037"/>
      <c r="M562" s="3037"/>
      <c r="N562" s="3037"/>
      <c r="O562" s="3037"/>
      <c r="P562" s="3037"/>
      <c r="Q562" s="3037"/>
      <c r="R562" s="3037"/>
      <c r="S562" s="3037"/>
      <c r="T562" s="3037"/>
      <c r="U562" s="3037"/>
      <c r="V562" s="3037"/>
      <c r="W562" s="3037"/>
      <c r="X562" s="3037"/>
      <c r="Y562" s="3037"/>
      <c r="Z562" s="3037"/>
      <c r="AA562" s="3037"/>
      <c r="AB562" s="3037"/>
      <c r="AC562" s="3037"/>
      <c r="AD562" s="3037"/>
      <c r="AE562" s="3037"/>
      <c r="AF562" s="3037"/>
      <c r="AG562" s="3037"/>
      <c r="AH562" s="3037"/>
      <c r="AI562" s="3037"/>
      <c r="AJ562" s="3037"/>
      <c r="AK562" s="1029"/>
      <c r="AL562" s="1029"/>
      <c r="AM562" s="1029"/>
      <c r="AN562" s="1002"/>
      <c r="AQ562" s="1137"/>
      <c r="AR562" s="1137"/>
    </row>
    <row r="563" spans="1:46" s="945" customFormat="1" ht="25" customHeight="1">
      <c r="A563" s="1029"/>
      <c r="B563" s="1120"/>
      <c r="C563" s="3037" t="s">
        <v>1751</v>
      </c>
      <c r="D563" s="3037"/>
      <c r="E563" s="3037"/>
      <c r="F563" s="3037"/>
      <c r="G563" s="3037"/>
      <c r="H563" s="3037"/>
      <c r="I563" s="3037"/>
      <c r="J563" s="3037"/>
      <c r="K563" s="3037"/>
      <c r="L563" s="3037"/>
      <c r="M563" s="3037"/>
      <c r="N563" s="3037"/>
      <c r="O563" s="3037"/>
      <c r="P563" s="3037"/>
      <c r="Q563" s="3037"/>
      <c r="R563" s="3037"/>
      <c r="S563" s="3037"/>
      <c r="T563" s="3037"/>
      <c r="U563" s="3037"/>
      <c r="V563" s="3037"/>
      <c r="W563" s="3037"/>
      <c r="X563" s="3037"/>
      <c r="Y563" s="3037"/>
      <c r="Z563" s="3037"/>
      <c r="AA563" s="3037"/>
      <c r="AB563" s="3037"/>
      <c r="AC563" s="3037"/>
      <c r="AD563" s="3037"/>
      <c r="AE563" s="3037"/>
      <c r="AF563" s="3037"/>
      <c r="AG563" s="3037"/>
      <c r="AH563" s="3037"/>
      <c r="AI563" s="3037"/>
      <c r="AJ563" s="3037"/>
      <c r="AK563" s="1029"/>
      <c r="AL563" s="1029"/>
      <c r="AM563" s="1029"/>
      <c r="AN563" s="1002"/>
      <c r="AQ563" s="1137"/>
      <c r="AR563" s="1137"/>
    </row>
    <row r="564" spans="1:46" s="945" customFormat="1" ht="12.5"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037" t="s">
        <v>2458</v>
      </c>
      <c r="D565" s="3037"/>
      <c r="E565" s="3037"/>
      <c r="F565" s="3037"/>
      <c r="G565" s="3037"/>
      <c r="H565" s="3037"/>
      <c r="I565" s="3037"/>
      <c r="J565" s="3037"/>
      <c r="K565" s="3037"/>
      <c r="L565" s="3037"/>
      <c r="M565" s="3037"/>
      <c r="N565" s="3037"/>
      <c r="O565" s="3037"/>
      <c r="P565" s="3037"/>
      <c r="Q565" s="3037"/>
      <c r="R565" s="3037"/>
      <c r="S565" s="3037"/>
      <c r="T565" s="3037"/>
      <c r="U565" s="3037"/>
      <c r="V565" s="3037"/>
      <c r="W565" s="3037"/>
      <c r="X565" s="3037"/>
      <c r="Y565" s="3037"/>
      <c r="Z565" s="3037"/>
      <c r="AA565" s="3037"/>
      <c r="AB565" s="3037"/>
      <c r="AC565" s="3037"/>
      <c r="AD565" s="3037"/>
      <c r="AE565" s="3037"/>
      <c r="AF565" s="3037"/>
      <c r="AG565" s="3037"/>
      <c r="AH565" s="3037"/>
      <c r="AI565" s="3037"/>
      <c r="AJ565" s="3037"/>
      <c r="AK565" s="1029"/>
      <c r="AL565" s="1029"/>
      <c r="AM565" s="1029"/>
      <c r="AN565" s="1002"/>
      <c r="AQ565" s="1137"/>
      <c r="AR565" s="1137"/>
    </row>
    <row r="566" spans="1:46" s="945" customFormat="1" ht="30" customHeight="1">
      <c r="A566" s="1029"/>
      <c r="B566" s="1120"/>
      <c r="C566" s="3037"/>
      <c r="D566" s="3037"/>
      <c r="E566" s="3037"/>
      <c r="F566" s="3037"/>
      <c r="G566" s="3037"/>
      <c r="H566" s="3037"/>
      <c r="I566" s="3037"/>
      <c r="J566" s="3037"/>
      <c r="K566" s="3037"/>
      <c r="L566" s="3037"/>
      <c r="M566" s="3037"/>
      <c r="N566" s="3037"/>
      <c r="O566" s="3037"/>
      <c r="P566" s="3037"/>
      <c r="Q566" s="3037"/>
      <c r="R566" s="3037"/>
      <c r="S566" s="3037"/>
      <c r="T566" s="3037"/>
      <c r="U566" s="3037"/>
      <c r="V566" s="3037"/>
      <c r="W566" s="3037"/>
      <c r="X566" s="3037"/>
      <c r="Y566" s="3037"/>
      <c r="Z566" s="3037"/>
      <c r="AA566" s="3037"/>
      <c r="AB566" s="3037"/>
      <c r="AC566" s="3037"/>
      <c r="AD566" s="3037"/>
      <c r="AE566" s="3037"/>
      <c r="AF566" s="3037"/>
      <c r="AG566" s="3037"/>
      <c r="AH566" s="3037"/>
      <c r="AI566" s="3037"/>
      <c r="AJ566" s="3037"/>
      <c r="AK566" s="1029"/>
      <c r="AL566" s="1029"/>
      <c r="AM566" s="1029"/>
      <c r="AN566" s="1002"/>
      <c r="AQ566" s="1004"/>
      <c r="AR566" s="1137"/>
    </row>
    <row r="567" spans="1:46" s="945" customFormat="1" ht="12.75" customHeight="1">
      <c r="A567" s="1029"/>
      <c r="B567" s="1120"/>
      <c r="C567" s="3037"/>
      <c r="D567" s="3037"/>
      <c r="E567" s="3037"/>
      <c r="F567" s="3037"/>
      <c r="G567" s="3037"/>
      <c r="H567" s="3037"/>
      <c r="I567" s="3037"/>
      <c r="J567" s="3037"/>
      <c r="K567" s="3037"/>
      <c r="L567" s="3037"/>
      <c r="M567" s="3037"/>
      <c r="N567" s="3037"/>
      <c r="O567" s="3037"/>
      <c r="P567" s="3037"/>
      <c r="Q567" s="3037"/>
      <c r="R567" s="3037"/>
      <c r="S567" s="3037"/>
      <c r="T567" s="3037"/>
      <c r="U567" s="3037"/>
      <c r="V567" s="3037"/>
      <c r="W567" s="3037"/>
      <c r="X567" s="3037"/>
      <c r="Y567" s="3037"/>
      <c r="Z567" s="3037"/>
      <c r="AA567" s="3037"/>
      <c r="AB567" s="3037"/>
      <c r="AC567" s="3037"/>
      <c r="AD567" s="3037"/>
      <c r="AE567" s="3037"/>
      <c r="AF567" s="3037"/>
      <c r="AG567" s="3037"/>
      <c r="AH567" s="3037"/>
      <c r="AI567" s="3037"/>
      <c r="AJ567" s="3037"/>
      <c r="AK567" s="1029"/>
      <c r="AL567" s="1029"/>
      <c r="AM567" s="1029"/>
      <c r="AN567" s="1002"/>
      <c r="AQ567" s="1004"/>
      <c r="AR567" s="1137"/>
    </row>
    <row r="568" spans="1:46" s="945" customFormat="1" ht="12.75" customHeight="1">
      <c r="A568" s="1029"/>
      <c r="B568" s="1120"/>
      <c r="C568" s="3037" t="s">
        <v>1752</v>
      </c>
      <c r="D568" s="3037"/>
      <c r="E568" s="3037"/>
      <c r="F568" s="3037"/>
      <c r="G568" s="3037"/>
      <c r="H568" s="3037"/>
      <c r="I568" s="3037"/>
      <c r="J568" s="3037"/>
      <c r="K568" s="3037"/>
      <c r="L568" s="3037"/>
      <c r="M568" s="3037"/>
      <c r="N568" s="3037"/>
      <c r="O568" s="3037"/>
      <c r="P568" s="3037"/>
      <c r="Q568" s="3037"/>
      <c r="R568" s="3037"/>
      <c r="S568" s="3037"/>
      <c r="T568" s="3037"/>
      <c r="U568" s="3037"/>
      <c r="V568" s="3037"/>
      <c r="W568" s="3037"/>
      <c r="X568" s="3037"/>
      <c r="Y568" s="3037"/>
      <c r="Z568" s="3037"/>
      <c r="AA568" s="3037"/>
      <c r="AB568" s="3037"/>
      <c r="AC568" s="3037"/>
      <c r="AD568" s="3037"/>
      <c r="AE568" s="3037"/>
      <c r="AF568" s="3037"/>
      <c r="AG568" s="3037"/>
      <c r="AH568" s="3037"/>
      <c r="AI568" s="3037"/>
      <c r="AJ568" s="3037"/>
      <c r="AK568" s="1029"/>
      <c r="AL568" s="1029"/>
      <c r="AM568" s="1029"/>
      <c r="AN568" s="1002"/>
      <c r="AQ568" s="1137"/>
      <c r="AR568" s="1137"/>
    </row>
    <row r="569" spans="1:46" s="945" customFormat="1" ht="12.75" customHeight="1">
      <c r="A569" s="1029"/>
      <c r="B569" s="1120"/>
      <c r="C569" s="3037"/>
      <c r="D569" s="3037"/>
      <c r="E569" s="3037"/>
      <c r="F569" s="3037"/>
      <c r="G569" s="3037"/>
      <c r="H569" s="3037"/>
      <c r="I569" s="3037"/>
      <c r="J569" s="3037"/>
      <c r="K569" s="3037"/>
      <c r="L569" s="3037"/>
      <c r="M569" s="3037"/>
      <c r="N569" s="3037"/>
      <c r="O569" s="3037"/>
      <c r="P569" s="3037"/>
      <c r="Q569" s="3037"/>
      <c r="R569" s="3037"/>
      <c r="S569" s="3037"/>
      <c r="T569" s="3037"/>
      <c r="U569" s="3037"/>
      <c r="V569" s="3037"/>
      <c r="W569" s="3037"/>
      <c r="X569" s="3037"/>
      <c r="Y569" s="3037"/>
      <c r="Z569" s="3037"/>
      <c r="AA569" s="3037"/>
      <c r="AB569" s="3037"/>
      <c r="AC569" s="3037"/>
      <c r="AD569" s="3037"/>
      <c r="AE569" s="3037"/>
      <c r="AF569" s="3037"/>
      <c r="AG569" s="3037"/>
      <c r="AH569" s="3037"/>
      <c r="AI569" s="3037"/>
      <c r="AJ569" s="3037"/>
      <c r="AK569" s="1029"/>
      <c r="AL569" s="1029"/>
      <c r="AM569" s="1029"/>
      <c r="AN569" s="1002"/>
      <c r="AQ569" s="1137"/>
      <c r="AR569" s="1137"/>
    </row>
    <row r="570" spans="1:46" s="945" customFormat="1" ht="13.25" customHeight="1">
      <c r="A570" s="1029"/>
      <c r="B570" s="1120"/>
      <c r="C570" s="3037"/>
      <c r="D570" s="3037"/>
      <c r="E570" s="3037"/>
      <c r="F570" s="3037"/>
      <c r="G570" s="3037"/>
      <c r="H570" s="3037"/>
      <c r="I570" s="3037"/>
      <c r="J570" s="3037"/>
      <c r="K570" s="3037"/>
      <c r="L570" s="3037"/>
      <c r="M570" s="3037"/>
      <c r="N570" s="3037"/>
      <c r="O570" s="3037"/>
      <c r="P570" s="3037"/>
      <c r="Q570" s="3037"/>
      <c r="R570" s="3037"/>
      <c r="S570" s="3037"/>
      <c r="T570" s="3037"/>
      <c r="U570" s="3037"/>
      <c r="V570" s="3037"/>
      <c r="W570" s="3037"/>
      <c r="X570" s="3037"/>
      <c r="Y570" s="3037"/>
      <c r="Z570" s="3037"/>
      <c r="AA570" s="3037"/>
      <c r="AB570" s="3037"/>
      <c r="AC570" s="3037"/>
      <c r="AD570" s="3037"/>
      <c r="AE570" s="3037"/>
      <c r="AF570" s="3037"/>
      <c r="AG570" s="3037"/>
      <c r="AH570" s="3037"/>
      <c r="AI570" s="3037"/>
      <c r="AJ570" s="3037"/>
      <c r="AK570" s="1029"/>
      <c r="AL570" s="1029"/>
      <c r="AM570" s="1029"/>
      <c r="AN570" s="1002"/>
      <c r="AQ570" s="1137"/>
      <c r="AR570" s="1137"/>
    </row>
    <row r="571" spans="1:46" s="945" customFormat="1" ht="12.75" customHeight="1">
      <c r="A571" s="1029"/>
      <c r="B571" s="1120"/>
      <c r="C571" s="3037"/>
      <c r="D571" s="3037"/>
      <c r="E571" s="3037"/>
      <c r="F571" s="3037"/>
      <c r="G571" s="3037"/>
      <c r="H571" s="3037"/>
      <c r="I571" s="3037"/>
      <c r="J571" s="3037"/>
      <c r="K571" s="3037"/>
      <c r="L571" s="3037"/>
      <c r="M571" s="3037"/>
      <c r="N571" s="3037"/>
      <c r="O571" s="3037"/>
      <c r="P571" s="3037"/>
      <c r="Q571" s="3037"/>
      <c r="R571" s="3037"/>
      <c r="S571" s="3037"/>
      <c r="T571" s="3037"/>
      <c r="U571" s="3037"/>
      <c r="V571" s="3037"/>
      <c r="W571" s="3037"/>
      <c r="X571" s="3037"/>
      <c r="Y571" s="3037"/>
      <c r="Z571" s="3037"/>
      <c r="AA571" s="3037"/>
      <c r="AB571" s="3037"/>
      <c r="AC571" s="3037"/>
      <c r="AD571" s="3037"/>
      <c r="AE571" s="3037"/>
      <c r="AF571" s="3037"/>
      <c r="AG571" s="3037"/>
      <c r="AH571" s="3037"/>
      <c r="AI571" s="3037"/>
      <c r="AJ571" s="3037"/>
      <c r="AK571" s="1029"/>
      <c r="AL571" s="1029"/>
      <c r="AM571" s="1029"/>
      <c r="AN571" s="1002"/>
      <c r="AO571" s="1152"/>
      <c r="AP571" s="1152"/>
      <c r="AQ571" s="1137"/>
      <c r="AR571" s="1004"/>
    </row>
    <row r="572" spans="1:46" s="945" customFormat="1" ht="12" customHeight="1">
      <c r="A572" s="1029"/>
      <c r="B572" s="1120"/>
      <c r="C572" s="3037"/>
      <c r="D572" s="3037"/>
      <c r="E572" s="3037"/>
      <c r="F572" s="3037"/>
      <c r="G572" s="3037"/>
      <c r="H572" s="3037"/>
      <c r="I572" s="3037"/>
      <c r="J572" s="3037"/>
      <c r="K572" s="3037"/>
      <c r="L572" s="3037"/>
      <c r="M572" s="3037"/>
      <c r="N572" s="3037"/>
      <c r="O572" s="3037"/>
      <c r="P572" s="3037"/>
      <c r="Q572" s="3037"/>
      <c r="R572" s="3037"/>
      <c r="S572" s="3037"/>
      <c r="T572" s="3037"/>
      <c r="U572" s="3037"/>
      <c r="V572" s="3037"/>
      <c r="W572" s="3037"/>
      <c r="X572" s="3037"/>
      <c r="Y572" s="3037"/>
      <c r="Z572" s="3037"/>
      <c r="AA572" s="3037"/>
      <c r="AB572" s="3037"/>
      <c r="AC572" s="3037"/>
      <c r="AD572" s="3037"/>
      <c r="AE572" s="3037"/>
      <c r="AF572" s="3037"/>
      <c r="AG572" s="3037"/>
      <c r="AH572" s="3037"/>
      <c r="AI572" s="3037"/>
      <c r="AJ572" s="3037"/>
      <c r="AK572" s="1029"/>
      <c r="AL572" s="1029"/>
      <c r="AM572" s="1029"/>
      <c r="AN572" s="1002"/>
      <c r="AO572" s="1153" t="s">
        <v>117</v>
      </c>
      <c r="AP572" s="1154">
        <f>IF(C596="Yes",5,0)</f>
        <v>5</v>
      </c>
      <c r="AQ572" s="1004"/>
      <c r="AR572" s="1004"/>
      <c r="AS572" s="934" t="s">
        <v>1753</v>
      </c>
    </row>
    <row r="573" spans="1:46" s="945" customFormat="1" ht="12.75" customHeight="1">
      <c r="A573" s="1029"/>
      <c r="B573" s="1120"/>
      <c r="C573" s="3037"/>
      <c r="D573" s="3037"/>
      <c r="E573" s="3037"/>
      <c r="F573" s="3037"/>
      <c r="G573" s="3037"/>
      <c r="H573" s="3037"/>
      <c r="I573" s="3037"/>
      <c r="J573" s="3037"/>
      <c r="K573" s="3037"/>
      <c r="L573" s="3037"/>
      <c r="M573" s="3037"/>
      <c r="N573" s="3037"/>
      <c r="O573" s="3037"/>
      <c r="P573" s="3037"/>
      <c r="Q573" s="3037"/>
      <c r="R573" s="3037"/>
      <c r="S573" s="3037"/>
      <c r="T573" s="3037"/>
      <c r="U573" s="3037"/>
      <c r="V573" s="3037"/>
      <c r="W573" s="3037"/>
      <c r="X573" s="3037"/>
      <c r="Y573" s="3037"/>
      <c r="Z573" s="3037"/>
      <c r="AA573" s="3037"/>
      <c r="AB573" s="3037"/>
      <c r="AC573" s="3037"/>
      <c r="AD573" s="3037"/>
      <c r="AE573" s="3037"/>
      <c r="AF573" s="3037"/>
      <c r="AG573" s="3037"/>
      <c r="AH573" s="3037"/>
      <c r="AI573" s="3037"/>
      <c r="AJ573" s="3037"/>
      <c r="AK573" s="1029"/>
      <c r="AL573" s="1029"/>
      <c r="AM573" s="1029"/>
      <c r="AN573" s="1002"/>
      <c r="AO573" s="1153" t="s">
        <v>118</v>
      </c>
      <c r="AP573" s="1154">
        <f>IF(C604="Yes",5,0)</f>
        <v>0</v>
      </c>
      <c r="AQ573" s="1004"/>
      <c r="AR573" s="1004"/>
      <c r="AS573" s="3158">
        <f>IF(AQ581=0,AQ590,AQ581)</f>
        <v>12</v>
      </c>
      <c r="AT573" s="3158"/>
    </row>
    <row r="574" spans="1:46" s="945" customFormat="1" ht="12.75" customHeight="1">
      <c r="A574" s="1029"/>
      <c r="B574" s="1120"/>
      <c r="C574" s="3037"/>
      <c r="D574" s="3037"/>
      <c r="E574" s="3037"/>
      <c r="F574" s="3037"/>
      <c r="G574" s="3037"/>
      <c r="H574" s="3037"/>
      <c r="I574" s="3037"/>
      <c r="J574" s="3037"/>
      <c r="K574" s="3037"/>
      <c r="L574" s="3037"/>
      <c r="M574" s="3037"/>
      <c r="N574" s="3037"/>
      <c r="O574" s="3037"/>
      <c r="P574" s="3037"/>
      <c r="Q574" s="3037"/>
      <c r="R574" s="3037"/>
      <c r="S574" s="3037"/>
      <c r="T574" s="3037"/>
      <c r="U574" s="3037"/>
      <c r="V574" s="3037"/>
      <c r="W574" s="3037"/>
      <c r="X574" s="3037"/>
      <c r="Y574" s="3037"/>
      <c r="Z574" s="3037"/>
      <c r="AA574" s="3037"/>
      <c r="AB574" s="3037"/>
      <c r="AC574" s="3037"/>
      <c r="AD574" s="3037"/>
      <c r="AE574" s="3037"/>
      <c r="AF574" s="3037"/>
      <c r="AG574" s="3037"/>
      <c r="AH574" s="3037"/>
      <c r="AI574" s="3037"/>
      <c r="AJ574" s="3037"/>
      <c r="AK574" s="1029"/>
      <c r="AL574" s="1029"/>
      <c r="AM574" s="1029"/>
      <c r="AN574" s="1002"/>
      <c r="AO574" s="1153" t="s">
        <v>124</v>
      </c>
      <c r="AP574" s="1154">
        <f>IF(C612="Yes",7,0)</f>
        <v>7</v>
      </c>
      <c r="AS574" s="934" t="s">
        <v>1754</v>
      </c>
    </row>
    <row r="575" spans="1:46" s="945" customFormat="1" ht="12.75" customHeight="1">
      <c r="A575" s="1029"/>
      <c r="B575" s="1120"/>
      <c r="C575" s="3037"/>
      <c r="D575" s="3037"/>
      <c r="E575" s="3037"/>
      <c r="F575" s="3037"/>
      <c r="G575" s="3037"/>
      <c r="H575" s="3037"/>
      <c r="I575" s="3037"/>
      <c r="J575" s="3037"/>
      <c r="K575" s="3037"/>
      <c r="L575" s="3037"/>
      <c r="M575" s="3037"/>
      <c r="N575" s="3037"/>
      <c r="O575" s="3037"/>
      <c r="P575" s="3037"/>
      <c r="Q575" s="3037"/>
      <c r="R575" s="3037"/>
      <c r="S575" s="3037"/>
      <c r="T575" s="3037"/>
      <c r="U575" s="3037"/>
      <c r="V575" s="3037"/>
      <c r="W575" s="3037"/>
      <c r="X575" s="3037"/>
      <c r="Y575" s="3037"/>
      <c r="Z575" s="3037"/>
      <c r="AA575" s="3037"/>
      <c r="AB575" s="3037"/>
      <c r="AC575" s="3037"/>
      <c r="AD575" s="3037"/>
      <c r="AE575" s="3037"/>
      <c r="AF575" s="3037"/>
      <c r="AG575" s="3037"/>
      <c r="AH575" s="3037"/>
      <c r="AI575" s="3037"/>
      <c r="AJ575" s="3037"/>
      <c r="AK575" s="1029"/>
      <c r="AL575" s="1029"/>
      <c r="AM575" s="1029"/>
      <c r="AN575" s="1002"/>
      <c r="AO575" s="1002"/>
      <c r="AP575" s="1154">
        <f>IF(C614="Yes",5,0)</f>
        <v>0</v>
      </c>
      <c r="AS575" s="3158">
        <f>IF(AND(AQ581&gt;0,AQ590&gt;0),(AQ581+AQ590)/2,0)</f>
        <v>11</v>
      </c>
      <c r="AT575" s="3158"/>
    </row>
    <row r="576" spans="1:46" s="945" customFormat="1" ht="12.75" customHeight="1">
      <c r="A576" s="1029"/>
      <c r="B576" s="1120"/>
      <c r="C576" s="3037"/>
      <c r="D576" s="3037"/>
      <c r="E576" s="3037"/>
      <c r="F576" s="3037"/>
      <c r="G576" s="3037"/>
      <c r="H576" s="3037"/>
      <c r="I576" s="3037"/>
      <c r="J576" s="3037"/>
      <c r="K576" s="3037"/>
      <c r="L576" s="3037"/>
      <c r="M576" s="3037"/>
      <c r="N576" s="3037"/>
      <c r="O576" s="3037"/>
      <c r="P576" s="3037"/>
      <c r="Q576" s="3037"/>
      <c r="R576" s="3037"/>
      <c r="S576" s="3037"/>
      <c r="T576" s="3037"/>
      <c r="U576" s="3037"/>
      <c r="V576" s="3037"/>
      <c r="W576" s="3037"/>
      <c r="X576" s="3037"/>
      <c r="Y576" s="3037"/>
      <c r="Z576" s="3037"/>
      <c r="AA576" s="3037"/>
      <c r="AB576" s="3037"/>
      <c r="AC576" s="3037"/>
      <c r="AD576" s="3037"/>
      <c r="AE576" s="3037"/>
      <c r="AF576" s="3037"/>
      <c r="AG576" s="3037"/>
      <c r="AH576" s="3037"/>
      <c r="AI576" s="3037"/>
      <c r="AJ576" s="3037"/>
      <c r="AK576" s="1029"/>
      <c r="AL576" s="1029"/>
      <c r="AM576" s="1029"/>
      <c r="AN576" s="1002"/>
      <c r="AO576" s="1153" t="s">
        <v>618</v>
      </c>
      <c r="AP576" s="1154">
        <f>IF(C622="Yes",5,0)</f>
        <v>0</v>
      </c>
      <c r="AQ576" s="1004"/>
      <c r="AR576" s="1004"/>
    </row>
    <row r="577" spans="1:81" s="945" customFormat="1" ht="12.75" customHeight="1">
      <c r="A577" s="1029"/>
      <c r="B577" s="1120"/>
      <c r="C577" s="3159" t="s">
        <v>1755</v>
      </c>
      <c r="D577" s="3159"/>
      <c r="E577" s="3159"/>
      <c r="F577" s="3159"/>
      <c r="G577" s="3159"/>
      <c r="H577" s="3159"/>
      <c r="I577" s="3159"/>
      <c r="J577" s="3159"/>
      <c r="K577" s="3159"/>
      <c r="L577" s="3159"/>
      <c r="M577" s="3159"/>
      <c r="N577" s="3159"/>
      <c r="O577" s="3159"/>
      <c r="P577" s="3159"/>
      <c r="Q577" s="3159"/>
      <c r="R577" s="3159"/>
      <c r="S577" s="3159"/>
      <c r="T577" s="3159"/>
      <c r="U577" s="3159"/>
      <c r="V577" s="3159"/>
      <c r="W577" s="3159"/>
      <c r="X577" s="3159"/>
      <c r="Y577" s="3159"/>
      <c r="Z577" s="3159"/>
      <c r="AA577" s="3159"/>
      <c r="AB577" s="3159"/>
      <c r="AC577" s="3159"/>
      <c r="AD577" s="3159"/>
      <c r="AE577" s="3159"/>
      <c r="AF577" s="3159"/>
      <c r="AG577" s="3159"/>
      <c r="AH577" s="3159"/>
      <c r="AI577" s="3159"/>
      <c r="AJ577" s="3159"/>
      <c r="AK577" s="1029"/>
      <c r="AL577" s="1029"/>
      <c r="AM577" s="1029"/>
      <c r="AN577" s="1002"/>
      <c r="AO577" s="1002"/>
      <c r="AP577" s="1154">
        <f>IF(C624="Yes",3,0)</f>
        <v>0</v>
      </c>
    </row>
    <row r="578" spans="1:81" s="945" customFormat="1" ht="12.75" customHeight="1">
      <c r="A578" s="1029"/>
      <c r="B578" s="1120"/>
      <c r="C578" s="3159"/>
      <c r="D578" s="3159"/>
      <c r="E578" s="3159"/>
      <c r="F578" s="3159"/>
      <c r="G578" s="3159"/>
      <c r="H578" s="3159"/>
      <c r="I578" s="3159"/>
      <c r="J578" s="3159"/>
      <c r="K578" s="3159"/>
      <c r="L578" s="3159"/>
      <c r="M578" s="3159"/>
      <c r="N578" s="3159"/>
      <c r="O578" s="3159"/>
      <c r="P578" s="3159"/>
      <c r="Q578" s="3159"/>
      <c r="R578" s="3159"/>
      <c r="S578" s="3159"/>
      <c r="T578" s="3159"/>
      <c r="U578" s="3159"/>
      <c r="V578" s="3159"/>
      <c r="W578" s="3159"/>
      <c r="X578" s="3159"/>
      <c r="Y578" s="3159"/>
      <c r="Z578" s="3159"/>
      <c r="AA578" s="3159"/>
      <c r="AB578" s="3159"/>
      <c r="AC578" s="3159"/>
      <c r="AD578" s="3159"/>
      <c r="AE578" s="3159"/>
      <c r="AF578" s="3159"/>
      <c r="AG578" s="3159"/>
      <c r="AH578" s="3159"/>
      <c r="AI578" s="3159"/>
      <c r="AJ578" s="3159"/>
      <c r="AK578" s="1029"/>
      <c r="AL578" s="1029"/>
      <c r="AM578" s="1029"/>
      <c r="AN578" s="1002"/>
      <c r="AO578" s="1153" t="s">
        <v>825</v>
      </c>
      <c r="AP578" s="1154">
        <f>IF(C627="Yes",5,0)</f>
        <v>0</v>
      </c>
    </row>
    <row r="579" spans="1:81" s="945" customFormat="1" ht="12.75" customHeight="1">
      <c r="A579" s="1029"/>
      <c r="B579" s="1120"/>
      <c r="C579" s="3159"/>
      <c r="D579" s="3159"/>
      <c r="E579" s="3159"/>
      <c r="F579" s="3159"/>
      <c r="G579" s="3159"/>
      <c r="H579" s="3159"/>
      <c r="I579" s="3159"/>
      <c r="J579" s="3159"/>
      <c r="K579" s="3159"/>
      <c r="L579" s="3159"/>
      <c r="M579" s="3159"/>
      <c r="N579" s="3159"/>
      <c r="O579" s="3159"/>
      <c r="P579" s="3159"/>
      <c r="Q579" s="3159"/>
      <c r="R579" s="3159"/>
      <c r="S579" s="3159"/>
      <c r="T579" s="3159"/>
      <c r="U579" s="3159"/>
      <c r="V579" s="3159"/>
      <c r="W579" s="3159"/>
      <c r="X579" s="3159"/>
      <c r="Y579" s="3159"/>
      <c r="Z579" s="3159"/>
      <c r="AA579" s="3159"/>
      <c r="AB579" s="3159"/>
      <c r="AC579" s="3159"/>
      <c r="AD579" s="3159"/>
      <c r="AE579" s="3159"/>
      <c r="AF579" s="3159"/>
      <c r="AG579" s="3159"/>
      <c r="AH579" s="3159"/>
      <c r="AI579" s="3159"/>
      <c r="AJ579" s="3159"/>
      <c r="AK579" s="1029"/>
      <c r="AL579" s="1029"/>
      <c r="AM579" s="1029"/>
      <c r="AN579" s="1002"/>
      <c r="AO579" s="1153" t="s">
        <v>621</v>
      </c>
      <c r="AP579" s="1154">
        <f>IF(C636="Yes",5,0)</f>
        <v>0</v>
      </c>
    </row>
    <row r="580" spans="1:81" s="945" customFormat="1" ht="12" customHeight="1">
      <c r="A580" s="1029"/>
      <c r="B580" s="1120"/>
      <c r="C580" s="3159"/>
      <c r="D580" s="3159"/>
      <c r="E580" s="3159"/>
      <c r="F580" s="3159"/>
      <c r="G580" s="3159"/>
      <c r="H580" s="3159"/>
      <c r="I580" s="3159"/>
      <c r="J580" s="3159"/>
      <c r="K580" s="3159"/>
      <c r="L580" s="3159"/>
      <c r="M580" s="3159"/>
      <c r="N580" s="3159"/>
      <c r="O580" s="3159"/>
      <c r="P580" s="3159"/>
      <c r="Q580" s="3159"/>
      <c r="R580" s="3159"/>
      <c r="S580" s="3159"/>
      <c r="T580" s="3159"/>
      <c r="U580" s="3159"/>
      <c r="V580" s="3159"/>
      <c r="W580" s="3159"/>
      <c r="X580" s="3159"/>
      <c r="Y580" s="3159"/>
      <c r="Z580" s="3159"/>
      <c r="AA580" s="3159"/>
      <c r="AB580" s="3159"/>
      <c r="AC580" s="3159"/>
      <c r="AD580" s="3159"/>
      <c r="AE580" s="3159"/>
      <c r="AF580" s="3159"/>
      <c r="AG580" s="3159"/>
      <c r="AH580" s="3159"/>
      <c r="AI580" s="3159"/>
      <c r="AJ580" s="3159"/>
      <c r="AK580" s="1029"/>
      <c r="AL580" s="1029"/>
      <c r="AM580" s="1029"/>
      <c r="AN580" s="1002"/>
      <c r="AO580" s="1155"/>
      <c r="AP580" s="1156">
        <f>IF(C638="Yes",3,0)</f>
        <v>0</v>
      </c>
    </row>
    <row r="581" spans="1:81" s="945" customFormat="1" ht="12.5" customHeight="1">
      <c r="A581" s="1029"/>
      <c r="B581" s="1120"/>
      <c r="C581" s="3159"/>
      <c r="D581" s="3159"/>
      <c r="E581" s="3159"/>
      <c r="F581" s="3159"/>
      <c r="G581" s="3159"/>
      <c r="H581" s="3159"/>
      <c r="I581" s="3159"/>
      <c r="J581" s="3159"/>
      <c r="K581" s="3159"/>
      <c r="L581" s="3159"/>
      <c r="M581" s="3159"/>
      <c r="N581" s="3159"/>
      <c r="O581" s="3159"/>
      <c r="P581" s="3159"/>
      <c r="Q581" s="3159"/>
      <c r="R581" s="3159"/>
      <c r="S581" s="3159"/>
      <c r="T581" s="3159"/>
      <c r="U581" s="3159"/>
      <c r="V581" s="3159"/>
      <c r="W581" s="3159"/>
      <c r="X581" s="3159"/>
      <c r="Y581" s="3159"/>
      <c r="Z581" s="3159"/>
      <c r="AA581" s="3159"/>
      <c r="AB581" s="3159"/>
      <c r="AC581" s="3159"/>
      <c r="AD581" s="3159"/>
      <c r="AE581" s="3159"/>
      <c r="AF581" s="3159"/>
      <c r="AG581" s="3159"/>
      <c r="AH581" s="3159"/>
      <c r="AI581" s="3159"/>
      <c r="AJ581" s="3159"/>
      <c r="AK581" s="1029"/>
      <c r="AL581" s="1029"/>
      <c r="AM581" s="1029"/>
      <c r="AN581" s="1002"/>
      <c r="AO581" s="1157" t="s">
        <v>234</v>
      </c>
      <c r="AP581" s="1158">
        <f>SUM(AP572:AP580)</f>
        <v>12</v>
      </c>
      <c r="AQ581" s="3040">
        <f>IF(AP581&gt;0,AP581,0)</f>
        <v>12</v>
      </c>
      <c r="AR581" s="3040"/>
    </row>
    <row r="582" spans="1:81" s="945" customFormat="1" ht="12.75" customHeight="1">
      <c r="A582" s="1029"/>
      <c r="B582" s="1120"/>
      <c r="C582" s="3159"/>
      <c r="D582" s="3159"/>
      <c r="E582" s="3159"/>
      <c r="F582" s="3159"/>
      <c r="G582" s="3159"/>
      <c r="H582" s="3159"/>
      <c r="I582" s="3159"/>
      <c r="J582" s="3159"/>
      <c r="K582" s="3159"/>
      <c r="L582" s="3159"/>
      <c r="M582" s="3159"/>
      <c r="N582" s="3159"/>
      <c r="O582" s="3159"/>
      <c r="P582" s="3159"/>
      <c r="Q582" s="3159"/>
      <c r="R582" s="3159"/>
      <c r="S582" s="3159"/>
      <c r="T582" s="3159"/>
      <c r="U582" s="3159"/>
      <c r="V582" s="3159"/>
      <c r="W582" s="3159"/>
      <c r="X582" s="3159"/>
      <c r="Y582" s="3159"/>
      <c r="Z582" s="3159"/>
      <c r="AA582" s="3159"/>
      <c r="AB582" s="3159"/>
      <c r="AC582" s="3159"/>
      <c r="AD582" s="3159"/>
      <c r="AE582" s="3159"/>
      <c r="AF582" s="3159"/>
      <c r="AG582" s="3159"/>
      <c r="AH582" s="3159"/>
      <c r="AI582" s="3159"/>
      <c r="AJ582" s="3159"/>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3037" t="s">
        <v>1756</v>
      </c>
      <c r="D584" s="3037"/>
      <c r="E584" s="3037"/>
      <c r="F584" s="3037"/>
      <c r="G584" s="3037"/>
      <c r="H584" s="3037"/>
      <c r="I584" s="3037"/>
      <c r="J584" s="3037"/>
      <c r="K584" s="3037"/>
      <c r="L584" s="3037"/>
      <c r="M584" s="3037"/>
      <c r="N584" s="3037"/>
      <c r="O584" s="3037"/>
      <c r="P584" s="3037"/>
      <c r="Q584" s="3037"/>
      <c r="R584" s="3037"/>
      <c r="S584" s="3037"/>
      <c r="T584" s="3037"/>
      <c r="U584" s="3037"/>
      <c r="V584" s="3037"/>
      <c r="W584" s="3037"/>
      <c r="X584" s="3037"/>
      <c r="Y584" s="3037"/>
      <c r="Z584" s="3037"/>
      <c r="AA584" s="3037"/>
      <c r="AB584" s="3037"/>
      <c r="AC584" s="3037"/>
      <c r="AD584" s="3037"/>
      <c r="AE584" s="3037"/>
      <c r="AF584" s="3037"/>
      <c r="AG584" s="3037"/>
      <c r="AH584" s="3037"/>
      <c r="AI584" s="3037"/>
      <c r="AJ584" s="3037"/>
      <c r="AK584" s="1029"/>
      <c r="AL584" s="1029"/>
      <c r="AM584" s="1029"/>
      <c r="AN584" s="1002"/>
      <c r="AO584" s="1153" t="s">
        <v>490</v>
      </c>
      <c r="AP584" s="1154">
        <f>IF(C657="Yes",5,0)</f>
        <v>5</v>
      </c>
    </row>
    <row r="585" spans="1:81" s="945" customFormat="1" ht="12.75" customHeight="1">
      <c r="A585" s="1029"/>
      <c r="B585" s="1120"/>
      <c r="C585" s="3037"/>
      <c r="D585" s="3037"/>
      <c r="E585" s="3037"/>
      <c r="F585" s="3037"/>
      <c r="G585" s="3037"/>
      <c r="H585" s="3037"/>
      <c r="I585" s="3037"/>
      <c r="J585" s="3037"/>
      <c r="K585" s="3037"/>
      <c r="L585" s="3037"/>
      <c r="M585" s="3037"/>
      <c r="N585" s="3037"/>
      <c r="O585" s="3037"/>
      <c r="P585" s="3037"/>
      <c r="Q585" s="3037"/>
      <c r="R585" s="3037"/>
      <c r="S585" s="3037"/>
      <c r="T585" s="3037"/>
      <c r="U585" s="3037"/>
      <c r="V585" s="3037"/>
      <c r="W585" s="3037"/>
      <c r="X585" s="3037"/>
      <c r="Y585" s="3037"/>
      <c r="Z585" s="3037"/>
      <c r="AA585" s="3037"/>
      <c r="AB585" s="3037"/>
      <c r="AC585" s="3037"/>
      <c r="AD585" s="3037"/>
      <c r="AE585" s="3037"/>
      <c r="AF585" s="3037"/>
      <c r="AG585" s="3037"/>
      <c r="AH585" s="3037"/>
      <c r="AI585" s="3037"/>
      <c r="AJ585" s="3037"/>
      <c r="AK585" s="1029"/>
      <c r="AL585" s="1029"/>
      <c r="AM585" s="1029"/>
      <c r="AN585" s="1002"/>
      <c r="AO585" s="1153" t="s">
        <v>496</v>
      </c>
      <c r="AP585" s="1154">
        <f>IF(C664="Yes",5,0)</f>
        <v>5</v>
      </c>
    </row>
    <row r="586" spans="1:81" s="945" customFormat="1" ht="68.25" customHeight="1">
      <c r="A586" s="1029"/>
      <c r="B586" s="1120"/>
      <c r="C586" s="3037"/>
      <c r="D586" s="3037"/>
      <c r="E586" s="3037"/>
      <c r="F586" s="3037"/>
      <c r="G586" s="3037"/>
      <c r="H586" s="3037"/>
      <c r="I586" s="3037"/>
      <c r="J586" s="3037"/>
      <c r="K586" s="3037"/>
      <c r="L586" s="3037"/>
      <c r="M586" s="3037"/>
      <c r="N586" s="3037"/>
      <c r="O586" s="3037"/>
      <c r="P586" s="3037"/>
      <c r="Q586" s="3037"/>
      <c r="R586" s="3037"/>
      <c r="S586" s="3037"/>
      <c r="T586" s="3037"/>
      <c r="U586" s="3037"/>
      <c r="V586" s="3037"/>
      <c r="W586" s="3037"/>
      <c r="X586" s="3037"/>
      <c r="Y586" s="3037"/>
      <c r="Z586" s="3037"/>
      <c r="AA586" s="3037"/>
      <c r="AB586" s="3037"/>
      <c r="AC586" s="3037"/>
      <c r="AD586" s="3037"/>
      <c r="AE586" s="3037"/>
      <c r="AF586" s="3037"/>
      <c r="AG586" s="3037"/>
      <c r="AH586" s="3037"/>
      <c r="AI586" s="3037"/>
      <c r="AJ586" s="3037"/>
      <c r="AK586" s="1029"/>
      <c r="AL586" s="1029"/>
      <c r="AM586" s="1029"/>
      <c r="AN586" s="1002"/>
      <c r="AO586" s="1153" t="s">
        <v>683</v>
      </c>
      <c r="AP586" s="1160">
        <f>IF(C668="Yes",5,0)</f>
        <v>0</v>
      </c>
      <c r="AQ586" s="1004"/>
      <c r="AR586" s="1004"/>
    </row>
    <row r="587" spans="1:81" s="945" customFormat="1" ht="12.5" customHeight="1">
      <c r="A587" s="1029"/>
      <c r="B587" s="1120"/>
      <c r="C587" s="1161" t="s">
        <v>1757</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1758</v>
      </c>
      <c r="D588" s="1163"/>
      <c r="E588" s="1163"/>
      <c r="F588" s="1163"/>
      <c r="G588" s="1163"/>
      <c r="H588" s="1163"/>
      <c r="I588" s="1163"/>
      <c r="J588" s="1163"/>
      <c r="K588" s="1163"/>
      <c r="L588" s="1163"/>
      <c r="M588" s="1112"/>
      <c r="N588" s="1112"/>
      <c r="O588" s="1164"/>
      <c r="P588" s="1163"/>
      <c r="Q588" s="1163"/>
      <c r="R588" s="1112"/>
      <c r="S588" s="1112"/>
      <c r="T588" s="1163"/>
      <c r="U588" s="3038">
        <f>'Service Amenities Budget'!J10</f>
        <v>61</v>
      </c>
      <c r="V588" s="3038"/>
      <c r="W588" s="3038"/>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1759</v>
      </c>
      <c r="D589" s="1168"/>
      <c r="E589" s="1168"/>
      <c r="F589" s="1168"/>
      <c r="G589" s="1168"/>
      <c r="H589" s="1168"/>
      <c r="I589" s="1168"/>
      <c r="J589" s="1168"/>
      <c r="K589" s="1168"/>
      <c r="L589" s="1168"/>
      <c r="M589" s="1152"/>
      <c r="N589" s="1152"/>
      <c r="O589" s="1168"/>
      <c r="P589" s="1168"/>
      <c r="Q589" s="1168"/>
      <c r="R589" s="1168"/>
      <c r="S589" s="1168"/>
      <c r="T589" s="1168"/>
      <c r="U589" s="3039">
        <f>'Service Amenities Budget'!J9</f>
        <v>72</v>
      </c>
      <c r="V589" s="3039"/>
      <c r="W589" s="3039"/>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10</v>
      </c>
      <c r="AQ590" s="3040">
        <f>IF(AP590&gt;0,AP590,0)</f>
        <v>10</v>
      </c>
      <c r="AR590" s="3040"/>
    </row>
    <row r="591" spans="1:81" s="945" customFormat="1" ht="12.75" customHeight="1">
      <c r="A591" s="1029"/>
      <c r="B591" s="51"/>
      <c r="C591" s="1173" t="s">
        <v>1760</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1598</v>
      </c>
      <c r="F592" s="3041" t="s">
        <v>1761</v>
      </c>
      <c r="G592" s="3041"/>
      <c r="H592" s="3041"/>
      <c r="I592" s="3041"/>
      <c r="J592" s="3041"/>
      <c r="K592" s="3041"/>
      <c r="L592" s="3041"/>
      <c r="M592" s="3041"/>
      <c r="N592" s="3041"/>
      <c r="O592" s="3041"/>
      <c r="P592" s="3041"/>
      <c r="Q592" s="3041"/>
      <c r="R592" s="3041"/>
      <c r="S592" s="3041"/>
      <c r="T592" s="3041"/>
      <c r="U592" s="3041"/>
      <c r="V592" s="3041"/>
      <c r="W592" s="3041"/>
      <c r="X592" s="3041"/>
      <c r="Y592" s="3041"/>
      <c r="Z592" s="3041"/>
      <c r="AA592" s="3041"/>
      <c r="AB592" s="3041"/>
      <c r="AC592" s="3041"/>
      <c r="AD592" s="3041"/>
      <c r="AE592" s="3041"/>
      <c r="AF592" s="3041"/>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042"/>
      <c r="G593" s="3042"/>
      <c r="H593" s="3042"/>
      <c r="I593" s="3042"/>
      <c r="J593" s="3042"/>
      <c r="K593" s="3042"/>
      <c r="L593" s="3042"/>
      <c r="M593" s="3042"/>
      <c r="N593" s="3042"/>
      <c r="O593" s="3042"/>
      <c r="P593" s="3042"/>
      <c r="Q593" s="3042"/>
      <c r="R593" s="3042"/>
      <c r="S593" s="3042"/>
      <c r="T593" s="3042"/>
      <c r="U593" s="3042"/>
      <c r="V593" s="3042"/>
      <c r="W593" s="3042"/>
      <c r="X593" s="3042"/>
      <c r="Y593" s="3042"/>
      <c r="Z593" s="3042"/>
      <c r="AA593" s="3042"/>
      <c r="AB593" s="3042"/>
      <c r="AC593" s="3042"/>
      <c r="AD593" s="3042"/>
      <c r="AE593" s="3042"/>
      <c r="AF593" s="3042"/>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042"/>
      <c r="G594" s="3042"/>
      <c r="H594" s="3042"/>
      <c r="I594" s="3042"/>
      <c r="J594" s="3042"/>
      <c r="K594" s="3042"/>
      <c r="L594" s="3042"/>
      <c r="M594" s="3042"/>
      <c r="N594" s="3042"/>
      <c r="O594" s="3042"/>
      <c r="P594" s="3042"/>
      <c r="Q594" s="3042"/>
      <c r="R594" s="3042"/>
      <c r="S594" s="3042"/>
      <c r="T594" s="3042"/>
      <c r="U594" s="3042"/>
      <c r="V594" s="3042"/>
      <c r="W594" s="3042"/>
      <c r="X594" s="3042"/>
      <c r="Y594" s="3042"/>
      <c r="Z594" s="3042"/>
      <c r="AA594" s="3042"/>
      <c r="AB594" s="3042"/>
      <c r="AC594" s="3042"/>
      <c r="AD594" s="3042"/>
      <c r="AE594" s="3042"/>
      <c r="AF594" s="3042"/>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042"/>
      <c r="G595" s="3042"/>
      <c r="H595" s="3042"/>
      <c r="I595" s="3042"/>
      <c r="J595" s="3042"/>
      <c r="K595" s="3042"/>
      <c r="L595" s="3042"/>
      <c r="M595" s="3042"/>
      <c r="N595" s="3042"/>
      <c r="O595" s="3042"/>
      <c r="P595" s="3042"/>
      <c r="Q595" s="3042"/>
      <c r="R595" s="3042"/>
      <c r="S595" s="3042"/>
      <c r="T595" s="3042"/>
      <c r="U595" s="3042"/>
      <c r="V595" s="3042"/>
      <c r="W595" s="3042"/>
      <c r="X595" s="3042"/>
      <c r="Y595" s="3042"/>
      <c r="Z595" s="3042"/>
      <c r="AA595" s="3042"/>
      <c r="AB595" s="3042"/>
      <c r="AC595" s="3042"/>
      <c r="AD595" s="3042"/>
      <c r="AE595" s="3042"/>
      <c r="AF595" s="3042"/>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043" t="s">
        <v>580</v>
      </c>
      <c r="D596" s="3044"/>
      <c r="E596" s="1180"/>
      <c r="F596" s="1183" t="s">
        <v>1762</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45" t="s">
        <v>1763</v>
      </c>
      <c r="AG596" s="3045"/>
      <c r="AH596" s="3045"/>
      <c r="AI596" s="3045"/>
      <c r="AJ596" s="3045"/>
      <c r="AK596" s="3045"/>
      <c r="AL596" s="3046"/>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1600</v>
      </c>
      <c r="F599" s="3041" t="s">
        <v>1764</v>
      </c>
      <c r="G599" s="3041"/>
      <c r="H599" s="3041"/>
      <c r="I599" s="3041"/>
      <c r="J599" s="3041"/>
      <c r="K599" s="3041"/>
      <c r="L599" s="3041"/>
      <c r="M599" s="3041"/>
      <c r="N599" s="3041"/>
      <c r="O599" s="3041"/>
      <c r="P599" s="3041"/>
      <c r="Q599" s="3041"/>
      <c r="R599" s="3041"/>
      <c r="S599" s="3041"/>
      <c r="T599" s="3041"/>
      <c r="U599" s="3041"/>
      <c r="V599" s="3041"/>
      <c r="W599" s="3041"/>
      <c r="X599" s="3041"/>
      <c r="Y599" s="3041"/>
      <c r="Z599" s="3041"/>
      <c r="AA599" s="3041"/>
      <c r="AB599" s="3041"/>
      <c r="AC599" s="3041"/>
      <c r="AD599" s="3041"/>
      <c r="AE599" s="3041"/>
      <c r="AF599" s="3041"/>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042"/>
      <c r="G600" s="3042"/>
      <c r="H600" s="3042"/>
      <c r="I600" s="3042"/>
      <c r="J600" s="3042"/>
      <c r="K600" s="3042"/>
      <c r="L600" s="3042"/>
      <c r="M600" s="3042"/>
      <c r="N600" s="3042"/>
      <c r="O600" s="3042"/>
      <c r="P600" s="3042"/>
      <c r="Q600" s="3042"/>
      <c r="R600" s="3042"/>
      <c r="S600" s="3042"/>
      <c r="T600" s="3042"/>
      <c r="U600" s="3042"/>
      <c r="V600" s="3042"/>
      <c r="W600" s="3042"/>
      <c r="X600" s="3042"/>
      <c r="Y600" s="3042"/>
      <c r="Z600" s="3042"/>
      <c r="AA600" s="3042"/>
      <c r="AB600" s="3042"/>
      <c r="AC600" s="3042"/>
      <c r="AD600" s="3042"/>
      <c r="AE600" s="3042"/>
      <c r="AF600" s="3042"/>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042"/>
      <c r="G601" s="3042"/>
      <c r="H601" s="3042"/>
      <c r="I601" s="3042"/>
      <c r="J601" s="3042"/>
      <c r="K601" s="3042"/>
      <c r="L601" s="3042"/>
      <c r="M601" s="3042"/>
      <c r="N601" s="3042"/>
      <c r="O601" s="3042"/>
      <c r="P601" s="3042"/>
      <c r="Q601" s="3042"/>
      <c r="R601" s="3042"/>
      <c r="S601" s="3042"/>
      <c r="T601" s="3042"/>
      <c r="U601" s="3042"/>
      <c r="V601" s="3042"/>
      <c r="W601" s="3042"/>
      <c r="X601" s="3042"/>
      <c r="Y601" s="3042"/>
      <c r="Z601" s="3042"/>
      <c r="AA601" s="3042"/>
      <c r="AB601" s="3042"/>
      <c r="AC601" s="3042"/>
      <c r="AD601" s="3042"/>
      <c r="AE601" s="3042"/>
      <c r="AF601" s="3042"/>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042"/>
      <c r="G602" s="3042"/>
      <c r="H602" s="3042"/>
      <c r="I602" s="3042"/>
      <c r="J602" s="3042"/>
      <c r="K602" s="3042"/>
      <c r="L602" s="3042"/>
      <c r="M602" s="3042"/>
      <c r="N602" s="3042"/>
      <c r="O602" s="3042"/>
      <c r="P602" s="3042"/>
      <c r="Q602" s="3042"/>
      <c r="R602" s="3042"/>
      <c r="S602" s="3042"/>
      <c r="T602" s="3042"/>
      <c r="U602" s="3042"/>
      <c r="V602" s="3042"/>
      <c r="W602" s="3042"/>
      <c r="X602" s="3042"/>
      <c r="Y602" s="3042"/>
      <c r="Z602" s="3042"/>
      <c r="AA602" s="3042"/>
      <c r="AB602" s="3042"/>
      <c r="AC602" s="3042"/>
      <c r="AD602" s="3042"/>
      <c r="AE602" s="3042"/>
      <c r="AF602" s="3042"/>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042"/>
      <c r="G603" s="3042"/>
      <c r="H603" s="3042"/>
      <c r="I603" s="3042"/>
      <c r="J603" s="3042"/>
      <c r="K603" s="3042"/>
      <c r="L603" s="3042"/>
      <c r="M603" s="3042"/>
      <c r="N603" s="3042"/>
      <c r="O603" s="3042"/>
      <c r="P603" s="3042"/>
      <c r="Q603" s="3042"/>
      <c r="R603" s="3042"/>
      <c r="S603" s="3042"/>
      <c r="T603" s="3042"/>
      <c r="U603" s="3042"/>
      <c r="V603" s="3042"/>
      <c r="W603" s="3042"/>
      <c r="X603" s="3042"/>
      <c r="Y603" s="3042"/>
      <c r="Z603" s="3042"/>
      <c r="AA603" s="3042"/>
      <c r="AB603" s="3042"/>
      <c r="AC603" s="3042"/>
      <c r="AD603" s="3042"/>
      <c r="AE603" s="3042"/>
      <c r="AF603" s="3042"/>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043" t="s">
        <v>628</v>
      </c>
      <c r="D604" s="3044"/>
      <c r="E604" s="1148"/>
      <c r="F604" s="1183" t="s">
        <v>1765</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45" t="s">
        <v>1763</v>
      </c>
      <c r="AG604" s="3045"/>
      <c r="AH604" s="3045"/>
      <c r="AI604" s="3045"/>
      <c r="AJ604" s="3045"/>
      <c r="AK604" s="3045"/>
      <c r="AL604" s="3046"/>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1603</v>
      </c>
      <c r="F607" s="3041" t="s">
        <v>1766</v>
      </c>
      <c r="G607" s="3041"/>
      <c r="H607" s="3041"/>
      <c r="I607" s="3041"/>
      <c r="J607" s="3041"/>
      <c r="K607" s="3041"/>
      <c r="L607" s="3041"/>
      <c r="M607" s="3041"/>
      <c r="N607" s="3041"/>
      <c r="O607" s="3041"/>
      <c r="P607" s="3041"/>
      <c r="Q607" s="3041"/>
      <c r="R607" s="3041"/>
      <c r="S607" s="3041"/>
      <c r="T607" s="3041"/>
      <c r="U607" s="3041"/>
      <c r="V607" s="3041"/>
      <c r="W607" s="3041"/>
      <c r="X607" s="3041"/>
      <c r="Y607" s="3041"/>
      <c r="Z607" s="3041"/>
      <c r="AA607" s="3041"/>
      <c r="AB607" s="3041"/>
      <c r="AC607" s="3041"/>
      <c r="AD607" s="3041"/>
      <c r="AE607" s="3041"/>
      <c r="AF607" s="3041"/>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042"/>
      <c r="G608" s="3042"/>
      <c r="H608" s="3042"/>
      <c r="I608" s="3042"/>
      <c r="J608" s="3042"/>
      <c r="K608" s="3042"/>
      <c r="L608" s="3042"/>
      <c r="M608" s="3042"/>
      <c r="N608" s="3042"/>
      <c r="O608" s="3042"/>
      <c r="P608" s="3042"/>
      <c r="Q608" s="3042"/>
      <c r="R608" s="3042"/>
      <c r="S608" s="3042"/>
      <c r="T608" s="3042"/>
      <c r="U608" s="3042"/>
      <c r="V608" s="3042"/>
      <c r="W608" s="3042"/>
      <c r="X608" s="3042"/>
      <c r="Y608" s="3042"/>
      <c r="Z608" s="3042"/>
      <c r="AA608" s="3042"/>
      <c r="AB608" s="3042"/>
      <c r="AC608" s="3042"/>
      <c r="AD608" s="3042"/>
      <c r="AE608" s="3042"/>
      <c r="AF608" s="3042"/>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042"/>
      <c r="G609" s="3042"/>
      <c r="H609" s="3042"/>
      <c r="I609" s="3042"/>
      <c r="J609" s="3042"/>
      <c r="K609" s="3042"/>
      <c r="L609" s="3042"/>
      <c r="M609" s="3042"/>
      <c r="N609" s="3042"/>
      <c r="O609" s="3042"/>
      <c r="P609" s="3042"/>
      <c r="Q609" s="3042"/>
      <c r="R609" s="3042"/>
      <c r="S609" s="3042"/>
      <c r="T609" s="3042"/>
      <c r="U609" s="3042"/>
      <c r="V609" s="3042"/>
      <c r="W609" s="3042"/>
      <c r="X609" s="3042"/>
      <c r="Y609" s="3042"/>
      <c r="Z609" s="3042"/>
      <c r="AA609" s="3042"/>
      <c r="AB609" s="3042"/>
      <c r="AC609" s="3042"/>
      <c r="AD609" s="3042"/>
      <c r="AE609" s="3042"/>
      <c r="AF609" s="3042"/>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042"/>
      <c r="G610" s="3042"/>
      <c r="H610" s="3042"/>
      <c r="I610" s="3042"/>
      <c r="J610" s="3042"/>
      <c r="K610" s="3042"/>
      <c r="L610" s="3042"/>
      <c r="M610" s="3042"/>
      <c r="N610" s="3042"/>
      <c r="O610" s="3042"/>
      <c r="P610" s="3042"/>
      <c r="Q610" s="3042"/>
      <c r="R610" s="3042"/>
      <c r="S610" s="3042"/>
      <c r="T610" s="3042"/>
      <c r="U610" s="3042"/>
      <c r="V610" s="3042"/>
      <c r="W610" s="3042"/>
      <c r="X610" s="3042"/>
      <c r="Y610" s="3042"/>
      <c r="Z610" s="3042"/>
      <c r="AA610" s="3042"/>
      <c r="AB610" s="3042"/>
      <c r="AC610" s="3042"/>
      <c r="AD610" s="3042"/>
      <c r="AE610" s="3042"/>
      <c r="AF610" s="3042"/>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042"/>
      <c r="G611" s="3042"/>
      <c r="H611" s="3042"/>
      <c r="I611" s="3042"/>
      <c r="J611" s="3042"/>
      <c r="K611" s="3042"/>
      <c r="L611" s="3042"/>
      <c r="M611" s="3042"/>
      <c r="N611" s="3042"/>
      <c r="O611" s="3042"/>
      <c r="P611" s="3042"/>
      <c r="Q611" s="3042"/>
      <c r="R611" s="3042"/>
      <c r="S611" s="3042"/>
      <c r="T611" s="3042"/>
      <c r="U611" s="3042"/>
      <c r="V611" s="3042"/>
      <c r="W611" s="3042"/>
      <c r="X611" s="3042"/>
      <c r="Y611" s="3042"/>
      <c r="Z611" s="3042"/>
      <c r="AA611" s="3042"/>
      <c r="AB611" s="3042"/>
      <c r="AC611" s="3042"/>
      <c r="AD611" s="3042"/>
      <c r="AE611" s="3042"/>
      <c r="AF611" s="3042"/>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043" t="s">
        <v>580</v>
      </c>
      <c r="D612" s="3044"/>
      <c r="E612" s="1148"/>
      <c r="F612" s="1183" t="s">
        <v>1767</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45" t="s">
        <v>1768</v>
      </c>
      <c r="AG612" s="3045"/>
      <c r="AH612" s="3045"/>
      <c r="AI612" s="3045"/>
      <c r="AJ612" s="3045"/>
      <c r="AK612" s="3045"/>
      <c r="AL612" s="3046"/>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043" t="s">
        <v>628</v>
      </c>
      <c r="D614" s="3044"/>
      <c r="E614" s="1148"/>
      <c r="F614" s="1202" t="s">
        <v>1769</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45" t="s">
        <v>1763</v>
      </c>
      <c r="AG614" s="3045"/>
      <c r="AH614" s="3045"/>
      <c r="AI614" s="3045"/>
      <c r="AJ614" s="3045"/>
      <c r="AK614" s="3045"/>
      <c r="AL614" s="3046"/>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1770</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1771</v>
      </c>
      <c r="F618" s="3041" t="s">
        <v>1772</v>
      </c>
      <c r="G618" s="3041"/>
      <c r="H618" s="3041"/>
      <c r="I618" s="3041"/>
      <c r="J618" s="3041"/>
      <c r="K618" s="3041"/>
      <c r="L618" s="3041"/>
      <c r="M618" s="3041"/>
      <c r="N618" s="3041"/>
      <c r="O618" s="3041"/>
      <c r="P618" s="3041"/>
      <c r="Q618" s="3041"/>
      <c r="R618" s="3041"/>
      <c r="S618" s="3041"/>
      <c r="T618" s="3041"/>
      <c r="U618" s="3041"/>
      <c r="V618" s="3041"/>
      <c r="W618" s="3041"/>
      <c r="X618" s="3041"/>
      <c r="Y618" s="3041"/>
      <c r="Z618" s="3041"/>
      <c r="AA618" s="3041"/>
      <c r="AB618" s="3041"/>
      <c r="AC618" s="3041"/>
      <c r="AD618" s="3041"/>
      <c r="AE618" s="3041"/>
      <c r="AF618" s="3041"/>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042"/>
      <c r="G619" s="3042"/>
      <c r="H619" s="3042"/>
      <c r="I619" s="3042"/>
      <c r="J619" s="3042"/>
      <c r="K619" s="3042"/>
      <c r="L619" s="3042"/>
      <c r="M619" s="3042"/>
      <c r="N619" s="3042"/>
      <c r="O619" s="3042"/>
      <c r="P619" s="3042"/>
      <c r="Q619" s="3042"/>
      <c r="R619" s="3042"/>
      <c r="S619" s="3042"/>
      <c r="T619" s="3042"/>
      <c r="U619" s="3042"/>
      <c r="V619" s="3042"/>
      <c r="W619" s="3042"/>
      <c r="X619" s="3042"/>
      <c r="Y619" s="3042"/>
      <c r="Z619" s="3042"/>
      <c r="AA619" s="3042"/>
      <c r="AB619" s="3042"/>
      <c r="AC619" s="3042"/>
      <c r="AD619" s="3042"/>
      <c r="AE619" s="3042"/>
      <c r="AF619" s="3042"/>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ht="13">
      <c r="A620" s="929"/>
      <c r="C620" s="1194"/>
      <c r="D620" s="112"/>
      <c r="E620" s="1148"/>
      <c r="F620" s="3042"/>
      <c r="G620" s="3042"/>
      <c r="H620" s="3042"/>
      <c r="I620" s="3042"/>
      <c r="J620" s="3042"/>
      <c r="K620" s="3042"/>
      <c r="L620" s="3042"/>
      <c r="M620" s="3042"/>
      <c r="N620" s="3042"/>
      <c r="O620" s="3042"/>
      <c r="P620" s="3042"/>
      <c r="Q620" s="3042"/>
      <c r="R620" s="3042"/>
      <c r="S620" s="3042"/>
      <c r="T620" s="3042"/>
      <c r="U620" s="3042"/>
      <c r="V620" s="3042"/>
      <c r="W620" s="3042"/>
      <c r="X620" s="3042"/>
      <c r="Y620" s="3042"/>
      <c r="Z620" s="3042"/>
      <c r="AA620" s="3042"/>
      <c r="AB620" s="3042"/>
      <c r="AC620" s="3042"/>
      <c r="AD620" s="3042"/>
      <c r="AE620" s="3042"/>
      <c r="AF620" s="3042"/>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042"/>
      <c r="G621" s="3042"/>
      <c r="H621" s="3042"/>
      <c r="I621" s="3042"/>
      <c r="J621" s="3042"/>
      <c r="K621" s="3042"/>
      <c r="L621" s="3042"/>
      <c r="M621" s="3042"/>
      <c r="N621" s="3042"/>
      <c r="O621" s="3042"/>
      <c r="P621" s="3042"/>
      <c r="Q621" s="3042"/>
      <c r="R621" s="3042"/>
      <c r="S621" s="3042"/>
      <c r="T621" s="3042"/>
      <c r="U621" s="3042"/>
      <c r="V621" s="3042"/>
      <c r="W621" s="3042"/>
      <c r="X621" s="3042"/>
      <c r="Y621" s="3042"/>
      <c r="Z621" s="3042"/>
      <c r="AA621" s="3042"/>
      <c r="AB621" s="3042"/>
      <c r="AC621" s="3042"/>
      <c r="AD621" s="3042"/>
      <c r="AE621" s="3042"/>
      <c r="AF621" s="3042"/>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043" t="s">
        <v>628</v>
      </c>
      <c r="D622" s="3044"/>
      <c r="E622" s="1148"/>
      <c r="F622" s="1183" t="s">
        <v>1773</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45" t="s">
        <v>1763</v>
      </c>
      <c r="AG622" s="3045"/>
      <c r="AH622" s="3045"/>
      <c r="AI622" s="3045"/>
      <c r="AJ622" s="3045"/>
      <c r="AK622" s="3045"/>
      <c r="AL622" s="3046"/>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043" t="s">
        <v>628</v>
      </c>
      <c r="D624" s="3044"/>
      <c r="E624" s="1180"/>
      <c r="F624" s="1183" t="s">
        <v>1774</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45" t="s">
        <v>1775</v>
      </c>
      <c r="AG624" s="3045"/>
      <c r="AH624" s="3045"/>
      <c r="AI624" s="3045"/>
      <c r="AJ624" s="3045"/>
      <c r="AK624" s="3045"/>
      <c r="AL624" s="3046"/>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043" t="s">
        <v>628</v>
      </c>
      <c r="D627" s="3044"/>
      <c r="E627" s="1176" t="s">
        <v>1776</v>
      </c>
      <c r="F627" s="3041" t="s">
        <v>1777</v>
      </c>
      <c r="G627" s="3041"/>
      <c r="H627" s="3041"/>
      <c r="I627" s="3041"/>
      <c r="J627" s="3041"/>
      <c r="K627" s="3041"/>
      <c r="L627" s="3041"/>
      <c r="M627" s="3041"/>
      <c r="N627" s="3041"/>
      <c r="O627" s="3041"/>
      <c r="P627" s="3041"/>
      <c r="Q627" s="3041"/>
      <c r="R627" s="3041"/>
      <c r="S627" s="3041"/>
      <c r="T627" s="3041"/>
      <c r="U627" s="3041"/>
      <c r="V627" s="3041"/>
      <c r="W627" s="3041"/>
      <c r="X627" s="3041"/>
      <c r="Y627" s="3041"/>
      <c r="Z627" s="3041"/>
      <c r="AA627" s="3041"/>
      <c r="AB627" s="3041"/>
      <c r="AC627" s="3041"/>
      <c r="AD627" s="3041"/>
      <c r="AE627" s="3041"/>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042"/>
      <c r="G628" s="3042"/>
      <c r="H628" s="3042"/>
      <c r="I628" s="3042"/>
      <c r="J628" s="3042"/>
      <c r="K628" s="3042"/>
      <c r="L628" s="3042"/>
      <c r="M628" s="3042"/>
      <c r="N628" s="3042"/>
      <c r="O628" s="3042"/>
      <c r="P628" s="3042"/>
      <c r="Q628" s="3042"/>
      <c r="R628" s="3042"/>
      <c r="S628" s="3042"/>
      <c r="T628" s="3042"/>
      <c r="U628" s="3042"/>
      <c r="V628" s="3042"/>
      <c r="W628" s="3042"/>
      <c r="X628" s="3042"/>
      <c r="Y628" s="3042"/>
      <c r="Z628" s="3042"/>
      <c r="AA628" s="3042"/>
      <c r="AB628" s="3042"/>
      <c r="AC628" s="3042"/>
      <c r="AD628" s="3042"/>
      <c r="AE628" s="3042"/>
      <c r="AF628" s="3154" t="s">
        <v>1763</v>
      </c>
      <c r="AG628" s="3154"/>
      <c r="AH628" s="3154"/>
      <c r="AI628" s="3154"/>
      <c r="AJ628" s="3154"/>
      <c r="AK628" s="3154"/>
      <c r="AL628" s="3155"/>
      <c r="AM628" s="1136"/>
      <c r="AN628" s="1002"/>
      <c r="BS628" s="1136"/>
      <c r="BT628" s="1136"/>
      <c r="BY628" s="1136"/>
      <c r="BZ628" s="1136"/>
      <c r="CA628" s="1136"/>
      <c r="CB628" s="1136"/>
      <c r="CC628" s="1136"/>
    </row>
    <row r="629" spans="1:81" s="945" customFormat="1" ht="12.75" customHeight="1">
      <c r="A629" s="929"/>
      <c r="B629" s="51"/>
      <c r="C629" s="1194"/>
      <c r="D629" s="112"/>
      <c r="E629" s="1148"/>
      <c r="F629" s="3042"/>
      <c r="G629" s="3042"/>
      <c r="H629" s="3042"/>
      <c r="I629" s="3042"/>
      <c r="J629" s="3042"/>
      <c r="K629" s="3042"/>
      <c r="L629" s="3042"/>
      <c r="M629" s="3042"/>
      <c r="N629" s="3042"/>
      <c r="O629" s="3042"/>
      <c r="P629" s="3042"/>
      <c r="Q629" s="3042"/>
      <c r="R629" s="3042"/>
      <c r="S629" s="3042"/>
      <c r="T629" s="3042"/>
      <c r="U629" s="3042"/>
      <c r="V629" s="3042"/>
      <c r="W629" s="3042"/>
      <c r="X629" s="3042"/>
      <c r="Y629" s="3042"/>
      <c r="Z629" s="3042"/>
      <c r="AA629" s="3042"/>
      <c r="AB629" s="3042"/>
      <c r="AC629" s="3042"/>
      <c r="AD629" s="3042"/>
      <c r="AE629" s="3042"/>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49"/>
      <c r="G630" s="3149"/>
      <c r="H630" s="3149"/>
      <c r="I630" s="3149"/>
      <c r="J630" s="3149"/>
      <c r="K630" s="3149"/>
      <c r="L630" s="3149"/>
      <c r="M630" s="3149"/>
      <c r="N630" s="3149"/>
      <c r="O630" s="3149"/>
      <c r="P630" s="3149"/>
      <c r="Q630" s="3149"/>
      <c r="R630" s="3149"/>
      <c r="S630" s="3149"/>
      <c r="T630" s="3149"/>
      <c r="U630" s="3149"/>
      <c r="V630" s="3149"/>
      <c r="W630" s="3149"/>
      <c r="X630" s="3149"/>
      <c r="Y630" s="3149"/>
      <c r="Z630" s="3149"/>
      <c r="AA630" s="3149"/>
      <c r="AB630" s="3149"/>
      <c r="AC630" s="3149"/>
      <c r="AD630" s="3149"/>
      <c r="AE630" s="3149"/>
      <c r="AF630" s="979"/>
      <c r="AG630" s="1200"/>
      <c r="AH630" s="1190"/>
      <c r="AI630" s="1190"/>
      <c r="AJ630" s="1190"/>
      <c r="AK630" s="1190"/>
      <c r="AL630" s="1206"/>
      <c r="AM630" s="1136"/>
      <c r="AN630" s="1002"/>
    </row>
    <row r="631" spans="1:81" ht="13">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1778</v>
      </c>
      <c r="F632" s="3152" t="s">
        <v>1779</v>
      </c>
      <c r="G632" s="3152"/>
      <c r="H632" s="3152"/>
      <c r="I632" s="3152"/>
      <c r="J632" s="3152"/>
      <c r="K632" s="3152"/>
      <c r="L632" s="3152"/>
      <c r="M632" s="3152"/>
      <c r="N632" s="3152"/>
      <c r="O632" s="3152"/>
      <c r="P632" s="3152"/>
      <c r="Q632" s="3152"/>
      <c r="R632" s="3152"/>
      <c r="S632" s="3152"/>
      <c r="T632" s="3152"/>
      <c r="U632" s="3152"/>
      <c r="V632" s="3152"/>
      <c r="W632" s="3152"/>
      <c r="X632" s="3152"/>
      <c r="Y632" s="3152"/>
      <c r="Z632" s="3152"/>
      <c r="AA632" s="3152"/>
      <c r="AB632" s="3152"/>
      <c r="AC632" s="3152"/>
      <c r="AD632" s="3152"/>
      <c r="AE632" s="3152"/>
      <c r="AF632" s="1213"/>
      <c r="AG632" s="1213"/>
      <c r="AH632" s="1213"/>
      <c r="AI632" s="1213"/>
      <c r="AJ632" s="1213"/>
      <c r="AK632" s="1213"/>
      <c r="AL632" s="1214"/>
      <c r="AM632" s="1136"/>
    </row>
    <row r="633" spans="1:81" ht="13">
      <c r="A633" s="929"/>
      <c r="C633" s="1194"/>
      <c r="D633" s="112"/>
      <c r="E633" s="1148"/>
      <c r="F633" s="3153"/>
      <c r="G633" s="3153"/>
      <c r="H633" s="3153"/>
      <c r="I633" s="3153"/>
      <c r="J633" s="3153"/>
      <c r="K633" s="3153"/>
      <c r="L633" s="3153"/>
      <c r="M633" s="3153"/>
      <c r="N633" s="3153"/>
      <c r="O633" s="3153"/>
      <c r="P633" s="3153"/>
      <c r="Q633" s="3153"/>
      <c r="R633" s="3153"/>
      <c r="S633" s="3153"/>
      <c r="T633" s="3153"/>
      <c r="U633" s="3153"/>
      <c r="V633" s="3153"/>
      <c r="W633" s="3153"/>
      <c r="X633" s="3153"/>
      <c r="Y633" s="3153"/>
      <c r="Z633" s="3153"/>
      <c r="AA633" s="3153"/>
      <c r="AB633" s="3153"/>
      <c r="AC633" s="3153"/>
      <c r="AD633" s="3153"/>
      <c r="AE633" s="3153"/>
      <c r="AF633" s="1215"/>
      <c r="AG633" s="993"/>
      <c r="AH633" s="1027"/>
      <c r="AI633" s="1027"/>
      <c r="AJ633" s="1027"/>
      <c r="AK633" s="1027"/>
      <c r="AL633" s="1195"/>
      <c r="AM633" s="1136"/>
    </row>
    <row r="634" spans="1:81" s="945" customFormat="1" ht="12.75" customHeight="1">
      <c r="A634" s="929"/>
      <c r="B634" s="51"/>
      <c r="C634" s="1194"/>
      <c r="D634" s="112"/>
      <c r="E634" s="1148"/>
      <c r="F634" s="3153"/>
      <c r="G634" s="3153"/>
      <c r="H634" s="3153"/>
      <c r="I634" s="3153"/>
      <c r="J634" s="3153"/>
      <c r="K634" s="3153"/>
      <c r="L634" s="3153"/>
      <c r="M634" s="3153"/>
      <c r="N634" s="3153"/>
      <c r="O634" s="3153"/>
      <c r="P634" s="3153"/>
      <c r="Q634" s="3153"/>
      <c r="R634" s="3153"/>
      <c r="S634" s="3153"/>
      <c r="T634" s="3153"/>
      <c r="U634" s="3153"/>
      <c r="V634" s="3153"/>
      <c r="W634" s="3153"/>
      <c r="X634" s="3153"/>
      <c r="Y634" s="3153"/>
      <c r="Z634" s="3153"/>
      <c r="AA634" s="3153"/>
      <c r="AB634" s="3153"/>
      <c r="AC634" s="3153"/>
      <c r="AD634" s="3153"/>
      <c r="AE634" s="3153"/>
      <c r="AF634" s="1027"/>
      <c r="AG634" s="1027"/>
      <c r="AH634" s="1027"/>
      <c r="AI634" s="1027"/>
      <c r="AJ634" s="1027"/>
      <c r="AK634" s="1027"/>
      <c r="AL634" s="1195"/>
      <c r="AM634" s="1136"/>
      <c r="AN634" s="1002"/>
    </row>
    <row r="635" spans="1:81" s="945" customFormat="1" ht="12.75" customHeight="1">
      <c r="A635" s="929"/>
      <c r="B635" s="51"/>
      <c r="C635" s="1203"/>
      <c r="D635" s="1027"/>
      <c r="E635" s="1027"/>
      <c r="F635" s="3153"/>
      <c r="G635" s="3153"/>
      <c r="H635" s="3153"/>
      <c r="I635" s="3153"/>
      <c r="J635" s="3153"/>
      <c r="K635" s="3153"/>
      <c r="L635" s="3153"/>
      <c r="M635" s="3153"/>
      <c r="N635" s="3153"/>
      <c r="O635" s="3153"/>
      <c r="P635" s="3153"/>
      <c r="Q635" s="3153"/>
      <c r="R635" s="3153"/>
      <c r="S635" s="3153"/>
      <c r="T635" s="3153"/>
      <c r="U635" s="3153"/>
      <c r="V635" s="3153"/>
      <c r="W635" s="3153"/>
      <c r="X635" s="3153"/>
      <c r="Y635" s="3153"/>
      <c r="Z635" s="3153"/>
      <c r="AA635" s="3153"/>
      <c r="AB635" s="3153"/>
      <c r="AC635" s="3153"/>
      <c r="AD635" s="3153"/>
      <c r="AE635" s="3153"/>
      <c r="AF635" s="1027"/>
      <c r="AG635" s="1027"/>
      <c r="AH635" s="1027"/>
      <c r="AI635" s="1027"/>
      <c r="AJ635" s="1027"/>
      <c r="AK635" s="1027"/>
      <c r="AL635" s="1195"/>
      <c r="AM635" s="1136"/>
      <c r="AN635" s="1002"/>
    </row>
    <row r="636" spans="1:81" s="945" customFormat="1" ht="12.75" customHeight="1">
      <c r="A636" s="929"/>
      <c r="B636" s="51"/>
      <c r="C636" s="3043" t="s">
        <v>628</v>
      </c>
      <c r="D636" s="3044"/>
      <c r="E636" s="1148"/>
      <c r="F636" s="1216" t="s">
        <v>1780</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54" t="s">
        <v>1763</v>
      </c>
      <c r="AG636" s="3154"/>
      <c r="AH636" s="3154"/>
      <c r="AI636" s="3154"/>
      <c r="AJ636" s="3154"/>
      <c r="AK636" s="3154"/>
      <c r="AL636" s="3155"/>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043" t="s">
        <v>628</v>
      </c>
      <c r="D638" s="3044"/>
      <c r="E638" s="1180"/>
      <c r="F638" s="1216" t="s">
        <v>1781</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54" t="s">
        <v>1775</v>
      </c>
      <c r="AG638" s="3154"/>
      <c r="AH638" s="3154"/>
      <c r="AI638" s="3154"/>
      <c r="AJ638" s="3154"/>
      <c r="AK638" s="3154"/>
      <c r="AL638" s="3155"/>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1782</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1783</v>
      </c>
      <c r="F642" s="3041" t="s">
        <v>1784</v>
      </c>
      <c r="G642" s="3041"/>
      <c r="H642" s="3041"/>
      <c r="I642" s="3041"/>
      <c r="J642" s="3041"/>
      <c r="K642" s="3041"/>
      <c r="L642" s="3041"/>
      <c r="M642" s="3041"/>
      <c r="N642" s="3041"/>
      <c r="O642" s="3041"/>
      <c r="P642" s="3041"/>
      <c r="Q642" s="3041"/>
      <c r="R642" s="3041"/>
      <c r="S642" s="3041"/>
      <c r="T642" s="3041"/>
      <c r="U642" s="3041"/>
      <c r="V642" s="3041"/>
      <c r="W642" s="3041"/>
      <c r="X642" s="3041"/>
      <c r="Y642" s="3041"/>
      <c r="Z642" s="3041"/>
      <c r="AA642" s="3041"/>
      <c r="AB642" s="3041"/>
      <c r="AC642" s="3041"/>
      <c r="AD642" s="3041"/>
      <c r="AE642" s="3041"/>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042"/>
      <c r="G643" s="3042"/>
      <c r="H643" s="3042"/>
      <c r="I643" s="3042"/>
      <c r="J643" s="3042"/>
      <c r="K643" s="3042"/>
      <c r="L643" s="3042"/>
      <c r="M643" s="3042"/>
      <c r="N643" s="3042"/>
      <c r="O643" s="3042"/>
      <c r="P643" s="3042"/>
      <c r="Q643" s="3042"/>
      <c r="R643" s="3042"/>
      <c r="S643" s="3042"/>
      <c r="T643" s="3042"/>
      <c r="U643" s="3042"/>
      <c r="V643" s="3042"/>
      <c r="W643" s="3042"/>
      <c r="X643" s="3042"/>
      <c r="Y643" s="3042"/>
      <c r="Z643" s="3042"/>
      <c r="AA643" s="3042"/>
      <c r="AB643" s="3042"/>
      <c r="AC643" s="3042"/>
      <c r="AD643" s="3042"/>
      <c r="AE643" s="3042"/>
      <c r="AF643" s="1215"/>
      <c r="AG643" s="993"/>
      <c r="AH643" s="1027"/>
      <c r="AI643" s="1027"/>
      <c r="AJ643" s="1027"/>
      <c r="AK643" s="1027"/>
      <c r="AL643" s="1195"/>
      <c r="AM643" s="1136"/>
      <c r="AN643" s="1003"/>
      <c r="AO643" s="1027"/>
      <c r="AP643" s="1027"/>
    </row>
    <row r="644" spans="1:60" s="945" customFormat="1" ht="12.5" customHeight="1">
      <c r="A644" s="929"/>
      <c r="B644" s="51"/>
      <c r="C644" s="1194"/>
      <c r="D644" s="112"/>
      <c r="E644" s="1148"/>
      <c r="F644" s="3042"/>
      <c r="G644" s="3042"/>
      <c r="H644" s="3042"/>
      <c r="I644" s="3042"/>
      <c r="J644" s="3042"/>
      <c r="K644" s="3042"/>
      <c r="L644" s="3042"/>
      <c r="M644" s="3042"/>
      <c r="N644" s="3042"/>
      <c r="O644" s="3042"/>
      <c r="P644" s="3042"/>
      <c r="Q644" s="3042"/>
      <c r="R644" s="3042"/>
      <c r="S644" s="3042"/>
      <c r="T644" s="3042"/>
      <c r="U644" s="3042"/>
      <c r="V644" s="3042"/>
      <c r="W644" s="3042"/>
      <c r="X644" s="3042"/>
      <c r="Y644" s="3042"/>
      <c r="Z644" s="3042"/>
      <c r="AA644" s="3042"/>
      <c r="AB644" s="3042"/>
      <c r="AC644" s="3042"/>
      <c r="AD644" s="3042"/>
      <c r="AE644" s="3042"/>
      <c r="AF644" s="1027"/>
      <c r="AG644" s="1027"/>
      <c r="AH644" s="1027"/>
      <c r="AI644" s="1027"/>
      <c r="AJ644" s="1027"/>
      <c r="AK644" s="1027"/>
      <c r="AL644" s="1195"/>
      <c r="AM644" s="1136"/>
      <c r="AN644" s="1002"/>
      <c r="AO644" s="1027"/>
      <c r="AP644" s="1027"/>
    </row>
    <row r="645" spans="1:60" s="945" customFormat="1" ht="12.75" customHeight="1">
      <c r="A645" s="929"/>
      <c r="B645" s="51"/>
      <c r="C645" s="3043" t="s">
        <v>628</v>
      </c>
      <c r="D645" s="3044"/>
      <c r="E645" s="1148"/>
      <c r="F645" s="1183" t="s">
        <v>1785</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54" t="s">
        <v>1763</v>
      </c>
      <c r="AG645" s="3154"/>
      <c r="AH645" s="3154"/>
      <c r="AI645" s="3154"/>
      <c r="AJ645" s="3154"/>
      <c r="AK645" s="3154"/>
      <c r="AL645" s="3155"/>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5" customHeight="1">
      <c r="A648" s="929"/>
      <c r="C648" s="1212"/>
      <c r="D648" s="1213"/>
      <c r="E648" s="1176" t="s">
        <v>1786</v>
      </c>
      <c r="F648" s="3041" t="s">
        <v>1787</v>
      </c>
      <c r="G648" s="3041"/>
      <c r="H648" s="3041"/>
      <c r="I648" s="3041"/>
      <c r="J648" s="3041"/>
      <c r="K648" s="3041"/>
      <c r="L648" s="3041"/>
      <c r="M648" s="3041"/>
      <c r="N648" s="3041"/>
      <c r="O648" s="3041"/>
      <c r="P648" s="3041"/>
      <c r="Q648" s="3041"/>
      <c r="R648" s="3041"/>
      <c r="S648" s="3041"/>
      <c r="T648" s="3041"/>
      <c r="U648" s="3041"/>
      <c r="V648" s="3041"/>
      <c r="W648" s="3041"/>
      <c r="X648" s="3041"/>
      <c r="Y648" s="3041"/>
      <c r="Z648" s="3041"/>
      <c r="AA648" s="3041"/>
      <c r="AB648" s="3041"/>
      <c r="AC648" s="3041"/>
      <c r="AD648" s="3041"/>
      <c r="AE648" s="3041"/>
      <c r="AF648" s="1213"/>
      <c r="AG648" s="1213"/>
      <c r="AH648" s="1213"/>
      <c r="AI648" s="1213"/>
      <c r="AJ648" s="1213"/>
      <c r="AK648" s="1213"/>
      <c r="AL648" s="1214"/>
      <c r="AM648" s="1136"/>
      <c r="AO648" s="1027"/>
      <c r="AP648" s="1027"/>
      <c r="BD648" s="51"/>
      <c r="BE648" s="51"/>
      <c r="BF648" s="51"/>
      <c r="BG648" s="51"/>
      <c r="BH648" s="51"/>
    </row>
    <row r="649" spans="1:60" ht="13">
      <c r="A649" s="929"/>
      <c r="C649" s="1194"/>
      <c r="D649" s="112"/>
      <c r="E649" s="1148"/>
      <c r="F649" s="3042"/>
      <c r="G649" s="3042"/>
      <c r="H649" s="3042"/>
      <c r="I649" s="3042"/>
      <c r="J649" s="3042"/>
      <c r="K649" s="3042"/>
      <c r="L649" s="3042"/>
      <c r="M649" s="3042"/>
      <c r="N649" s="3042"/>
      <c r="O649" s="3042"/>
      <c r="P649" s="3042"/>
      <c r="Q649" s="3042"/>
      <c r="R649" s="3042"/>
      <c r="S649" s="3042"/>
      <c r="T649" s="3042"/>
      <c r="U649" s="3042"/>
      <c r="V649" s="3042"/>
      <c r="W649" s="3042"/>
      <c r="X649" s="3042"/>
      <c r="Y649" s="3042"/>
      <c r="Z649" s="3042"/>
      <c r="AA649" s="3042"/>
      <c r="AB649" s="3042"/>
      <c r="AC649" s="3042"/>
      <c r="AD649" s="3042"/>
      <c r="AE649" s="3042"/>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042"/>
      <c r="G650" s="3042"/>
      <c r="H650" s="3042"/>
      <c r="I650" s="3042"/>
      <c r="J650" s="3042"/>
      <c r="K650" s="3042"/>
      <c r="L650" s="3042"/>
      <c r="M650" s="3042"/>
      <c r="N650" s="3042"/>
      <c r="O650" s="3042"/>
      <c r="P650" s="3042"/>
      <c r="Q650" s="3042"/>
      <c r="R650" s="3042"/>
      <c r="S650" s="3042"/>
      <c r="T650" s="3042"/>
      <c r="U650" s="3042"/>
      <c r="V650" s="3042"/>
      <c r="W650" s="3042"/>
      <c r="X650" s="3042"/>
      <c r="Y650" s="3042"/>
      <c r="Z650" s="3042"/>
      <c r="AA650" s="3042"/>
      <c r="AB650" s="3042"/>
      <c r="AC650" s="3042"/>
      <c r="AD650" s="3042"/>
      <c r="AE650" s="3042"/>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042"/>
      <c r="G651" s="3042"/>
      <c r="H651" s="3042"/>
      <c r="I651" s="3042"/>
      <c r="J651" s="3042"/>
      <c r="K651" s="3042"/>
      <c r="L651" s="3042"/>
      <c r="M651" s="3042"/>
      <c r="N651" s="3042"/>
      <c r="O651" s="3042"/>
      <c r="P651" s="3042"/>
      <c r="Q651" s="3042"/>
      <c r="R651" s="3042"/>
      <c r="S651" s="3042"/>
      <c r="T651" s="3042"/>
      <c r="U651" s="3042"/>
      <c r="V651" s="3042"/>
      <c r="W651" s="3042"/>
      <c r="X651" s="3042"/>
      <c r="Y651" s="3042"/>
      <c r="Z651" s="3042"/>
      <c r="AA651" s="3042"/>
      <c r="AB651" s="3042"/>
      <c r="AC651" s="3042"/>
      <c r="AD651" s="3042"/>
      <c r="AE651" s="3042"/>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042"/>
      <c r="G652" s="3042"/>
      <c r="H652" s="3042"/>
      <c r="I652" s="3042"/>
      <c r="J652" s="3042"/>
      <c r="K652" s="3042"/>
      <c r="L652" s="3042"/>
      <c r="M652" s="3042"/>
      <c r="N652" s="3042"/>
      <c r="O652" s="3042"/>
      <c r="P652" s="3042"/>
      <c r="Q652" s="3042"/>
      <c r="R652" s="3042"/>
      <c r="S652" s="3042"/>
      <c r="T652" s="3042"/>
      <c r="U652" s="3042"/>
      <c r="V652" s="3042"/>
      <c r="W652" s="3042"/>
      <c r="X652" s="3042"/>
      <c r="Y652" s="3042"/>
      <c r="Z652" s="3042"/>
      <c r="AA652" s="3042"/>
      <c r="AB652" s="3042"/>
      <c r="AC652" s="3042"/>
      <c r="AD652" s="3042"/>
      <c r="AE652" s="3042"/>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042"/>
      <c r="G653" s="3042"/>
      <c r="H653" s="3042"/>
      <c r="I653" s="3042"/>
      <c r="J653" s="3042"/>
      <c r="K653" s="3042"/>
      <c r="L653" s="3042"/>
      <c r="M653" s="3042"/>
      <c r="N653" s="3042"/>
      <c r="O653" s="3042"/>
      <c r="P653" s="3042"/>
      <c r="Q653" s="3042"/>
      <c r="R653" s="3042"/>
      <c r="S653" s="3042"/>
      <c r="T653" s="3042"/>
      <c r="U653" s="3042"/>
      <c r="V653" s="3042"/>
      <c r="W653" s="3042"/>
      <c r="X653" s="3042"/>
      <c r="Y653" s="3042"/>
      <c r="Z653" s="3042"/>
      <c r="AA653" s="3042"/>
      <c r="AB653" s="3042"/>
      <c r="AC653" s="3042"/>
      <c r="AD653" s="3042"/>
      <c r="AE653" s="3042"/>
      <c r="AF653" s="1226"/>
      <c r="AG653" s="1226"/>
      <c r="AH653" s="1226"/>
      <c r="AI653" s="1226"/>
      <c r="AJ653" s="1226"/>
      <c r="AK653" s="1226"/>
      <c r="AL653" s="1227"/>
      <c r="AM653" s="1136"/>
      <c r="AN653" s="1002"/>
    </row>
    <row r="654" spans="1:60" s="945" customFormat="1" ht="12.75" customHeight="1">
      <c r="A654" s="929"/>
      <c r="B654" s="51"/>
      <c r="C654" s="1228"/>
      <c r="D654" s="1193"/>
      <c r="E654" s="1180"/>
      <c r="F654" s="3042"/>
      <c r="G654" s="3042"/>
      <c r="H654" s="3042"/>
      <c r="I654" s="3042"/>
      <c r="J654" s="3042"/>
      <c r="K654" s="3042"/>
      <c r="L654" s="3042"/>
      <c r="M654" s="3042"/>
      <c r="N654" s="3042"/>
      <c r="O654" s="3042"/>
      <c r="P654" s="3042"/>
      <c r="Q654" s="3042"/>
      <c r="R654" s="3042"/>
      <c r="S654" s="3042"/>
      <c r="T654" s="3042"/>
      <c r="U654" s="3042"/>
      <c r="V654" s="3042"/>
      <c r="W654" s="3042"/>
      <c r="X654" s="3042"/>
      <c r="Y654" s="3042"/>
      <c r="Z654" s="3042"/>
      <c r="AA654" s="3042"/>
      <c r="AB654" s="3042"/>
      <c r="AC654" s="3042"/>
      <c r="AD654" s="3042"/>
      <c r="AE654" s="3042"/>
      <c r="AF654" s="1226"/>
      <c r="AG654" s="1226"/>
      <c r="AH654" s="1226"/>
      <c r="AI654" s="1226"/>
      <c r="AJ654" s="1226"/>
      <c r="AK654" s="1226"/>
      <c r="AL654" s="1227"/>
      <c r="AM654" s="1136"/>
      <c r="AN654" s="1002"/>
    </row>
    <row r="655" spans="1:60" s="945" customFormat="1" ht="12.75" customHeight="1">
      <c r="A655" s="929"/>
      <c r="B655" s="51"/>
      <c r="C655" s="1228"/>
      <c r="D655" s="1193"/>
      <c r="E655" s="1180"/>
      <c r="F655" s="3042"/>
      <c r="G655" s="3042"/>
      <c r="H655" s="3042"/>
      <c r="I655" s="3042"/>
      <c r="J655" s="3042"/>
      <c r="K655" s="3042"/>
      <c r="L655" s="3042"/>
      <c r="M655" s="3042"/>
      <c r="N655" s="3042"/>
      <c r="O655" s="3042"/>
      <c r="P655" s="3042"/>
      <c r="Q655" s="3042"/>
      <c r="R655" s="3042"/>
      <c r="S655" s="3042"/>
      <c r="T655" s="3042"/>
      <c r="U655" s="3042"/>
      <c r="V655" s="3042"/>
      <c r="W655" s="3042"/>
      <c r="X655" s="3042"/>
      <c r="Y655" s="3042"/>
      <c r="Z655" s="3042"/>
      <c r="AA655" s="3042"/>
      <c r="AB655" s="3042"/>
      <c r="AC655" s="3042"/>
      <c r="AD655" s="3042"/>
      <c r="AE655" s="3042"/>
      <c r="AF655" s="1226"/>
      <c r="AG655" s="1226"/>
      <c r="AH655" s="1226"/>
      <c r="AI655" s="1226"/>
      <c r="AJ655" s="1226"/>
      <c r="AK655" s="1226"/>
      <c r="AL655" s="1227"/>
      <c r="AM655" s="1136"/>
      <c r="AN655" s="1002"/>
    </row>
    <row r="656" spans="1:60" s="945" customFormat="1" ht="17.25" customHeight="1">
      <c r="A656" s="929"/>
      <c r="B656" s="51"/>
      <c r="C656" s="1228"/>
      <c r="D656" s="1193"/>
      <c r="E656" s="1180"/>
      <c r="F656" s="3042"/>
      <c r="G656" s="3042"/>
      <c r="H656" s="3042"/>
      <c r="I656" s="3042"/>
      <c r="J656" s="3042"/>
      <c r="K656" s="3042"/>
      <c r="L656" s="3042"/>
      <c r="M656" s="3042"/>
      <c r="N656" s="3042"/>
      <c r="O656" s="3042"/>
      <c r="P656" s="3042"/>
      <c r="Q656" s="3042"/>
      <c r="R656" s="3042"/>
      <c r="S656" s="3042"/>
      <c r="T656" s="3042"/>
      <c r="U656" s="3042"/>
      <c r="V656" s="3042"/>
      <c r="W656" s="3042"/>
      <c r="X656" s="3042"/>
      <c r="Y656" s="3042"/>
      <c r="Z656" s="3042"/>
      <c r="AA656" s="3042"/>
      <c r="AB656" s="3042"/>
      <c r="AC656" s="3042"/>
      <c r="AD656" s="3042"/>
      <c r="AE656" s="3042"/>
      <c r="AF656" s="1027"/>
      <c r="AG656" s="1027"/>
      <c r="AH656" s="1027"/>
      <c r="AI656" s="1027"/>
      <c r="AJ656" s="1027"/>
      <c r="AK656" s="1027"/>
      <c r="AL656" s="1195"/>
      <c r="AM656" s="1136"/>
      <c r="AN656" s="1002"/>
    </row>
    <row r="657" spans="1:54" s="945" customFormat="1" ht="12.75" customHeight="1">
      <c r="A657" s="929"/>
      <c r="B657" s="51"/>
      <c r="C657" s="3043" t="s">
        <v>580</v>
      </c>
      <c r="D657" s="3044"/>
      <c r="E657" s="1180"/>
      <c r="F657" s="1218" t="s">
        <v>1788</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54" t="s">
        <v>1763</v>
      </c>
      <c r="AG657" s="3154"/>
      <c r="AH657" s="3154"/>
      <c r="AI657" s="3154"/>
      <c r="AJ657" s="3154"/>
      <c r="AK657" s="3154"/>
      <c r="AL657" s="3155"/>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1789</v>
      </c>
      <c r="F660" s="3041" t="s">
        <v>1790</v>
      </c>
      <c r="G660" s="3041"/>
      <c r="H660" s="3041"/>
      <c r="I660" s="3041"/>
      <c r="J660" s="3041"/>
      <c r="K660" s="3041"/>
      <c r="L660" s="3041"/>
      <c r="M660" s="3041"/>
      <c r="N660" s="3041"/>
      <c r="O660" s="3041"/>
      <c r="P660" s="3041"/>
      <c r="Q660" s="3041"/>
      <c r="R660" s="3041"/>
      <c r="S660" s="3041"/>
      <c r="T660" s="3041"/>
      <c r="U660" s="3041"/>
      <c r="V660" s="3041"/>
      <c r="W660" s="3041"/>
      <c r="X660" s="3041"/>
      <c r="Y660" s="3041"/>
      <c r="Z660" s="3041"/>
      <c r="AA660" s="3041"/>
      <c r="AB660" s="3041"/>
      <c r="AC660" s="3041"/>
      <c r="AD660" s="3041"/>
      <c r="AE660" s="3041"/>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042"/>
      <c r="G661" s="3042"/>
      <c r="H661" s="3042"/>
      <c r="I661" s="3042"/>
      <c r="J661" s="3042"/>
      <c r="K661" s="3042"/>
      <c r="L661" s="3042"/>
      <c r="M661" s="3042"/>
      <c r="N661" s="3042"/>
      <c r="O661" s="3042"/>
      <c r="P661" s="3042"/>
      <c r="Q661" s="3042"/>
      <c r="R661" s="3042"/>
      <c r="S661" s="3042"/>
      <c r="T661" s="3042"/>
      <c r="U661" s="3042"/>
      <c r="V661" s="3042"/>
      <c r="W661" s="3042"/>
      <c r="X661" s="3042"/>
      <c r="Y661" s="3042"/>
      <c r="Z661" s="3042"/>
      <c r="AA661" s="3042"/>
      <c r="AB661" s="3042"/>
      <c r="AC661" s="3042"/>
      <c r="AD661" s="3042"/>
      <c r="AE661" s="3042"/>
      <c r="AF661" s="1232"/>
      <c r="AG661" s="1232"/>
      <c r="AH661" s="1232"/>
      <c r="AI661" s="1232"/>
      <c r="AJ661" s="1232"/>
      <c r="AK661" s="1232"/>
      <c r="AL661" s="1182"/>
      <c r="AM661" s="1136"/>
      <c r="AN661" s="1002"/>
      <c r="AO661" s="945" t="s">
        <v>1791</v>
      </c>
      <c r="AP661" s="945">
        <v>5</v>
      </c>
      <c r="AQ661" s="1231"/>
    </row>
    <row r="662" spans="1:54" s="945" customFormat="1" ht="12.75" customHeight="1">
      <c r="A662" s="929"/>
      <c r="B662" s="51"/>
      <c r="C662" s="1228"/>
      <c r="D662" s="1193"/>
      <c r="E662" s="1180"/>
      <c r="F662" s="3042"/>
      <c r="G662" s="3042"/>
      <c r="H662" s="3042"/>
      <c r="I662" s="3042"/>
      <c r="J662" s="3042"/>
      <c r="K662" s="3042"/>
      <c r="L662" s="3042"/>
      <c r="M662" s="3042"/>
      <c r="N662" s="3042"/>
      <c r="O662" s="3042"/>
      <c r="P662" s="3042"/>
      <c r="Q662" s="3042"/>
      <c r="R662" s="3042"/>
      <c r="S662" s="3042"/>
      <c r="T662" s="3042"/>
      <c r="U662" s="3042"/>
      <c r="V662" s="3042"/>
      <c r="W662" s="3042"/>
      <c r="X662" s="3042"/>
      <c r="Y662" s="3042"/>
      <c r="Z662" s="3042"/>
      <c r="AA662" s="3042"/>
      <c r="AB662" s="3042"/>
      <c r="AC662" s="3042"/>
      <c r="AD662" s="3042"/>
      <c r="AE662" s="3042"/>
      <c r="AF662" s="1232"/>
      <c r="AG662" s="1232"/>
      <c r="AH662" s="1232"/>
      <c r="AI662" s="1232"/>
      <c r="AJ662" s="1232"/>
      <c r="AK662" s="1232"/>
      <c r="AL662" s="1182"/>
      <c r="AM662" s="1136"/>
      <c r="AN662" s="1002"/>
      <c r="AO662" s="945" t="s">
        <v>1792</v>
      </c>
      <c r="AP662" s="945">
        <v>5</v>
      </c>
      <c r="AQ662" s="1233"/>
    </row>
    <row r="663" spans="1:54" s="945" customFormat="1" ht="12.75" customHeight="1">
      <c r="A663" s="929"/>
      <c r="B663" s="51"/>
      <c r="C663" s="1228"/>
      <c r="D663" s="1193"/>
      <c r="E663" s="1180"/>
      <c r="F663" s="3042"/>
      <c r="G663" s="3042"/>
      <c r="H663" s="3042"/>
      <c r="I663" s="3042"/>
      <c r="J663" s="3042"/>
      <c r="K663" s="3042"/>
      <c r="L663" s="3042"/>
      <c r="M663" s="3042"/>
      <c r="N663" s="3042"/>
      <c r="O663" s="3042"/>
      <c r="P663" s="3042"/>
      <c r="Q663" s="3042"/>
      <c r="R663" s="3042"/>
      <c r="S663" s="3042"/>
      <c r="T663" s="3042"/>
      <c r="U663" s="3042"/>
      <c r="V663" s="3042"/>
      <c r="W663" s="3042"/>
      <c r="X663" s="3042"/>
      <c r="Y663" s="3042"/>
      <c r="Z663" s="3042"/>
      <c r="AA663" s="3042"/>
      <c r="AB663" s="3042"/>
      <c r="AC663" s="3042"/>
      <c r="AD663" s="3042"/>
      <c r="AE663" s="3042"/>
      <c r="AF663" s="1027"/>
      <c r="AG663" s="1027"/>
      <c r="AH663" s="1027"/>
      <c r="AI663" s="1027"/>
      <c r="AJ663" s="1027"/>
      <c r="AK663" s="1027"/>
      <c r="AL663" s="1195"/>
      <c r="AM663" s="1136"/>
      <c r="AN663" s="1002"/>
      <c r="AO663" s="945" t="s">
        <v>1793</v>
      </c>
      <c r="AP663" s="945">
        <v>5</v>
      </c>
      <c r="AQ663" s="1234"/>
    </row>
    <row r="664" spans="1:54" s="1027" customFormat="1" ht="12.75" customHeight="1">
      <c r="A664" s="929"/>
      <c r="B664" s="51"/>
      <c r="C664" s="3043" t="s">
        <v>580</v>
      </c>
      <c r="D664" s="3044"/>
      <c r="E664" s="1180"/>
      <c r="F664" s="1183" t="s">
        <v>1794</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54" t="s">
        <v>1763</v>
      </c>
      <c r="AG664" s="3154"/>
      <c r="AH664" s="3154"/>
      <c r="AI664" s="3154"/>
      <c r="AJ664" s="3154"/>
      <c r="AK664" s="3154"/>
      <c r="AL664" s="3155"/>
      <c r="AM664" s="1136"/>
      <c r="AN664" s="1235"/>
      <c r="AO664" s="945" t="s">
        <v>1795</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1796</v>
      </c>
      <c r="AP665" s="945">
        <v>5</v>
      </c>
    </row>
    <row r="666" spans="1:54" s="945" customFormat="1" ht="12.75" customHeight="1">
      <c r="A666" s="929"/>
      <c r="B666" s="51"/>
      <c r="C666" s="1204"/>
      <c r="D666" s="1196"/>
      <c r="E666" s="1197"/>
      <c r="F666" s="1190" t="s">
        <v>1770</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1797</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1798</v>
      </c>
      <c r="AP667" s="945">
        <v>5</v>
      </c>
    </row>
    <row r="668" spans="1:54" s="1004" customFormat="1" ht="12.75" customHeight="1">
      <c r="A668" s="929"/>
      <c r="B668" s="51"/>
      <c r="C668" s="3156" t="s">
        <v>628</v>
      </c>
      <c r="D668" s="3157"/>
      <c r="E668" s="1176" t="s">
        <v>1799</v>
      </c>
      <c r="F668" s="3041" t="s">
        <v>1800</v>
      </c>
      <c r="G668" s="3041"/>
      <c r="H668" s="3041"/>
      <c r="I668" s="3041"/>
      <c r="J668" s="3041"/>
      <c r="K668" s="3041"/>
      <c r="L668" s="3041"/>
      <c r="M668" s="3041"/>
      <c r="N668" s="3041"/>
      <c r="O668" s="3041"/>
      <c r="P668" s="3041"/>
      <c r="Q668" s="3041"/>
      <c r="R668" s="3041"/>
      <c r="S668" s="3041"/>
      <c r="T668" s="3041"/>
      <c r="U668" s="3041"/>
      <c r="V668" s="3041"/>
      <c r="W668" s="3041"/>
      <c r="X668" s="3041"/>
      <c r="Y668" s="3041"/>
      <c r="Z668" s="3041"/>
      <c r="AA668" s="3041"/>
      <c r="AB668" s="3041"/>
      <c r="AC668" s="3041"/>
      <c r="AD668" s="3041"/>
      <c r="AE668" s="3041"/>
      <c r="AF668" s="3150" t="s">
        <v>1763</v>
      </c>
      <c r="AG668" s="3150"/>
      <c r="AH668" s="3150"/>
      <c r="AI668" s="3150"/>
      <c r="AJ668" s="3150"/>
      <c r="AK668" s="3150"/>
      <c r="AL668" s="3151"/>
      <c r="AM668" s="1136"/>
      <c r="AN668" s="1235"/>
      <c r="AO668" s="945" t="s">
        <v>1801</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042"/>
      <c r="G669" s="3042"/>
      <c r="H669" s="3042"/>
      <c r="I669" s="3042"/>
      <c r="J669" s="3042"/>
      <c r="K669" s="3042"/>
      <c r="L669" s="3042"/>
      <c r="M669" s="3042"/>
      <c r="N669" s="3042"/>
      <c r="O669" s="3042"/>
      <c r="P669" s="3042"/>
      <c r="Q669" s="3042"/>
      <c r="R669" s="3042"/>
      <c r="S669" s="3042"/>
      <c r="T669" s="3042"/>
      <c r="U669" s="3042"/>
      <c r="V669" s="3042"/>
      <c r="W669" s="3042"/>
      <c r="X669" s="3042"/>
      <c r="Y669" s="3042"/>
      <c r="Z669" s="3042"/>
      <c r="AA669" s="3042"/>
      <c r="AB669" s="3042"/>
      <c r="AC669" s="3042"/>
      <c r="AD669" s="3042"/>
      <c r="AE669" s="3042"/>
      <c r="AF669" s="1232"/>
      <c r="AG669" s="1232"/>
      <c r="AH669" s="1232"/>
      <c r="AI669" s="1232"/>
      <c r="AJ669" s="1232"/>
      <c r="AK669" s="1232"/>
      <c r="AL669" s="1182"/>
      <c r="AM669" s="1136"/>
      <c r="AN669" s="1236"/>
      <c r="AO669" s="945"/>
      <c r="AP669" s="945"/>
      <c r="AQ669" s="945"/>
      <c r="AR669" s="945"/>
      <c r="AS669" s="1237"/>
      <c r="AT669" s="945"/>
      <c r="AU669" s="945"/>
      <c r="AV669" s="945"/>
      <c r="AW669" s="1237" t="s">
        <v>1802</v>
      </c>
      <c r="AX669" s="945"/>
      <c r="AY669" s="945"/>
      <c r="AZ669" s="945"/>
      <c r="BA669" s="1237" t="s">
        <v>1803</v>
      </c>
      <c r="BB669" s="945"/>
    </row>
    <row r="670" spans="1:54" s="945" customFormat="1" ht="17.75" customHeight="1">
      <c r="A670" s="929"/>
      <c r="B670" s="51"/>
      <c r="C670" s="1238"/>
      <c r="D670" s="1186"/>
      <c r="E670" s="1187"/>
      <c r="F670" s="3149"/>
      <c r="G670" s="3149"/>
      <c r="H670" s="3149"/>
      <c r="I670" s="3149"/>
      <c r="J670" s="3149"/>
      <c r="K670" s="3149"/>
      <c r="L670" s="3149"/>
      <c r="M670" s="3149"/>
      <c r="N670" s="3149"/>
      <c r="O670" s="3149"/>
      <c r="P670" s="3149"/>
      <c r="Q670" s="3149"/>
      <c r="R670" s="3149"/>
      <c r="S670" s="3149"/>
      <c r="T670" s="3149"/>
      <c r="U670" s="3149"/>
      <c r="V670" s="3149"/>
      <c r="W670" s="3149"/>
      <c r="X670" s="3149"/>
      <c r="Y670" s="3149"/>
      <c r="Z670" s="3149"/>
      <c r="AA670" s="3149"/>
      <c r="AB670" s="3149"/>
      <c r="AC670" s="3149"/>
      <c r="AD670" s="3149"/>
      <c r="AE670" s="3149"/>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1804</v>
      </c>
      <c r="AS671" s="1070">
        <v>3</v>
      </c>
      <c r="AT671" s="1241"/>
      <c r="AW671" s="1243">
        <v>0.4</v>
      </c>
      <c r="AX671" s="1241">
        <v>3</v>
      </c>
      <c r="BA671" s="1243">
        <v>0.4</v>
      </c>
      <c r="BB671" s="1241">
        <v>4</v>
      </c>
    </row>
    <row r="672" spans="1:54" s="945" customFormat="1" ht="12.75" customHeight="1">
      <c r="A672" s="929"/>
      <c r="B672" s="51"/>
      <c r="C672" s="3043" t="s">
        <v>628</v>
      </c>
      <c r="D672" s="3044"/>
      <c r="E672" s="1176" t="s">
        <v>1805</v>
      </c>
      <c r="F672" s="3041" t="s">
        <v>1806</v>
      </c>
      <c r="G672" s="3041"/>
      <c r="H672" s="3041"/>
      <c r="I672" s="3041"/>
      <c r="J672" s="3041"/>
      <c r="K672" s="3041"/>
      <c r="L672" s="3041"/>
      <c r="M672" s="3041"/>
      <c r="N672" s="3041"/>
      <c r="O672" s="3041"/>
      <c r="P672" s="3041"/>
      <c r="Q672" s="3041"/>
      <c r="R672" s="3041"/>
      <c r="S672" s="3041"/>
      <c r="T672" s="3041"/>
      <c r="U672" s="3041"/>
      <c r="V672" s="3041"/>
      <c r="W672" s="3041"/>
      <c r="X672" s="3041"/>
      <c r="Y672" s="3041"/>
      <c r="Z672" s="3041"/>
      <c r="AA672" s="3041"/>
      <c r="AB672" s="3041"/>
      <c r="AC672" s="3041"/>
      <c r="AD672" s="3041"/>
      <c r="AE672" s="3041"/>
      <c r="AF672" s="3150" t="s">
        <v>1763</v>
      </c>
      <c r="AG672" s="3150"/>
      <c r="AH672" s="3150"/>
      <c r="AI672" s="3150"/>
      <c r="AJ672" s="3150"/>
      <c r="AK672" s="3150"/>
      <c r="AL672" s="3151"/>
      <c r="AM672" s="1136"/>
      <c r="AN672" s="1242"/>
      <c r="AO672" s="1243">
        <v>0.12</v>
      </c>
      <c r="AP672" s="1070">
        <v>5</v>
      </c>
      <c r="AR672" s="945" t="s">
        <v>1807</v>
      </c>
      <c r="AS672" s="1070">
        <v>5</v>
      </c>
      <c r="AT672" s="1241"/>
      <c r="AW672" s="1243">
        <v>0.6</v>
      </c>
      <c r="AX672" s="1241">
        <v>4</v>
      </c>
      <c r="BA672" s="1243">
        <v>0.6</v>
      </c>
      <c r="BB672" s="1241">
        <v>5</v>
      </c>
    </row>
    <row r="673" spans="1:54" s="945" customFormat="1" ht="12.75" customHeight="1">
      <c r="A673" s="929"/>
      <c r="B673" s="51"/>
      <c r="C673" s="1194"/>
      <c r="D673" s="112"/>
      <c r="E673" s="1148"/>
      <c r="F673" s="3042"/>
      <c r="G673" s="3042"/>
      <c r="H673" s="3042"/>
      <c r="I673" s="3042"/>
      <c r="J673" s="3042"/>
      <c r="K673" s="3042"/>
      <c r="L673" s="3042"/>
      <c r="M673" s="3042"/>
      <c r="N673" s="3042"/>
      <c r="O673" s="3042"/>
      <c r="P673" s="3042"/>
      <c r="Q673" s="3042"/>
      <c r="R673" s="3042"/>
      <c r="S673" s="3042"/>
      <c r="T673" s="3042"/>
      <c r="U673" s="3042"/>
      <c r="V673" s="3042"/>
      <c r="W673" s="3042"/>
      <c r="X673" s="3042"/>
      <c r="Y673" s="3042"/>
      <c r="Z673" s="3042"/>
      <c r="AA673" s="3042"/>
      <c r="AB673" s="3042"/>
      <c r="AC673" s="3042"/>
      <c r="AD673" s="3042"/>
      <c r="AE673" s="3042"/>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042"/>
      <c r="G674" s="3042"/>
      <c r="H674" s="3042"/>
      <c r="I674" s="3042"/>
      <c r="J674" s="3042"/>
      <c r="K674" s="3042"/>
      <c r="L674" s="3042"/>
      <c r="M674" s="3042"/>
      <c r="N674" s="3042"/>
      <c r="O674" s="3042"/>
      <c r="P674" s="3042"/>
      <c r="Q674" s="3042"/>
      <c r="R674" s="3042"/>
      <c r="S674" s="3042"/>
      <c r="T674" s="3042"/>
      <c r="U674" s="3042"/>
      <c r="V674" s="3042"/>
      <c r="W674" s="3042"/>
      <c r="X674" s="3042"/>
      <c r="Y674" s="3042"/>
      <c r="Z674" s="3042"/>
      <c r="AA674" s="3042"/>
      <c r="AB674" s="3042"/>
      <c r="AC674" s="3042"/>
      <c r="AD674" s="3042"/>
      <c r="AE674" s="3042"/>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49"/>
      <c r="G675" s="3149"/>
      <c r="H675" s="3149"/>
      <c r="I675" s="3149"/>
      <c r="J675" s="3149"/>
      <c r="K675" s="3149"/>
      <c r="L675" s="3149"/>
      <c r="M675" s="3149"/>
      <c r="N675" s="3149"/>
      <c r="O675" s="3149"/>
      <c r="P675" s="3149"/>
      <c r="Q675" s="3149"/>
      <c r="R675" s="3149"/>
      <c r="S675" s="3149"/>
      <c r="T675" s="3149"/>
      <c r="U675" s="3149"/>
      <c r="V675" s="3149"/>
      <c r="W675" s="3149"/>
      <c r="X675" s="3149"/>
      <c r="Y675" s="3149"/>
      <c r="Z675" s="3149"/>
      <c r="AA675" s="3149"/>
      <c r="AB675" s="3149"/>
      <c r="AC675" s="3149"/>
      <c r="AD675" s="3149"/>
      <c r="AE675" s="3149"/>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1808</v>
      </c>
      <c r="F677" s="3152" t="s">
        <v>1809</v>
      </c>
      <c r="G677" s="3152"/>
      <c r="H677" s="3152"/>
      <c r="I677" s="3152"/>
      <c r="J677" s="3152"/>
      <c r="K677" s="3152"/>
      <c r="L677" s="3152"/>
      <c r="M677" s="3152"/>
      <c r="N677" s="3152"/>
      <c r="O677" s="3152"/>
      <c r="P677" s="3152"/>
      <c r="Q677" s="3152"/>
      <c r="R677" s="3152"/>
      <c r="S677" s="3152"/>
      <c r="T677" s="3152"/>
      <c r="U677" s="3152"/>
      <c r="V677" s="3152"/>
      <c r="W677" s="3152"/>
      <c r="X677" s="3152"/>
      <c r="Y677" s="3152"/>
      <c r="Z677" s="3152"/>
      <c r="AA677" s="3152"/>
      <c r="AB677" s="3152"/>
      <c r="AC677" s="3152"/>
      <c r="AD677" s="3152"/>
      <c r="AE677" s="3152"/>
      <c r="AF677" s="3152"/>
      <c r="AG677" s="1210"/>
      <c r="AH677" s="1175"/>
      <c r="AI677" s="1175"/>
      <c r="AJ677" s="1175"/>
      <c r="AK677" s="1175"/>
      <c r="AL677" s="1211"/>
      <c r="AM677" s="1136"/>
      <c r="AN677" s="1002"/>
    </row>
    <row r="678" spans="1:54" s="945" customFormat="1" ht="12.75" customHeight="1">
      <c r="A678" s="929"/>
      <c r="B678" s="51"/>
      <c r="C678" s="1194"/>
      <c r="D678" s="112"/>
      <c r="E678" s="1148"/>
      <c r="F678" s="3153"/>
      <c r="G678" s="3153"/>
      <c r="H678" s="3153"/>
      <c r="I678" s="3153"/>
      <c r="J678" s="3153"/>
      <c r="K678" s="3153"/>
      <c r="L678" s="3153"/>
      <c r="M678" s="3153"/>
      <c r="N678" s="3153"/>
      <c r="O678" s="3153"/>
      <c r="P678" s="3153"/>
      <c r="Q678" s="3153"/>
      <c r="R678" s="3153"/>
      <c r="S678" s="3153"/>
      <c r="T678" s="3153"/>
      <c r="U678" s="3153"/>
      <c r="V678" s="3153"/>
      <c r="W678" s="3153"/>
      <c r="X678" s="3153"/>
      <c r="Y678" s="3153"/>
      <c r="Z678" s="3153"/>
      <c r="AA678" s="3153"/>
      <c r="AB678" s="3153"/>
      <c r="AC678" s="3153"/>
      <c r="AD678" s="3153"/>
      <c r="AE678" s="3153"/>
      <c r="AF678" s="3153"/>
      <c r="AG678" s="1027"/>
      <c r="AH678" s="1027"/>
      <c r="AI678" s="1027"/>
      <c r="AJ678" s="1027"/>
      <c r="AK678" s="1027"/>
      <c r="AL678" s="1195"/>
      <c r="AM678" s="1136"/>
      <c r="AN678" s="1002"/>
    </row>
    <row r="679" spans="1:54" s="945" customFormat="1" ht="12.75" customHeight="1">
      <c r="A679" s="929"/>
      <c r="B679" s="51"/>
      <c r="C679" s="1203"/>
      <c r="D679" s="1027"/>
      <c r="E679" s="1027"/>
      <c r="F679" s="3153"/>
      <c r="G679" s="3153"/>
      <c r="H679" s="3153"/>
      <c r="I679" s="3153"/>
      <c r="J679" s="3153"/>
      <c r="K679" s="3153"/>
      <c r="L679" s="3153"/>
      <c r="M679" s="3153"/>
      <c r="N679" s="3153"/>
      <c r="O679" s="3153"/>
      <c r="P679" s="3153"/>
      <c r="Q679" s="3153"/>
      <c r="R679" s="3153"/>
      <c r="S679" s="3153"/>
      <c r="T679" s="3153"/>
      <c r="U679" s="3153"/>
      <c r="V679" s="3153"/>
      <c r="W679" s="3153"/>
      <c r="X679" s="3153"/>
      <c r="Y679" s="3153"/>
      <c r="Z679" s="3153"/>
      <c r="AA679" s="3153"/>
      <c r="AB679" s="3153"/>
      <c r="AC679" s="3153"/>
      <c r="AD679" s="3153"/>
      <c r="AE679" s="3153"/>
      <c r="AF679" s="3153"/>
      <c r="AG679" s="1027"/>
      <c r="AH679" s="1027"/>
      <c r="AI679" s="1027"/>
      <c r="AJ679" s="1027"/>
      <c r="AK679" s="1027"/>
      <c r="AL679" s="1195"/>
      <c r="AM679" s="1136"/>
      <c r="AN679" s="1002"/>
    </row>
    <row r="680" spans="1:54" s="945" customFormat="1" ht="12.75" customHeight="1">
      <c r="A680" s="929"/>
      <c r="B680" s="51"/>
      <c r="C680" s="1203"/>
      <c r="D680" s="1027"/>
      <c r="E680" s="1027"/>
      <c r="F680" s="3153"/>
      <c r="G680" s="3153"/>
      <c r="H680" s="3153"/>
      <c r="I680" s="3153"/>
      <c r="J680" s="3153"/>
      <c r="K680" s="3153"/>
      <c r="L680" s="3153"/>
      <c r="M680" s="3153"/>
      <c r="N680" s="3153"/>
      <c r="O680" s="3153"/>
      <c r="P680" s="3153"/>
      <c r="Q680" s="3153"/>
      <c r="R680" s="3153"/>
      <c r="S680" s="3153"/>
      <c r="T680" s="3153"/>
      <c r="U680" s="3153"/>
      <c r="V680" s="3153"/>
      <c r="W680" s="3153"/>
      <c r="X680" s="3153"/>
      <c r="Y680" s="3153"/>
      <c r="Z680" s="3153"/>
      <c r="AA680" s="3153"/>
      <c r="AB680" s="3153"/>
      <c r="AC680" s="3153"/>
      <c r="AD680" s="3153"/>
      <c r="AE680" s="3153"/>
      <c r="AF680" s="3153"/>
      <c r="AG680" s="1027"/>
      <c r="AH680" s="1027"/>
      <c r="AI680" s="1027"/>
      <c r="AJ680" s="1027"/>
      <c r="AK680" s="1027"/>
      <c r="AL680" s="1195"/>
      <c r="AM680" s="1136"/>
      <c r="AN680" s="1002"/>
    </row>
    <row r="681" spans="1:54" s="945" customFormat="1" ht="12.75" customHeight="1">
      <c r="A681" s="929"/>
      <c r="B681" s="51"/>
      <c r="C681" s="3043" t="s">
        <v>628</v>
      </c>
      <c r="D681" s="3044"/>
      <c r="E681" s="1180"/>
      <c r="F681" s="1216" t="s">
        <v>1780</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45" t="s">
        <v>1763</v>
      </c>
      <c r="AG681" s="3045"/>
      <c r="AH681" s="3045"/>
      <c r="AI681" s="3045"/>
      <c r="AJ681" s="3045"/>
      <c r="AK681" s="3045"/>
      <c r="AL681" s="3046"/>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1810</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1811</v>
      </c>
      <c r="AK684" s="3048">
        <f>IF(AS575=0,AS573,AS575)</f>
        <v>11</v>
      </c>
      <c r="AL684" s="3070"/>
      <c r="AM684" s="3049"/>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1812</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05" t="s">
        <v>1813</v>
      </c>
      <c r="AF687" s="3105"/>
      <c r="AG687" s="3105"/>
      <c r="AH687" s="3105"/>
      <c r="AI687" s="3105"/>
      <c r="AJ687" s="3105"/>
      <c r="AK687" s="3105"/>
      <c r="AL687" s="1807"/>
      <c r="AM687" s="1028"/>
      <c r="AN687" s="1002"/>
      <c r="AO687" s="945" t="s">
        <v>1791</v>
      </c>
      <c r="AP687" s="945">
        <v>5</v>
      </c>
      <c r="AQ687" s="1027"/>
      <c r="AR687" s="1027"/>
      <c r="AS687" s="1027"/>
      <c r="AT687" s="1027"/>
      <c r="AU687" s="1027"/>
      <c r="AV687" s="1027"/>
      <c r="AW687" s="1027"/>
    </row>
    <row r="688" spans="1:54" s="945" customFormat="1" ht="12.75" hidden="1" customHeight="1">
      <c r="A688" s="1014"/>
      <c r="B688" s="1008" t="s">
        <v>1814</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1815</v>
      </c>
      <c r="AP688" s="945">
        <v>5</v>
      </c>
      <c r="AQ688" s="1027"/>
      <c r="AR688" s="1027"/>
      <c r="AS688" s="1027"/>
      <c r="AT688" s="1027"/>
      <c r="AU688" s="1027"/>
      <c r="AV688" s="1027"/>
      <c r="AW688" s="1027"/>
    </row>
    <row r="689" spans="1:50" s="945" customFormat="1" ht="12.75" hidden="1" customHeight="1">
      <c r="A689" s="1014"/>
      <c r="B689" s="988" t="s">
        <v>1816</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1793</v>
      </c>
      <c r="AP689" s="945">
        <v>5</v>
      </c>
      <c r="AQ689" s="1181"/>
      <c r="AR689" s="1181"/>
      <c r="AS689" s="1237"/>
      <c r="AW689" s="1237"/>
    </row>
    <row r="690" spans="1:50" s="945" customFormat="1" ht="12.75" hidden="1" customHeight="1">
      <c r="A690" s="1014"/>
      <c r="B690" s="988" t="s">
        <v>1817</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1795</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1796</v>
      </c>
      <c r="AP691" s="945">
        <v>5</v>
      </c>
      <c r="AQ691" s="1181"/>
      <c r="AR691" s="1181"/>
      <c r="AW691" s="1248"/>
    </row>
    <row r="692" spans="1:50" s="945" customFormat="1" ht="12.75" hidden="1" customHeight="1">
      <c r="A692" s="1014"/>
      <c r="B692" s="1028"/>
      <c r="C692" s="1249" t="s">
        <v>1818</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1797</v>
      </c>
      <c r="AP692" s="945">
        <v>5</v>
      </c>
      <c r="AW692" s="1248"/>
    </row>
    <row r="693" spans="1:50" s="945" customFormat="1" ht="12.75" hidden="1" customHeight="1">
      <c r="A693" s="1014"/>
      <c r="C693" s="3131" t="s">
        <v>628</v>
      </c>
      <c r="D693" s="3132"/>
      <c r="E693" s="1250" t="s">
        <v>542</v>
      </c>
      <c r="F693" s="3140" t="s">
        <v>1819</v>
      </c>
      <c r="G693" s="3140"/>
      <c r="H693" s="3140"/>
      <c r="I693" s="3140"/>
      <c r="J693" s="3140"/>
      <c r="K693" s="3140"/>
      <c r="L693" s="3140"/>
      <c r="M693" s="3140"/>
      <c r="N693" s="3140"/>
      <c r="O693" s="3140"/>
      <c r="P693" s="3140"/>
      <c r="Q693" s="3140"/>
      <c r="R693" s="3140"/>
      <c r="S693" s="3140"/>
      <c r="T693" s="3140"/>
      <c r="U693" s="3140"/>
      <c r="V693" s="3140"/>
      <c r="W693" s="3140"/>
      <c r="X693" s="3140"/>
      <c r="Y693" s="3140"/>
      <c r="Z693" s="3140"/>
      <c r="AA693" s="3140"/>
      <c r="AB693" s="3140"/>
      <c r="AC693" s="3140"/>
      <c r="AD693" s="3140"/>
      <c r="AE693" s="3140"/>
      <c r="AF693" s="1175"/>
      <c r="AG693" s="1175"/>
      <c r="AH693" s="1175"/>
      <c r="AI693" s="1175"/>
      <c r="AJ693" s="1175"/>
      <c r="AK693" s="1211"/>
      <c r="AL693" s="1027"/>
      <c r="AN693" s="1002"/>
      <c r="AO693" s="945" t="s">
        <v>1820</v>
      </c>
      <c r="AP693" s="945">
        <v>5</v>
      </c>
      <c r="AS693" s="1243"/>
      <c r="AT693" s="1241"/>
      <c r="AW693" s="1248"/>
      <c r="AX693" s="1070"/>
    </row>
    <row r="694" spans="1:50" s="945" customFormat="1" ht="12.75" hidden="1" customHeight="1">
      <c r="A694" s="1062"/>
      <c r="C694" s="1251"/>
      <c r="D694" s="1027"/>
      <c r="E694" s="1252"/>
      <c r="F694" s="3141"/>
      <c r="G694" s="3141"/>
      <c r="H694" s="3141"/>
      <c r="I694" s="3141"/>
      <c r="J694" s="3141"/>
      <c r="K694" s="3141"/>
      <c r="L694" s="3141"/>
      <c r="M694" s="3141"/>
      <c r="N694" s="3141"/>
      <c r="O694" s="3141"/>
      <c r="P694" s="3141"/>
      <c r="Q694" s="3141"/>
      <c r="R694" s="3141"/>
      <c r="S694" s="3141"/>
      <c r="T694" s="3141"/>
      <c r="U694" s="3141"/>
      <c r="V694" s="3141"/>
      <c r="W694" s="3141"/>
      <c r="X694" s="3141"/>
      <c r="Y694" s="3141"/>
      <c r="Z694" s="3141"/>
      <c r="AA694" s="3141"/>
      <c r="AB694" s="3141"/>
      <c r="AC694" s="3141"/>
      <c r="AD694" s="3141"/>
      <c r="AE694" s="3141"/>
      <c r="AF694" s="1027"/>
      <c r="AG694" s="946"/>
      <c r="AH694" s="946"/>
      <c r="AI694" s="946"/>
      <c r="AJ694" s="946"/>
      <c r="AK694" s="1195"/>
      <c r="AL694" s="1027"/>
      <c r="AN694" s="1002"/>
      <c r="AO694" s="945" t="s">
        <v>1801</v>
      </c>
      <c r="AP694" s="945">
        <v>1</v>
      </c>
    </row>
    <row r="695" spans="1:50" s="945" customFormat="1" ht="12.75" hidden="1" customHeight="1">
      <c r="A695" s="1062"/>
      <c r="C695" s="1253"/>
      <c r="D695" s="1190"/>
      <c r="E695" s="1254"/>
      <c r="F695" s="3146" t="s">
        <v>628</v>
      </c>
      <c r="G695" s="3146"/>
      <c r="H695" s="3146"/>
      <c r="I695" s="3146"/>
      <c r="J695" s="3146"/>
      <c r="K695" s="3146"/>
      <c r="L695" s="3146"/>
      <c r="M695" s="3146"/>
      <c r="N695" s="3146"/>
      <c r="O695" s="3146"/>
      <c r="P695" s="3146"/>
      <c r="Q695" s="3146"/>
      <c r="R695" s="3146"/>
      <c r="S695" s="3146"/>
      <c r="T695" s="3146"/>
      <c r="U695" s="3146"/>
      <c r="V695" s="3146"/>
      <c r="W695" s="3146"/>
      <c r="X695" s="3146"/>
      <c r="Y695" s="3146"/>
      <c r="Z695" s="3146"/>
      <c r="AA695" s="1255"/>
      <c r="AB695" s="1102"/>
      <c r="AC695" s="1102"/>
      <c r="AD695" s="1190"/>
      <c r="AE695" s="1190"/>
      <c r="AF695" s="1190"/>
      <c r="AG695" s="1256">
        <f>IF($C$693="Yes",(VLOOKUP($F$695,$AO$660:$AP$668,2,FALSE)),0)</f>
        <v>0</v>
      </c>
      <c r="AH695" s="1257" t="s">
        <v>1611</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47" t="s">
        <v>580</v>
      </c>
      <c r="D697" s="3148"/>
      <c r="E697" s="1250" t="s">
        <v>802</v>
      </c>
      <c r="F697" s="1259" t="s">
        <v>1821</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1822</v>
      </c>
      <c r="D698" s="1027"/>
      <c r="E698" s="1027"/>
      <c r="F698" s="1261" t="s">
        <v>1823</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1824</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1825</v>
      </c>
      <c r="G700" s="1027"/>
      <c r="H700" s="1027"/>
      <c r="I700" s="1261"/>
      <c r="J700" s="1261"/>
      <c r="K700" s="1261"/>
      <c r="L700" s="1261"/>
      <c r="M700" s="1261"/>
      <c r="N700" s="1261"/>
      <c r="O700" s="1261"/>
      <c r="P700" s="1261"/>
      <c r="Q700" s="1261"/>
      <c r="R700" s="1261"/>
      <c r="S700" s="1261"/>
      <c r="T700" s="1261"/>
      <c r="U700" s="1261"/>
      <c r="V700" s="3036" t="s">
        <v>628</v>
      </c>
      <c r="W700" s="3036"/>
      <c r="X700" s="3036"/>
      <c r="Y700" s="1261"/>
      <c r="Z700" s="1261"/>
      <c r="AA700" s="1261"/>
      <c r="AB700" s="1261"/>
      <c r="AC700" s="1261"/>
      <c r="AD700" s="1264"/>
      <c r="AE700" s="1264"/>
      <c r="AF700" s="1264"/>
      <c r="AG700" s="1033">
        <f>IF(AND($C$697="Yes",$V$702="N/A",$V$707="N/A",$V$711="N/A",$V$713="N/A"),(VLOOKUP(V700,$AR$670:$AS$672,2,FALSE)),0)</f>
        <v>0</v>
      </c>
      <c r="AH700" s="1815" t="s">
        <v>1611</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1826</v>
      </c>
      <c r="G702" s="1027"/>
      <c r="H702" s="1027"/>
      <c r="I702" s="1261"/>
      <c r="J702" s="1261"/>
      <c r="K702" s="1261"/>
      <c r="L702" s="1261"/>
      <c r="M702" s="1261"/>
      <c r="N702" s="1261"/>
      <c r="O702" s="1261"/>
      <c r="P702" s="1261"/>
      <c r="Q702" s="1261"/>
      <c r="R702" s="1261"/>
      <c r="S702" s="1261"/>
      <c r="T702" s="1261"/>
      <c r="U702" s="1261"/>
      <c r="V702" s="3036" t="s">
        <v>628</v>
      </c>
      <c r="W702" s="3036"/>
      <c r="X702" s="3036"/>
      <c r="Y702" s="1261"/>
      <c r="Z702" s="1261"/>
      <c r="AA702" s="1261"/>
      <c r="AB702" s="1261"/>
      <c r="AC702" s="1261"/>
      <c r="AD702" s="1264"/>
      <c r="AE702" s="1264"/>
      <c r="AF702" s="1264"/>
      <c r="AG702" s="1033">
        <f>IF(AND($C$697="Yes",$V$700="N/A", $V$707="N/A",$V$711="N/A",$V$713="N/A"),(VLOOKUP(V702,$AO$670:$AP$672,2,FALSE)),0)</f>
        <v>0</v>
      </c>
      <c r="AH702" s="1815" t="s">
        <v>1611</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1827</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1828</v>
      </c>
      <c r="AP704" s="1070">
        <v>2</v>
      </c>
    </row>
    <row r="705" spans="1:81" s="945" customFormat="1" ht="12.75" hidden="1" customHeight="1">
      <c r="A705" s="1062"/>
      <c r="C705" s="1251"/>
      <c r="D705" s="1062"/>
      <c r="E705" s="1062"/>
      <c r="F705" s="1264" t="s">
        <v>1829</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1830</v>
      </c>
      <c r="AP705" s="945">
        <v>2</v>
      </c>
    </row>
    <row r="706" spans="1:81" s="995" customFormat="1" ht="12.75" hidden="1" customHeight="1">
      <c r="A706" s="1062"/>
      <c r="B706" s="945"/>
      <c r="C706" s="1203"/>
      <c r="D706" s="1258"/>
      <c r="E706" s="1258"/>
      <c r="F706" s="1264" t="s">
        <v>1831</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1832</v>
      </c>
      <c r="AP706" s="945">
        <v>2</v>
      </c>
    </row>
    <row r="707" spans="1:81" s="945" customFormat="1" ht="12.75" hidden="1" customHeight="1">
      <c r="A707" s="1062"/>
      <c r="C707" s="1268"/>
      <c r="D707" s="1062"/>
      <c r="E707" s="1062"/>
      <c r="F707" s="1266" t="s">
        <v>1833</v>
      </c>
      <c r="G707" s="1062"/>
      <c r="H707" s="1062"/>
      <c r="I707" s="1062"/>
      <c r="J707" s="1062"/>
      <c r="K707" s="1062"/>
      <c r="L707" s="1062"/>
      <c r="M707" s="1252"/>
      <c r="N707" s="1252"/>
      <c r="O707" s="1252"/>
      <c r="P707" s="1252"/>
      <c r="Q707" s="946"/>
      <c r="R707" s="946"/>
      <c r="S707" s="946"/>
      <c r="T707" s="946"/>
      <c r="U707" s="946"/>
      <c r="V707" s="3036" t="s">
        <v>628</v>
      </c>
      <c r="W707" s="3036"/>
      <c r="X707" s="3036"/>
      <c r="Y707" s="946"/>
      <c r="Z707" s="946"/>
      <c r="AA707" s="946"/>
      <c r="AB707" s="946"/>
      <c r="AC707" s="946"/>
      <c r="AD707" s="1027"/>
      <c r="AE707" s="1027"/>
      <c r="AF707" s="1027"/>
      <c r="AG707" s="1033">
        <f>IF(AND($C$697="Yes",$V$700="N/A",$V$702="N/A", $V$711="N/A",$V$713="N/A"),(VLOOKUP($V$707,$AO$674:$AP$676,2,FALSE)),0)</f>
        <v>0</v>
      </c>
      <c r="AH707" s="1815" t="s">
        <v>1611</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1834</v>
      </c>
      <c r="D709" s="1271"/>
      <c r="E709" s="1271"/>
      <c r="F709" s="1272" t="s">
        <v>1835</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34"/>
      <c r="E710" s="3134"/>
      <c r="F710" s="1261" t="s">
        <v>1836</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1837</v>
      </c>
      <c r="AP710" s="1070">
        <v>5</v>
      </c>
      <c r="AQ710" s="934"/>
    </row>
    <row r="711" spans="1:81" s="1136" customFormat="1" ht="12.75" hidden="1" customHeight="1">
      <c r="A711" s="1813"/>
      <c r="B711" s="1028"/>
      <c r="C711" s="1251"/>
      <c r="D711" s="1027"/>
      <c r="E711" s="1027"/>
      <c r="F711" s="1274" t="s">
        <v>1825</v>
      </c>
      <c r="G711" s="1027"/>
      <c r="H711" s="1027"/>
      <c r="I711" s="1027"/>
      <c r="J711" s="1027"/>
      <c r="K711" s="1027"/>
      <c r="L711" s="1027"/>
      <c r="M711" s="1027"/>
      <c r="N711" s="1027"/>
      <c r="O711" s="1027"/>
      <c r="P711" s="1027"/>
      <c r="Q711" s="1027"/>
      <c r="R711" s="1027"/>
      <c r="S711" s="1027"/>
      <c r="T711" s="1027"/>
      <c r="U711" s="1027"/>
      <c r="V711" s="3036" t="s">
        <v>628</v>
      </c>
      <c r="W711" s="3036"/>
      <c r="X711" s="3036"/>
      <c r="Y711" s="1027"/>
      <c r="Z711" s="1027"/>
      <c r="AA711" s="1027"/>
      <c r="AB711" s="1027"/>
      <c r="AC711" s="1027"/>
      <c r="AD711" s="1027"/>
      <c r="AE711" s="1027"/>
      <c r="AF711" s="1027"/>
      <c r="AG711" s="1033">
        <f>IF(AND($C$697="Yes",$V$700="N/A",V702="N/A",$V$707="N/A",$V$713="N/A"),(VLOOKUP($V$711,$AW$670:$AX$673,2,FALSE)),0)</f>
        <v>0</v>
      </c>
      <c r="AH711" s="1815" t="s">
        <v>1611</v>
      </c>
      <c r="AI711" s="946"/>
      <c r="AJ711" s="1027"/>
      <c r="AK711" s="1195"/>
      <c r="AL711" s="1027"/>
      <c r="AM711" s="945"/>
      <c r="AN711" s="1135"/>
      <c r="AO711" s="945" t="s">
        <v>1838</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1839</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1826</v>
      </c>
      <c r="G713" s="1275"/>
      <c r="H713" s="1275"/>
      <c r="I713" s="1190"/>
      <c r="J713" s="1190"/>
      <c r="K713" s="1190"/>
      <c r="L713" s="1190"/>
      <c r="M713" s="1190"/>
      <c r="N713" s="1190"/>
      <c r="O713" s="1190"/>
      <c r="P713" s="1190"/>
      <c r="Q713" s="1190"/>
      <c r="R713" s="1190"/>
      <c r="S713" s="1190"/>
      <c r="T713" s="1190"/>
      <c r="U713" s="1190"/>
      <c r="V713" s="3036" t="s">
        <v>628</v>
      </c>
      <c r="W713" s="3036"/>
      <c r="X713" s="3036"/>
      <c r="Y713" s="1190"/>
      <c r="Z713" s="1190"/>
      <c r="AA713" s="1190"/>
      <c r="AB713" s="1190"/>
      <c r="AC713" s="1190"/>
      <c r="AD713" s="1190"/>
      <c r="AE713" s="1190"/>
      <c r="AF713" s="1190"/>
      <c r="AG713" s="1276">
        <f>IF(AND($C$697="Yes",$V$700="N/A",$V$702="N/A",$V$707="N/A",$V$711="N/A"),(VLOOKUP($V$713,$BA$670:$BB$672,2,FALSE)),0)</f>
        <v>0</v>
      </c>
      <c r="AH713" s="1257" t="s">
        <v>1611</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1840</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31" t="s">
        <v>628</v>
      </c>
      <c r="D716" s="3132"/>
      <c r="E716" s="1250" t="s">
        <v>542</v>
      </c>
      <c r="F716" s="3140" t="s">
        <v>1819</v>
      </c>
      <c r="G716" s="3140"/>
      <c r="H716" s="3140"/>
      <c r="I716" s="3140"/>
      <c r="J716" s="3140"/>
      <c r="K716" s="3140"/>
      <c r="L716" s="3140"/>
      <c r="M716" s="3140"/>
      <c r="N716" s="3140"/>
      <c r="O716" s="3140"/>
      <c r="P716" s="3140"/>
      <c r="Q716" s="3140"/>
      <c r="R716" s="3140"/>
      <c r="S716" s="3140"/>
      <c r="T716" s="3140"/>
      <c r="U716" s="3140"/>
      <c r="V716" s="3140"/>
      <c r="W716" s="3140"/>
      <c r="X716" s="3140"/>
      <c r="Y716" s="3140"/>
      <c r="Z716" s="3140"/>
      <c r="AA716" s="3140"/>
      <c r="AB716" s="3140"/>
      <c r="AC716" s="3140"/>
      <c r="AD716" s="3140"/>
      <c r="AE716" s="3140"/>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41"/>
      <c r="G717" s="3141"/>
      <c r="H717" s="3141"/>
      <c r="I717" s="3141"/>
      <c r="J717" s="3141"/>
      <c r="K717" s="3141"/>
      <c r="L717" s="3141"/>
      <c r="M717" s="3141"/>
      <c r="N717" s="3141"/>
      <c r="O717" s="3141"/>
      <c r="P717" s="3141"/>
      <c r="Q717" s="3141"/>
      <c r="R717" s="3141"/>
      <c r="S717" s="3141"/>
      <c r="T717" s="3141"/>
      <c r="U717" s="3141"/>
      <c r="V717" s="3141"/>
      <c r="W717" s="3141"/>
      <c r="X717" s="3141"/>
      <c r="Y717" s="3141"/>
      <c r="Z717" s="3141"/>
      <c r="AA717" s="3141"/>
      <c r="AB717" s="3141"/>
      <c r="AC717" s="3141"/>
      <c r="AD717" s="3141"/>
      <c r="AE717" s="3141"/>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42" t="s">
        <v>628</v>
      </c>
      <c r="G718" s="3142"/>
      <c r="H718" s="3142"/>
      <c r="I718" s="3142"/>
      <c r="J718" s="3142"/>
      <c r="K718" s="3142"/>
      <c r="L718" s="3142"/>
      <c r="M718" s="3142"/>
      <c r="N718" s="3142"/>
      <c r="O718" s="3142"/>
      <c r="P718" s="3142"/>
      <c r="Q718" s="3142"/>
      <c r="R718" s="3142"/>
      <c r="S718" s="3142"/>
      <c r="T718" s="3142"/>
      <c r="U718" s="3142"/>
      <c r="V718" s="3142"/>
      <c r="W718" s="3142"/>
      <c r="X718" s="3142"/>
      <c r="Y718" s="3142"/>
      <c r="Z718" s="3142"/>
      <c r="AA718" s="1255"/>
      <c r="AB718" s="1102"/>
      <c r="AC718" s="1102"/>
      <c r="AD718" s="1190"/>
      <c r="AE718" s="1190"/>
      <c r="AF718" s="1190"/>
      <c r="AG718" s="1256">
        <f>IF($C$716="Yes",(VLOOKUP($F$718,$AO$686:$AP$694,2,FALSE)),0)</f>
        <v>0</v>
      </c>
      <c r="AH718" s="1257" t="s">
        <v>1611</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31" t="s">
        <v>628</v>
      </c>
      <c r="D720" s="3132"/>
      <c r="E720" s="1250" t="s">
        <v>802</v>
      </c>
      <c r="F720" s="3143" t="s">
        <v>1841</v>
      </c>
      <c r="G720" s="3143"/>
      <c r="H720" s="3143"/>
      <c r="I720" s="3143"/>
      <c r="J720" s="3143"/>
      <c r="K720" s="3143"/>
      <c r="L720" s="3143"/>
      <c r="M720" s="3143"/>
      <c r="N720" s="3143"/>
      <c r="O720" s="3143"/>
      <c r="P720" s="3143"/>
      <c r="Q720" s="3143"/>
      <c r="R720" s="3143"/>
      <c r="S720" s="3143"/>
      <c r="T720" s="3143"/>
      <c r="U720" s="3143"/>
      <c r="V720" s="3143"/>
      <c r="W720" s="3143"/>
      <c r="X720" s="3143"/>
      <c r="Y720" s="3143"/>
      <c r="Z720" s="3143"/>
      <c r="AA720" s="3143"/>
      <c r="AB720" s="3143"/>
      <c r="AC720" s="3143"/>
      <c r="AD720" s="3143"/>
      <c r="AE720" s="3143"/>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44"/>
      <c r="G721" s="3144"/>
      <c r="H721" s="3144"/>
      <c r="I721" s="3144"/>
      <c r="J721" s="3144"/>
      <c r="K721" s="3144"/>
      <c r="L721" s="3144"/>
      <c r="M721" s="3144"/>
      <c r="N721" s="3144"/>
      <c r="O721" s="3144"/>
      <c r="P721" s="3144"/>
      <c r="Q721" s="3144"/>
      <c r="R721" s="3144"/>
      <c r="S721" s="3144"/>
      <c r="T721" s="3144"/>
      <c r="U721" s="3144"/>
      <c r="V721" s="3144"/>
      <c r="W721" s="3144"/>
      <c r="X721" s="3144"/>
      <c r="Y721" s="3144"/>
      <c r="Z721" s="3144"/>
      <c r="AA721" s="3144"/>
      <c r="AB721" s="3144"/>
      <c r="AC721" s="3144"/>
      <c r="AD721" s="3144"/>
      <c r="AE721" s="3144"/>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1842</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45" t="s">
        <v>628</v>
      </c>
      <c r="G723" s="3145"/>
      <c r="H723" s="3145"/>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1611</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31" t="s">
        <v>628</v>
      </c>
      <c r="D725" s="3132"/>
      <c r="E725" s="1250" t="s">
        <v>1843</v>
      </c>
      <c r="F725" s="1272" t="s">
        <v>1844</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33"/>
      <c r="D727" s="3134"/>
      <c r="E727" s="1262"/>
      <c r="F727" s="946" t="s">
        <v>1845</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1611</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 hidden="1" thickTop="1">
      <c r="A728" s="1028"/>
      <c r="B728" s="945"/>
      <c r="C728" s="1251"/>
      <c r="D728" s="1028"/>
      <c r="E728" s="1252"/>
      <c r="F728" s="946"/>
      <c r="G728" s="3135" t="s">
        <v>628</v>
      </c>
      <c r="H728" s="3135"/>
      <c r="I728" s="3135"/>
      <c r="J728" s="3135"/>
      <c r="K728" s="3135"/>
      <c r="L728" s="3135"/>
      <c r="M728" s="3135"/>
      <c r="N728" s="3135"/>
      <c r="O728" s="3135"/>
      <c r="P728" s="3135"/>
      <c r="Q728" s="3135"/>
      <c r="R728" s="3135"/>
      <c r="S728" s="3135"/>
      <c r="T728" s="3135"/>
      <c r="U728" s="3135"/>
      <c r="V728" s="3135"/>
      <c r="W728" s="3135"/>
      <c r="X728" s="3135"/>
      <c r="Y728" s="3135"/>
      <c r="Z728" s="3135"/>
      <c r="AA728" s="3135"/>
      <c r="AB728" s="3135"/>
      <c r="AC728" s="3135"/>
      <c r="AD728" s="3135"/>
      <c r="AE728" s="3135"/>
      <c r="AF728" s="3135"/>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36" t="s">
        <v>628</v>
      </c>
      <c r="D730" s="3137"/>
      <c r="E730" s="966"/>
      <c r="F730" s="946" t="s">
        <v>1846</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1611</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1847</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1848</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36" t="s">
        <v>628</v>
      </c>
      <c r="D734" s="3137"/>
      <c r="E734" s="1027"/>
      <c r="F734" s="1292" t="s">
        <v>1849</v>
      </c>
      <c r="G734" s="3138" t="s">
        <v>1850</v>
      </c>
      <c r="H734" s="3138"/>
      <c r="I734" s="3138"/>
      <c r="J734" s="3138"/>
      <c r="K734" s="3138"/>
      <c r="L734" s="3138"/>
      <c r="M734" s="3138"/>
      <c r="N734" s="3138"/>
      <c r="O734" s="3138"/>
      <c r="P734" s="3138"/>
      <c r="Q734" s="3138"/>
      <c r="R734" s="3138"/>
      <c r="S734" s="3138"/>
      <c r="T734" s="3138"/>
      <c r="U734" s="3138"/>
      <c r="V734" s="3138"/>
      <c r="W734" s="3138"/>
      <c r="X734" s="3138"/>
      <c r="Y734" s="3138"/>
      <c r="Z734" s="3138"/>
      <c r="AA734" s="3138"/>
      <c r="AB734" s="3138"/>
      <c r="AC734" s="3138"/>
      <c r="AD734" s="3138"/>
      <c r="AE734" s="3138"/>
      <c r="AF734" s="3138"/>
      <c r="AG734" s="1033">
        <f>IF(AND($C$734="Yes",$C$725="Yes"),2,0)</f>
        <v>0</v>
      </c>
      <c r="AH734" s="1815" t="s">
        <v>1611</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39"/>
      <c r="H735" s="3139"/>
      <c r="I735" s="3139"/>
      <c r="J735" s="3139"/>
      <c r="K735" s="3139"/>
      <c r="L735" s="3139"/>
      <c r="M735" s="3139"/>
      <c r="N735" s="3139"/>
      <c r="O735" s="3139"/>
      <c r="P735" s="3139"/>
      <c r="Q735" s="3139"/>
      <c r="R735" s="3139"/>
      <c r="S735" s="3139"/>
      <c r="T735" s="3139"/>
      <c r="U735" s="3139"/>
      <c r="V735" s="3139"/>
      <c r="W735" s="3139"/>
      <c r="X735" s="3139"/>
      <c r="Y735" s="3139"/>
      <c r="Z735" s="3139"/>
      <c r="AA735" s="3139"/>
      <c r="AB735" s="3139"/>
      <c r="AC735" s="3139"/>
      <c r="AD735" s="3139"/>
      <c r="AE735" s="3139"/>
      <c r="AF735" s="3139"/>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1851</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20" t="s">
        <v>628</v>
      </c>
      <c r="D738" s="3121"/>
      <c r="E738" s="1301" t="s">
        <v>1852</v>
      </c>
      <c r="F738" s="1261" t="s">
        <v>1853</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1611</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22" t="s">
        <v>628</v>
      </c>
      <c r="G739" s="3122"/>
      <c r="H739" s="3122"/>
      <c r="I739" s="3122"/>
      <c r="J739" s="3122"/>
      <c r="K739" s="3122"/>
      <c r="L739" s="3122"/>
      <c r="M739" s="3122"/>
      <c r="N739" s="3122"/>
      <c r="O739" s="3122"/>
      <c r="P739" s="3122"/>
      <c r="Q739" s="3122"/>
      <c r="R739" s="3122"/>
      <c r="S739" s="3122"/>
      <c r="T739" s="3122"/>
      <c r="U739" s="3122"/>
      <c r="V739" s="3122"/>
      <c r="W739" s="3122"/>
      <c r="X739" s="3122"/>
      <c r="Y739" s="3122"/>
      <c r="Z739" s="3122"/>
      <c r="AA739" s="3122"/>
      <c r="AB739" s="3122"/>
      <c r="AC739" s="3122"/>
      <c r="AD739" s="3122"/>
      <c r="AE739" s="3122"/>
      <c r="AF739" s="3122"/>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23"/>
      <c r="G740" s="3123"/>
      <c r="H740" s="3123"/>
      <c r="I740" s="3123"/>
      <c r="J740" s="3123"/>
      <c r="K740" s="3123"/>
      <c r="L740" s="3123"/>
      <c r="M740" s="3123"/>
      <c r="N740" s="3123"/>
      <c r="O740" s="3123"/>
      <c r="P740" s="3123"/>
      <c r="Q740" s="3123"/>
      <c r="R740" s="3123"/>
      <c r="S740" s="3123"/>
      <c r="T740" s="3123"/>
      <c r="U740" s="3123"/>
      <c r="V740" s="3123"/>
      <c r="W740" s="3123"/>
      <c r="X740" s="3123"/>
      <c r="Y740" s="3123"/>
      <c r="Z740" s="3123"/>
      <c r="AA740" s="3123"/>
      <c r="AB740" s="3123"/>
      <c r="AC740" s="3123"/>
      <c r="AD740" s="3123"/>
      <c r="AE740" s="3123"/>
      <c r="AF740" s="3123"/>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1854</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1855</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1856</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1857</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1858</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1859</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1860</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1861</v>
      </c>
      <c r="AK750" s="3048">
        <f>SUM(AG694:AG739)</f>
        <v>0</v>
      </c>
      <c r="AL750" s="3070"/>
      <c r="AM750" s="3049"/>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 thickTop="1"/>
    <row r="753" spans="1:49" s="945" customFormat="1" ht="12.75" customHeight="1">
      <c r="A753" s="1014" t="s">
        <v>1862</v>
      </c>
      <c r="B753" s="1014" t="s">
        <v>1863</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124" t="s">
        <v>1864</v>
      </c>
      <c r="AF753" s="3124"/>
      <c r="AG753" s="3124"/>
      <c r="AH753" s="3124"/>
      <c r="AI753" s="3124"/>
      <c r="AJ753" s="3124"/>
      <c r="AK753" s="3124"/>
      <c r="AL753" s="1007"/>
      <c r="AM753" s="1007"/>
      <c r="AN753" s="1002"/>
    </row>
    <row r="754" spans="1:49" s="945" customFormat="1" ht="12.75" customHeight="1">
      <c r="A754" s="1014"/>
      <c r="B754" s="1014" t="s">
        <v>1607</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44" t="s">
        <v>580</v>
      </c>
      <c r="D756" s="3044"/>
      <c r="E756" s="946"/>
      <c r="F756" s="3125" t="s">
        <v>1865</v>
      </c>
      <c r="G756" s="3126"/>
      <c r="H756" s="3126"/>
      <c r="I756" s="3126"/>
      <c r="J756" s="3126"/>
      <c r="K756" s="3126"/>
      <c r="L756" s="3126"/>
      <c r="M756" s="3126"/>
      <c r="N756" s="3126"/>
      <c r="O756" s="3126"/>
      <c r="P756" s="3126"/>
      <c r="Q756" s="3126"/>
      <c r="R756" s="3126"/>
      <c r="S756" s="3126"/>
      <c r="T756" s="3126"/>
      <c r="U756" s="3126"/>
      <c r="V756" s="3126"/>
      <c r="W756" s="3126"/>
      <c r="X756" s="3126"/>
      <c r="Y756" s="3126"/>
      <c r="Z756" s="3126"/>
      <c r="AA756" s="3126"/>
      <c r="AB756" s="3126"/>
      <c r="AC756" s="3126"/>
      <c r="AD756" s="3126"/>
      <c r="AE756" s="3126"/>
      <c r="AF756" s="3126"/>
      <c r="AG756" s="3126"/>
      <c r="AH756" s="3126"/>
      <c r="AI756" s="3126"/>
      <c r="AJ756" s="3126"/>
      <c r="AK756" s="3126"/>
      <c r="AL756" s="3127"/>
      <c r="AM756" s="1007"/>
      <c r="AN756" s="1002"/>
    </row>
    <row r="757" spans="1:49" s="945" customFormat="1" ht="12.75" customHeight="1">
      <c r="A757" s="1014"/>
      <c r="B757" s="1014"/>
      <c r="C757" s="946"/>
      <c r="D757" s="946"/>
      <c r="E757" s="946"/>
      <c r="F757" s="3128"/>
      <c r="G757" s="3129"/>
      <c r="H757" s="3129"/>
      <c r="I757" s="3129"/>
      <c r="J757" s="3129"/>
      <c r="K757" s="3129"/>
      <c r="L757" s="3129"/>
      <c r="M757" s="3129"/>
      <c r="N757" s="3129"/>
      <c r="O757" s="3129"/>
      <c r="P757" s="3129"/>
      <c r="Q757" s="3129"/>
      <c r="R757" s="3129"/>
      <c r="S757" s="3129"/>
      <c r="T757" s="3129"/>
      <c r="U757" s="3129"/>
      <c r="V757" s="3129"/>
      <c r="W757" s="3129"/>
      <c r="X757" s="3129"/>
      <c r="Y757" s="3129"/>
      <c r="Z757" s="3129"/>
      <c r="AA757" s="3129"/>
      <c r="AB757" s="3129"/>
      <c r="AC757" s="3129"/>
      <c r="AD757" s="3129"/>
      <c r="AE757" s="3129"/>
      <c r="AF757" s="3129"/>
      <c r="AG757" s="3129"/>
      <c r="AH757" s="3129"/>
      <c r="AI757" s="3129"/>
      <c r="AJ757" s="3129"/>
      <c r="AK757" s="3129"/>
      <c r="AL757" s="3130"/>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44" t="s">
        <v>628</v>
      </c>
      <c r="D759" s="3044"/>
      <c r="E759" s="1307"/>
      <c r="F759" s="1308" t="s">
        <v>1866</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12" t="s">
        <v>1867</v>
      </c>
      <c r="G760" s="3113"/>
      <c r="H760" s="3113"/>
      <c r="I760" s="3113"/>
      <c r="J760" s="3113"/>
      <c r="K760" s="3113"/>
      <c r="L760" s="3113"/>
      <c r="M760" s="3113"/>
      <c r="N760" s="3113"/>
      <c r="O760" s="3113"/>
      <c r="P760" s="3113"/>
      <c r="Q760" s="3113"/>
      <c r="R760" s="3113"/>
      <c r="S760" s="3113"/>
      <c r="T760" s="3113"/>
      <c r="U760" s="3113"/>
      <c r="V760" s="3113"/>
      <c r="W760" s="3113"/>
      <c r="X760" s="3113"/>
      <c r="Y760" s="3113"/>
      <c r="Z760" s="3113"/>
      <c r="AA760" s="3113"/>
      <c r="AB760" s="3113"/>
      <c r="AC760" s="3113"/>
      <c r="AD760" s="3113"/>
      <c r="AE760" s="3113"/>
      <c r="AF760" s="3113"/>
      <c r="AG760" s="3113"/>
      <c r="AH760" s="3113"/>
      <c r="AI760" s="3113"/>
      <c r="AJ760" s="3113"/>
      <c r="AK760" s="3113"/>
      <c r="AL760" s="3114"/>
      <c r="AM760" s="1007"/>
      <c r="AN760" s="1002"/>
      <c r="AS760" s="1485"/>
      <c r="AT760" s="1485"/>
      <c r="AU760" s="1485"/>
      <c r="AV760" s="1485"/>
      <c r="AW760" s="1485"/>
    </row>
    <row r="761" spans="1:49" s="945" customFormat="1" ht="12.75" customHeight="1">
      <c r="A761" s="1028"/>
      <c r="B761" s="1307"/>
      <c r="C761" s="1307"/>
      <c r="D761" s="1307"/>
      <c r="E761" s="1307"/>
      <c r="F761" s="3112"/>
      <c r="G761" s="3113"/>
      <c r="H761" s="3113"/>
      <c r="I761" s="3113"/>
      <c r="J761" s="3113"/>
      <c r="K761" s="3113"/>
      <c r="L761" s="3113"/>
      <c r="M761" s="3113"/>
      <c r="N761" s="3113"/>
      <c r="O761" s="3113"/>
      <c r="P761" s="3113"/>
      <c r="Q761" s="3113"/>
      <c r="R761" s="3113"/>
      <c r="S761" s="3113"/>
      <c r="T761" s="3113"/>
      <c r="U761" s="3113"/>
      <c r="V761" s="3113"/>
      <c r="W761" s="3113"/>
      <c r="X761" s="3113"/>
      <c r="Y761" s="3113"/>
      <c r="Z761" s="3113"/>
      <c r="AA761" s="3113"/>
      <c r="AB761" s="3113"/>
      <c r="AC761" s="3113"/>
      <c r="AD761" s="3113"/>
      <c r="AE761" s="3113"/>
      <c r="AF761" s="3113"/>
      <c r="AG761" s="3113"/>
      <c r="AH761" s="3113"/>
      <c r="AI761" s="3113"/>
      <c r="AJ761" s="3113"/>
      <c r="AK761" s="3113"/>
      <c r="AL761" s="3114"/>
      <c r="AM761" s="1007"/>
      <c r="AN761" s="1002"/>
    </row>
    <row r="762" spans="1:49" s="945" customFormat="1" ht="12.75" customHeight="1">
      <c r="A762" s="1028"/>
      <c r="B762" s="1307"/>
      <c r="C762" s="1307"/>
      <c r="D762" s="1307"/>
      <c r="E762" s="1307"/>
      <c r="F762" s="1313" t="s">
        <v>1868</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12" t="s">
        <v>1869</v>
      </c>
      <c r="G763" s="3113"/>
      <c r="H763" s="3113"/>
      <c r="I763" s="3113"/>
      <c r="J763" s="3113"/>
      <c r="K763" s="3113"/>
      <c r="L763" s="3113"/>
      <c r="M763" s="3113"/>
      <c r="N763" s="3113"/>
      <c r="O763" s="3113"/>
      <c r="P763" s="3113"/>
      <c r="Q763" s="3113"/>
      <c r="R763" s="3113"/>
      <c r="S763" s="3113"/>
      <c r="T763" s="3113"/>
      <c r="U763" s="3113"/>
      <c r="V763" s="3113"/>
      <c r="W763" s="3113"/>
      <c r="X763" s="3113"/>
      <c r="Y763" s="3113"/>
      <c r="Z763" s="3113"/>
      <c r="AA763" s="3113"/>
      <c r="AB763" s="3113"/>
      <c r="AC763" s="3113"/>
      <c r="AD763" s="3113"/>
      <c r="AE763" s="3113"/>
      <c r="AF763" s="3113"/>
      <c r="AG763" s="3113"/>
      <c r="AH763" s="3113"/>
      <c r="AI763" s="3113"/>
      <c r="AJ763" s="3113"/>
      <c r="AK763" s="3113"/>
      <c r="AL763" s="1316"/>
      <c r="AM763" s="1007"/>
      <c r="AN763" s="1002"/>
      <c r="AT763" s="1091"/>
      <c r="AU763" s="1091"/>
      <c r="AV763" s="1091"/>
    </row>
    <row r="764" spans="1:49" s="945" customFormat="1" ht="12.75" customHeight="1">
      <c r="A764" s="1028"/>
      <c r="B764" s="1307"/>
      <c r="C764" s="1307"/>
      <c r="D764" s="1307"/>
      <c r="E764" s="1307"/>
      <c r="F764" s="3115"/>
      <c r="G764" s="3116"/>
      <c r="H764" s="3116"/>
      <c r="I764" s="3116"/>
      <c r="J764" s="3116"/>
      <c r="K764" s="3116"/>
      <c r="L764" s="3116"/>
      <c r="M764" s="3116"/>
      <c r="N764" s="3116"/>
      <c r="O764" s="3116"/>
      <c r="P764" s="3116"/>
      <c r="Q764" s="3116"/>
      <c r="R764" s="3116"/>
      <c r="S764" s="3116"/>
      <c r="T764" s="3116"/>
      <c r="U764" s="3116"/>
      <c r="V764" s="3116"/>
      <c r="W764" s="3116"/>
      <c r="X764" s="3116"/>
      <c r="Y764" s="3116"/>
      <c r="Z764" s="3116"/>
      <c r="AA764" s="3116"/>
      <c r="AB764" s="3116"/>
      <c r="AC764" s="3116"/>
      <c r="AD764" s="3116"/>
      <c r="AE764" s="3116"/>
      <c r="AF764" s="3116"/>
      <c r="AG764" s="3116"/>
      <c r="AH764" s="3116"/>
      <c r="AI764" s="3116"/>
      <c r="AJ764" s="3116"/>
      <c r="AK764" s="3116"/>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028">
        <f>Application!AJ975</f>
        <v>45392652</v>
      </c>
      <c r="AQ765" s="3028"/>
      <c r="AR765" s="3028"/>
    </row>
    <row r="766" spans="1:49" s="945" customFormat="1" ht="12.75" customHeight="1">
      <c r="A766" s="1319"/>
      <c r="B766" s="926" t="s">
        <v>1870</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117">
        <f>'Sources and Uses Budget'!S107+'Sources and Uses Budget'!T107</f>
        <v>62831803</v>
      </c>
      <c r="AG766" s="3117"/>
      <c r="AH766" s="3117"/>
      <c r="AI766" s="3117"/>
      <c r="AJ766" s="3117"/>
      <c r="AK766" s="1007"/>
      <c r="AL766" s="1007"/>
      <c r="AM766" s="1007"/>
      <c r="AN766" s="1002"/>
    </row>
    <row r="767" spans="1:49" s="945" customFormat="1" ht="12.75" customHeight="1">
      <c r="A767" s="1051"/>
      <c r="B767" s="1051" t="s">
        <v>1871</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18">
        <f>AP774</f>
        <v>101001714.60000001</v>
      </c>
      <c r="AG767" s="3118"/>
      <c r="AH767" s="3118"/>
      <c r="AI767" s="3118"/>
      <c r="AJ767" s="3118"/>
      <c r="AK767" s="1007"/>
      <c r="AL767" s="1007"/>
      <c r="AM767" s="1007"/>
      <c r="AN767" s="1002"/>
      <c r="AP767" s="3028">
        <f>Application!AJ1024</f>
        <v>16341354.719999999</v>
      </c>
      <c r="AQ767" s="3028"/>
      <c r="AR767" s="3028"/>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19">
        <f>ROUNDDOWN(IF(C759="YES",((1-(AF766/AF767))*2),(1-(AF766/AF767))),2)</f>
        <v>0.37</v>
      </c>
      <c r="AG768" s="3119"/>
      <c r="AH768" s="3119"/>
      <c r="AI768" s="3119"/>
      <c r="AJ768" s="3119"/>
      <c r="AK768" s="1007"/>
      <c r="AL768" s="1007"/>
      <c r="AM768" s="1007"/>
      <c r="AN768" s="1002"/>
      <c r="AP768" s="3029">
        <f>Application!AJ1028</f>
        <v>57194741.520000003</v>
      </c>
      <c r="AQ768" s="3029"/>
      <c r="AR768" s="3029"/>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034">
        <f>IF(((AP767+AP768)/AP765)&gt;0.8,0.8,((AP767+AP768)/AP765))</f>
        <v>0.8</v>
      </c>
      <c r="AQ769" s="3034"/>
      <c r="AR769" s="3034"/>
    </row>
    <row r="770" spans="1:44" s="945" customFormat="1" ht="12.75" customHeight="1">
      <c r="A770" s="1050"/>
      <c r="B770" s="3091" t="s">
        <v>1872</v>
      </c>
      <c r="C770" s="3092"/>
      <c r="D770" s="3092"/>
      <c r="E770" s="3092"/>
      <c r="F770" s="3092"/>
      <c r="G770" s="3092"/>
      <c r="H770" s="3092"/>
      <c r="I770" s="3092"/>
      <c r="J770" s="3092"/>
      <c r="K770" s="3092"/>
      <c r="L770" s="3092"/>
      <c r="M770" s="3092"/>
      <c r="N770" s="3092"/>
      <c r="O770" s="3092"/>
      <c r="P770" s="3092"/>
      <c r="Q770" s="3092"/>
      <c r="R770" s="3092"/>
      <c r="S770" s="3092"/>
      <c r="T770" s="3092"/>
      <c r="U770" s="3092"/>
      <c r="V770" s="3092"/>
      <c r="W770" s="3092"/>
      <c r="X770" s="3092"/>
      <c r="Y770" s="3092"/>
      <c r="Z770" s="3092"/>
      <c r="AA770" s="3092"/>
      <c r="AB770" s="3092"/>
      <c r="AC770" s="3092"/>
      <c r="AD770" s="3092"/>
      <c r="AE770" s="3092"/>
      <c r="AF770" s="3092"/>
      <c r="AG770" s="3092"/>
      <c r="AH770" s="3092"/>
      <c r="AI770" s="3092"/>
      <c r="AJ770" s="3093"/>
      <c r="AK770" s="1007"/>
      <c r="AL770" s="1007"/>
      <c r="AM770" s="1007"/>
      <c r="AN770" s="1002"/>
    </row>
    <row r="771" spans="1:44" s="945" customFormat="1" ht="12.75" customHeight="1">
      <c r="A771" s="1050"/>
      <c r="B771" s="3094"/>
      <c r="C771" s="3095"/>
      <c r="D771" s="3095"/>
      <c r="E771" s="3095"/>
      <c r="F771" s="3095"/>
      <c r="G771" s="3095"/>
      <c r="H771" s="3095"/>
      <c r="I771" s="3095"/>
      <c r="J771" s="3095"/>
      <c r="K771" s="3095"/>
      <c r="L771" s="3095"/>
      <c r="M771" s="3095"/>
      <c r="N771" s="3095"/>
      <c r="O771" s="3095"/>
      <c r="P771" s="3095"/>
      <c r="Q771" s="3095"/>
      <c r="R771" s="3095"/>
      <c r="S771" s="3095"/>
      <c r="T771" s="3095"/>
      <c r="U771" s="3095"/>
      <c r="V771" s="3095"/>
      <c r="W771" s="3095"/>
      <c r="X771" s="3095"/>
      <c r="Y771" s="3095"/>
      <c r="Z771" s="3095"/>
      <c r="AA771" s="3095"/>
      <c r="AB771" s="3095"/>
      <c r="AC771" s="3095"/>
      <c r="AD771" s="3095"/>
      <c r="AE771" s="3095"/>
      <c r="AF771" s="3095"/>
      <c r="AG771" s="3095"/>
      <c r="AH771" s="3095"/>
      <c r="AI771" s="3095"/>
      <c r="AJ771" s="3096"/>
      <c r="AK771" s="1007"/>
      <c r="AL771" s="1007"/>
      <c r="AM771" s="1007"/>
      <c r="AN771" s="1002"/>
      <c r="AP771" s="3028">
        <f>AP772-AP767-AP768</f>
        <v>64687593.000000007</v>
      </c>
      <c r="AQ771" s="3035"/>
      <c r="AR771" s="3035"/>
    </row>
    <row r="772" spans="1:44" s="945" customFormat="1" ht="12.75" customHeight="1">
      <c r="A772" s="1050"/>
      <c r="B772" s="3097"/>
      <c r="C772" s="3098"/>
      <c r="D772" s="3098"/>
      <c r="E772" s="3098"/>
      <c r="F772" s="3098"/>
      <c r="G772" s="3098"/>
      <c r="H772" s="3098"/>
      <c r="I772" s="3098"/>
      <c r="J772" s="3098"/>
      <c r="K772" s="3098"/>
      <c r="L772" s="3098"/>
      <c r="M772" s="3098"/>
      <c r="N772" s="3098"/>
      <c r="O772" s="3098"/>
      <c r="P772" s="3098"/>
      <c r="Q772" s="3098"/>
      <c r="R772" s="3098"/>
      <c r="S772" s="3098"/>
      <c r="T772" s="3098"/>
      <c r="U772" s="3098"/>
      <c r="V772" s="3098"/>
      <c r="W772" s="3098"/>
      <c r="X772" s="3098"/>
      <c r="Y772" s="3098"/>
      <c r="Z772" s="3098"/>
      <c r="AA772" s="3098"/>
      <c r="AB772" s="3098"/>
      <c r="AC772" s="3098"/>
      <c r="AD772" s="3098"/>
      <c r="AE772" s="3098"/>
      <c r="AF772" s="3098"/>
      <c r="AG772" s="3098"/>
      <c r="AH772" s="3098"/>
      <c r="AI772" s="3098"/>
      <c r="AJ772" s="3099"/>
      <c r="AK772" s="1007"/>
      <c r="AL772" s="1007"/>
      <c r="AM772" s="1007"/>
      <c r="AN772" s="1002"/>
      <c r="AP772" s="3028">
        <f>Application!AJ1032</f>
        <v>138223689.24000001</v>
      </c>
      <c r="AQ772" s="3028"/>
      <c r="AR772" s="3028"/>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1873</v>
      </c>
      <c r="AK774" s="3100">
        <f>IF(AF768=0,0,IF((AF768*100)&gt;12,12,(AF768*100)))</f>
        <v>12</v>
      </c>
      <c r="AL774" s="3100"/>
      <c r="AM774" s="3101"/>
      <c r="AN774" s="1002"/>
      <c r="AP774" s="3017">
        <f>AP771+(AP765*AP769)</f>
        <v>101001714.60000001</v>
      </c>
      <c r="AQ774" s="3018"/>
      <c r="AR774" s="3019"/>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02" t="s">
        <v>1874</v>
      </c>
      <c r="B777" s="3103"/>
      <c r="C777" s="3103"/>
      <c r="D777" s="3103"/>
      <c r="E777" s="3103"/>
      <c r="F777" s="3103"/>
      <c r="G777" s="3103"/>
      <c r="H777" s="3103"/>
      <c r="I777" s="3103"/>
      <c r="J777" s="3103"/>
      <c r="K777" s="3103"/>
      <c r="L777" s="3103"/>
      <c r="M777" s="3103"/>
      <c r="N777" s="3103"/>
      <c r="O777" s="3103"/>
      <c r="P777" s="3103"/>
      <c r="Q777" s="3103"/>
      <c r="R777" s="3103"/>
      <c r="S777" s="3103"/>
      <c r="T777" s="3103"/>
      <c r="U777" s="3103"/>
      <c r="V777" s="3103"/>
      <c r="W777" s="3103"/>
      <c r="X777" s="3103"/>
      <c r="Y777" s="3103"/>
      <c r="Z777" s="3103"/>
      <c r="AA777" s="3103"/>
      <c r="AB777" s="3103"/>
      <c r="AC777" s="3103"/>
      <c r="AD777" s="3103"/>
      <c r="AE777" s="3103"/>
      <c r="AF777" s="3103"/>
      <c r="AG777" s="3103"/>
      <c r="AH777" s="3103"/>
      <c r="AI777" s="3103"/>
      <c r="AJ777" s="3103"/>
      <c r="AK777" s="3103"/>
      <c r="AL777" s="3103"/>
      <c r="AM777" s="3103"/>
    </row>
    <row r="778" spans="1:44">
      <c r="A778" s="3104"/>
      <c r="B778" s="3104"/>
      <c r="C778" s="3104"/>
      <c r="D778" s="3104"/>
      <c r="E778" s="3104"/>
      <c r="F778" s="3104"/>
      <c r="G778" s="3104"/>
      <c r="H778" s="3104"/>
      <c r="I778" s="3104"/>
      <c r="J778" s="3104"/>
      <c r="K778" s="3104"/>
      <c r="L778" s="3104"/>
      <c r="M778" s="3104"/>
      <c r="N778" s="3104"/>
      <c r="O778" s="3104"/>
      <c r="P778" s="3104"/>
      <c r="Q778" s="3104"/>
      <c r="R778" s="3104"/>
      <c r="S778" s="3104"/>
      <c r="T778" s="3104"/>
      <c r="U778" s="3104"/>
      <c r="V778" s="3104"/>
      <c r="W778" s="3104"/>
      <c r="X778" s="3104"/>
      <c r="Y778" s="3104"/>
      <c r="Z778" s="3104"/>
      <c r="AA778" s="3104"/>
      <c r="AB778" s="3104"/>
      <c r="AC778" s="3104"/>
      <c r="AD778" s="3104"/>
      <c r="AE778" s="3104"/>
      <c r="AF778" s="3104"/>
      <c r="AG778" s="3104"/>
      <c r="AH778" s="3104"/>
      <c r="AI778" s="3104"/>
      <c r="AJ778" s="3104"/>
      <c r="AK778" s="3104"/>
      <c r="AL778" s="3104"/>
      <c r="AM778" s="3104"/>
      <c r="AO778" s="1321"/>
      <c r="AP778" s="1321"/>
      <c r="AQ778" s="1321"/>
    </row>
    <row r="779" spans="1:44" ht="13">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ht="13">
      <c r="A780" s="3105"/>
      <c r="B780" s="3105"/>
      <c r="C780" s="3105"/>
      <c r="D780" s="3105"/>
      <c r="E780" s="3105"/>
      <c r="F780" s="3105"/>
      <c r="G780" s="3105"/>
      <c r="H780" s="3105"/>
      <c r="I780" s="3105"/>
      <c r="J780" s="3105"/>
      <c r="K780" s="3105"/>
      <c r="L780" s="3105"/>
      <c r="M780" s="3105"/>
      <c r="N780" s="3105"/>
      <c r="O780" s="3105"/>
      <c r="P780" s="3105"/>
      <c r="Q780" s="3105"/>
      <c r="R780" s="3105"/>
      <c r="S780" s="3105"/>
      <c r="T780" s="3105"/>
      <c r="U780" s="3105"/>
      <c r="V780" s="3105"/>
      <c r="W780" s="3105"/>
      <c r="X780" s="3105"/>
      <c r="Y780" s="3105"/>
      <c r="Z780" s="3105"/>
      <c r="AA780" s="3105"/>
      <c r="AB780" s="3105"/>
      <c r="AC780" s="3105"/>
      <c r="AD780" s="3105"/>
      <c r="AE780" s="3105"/>
      <c r="AF780" s="3105"/>
      <c r="AG780" s="3105"/>
      <c r="AH780" s="3105"/>
      <c r="AI780" s="3105"/>
      <c r="AJ780" s="3105"/>
      <c r="AK780" s="3105"/>
      <c r="AL780" s="3105"/>
      <c r="AM780" s="3105"/>
      <c r="AO780" s="1229"/>
      <c r="AP780" s="1322"/>
      <c r="AQ780" s="1321"/>
    </row>
    <row r="781" spans="1:44" ht="13">
      <c r="A781" s="3105"/>
      <c r="B781" s="3105"/>
      <c r="C781" s="3105"/>
      <c r="D781" s="3105"/>
      <c r="E781" s="3105"/>
      <c r="F781" s="3105"/>
      <c r="G781" s="3105"/>
      <c r="H781" s="3105"/>
      <c r="I781" s="3105"/>
      <c r="J781" s="3105"/>
      <c r="K781" s="3105"/>
      <c r="L781" s="3105"/>
      <c r="M781" s="3105"/>
      <c r="N781" s="3105"/>
      <c r="O781" s="3105"/>
      <c r="P781" s="3105"/>
      <c r="Q781" s="3105"/>
      <c r="R781" s="3105"/>
      <c r="S781" s="3105"/>
      <c r="T781" s="3105"/>
      <c r="U781" s="3105"/>
      <c r="V781" s="3105"/>
      <c r="W781" s="3105"/>
      <c r="X781" s="3105"/>
      <c r="Y781" s="3105"/>
      <c r="Z781" s="3105"/>
      <c r="AA781" s="3105"/>
      <c r="AB781" s="3105"/>
      <c r="AC781" s="3105"/>
      <c r="AD781" s="3105"/>
      <c r="AE781" s="3105"/>
      <c r="AF781" s="3105"/>
      <c r="AG781" s="3105"/>
      <c r="AH781" s="3105"/>
      <c r="AI781" s="3105"/>
      <c r="AJ781" s="3105"/>
      <c r="AK781" s="3105"/>
      <c r="AL781" s="3105"/>
      <c r="AM781" s="3105"/>
      <c r="AO781" s="1322"/>
      <c r="AQ781" s="1321"/>
    </row>
    <row r="782" spans="1:44" ht="13">
      <c r="A782" s="1323"/>
      <c r="B782" s="1112"/>
      <c r="C782" s="1112"/>
      <c r="D782" s="1112"/>
      <c r="E782" s="1112"/>
      <c r="F782" s="1112"/>
      <c r="G782" s="1112"/>
      <c r="H782" s="1112"/>
      <c r="I782" s="1112"/>
      <c r="J782" s="1112"/>
      <c r="K782" s="1112"/>
      <c r="L782" s="1112"/>
      <c r="M782" s="1112"/>
      <c r="N782" s="1112"/>
      <c r="O782" s="1112"/>
      <c r="P782" s="1112"/>
      <c r="Q782" s="1112"/>
      <c r="R782" s="1112"/>
      <c r="S782" s="1116"/>
      <c r="T782" s="3106" t="s">
        <v>1875</v>
      </c>
      <c r="U782" s="3107"/>
      <c r="V782" s="3107"/>
      <c r="W782" s="3107"/>
      <c r="X782" s="3107"/>
      <c r="Y782" s="3108"/>
      <c r="Z782" s="3106" t="s">
        <v>1876</v>
      </c>
      <c r="AA782" s="3107"/>
      <c r="AB782" s="3107"/>
      <c r="AC782" s="3107"/>
      <c r="AD782" s="3107"/>
      <c r="AE782" s="3108"/>
      <c r="AF782" s="3106" t="s">
        <v>1877</v>
      </c>
      <c r="AG782" s="3107"/>
      <c r="AH782" s="3107"/>
      <c r="AI782" s="3107"/>
      <c r="AJ782" s="3107"/>
      <c r="AK782" s="3108"/>
      <c r="AL782" s="1324"/>
      <c r="AM782" s="1218"/>
      <c r="AO782" s="1322"/>
      <c r="AP782" s="1321"/>
      <c r="AQ782" s="1321"/>
    </row>
    <row r="783" spans="1:44" ht="13">
      <c r="A783" s="1325"/>
      <c r="B783" s="1152"/>
      <c r="C783" s="1152"/>
      <c r="D783" s="1152"/>
      <c r="E783" s="1152"/>
      <c r="F783" s="1152"/>
      <c r="G783" s="1152"/>
      <c r="H783" s="1152"/>
      <c r="I783" s="1152"/>
      <c r="J783" s="1152"/>
      <c r="K783" s="1152"/>
      <c r="L783" s="1152"/>
      <c r="M783" s="1152"/>
      <c r="N783" s="1152"/>
      <c r="O783" s="1152"/>
      <c r="P783" s="1152"/>
      <c r="Q783" s="1152"/>
      <c r="R783" s="1152"/>
      <c r="S783" s="1326"/>
      <c r="T783" s="3109"/>
      <c r="U783" s="3110"/>
      <c r="V783" s="3110"/>
      <c r="W783" s="3110"/>
      <c r="X783" s="3110"/>
      <c r="Y783" s="3111"/>
      <c r="Z783" s="3109"/>
      <c r="AA783" s="3110"/>
      <c r="AB783" s="3110"/>
      <c r="AC783" s="3110"/>
      <c r="AD783" s="3110"/>
      <c r="AE783" s="3111"/>
      <c r="AF783" s="3109"/>
      <c r="AG783" s="3110"/>
      <c r="AH783" s="3110"/>
      <c r="AI783" s="3110"/>
      <c r="AJ783" s="3110"/>
      <c r="AK783" s="3111"/>
      <c r="AL783" s="1324"/>
      <c r="AM783" s="1218"/>
      <c r="AO783" s="1322"/>
      <c r="AP783" s="1321"/>
      <c r="AQ783" s="1321"/>
    </row>
    <row r="784" spans="1:44" ht="13">
      <c r="A784" s="1325" t="s">
        <v>802</v>
      </c>
      <c r="B784" s="3058" t="s">
        <v>1574</v>
      </c>
      <c r="C784" s="3058"/>
      <c r="D784" s="3058"/>
      <c r="E784" s="3058"/>
      <c r="F784" s="3058"/>
      <c r="G784" s="3058"/>
      <c r="H784" s="3058"/>
      <c r="I784" s="3058"/>
      <c r="J784" s="3058"/>
      <c r="K784" s="3058"/>
      <c r="L784" s="3058"/>
      <c r="M784" s="3058"/>
      <c r="N784" s="3058"/>
      <c r="O784" s="3058"/>
      <c r="P784" s="3058"/>
      <c r="Q784" s="3058"/>
      <c r="R784" s="3058"/>
      <c r="S784" s="3059"/>
      <c r="T784" s="3090">
        <f>AK51</f>
        <v>0</v>
      </c>
      <c r="U784" s="3062"/>
      <c r="V784" s="3062"/>
      <c r="W784" s="3062"/>
      <c r="X784" s="3062"/>
      <c r="Y784" s="3063"/>
      <c r="Z784" s="3061">
        <v>20</v>
      </c>
      <c r="AA784" s="3062"/>
      <c r="AB784" s="3062"/>
      <c r="AC784" s="3062"/>
      <c r="AD784" s="3062"/>
      <c r="AE784" s="3063"/>
      <c r="AF784" s="3064">
        <f>IF(T784&gt;Z784,Z784,T784)</f>
        <v>0</v>
      </c>
      <c r="AG784" s="3064"/>
      <c r="AH784" s="3064"/>
      <c r="AI784" s="3064"/>
      <c r="AJ784" s="3064"/>
      <c r="AK784" s="3064"/>
      <c r="AL784" s="1324"/>
      <c r="AM784" s="1218"/>
      <c r="AO784" s="1321"/>
      <c r="AP784" s="1321"/>
      <c r="AQ784" s="1321"/>
    </row>
    <row r="785" spans="1:81" ht="13">
      <c r="A785" s="1325" t="s">
        <v>1843</v>
      </c>
      <c r="B785" s="3058" t="s">
        <v>1596</v>
      </c>
      <c r="C785" s="3058"/>
      <c r="D785" s="3058"/>
      <c r="E785" s="3058"/>
      <c r="F785" s="3058"/>
      <c r="G785" s="3058"/>
      <c r="H785" s="3058"/>
      <c r="I785" s="3058"/>
      <c r="J785" s="3058"/>
      <c r="K785" s="3058"/>
      <c r="L785" s="3058"/>
      <c r="M785" s="3058"/>
      <c r="N785" s="3058"/>
      <c r="O785" s="3058"/>
      <c r="P785" s="3058"/>
      <c r="Q785" s="3058"/>
      <c r="R785" s="3058"/>
      <c r="S785" s="3059"/>
      <c r="T785" s="3090">
        <f>AK72</f>
        <v>10</v>
      </c>
      <c r="U785" s="3062"/>
      <c r="V785" s="3062"/>
      <c r="W785" s="3062"/>
      <c r="X785" s="3062"/>
      <c r="Y785" s="3063"/>
      <c r="Z785" s="3061">
        <v>10</v>
      </c>
      <c r="AA785" s="3062"/>
      <c r="AB785" s="3062"/>
      <c r="AC785" s="3062"/>
      <c r="AD785" s="3062"/>
      <c r="AE785" s="3063"/>
      <c r="AF785" s="3064">
        <f>IF(T785&gt;Z785,Z785,T785)</f>
        <v>10</v>
      </c>
      <c r="AG785" s="3064"/>
      <c r="AH785" s="3064"/>
      <c r="AI785" s="3064"/>
      <c r="AJ785" s="3064"/>
      <c r="AK785" s="3064"/>
      <c r="AL785" s="1324"/>
      <c r="AM785" s="1218"/>
      <c r="AO785" s="1321"/>
      <c r="AP785" s="1321"/>
      <c r="AQ785" s="1321"/>
    </row>
    <row r="786" spans="1:81" ht="13">
      <c r="A786" s="1325" t="s">
        <v>1852</v>
      </c>
      <c r="B786" s="3058" t="s">
        <v>1606</v>
      </c>
      <c r="C786" s="3058"/>
      <c r="D786" s="3058"/>
      <c r="E786" s="3058"/>
      <c r="F786" s="3058"/>
      <c r="G786" s="3058"/>
      <c r="H786" s="3058"/>
      <c r="I786" s="3058"/>
      <c r="J786" s="3058"/>
      <c r="K786" s="3058"/>
      <c r="L786" s="3058"/>
      <c r="M786" s="3058"/>
      <c r="N786" s="3058"/>
      <c r="O786" s="3058"/>
      <c r="P786" s="3058"/>
      <c r="Q786" s="3058"/>
      <c r="R786" s="3058"/>
      <c r="S786" s="3059"/>
      <c r="T786" s="3090">
        <f>AK97</f>
        <v>20</v>
      </c>
      <c r="U786" s="3062"/>
      <c r="V786" s="3062"/>
      <c r="W786" s="3062"/>
      <c r="X786" s="3062"/>
      <c r="Y786" s="3063"/>
      <c r="Z786" s="3061">
        <v>20</v>
      </c>
      <c r="AA786" s="3062"/>
      <c r="AB786" s="3062"/>
      <c r="AC786" s="3062"/>
      <c r="AD786" s="3062"/>
      <c r="AE786" s="3063"/>
      <c r="AF786" s="3064">
        <f>IF(T786&gt;Z786,Z786,T786)</f>
        <v>20</v>
      </c>
      <c r="AG786" s="3064"/>
      <c r="AH786" s="3064"/>
      <c r="AI786" s="3064"/>
      <c r="AJ786" s="3064"/>
      <c r="AK786" s="3064"/>
      <c r="AL786" s="1324"/>
      <c r="AM786" s="1218"/>
      <c r="AO786" s="1321"/>
      <c r="AP786" s="1321"/>
      <c r="AQ786" s="1321"/>
    </row>
    <row r="787" spans="1:81" ht="13">
      <c r="A787" s="1325" t="s">
        <v>1878</v>
      </c>
      <c r="B787" s="3058" t="s">
        <v>1616</v>
      </c>
      <c r="C787" s="3058"/>
      <c r="D787" s="3058"/>
      <c r="E787" s="3058"/>
      <c r="F787" s="3058"/>
      <c r="G787" s="3058"/>
      <c r="H787" s="3058"/>
      <c r="I787" s="3058"/>
      <c r="J787" s="3058"/>
      <c r="K787" s="3058"/>
      <c r="L787" s="3058"/>
      <c r="M787" s="3058"/>
      <c r="N787" s="3058"/>
      <c r="O787" s="3058"/>
      <c r="P787" s="3058"/>
      <c r="Q787" s="3058"/>
      <c r="R787" s="3058"/>
      <c r="S787" s="3059"/>
      <c r="T787" s="3090">
        <f>AK131</f>
        <v>10</v>
      </c>
      <c r="U787" s="3062"/>
      <c r="V787" s="3062"/>
      <c r="W787" s="3062"/>
      <c r="X787" s="3062"/>
      <c r="Y787" s="3063"/>
      <c r="Z787" s="3061">
        <v>10</v>
      </c>
      <c r="AA787" s="3062"/>
      <c r="AB787" s="3062"/>
      <c r="AC787" s="3062"/>
      <c r="AD787" s="3062"/>
      <c r="AE787" s="3063"/>
      <c r="AF787" s="3064">
        <f>IF(T787&gt;Z787,Z787,T787)</f>
        <v>10</v>
      </c>
      <c r="AG787" s="3064"/>
      <c r="AH787" s="3064"/>
      <c r="AI787" s="3064"/>
      <c r="AJ787" s="3064"/>
      <c r="AK787" s="3064"/>
      <c r="AL787" s="1324"/>
      <c r="AM787" s="1218"/>
      <c r="AO787" s="1321"/>
      <c r="AP787" s="1321"/>
      <c r="AQ787" s="1321"/>
    </row>
    <row r="788" spans="1:81" ht="13">
      <c r="A788" s="1327" t="s">
        <v>1879</v>
      </c>
      <c r="B788" s="3058" t="s">
        <v>1880</v>
      </c>
      <c r="C788" s="3058"/>
      <c r="D788" s="3058"/>
      <c r="E788" s="3058"/>
      <c r="F788" s="3058"/>
      <c r="G788" s="3058"/>
      <c r="H788" s="3058"/>
      <c r="I788" s="3058"/>
      <c r="J788" s="3058"/>
      <c r="K788" s="3058"/>
      <c r="L788" s="3058"/>
      <c r="M788" s="3058"/>
      <c r="N788" s="3058"/>
      <c r="O788" s="3058"/>
      <c r="P788" s="3058"/>
      <c r="Q788" s="3058"/>
      <c r="R788" s="3058"/>
      <c r="S788" s="3059"/>
      <c r="T788" s="3060">
        <f>SUM(T789:Y790)</f>
        <v>10</v>
      </c>
      <c r="U788" s="3060"/>
      <c r="V788" s="3060"/>
      <c r="W788" s="3060"/>
      <c r="X788" s="3060"/>
      <c r="Y788" s="3060"/>
      <c r="Z788" s="3064">
        <v>10</v>
      </c>
      <c r="AA788" s="3064"/>
      <c r="AB788" s="3064"/>
      <c r="AC788" s="3064"/>
      <c r="AD788" s="3064"/>
      <c r="AE788" s="3064"/>
      <c r="AF788" s="3064">
        <f>IF(T788&gt;Z788,Z788,T788)</f>
        <v>10</v>
      </c>
      <c r="AG788" s="3064"/>
      <c r="AH788" s="3064"/>
      <c r="AI788" s="3064"/>
      <c r="AJ788" s="3064"/>
      <c r="AK788" s="3064"/>
      <c r="AL788" s="1324"/>
      <c r="AM788" s="1218"/>
    </row>
    <row r="789" spans="1:81" ht="13">
      <c r="A789" s="928"/>
      <c r="B789" s="1011"/>
      <c r="C789" s="3065" t="s">
        <v>1881</v>
      </c>
      <c r="D789" s="3065"/>
      <c r="E789" s="3065"/>
      <c r="F789" s="3065"/>
      <c r="G789" s="3065"/>
      <c r="H789" s="3065"/>
      <c r="I789" s="3065"/>
      <c r="J789" s="3065"/>
      <c r="K789" s="3065"/>
      <c r="L789" s="3065"/>
      <c r="M789" s="3065"/>
      <c r="N789" s="3065"/>
      <c r="O789" s="3065"/>
      <c r="P789" s="3065"/>
      <c r="Q789" s="3065"/>
      <c r="R789" s="3065"/>
      <c r="S789" s="3066"/>
      <c r="T789" s="3067">
        <f>AJ149</f>
        <v>7</v>
      </c>
      <c r="U789" s="3067"/>
      <c r="V789" s="3067"/>
      <c r="W789" s="3067"/>
      <c r="X789" s="3067"/>
      <c r="Y789" s="3067"/>
      <c r="Z789" s="3068">
        <v>7</v>
      </c>
      <c r="AA789" s="3068"/>
      <c r="AB789" s="3068"/>
      <c r="AC789" s="3068"/>
      <c r="AD789" s="3068"/>
      <c r="AE789" s="3068"/>
      <c r="AF789" s="3069"/>
      <c r="AG789" s="3069"/>
      <c r="AH789" s="3069"/>
      <c r="AI789" s="3069"/>
      <c r="AJ789" s="3069"/>
      <c r="AK789" s="3069"/>
      <c r="AL789" s="1324"/>
      <c r="AM789" s="1218"/>
    </row>
    <row r="790" spans="1:81" ht="13">
      <c r="A790" s="1328"/>
      <c r="B790" s="1011"/>
      <c r="C790" s="3065" t="s">
        <v>1882</v>
      </c>
      <c r="D790" s="3065"/>
      <c r="E790" s="3065"/>
      <c r="F790" s="3065"/>
      <c r="G790" s="3065"/>
      <c r="H790" s="3065"/>
      <c r="I790" s="3065"/>
      <c r="J790" s="3065"/>
      <c r="K790" s="3065"/>
      <c r="L790" s="3065"/>
      <c r="M790" s="3065"/>
      <c r="N790" s="3065"/>
      <c r="O790" s="3065"/>
      <c r="P790" s="3065"/>
      <c r="Q790" s="3065"/>
      <c r="R790" s="3065"/>
      <c r="S790" s="3066"/>
      <c r="T790" s="3067">
        <f>AJ163</f>
        <v>3</v>
      </c>
      <c r="U790" s="3067"/>
      <c r="V790" s="3067"/>
      <c r="W790" s="3067"/>
      <c r="X790" s="3067"/>
      <c r="Y790" s="3067"/>
      <c r="Z790" s="3068">
        <v>3</v>
      </c>
      <c r="AA790" s="3068"/>
      <c r="AB790" s="3068"/>
      <c r="AC790" s="3068"/>
      <c r="AD790" s="3068"/>
      <c r="AE790" s="3068"/>
      <c r="AF790" s="3069"/>
      <c r="AG790" s="3069"/>
      <c r="AH790" s="3069"/>
      <c r="AI790" s="3069"/>
      <c r="AJ790" s="3069"/>
      <c r="AK790" s="3069"/>
      <c r="AL790" s="1324"/>
      <c r="AM790" s="1218"/>
      <c r="AO790" s="945"/>
    </row>
    <row r="791" spans="1:81" ht="13">
      <c r="A791" s="1327" t="s">
        <v>1644</v>
      </c>
      <c r="B791" s="3058" t="s">
        <v>1883</v>
      </c>
      <c r="C791" s="3058"/>
      <c r="D791" s="3058"/>
      <c r="E791" s="3058"/>
      <c r="F791" s="3058"/>
      <c r="G791" s="3058"/>
      <c r="H791" s="3058"/>
      <c r="I791" s="3058"/>
      <c r="J791" s="3058"/>
      <c r="K791" s="3058"/>
      <c r="L791" s="3058"/>
      <c r="M791" s="3058"/>
      <c r="N791" s="3058"/>
      <c r="O791" s="3058"/>
      <c r="P791" s="3058"/>
      <c r="Q791" s="3058"/>
      <c r="R791" s="3058"/>
      <c r="S791" s="3059"/>
      <c r="T791" s="3060">
        <f>AK174</f>
        <v>10</v>
      </c>
      <c r="U791" s="3060"/>
      <c r="V791" s="3060"/>
      <c r="W791" s="3060"/>
      <c r="X791" s="3060"/>
      <c r="Y791" s="3060"/>
      <c r="Z791" s="3064">
        <v>10</v>
      </c>
      <c r="AA791" s="3064"/>
      <c r="AB791" s="3064"/>
      <c r="AC791" s="3064"/>
      <c r="AD791" s="3064"/>
      <c r="AE791" s="3064"/>
      <c r="AF791" s="3064">
        <f>IF(T791&gt;Z791,Z791,T791)</f>
        <v>10</v>
      </c>
      <c r="AG791" s="3064"/>
      <c r="AH791" s="3064"/>
      <c r="AI791" s="3064"/>
      <c r="AJ791" s="3064"/>
      <c r="AK791" s="3064"/>
      <c r="AL791" s="1324"/>
      <c r="AM791" s="1218"/>
    </row>
    <row r="792" spans="1:81" ht="13">
      <c r="A792" s="1325" t="s">
        <v>1653</v>
      </c>
      <c r="B792" s="3058" t="s">
        <v>1654</v>
      </c>
      <c r="C792" s="3058"/>
      <c r="D792" s="3058"/>
      <c r="E792" s="3058"/>
      <c r="F792" s="3058"/>
      <c r="G792" s="3058"/>
      <c r="H792" s="3058"/>
      <c r="I792" s="3058"/>
      <c r="J792" s="3058"/>
      <c r="K792" s="3058"/>
      <c r="L792" s="3058"/>
      <c r="M792" s="3058"/>
      <c r="N792" s="3058"/>
      <c r="O792" s="3058"/>
      <c r="P792" s="3058"/>
      <c r="Q792" s="3058"/>
      <c r="R792" s="3058"/>
      <c r="S792" s="3059"/>
      <c r="T792" s="3060">
        <f>AK256</f>
        <v>8</v>
      </c>
      <c r="U792" s="3060"/>
      <c r="V792" s="3060"/>
      <c r="W792" s="3060"/>
      <c r="X792" s="3060"/>
      <c r="Y792" s="3060"/>
      <c r="Z792" s="3061">
        <v>8</v>
      </c>
      <c r="AA792" s="3062"/>
      <c r="AB792" s="3062"/>
      <c r="AC792" s="3062"/>
      <c r="AD792" s="3062"/>
      <c r="AE792" s="3063"/>
      <c r="AF792" s="3064">
        <f>IF(T792&gt;Z792,Z792,T792)</f>
        <v>8</v>
      </c>
      <c r="AG792" s="3064"/>
      <c r="AH792" s="3064"/>
      <c r="AI792" s="3064"/>
      <c r="AJ792" s="3064"/>
      <c r="AK792" s="3064"/>
      <c r="AL792" s="1324"/>
      <c r="AM792" s="1218"/>
    </row>
    <row r="793" spans="1:81" s="927" customFormat="1" ht="13" hidden="1">
      <c r="A793" s="1327" t="s">
        <v>626</v>
      </c>
      <c r="B793" s="3058" t="s">
        <v>1884</v>
      </c>
      <c r="C793" s="3058"/>
      <c r="D793" s="3058"/>
      <c r="E793" s="3058"/>
      <c r="F793" s="3058"/>
      <c r="G793" s="3058"/>
      <c r="H793" s="3058"/>
      <c r="I793" s="3058"/>
      <c r="J793" s="3058"/>
      <c r="K793" s="3058"/>
      <c r="L793" s="3058"/>
      <c r="M793" s="3058"/>
      <c r="N793" s="3058"/>
      <c r="O793" s="3058"/>
      <c r="P793" s="3058"/>
      <c r="Q793" s="3058"/>
      <c r="R793" s="3058"/>
      <c r="S793" s="3059"/>
      <c r="T793" s="3060">
        <f>IF(AK750&gt;5,5,AK750)</f>
        <v>0</v>
      </c>
      <c r="U793" s="3060"/>
      <c r="V793" s="3060"/>
      <c r="W793" s="3060"/>
      <c r="X793" s="3060"/>
      <c r="Y793" s="3060"/>
      <c r="Z793" s="3064">
        <v>5</v>
      </c>
      <c r="AA793" s="3064"/>
      <c r="AB793" s="3064"/>
      <c r="AC793" s="3064"/>
      <c r="AD793" s="3064"/>
      <c r="AE793" s="3064"/>
      <c r="AF793" s="3064">
        <f>IF(T793&gt;Z793,5,T793)</f>
        <v>0</v>
      </c>
      <c r="AG793" s="3064"/>
      <c r="AH793" s="3064"/>
      <c r="AI793" s="3064"/>
      <c r="AJ793" s="3064"/>
      <c r="AK793" s="3064"/>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ht="13">
      <c r="A794" s="1325" t="s">
        <v>1659</v>
      </c>
      <c r="B794" s="3058" t="s">
        <v>1885</v>
      </c>
      <c r="C794" s="3058"/>
      <c r="D794" s="3058"/>
      <c r="E794" s="3058"/>
      <c r="F794" s="3058"/>
      <c r="G794" s="3058"/>
      <c r="H794" s="3058"/>
      <c r="I794" s="3058"/>
      <c r="J794" s="3058"/>
      <c r="K794" s="3058"/>
      <c r="L794" s="3058"/>
      <c r="M794" s="3058"/>
      <c r="N794" s="3058"/>
      <c r="O794" s="3058"/>
      <c r="P794" s="3058"/>
      <c r="Q794" s="3058"/>
      <c r="R794" s="3058"/>
      <c r="S794" s="3059"/>
      <c r="T794" s="3060">
        <f>AK267</f>
        <v>10</v>
      </c>
      <c r="U794" s="3060"/>
      <c r="V794" s="3060"/>
      <c r="W794" s="3060"/>
      <c r="X794" s="3060"/>
      <c r="Y794" s="3060"/>
      <c r="Z794" s="3064">
        <v>10</v>
      </c>
      <c r="AA794" s="3064"/>
      <c r="AB794" s="3064"/>
      <c r="AC794" s="3064"/>
      <c r="AD794" s="3064"/>
      <c r="AE794" s="3064"/>
      <c r="AF794" s="3071">
        <f>IF(T794&gt;Z794,Z794,T794)</f>
        <v>10</v>
      </c>
      <c r="AG794" s="3072"/>
      <c r="AH794" s="3072"/>
      <c r="AI794" s="3072"/>
      <c r="AJ794" s="3072"/>
      <c r="AK794" s="3073"/>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ht="13">
      <c r="A795" s="1327" t="s">
        <v>1663</v>
      </c>
      <c r="B795" s="3058" t="s">
        <v>1664</v>
      </c>
      <c r="C795" s="3058"/>
      <c r="D795" s="3058"/>
      <c r="E795" s="3058"/>
      <c r="F795" s="3058"/>
      <c r="G795" s="3058"/>
      <c r="H795" s="3058"/>
      <c r="I795" s="3058"/>
      <c r="J795" s="3058"/>
      <c r="K795" s="3058"/>
      <c r="L795" s="3058"/>
      <c r="M795" s="3058"/>
      <c r="N795" s="3058"/>
      <c r="O795" s="3058"/>
      <c r="P795" s="3058"/>
      <c r="Q795" s="3058"/>
      <c r="R795" s="3058"/>
      <c r="S795" s="3059"/>
      <c r="T795" s="3060">
        <f>AK553</f>
        <v>19</v>
      </c>
      <c r="U795" s="3060"/>
      <c r="V795" s="3060"/>
      <c r="W795" s="3060"/>
      <c r="X795" s="3060"/>
      <c r="Y795" s="3060"/>
      <c r="Z795" s="3071">
        <v>20</v>
      </c>
      <c r="AA795" s="3072"/>
      <c r="AB795" s="3072"/>
      <c r="AC795" s="3072"/>
      <c r="AD795" s="3072"/>
      <c r="AE795" s="3073"/>
      <c r="AF795" s="3071">
        <f>IF(T795&gt;Z795,Z795,T795)</f>
        <v>19</v>
      </c>
      <c r="AG795" s="3074"/>
      <c r="AH795" s="3074"/>
      <c r="AI795" s="3074"/>
      <c r="AJ795" s="3074"/>
      <c r="AK795" s="3075"/>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ht="13">
      <c r="A796" s="1327"/>
      <c r="B796" s="1330"/>
      <c r="C796" s="1331" t="s">
        <v>1886</v>
      </c>
      <c r="D796" s="1332"/>
      <c r="E796" s="1332"/>
      <c r="F796" s="1332"/>
      <c r="G796" s="1332"/>
      <c r="H796" s="1332"/>
      <c r="I796" s="1332"/>
      <c r="J796" s="1332"/>
      <c r="K796" s="1332"/>
      <c r="L796" s="1332"/>
      <c r="M796" s="1332"/>
      <c r="N796" s="1332"/>
      <c r="O796" s="1332"/>
      <c r="P796" s="1332"/>
      <c r="Q796" s="1332"/>
      <c r="R796" s="1330"/>
      <c r="S796" s="1333"/>
      <c r="T796" s="3067">
        <f>AK320</f>
        <v>9</v>
      </c>
      <c r="U796" s="3067"/>
      <c r="V796" s="3067"/>
      <c r="W796" s="3067"/>
      <c r="X796" s="3067"/>
      <c r="Y796" s="3067"/>
      <c r="Z796" s="3048">
        <v>20</v>
      </c>
      <c r="AA796" s="3070"/>
      <c r="AB796" s="3070"/>
      <c r="AC796" s="3070"/>
      <c r="AD796" s="3070"/>
      <c r="AE796" s="3049"/>
      <c r="AF796" s="3069"/>
      <c r="AG796" s="3069"/>
      <c r="AH796" s="3069"/>
      <c r="AI796" s="3069"/>
      <c r="AJ796" s="3069"/>
      <c r="AK796" s="3069"/>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ht="13">
      <c r="A797" s="1327"/>
      <c r="B797" s="1330"/>
      <c r="C797" s="1331" t="s">
        <v>1887</v>
      </c>
      <c r="D797" s="1331"/>
      <c r="E797" s="1331"/>
      <c r="F797" s="1331"/>
      <c r="G797" s="1331"/>
      <c r="H797" s="1331"/>
      <c r="I797" s="1331"/>
      <c r="J797" s="1331"/>
      <c r="K797" s="1331"/>
      <c r="L797" s="1331"/>
      <c r="M797" s="1331"/>
      <c r="N797" s="1331"/>
      <c r="O797" s="1331"/>
      <c r="P797" s="1331"/>
      <c r="Q797" s="1331"/>
      <c r="R797" s="1330"/>
      <c r="S797" s="1333"/>
      <c r="T797" s="3067">
        <f>AK551</f>
        <v>10</v>
      </c>
      <c r="U797" s="3067"/>
      <c r="V797" s="3067"/>
      <c r="W797" s="3067"/>
      <c r="X797" s="3067"/>
      <c r="Y797" s="3067"/>
      <c r="Z797" s="3048">
        <v>10</v>
      </c>
      <c r="AA797" s="3070"/>
      <c r="AB797" s="3070"/>
      <c r="AC797" s="3070"/>
      <c r="AD797" s="3070"/>
      <c r="AE797" s="3049"/>
      <c r="AF797" s="3069"/>
      <c r="AG797" s="3069"/>
      <c r="AH797" s="3069"/>
      <c r="AI797" s="3069"/>
      <c r="AJ797" s="3069"/>
      <c r="AK797" s="3069"/>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ht="13">
      <c r="A798" s="1327" t="s">
        <v>1749</v>
      </c>
      <c r="B798" s="3058" t="s">
        <v>912</v>
      </c>
      <c r="C798" s="3058"/>
      <c r="D798" s="3058"/>
      <c r="E798" s="3058"/>
      <c r="F798" s="3058"/>
      <c r="G798" s="3058"/>
      <c r="H798" s="3058"/>
      <c r="I798" s="3058"/>
      <c r="J798" s="3058"/>
      <c r="K798" s="3058"/>
      <c r="L798" s="3058"/>
      <c r="M798" s="3058"/>
      <c r="N798" s="3058"/>
      <c r="O798" s="3058"/>
      <c r="P798" s="3058"/>
      <c r="Q798" s="3058"/>
      <c r="R798" s="3058"/>
      <c r="S798" s="3059"/>
      <c r="T798" s="3060">
        <f>AK684</f>
        <v>11</v>
      </c>
      <c r="U798" s="3060"/>
      <c r="V798" s="3060"/>
      <c r="W798" s="3060"/>
      <c r="X798" s="3060"/>
      <c r="Y798" s="3060"/>
      <c r="Z798" s="3071">
        <v>10</v>
      </c>
      <c r="AA798" s="3072"/>
      <c r="AB798" s="3072"/>
      <c r="AC798" s="3072"/>
      <c r="AD798" s="3072"/>
      <c r="AE798" s="3073"/>
      <c r="AF798" s="3064">
        <f>IF(T798&gt;Z798,Z798,T798)</f>
        <v>10</v>
      </c>
      <c r="AG798" s="3064"/>
      <c r="AH798" s="3064"/>
      <c r="AI798" s="3064"/>
      <c r="AJ798" s="3064"/>
      <c r="AK798" s="3064"/>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ht="13">
      <c r="A799" s="1327" t="s">
        <v>1862</v>
      </c>
      <c r="B799" s="3058" t="s">
        <v>1863</v>
      </c>
      <c r="C799" s="3058"/>
      <c r="D799" s="3058"/>
      <c r="E799" s="3058"/>
      <c r="F799" s="3058"/>
      <c r="G799" s="3058"/>
      <c r="H799" s="3058"/>
      <c r="I799" s="3058"/>
      <c r="J799" s="3058"/>
      <c r="K799" s="3058"/>
      <c r="L799" s="3058"/>
      <c r="M799" s="3058"/>
      <c r="N799" s="3058"/>
      <c r="O799" s="3058"/>
      <c r="P799" s="3058"/>
      <c r="Q799" s="3058"/>
      <c r="R799" s="3058"/>
      <c r="S799" s="3059"/>
      <c r="T799" s="3060">
        <f>AK774</f>
        <v>12</v>
      </c>
      <c r="U799" s="3060"/>
      <c r="V799" s="3060"/>
      <c r="W799" s="3060"/>
      <c r="X799" s="3060"/>
      <c r="Y799" s="3060"/>
      <c r="Z799" s="3071">
        <v>12</v>
      </c>
      <c r="AA799" s="3072"/>
      <c r="AB799" s="3072"/>
      <c r="AC799" s="3072"/>
      <c r="AD799" s="3072"/>
      <c r="AE799" s="3073"/>
      <c r="AF799" s="3064">
        <f>IF(T799&gt;Z799,Z799,T799)</f>
        <v>12</v>
      </c>
      <c r="AG799" s="3064"/>
      <c r="AH799" s="3064"/>
      <c r="AI799" s="3064"/>
      <c r="AJ799" s="3064"/>
      <c r="AK799" s="3064"/>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ht="13">
      <c r="A800" s="3076" t="s">
        <v>1888</v>
      </c>
      <c r="B800" s="3058"/>
      <c r="C800" s="3058"/>
      <c r="D800" s="3058"/>
      <c r="E800" s="3058"/>
      <c r="F800" s="3058"/>
      <c r="G800" s="3058"/>
      <c r="H800" s="3058"/>
      <c r="I800" s="3058"/>
      <c r="J800" s="3058"/>
      <c r="K800" s="3058"/>
      <c r="L800" s="3058"/>
      <c r="M800" s="3058"/>
      <c r="N800" s="3058"/>
      <c r="O800" s="3058"/>
      <c r="P800" s="3058"/>
      <c r="Q800" s="3058"/>
      <c r="R800" s="3058"/>
      <c r="S800" s="3059"/>
      <c r="T800" s="3077"/>
      <c r="U800" s="3077"/>
      <c r="V800" s="3077"/>
      <c r="W800" s="3077"/>
      <c r="X800" s="3077"/>
      <c r="Y800" s="3077"/>
      <c r="Z800" s="3068" t="s">
        <v>1889</v>
      </c>
      <c r="AA800" s="3068"/>
      <c r="AB800" s="3068"/>
      <c r="AC800" s="3068"/>
      <c r="AD800" s="3068"/>
      <c r="AE800" s="3068"/>
      <c r="AF800" s="3071">
        <f>IF(T800&gt;0,T800,0)</f>
        <v>0</v>
      </c>
      <c r="AG800" s="3072"/>
      <c r="AH800" s="3072"/>
      <c r="AI800" s="3072"/>
      <c r="AJ800" s="3072"/>
      <c r="AK800" s="3073"/>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5">
      <c r="A801" s="3078" t="s">
        <v>1890</v>
      </c>
      <c r="B801" s="3079"/>
      <c r="C801" s="3079"/>
      <c r="D801" s="3079"/>
      <c r="E801" s="3079"/>
      <c r="F801" s="3079"/>
      <c r="G801" s="3079"/>
      <c r="H801" s="3079"/>
      <c r="I801" s="3079"/>
      <c r="J801" s="3079"/>
      <c r="K801" s="3079"/>
      <c r="L801" s="3079"/>
      <c r="M801" s="3079"/>
      <c r="N801" s="3079"/>
      <c r="O801" s="3079"/>
      <c r="P801" s="3079"/>
      <c r="Q801" s="3079"/>
      <c r="R801" s="3079"/>
      <c r="S801" s="3079"/>
      <c r="T801" s="3079"/>
      <c r="U801" s="3079"/>
      <c r="V801" s="3079"/>
      <c r="W801" s="3079"/>
      <c r="X801" s="3079"/>
      <c r="Y801" s="3079"/>
      <c r="Z801" s="3079"/>
      <c r="AA801" s="3079"/>
      <c r="AB801" s="3079"/>
      <c r="AC801" s="3079"/>
      <c r="AD801" s="3079"/>
      <c r="AE801" s="3080"/>
      <c r="AF801" s="3084">
        <f>SUM(AF784:AK799)-AF800</f>
        <v>119</v>
      </c>
      <c r="AG801" s="3085"/>
      <c r="AH801" s="3085"/>
      <c r="AI801" s="3085"/>
      <c r="AJ801" s="3085"/>
      <c r="AK801" s="3086"/>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5">
      <c r="A802" s="3081"/>
      <c r="B802" s="3082"/>
      <c r="C802" s="3082"/>
      <c r="D802" s="3082"/>
      <c r="E802" s="3082"/>
      <c r="F802" s="3082"/>
      <c r="G802" s="3082"/>
      <c r="H802" s="3082"/>
      <c r="I802" s="3082"/>
      <c r="J802" s="3082"/>
      <c r="K802" s="3082"/>
      <c r="L802" s="3082"/>
      <c r="M802" s="3082"/>
      <c r="N802" s="3082"/>
      <c r="O802" s="3082"/>
      <c r="P802" s="3082"/>
      <c r="Q802" s="3082"/>
      <c r="R802" s="3082"/>
      <c r="S802" s="3082"/>
      <c r="T802" s="3082"/>
      <c r="U802" s="3082"/>
      <c r="V802" s="3082"/>
      <c r="W802" s="3082"/>
      <c r="X802" s="3082"/>
      <c r="Y802" s="3082"/>
      <c r="Z802" s="3082"/>
      <c r="AA802" s="3082"/>
      <c r="AB802" s="3082"/>
      <c r="AC802" s="3082"/>
      <c r="AD802" s="3082"/>
      <c r="AE802" s="3083"/>
      <c r="AF802" s="3087"/>
      <c r="AG802" s="3088"/>
      <c r="AH802" s="3088"/>
      <c r="AI802" s="3088"/>
      <c r="AJ802" s="3088"/>
      <c r="AK802" s="3089"/>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Ava Kuo</cp:lastModifiedBy>
  <cp:lastPrinted>2021-02-03T17:07:41Z</cp:lastPrinted>
  <dcterms:created xsi:type="dcterms:W3CDTF">2007-12-27T18:26:28Z</dcterms:created>
  <dcterms:modified xsi:type="dcterms:W3CDTF">2021-02-03T21:01:21Z</dcterms:modified>
</cp:coreProperties>
</file>